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0" windowWidth="15600" windowHeight="6885" tabRatio="567" firstSheet="5" activeTab="5"/>
  </bookViews>
  <sheets>
    <sheet name="Components" sheetId="1" state="hidden" r:id="rId1"/>
    <sheet name="Cost per GB" sheetId="2" state="hidden" r:id="rId2"/>
    <sheet name="Usable Storage" sheetId="3" state="hidden" r:id="rId3"/>
    <sheet name="Virtual Costing" sheetId="4" state="hidden" r:id="rId4"/>
    <sheet name="Instructions" sheetId="5" r:id="rId5"/>
    <sheet name="Regional distribution" sheetId="6" r:id="rId6"/>
    <sheet name="Sheet1" sheetId="7" r:id="rId7"/>
  </sheets>
  <definedNames>
    <definedName name="Costs">#REF!,#REF!,#REF!,#REF!</definedName>
    <definedName name="Costs_Total">#REF!</definedName>
    <definedName name="Costs_Total2">#REF!</definedName>
    <definedName name="Costs2">#REF!,#REF!,#REF!</definedName>
    <definedName name="Costs3">#REF!,#REF!,#REF!</definedName>
    <definedName name="Costs4">#REF!,#REF!,#REF!,#REF!</definedName>
    <definedName name="DR">#REF!,#REF!,#REF!,#REF!,#REF!</definedName>
    <definedName name="DR_Config">#REF!,#REF!,#REF!,#REF!,#REF!</definedName>
    <definedName name="Drive_Type">#REF!</definedName>
    <definedName name="Physical_Config">#REF!</definedName>
    <definedName name="Physical_Config2">#REF!,#REF!,#REF!,#REF!</definedName>
    <definedName name="Physical_Server">#REF!,#REF!,#REF!</definedName>
    <definedName name="Prod_Server_Cost">#REF!</definedName>
  </definedNames>
  <calcPr fullCalcOnLoad="1"/>
</workbook>
</file>

<file path=xl/comments1.xml><?xml version="1.0" encoding="utf-8"?>
<comments xmlns="http://schemas.openxmlformats.org/spreadsheetml/2006/main">
  <authors>
    <author/>
  </authors>
  <commentList>
    <comment ref="B5" authorId="0">
      <text>
        <r>
          <rPr>
            <sz val="8"/>
            <rFont val="Tahoma"/>
            <family val="2"/>
          </rPr>
          <t>Per port costs vary, depending on config.  Least expensive method is to purchase 4100 with all 32-ports enabled.  Estimate is rough estimate from Accris for planning purposes.</t>
        </r>
      </text>
    </comment>
    <comment ref="B17" authorId="0">
      <text>
        <r>
          <rPr>
            <sz val="8"/>
            <rFont val="Tahoma"/>
            <family val="2"/>
          </rPr>
          <t>Per port costs vary, depending on config.  Least expensive method is to purchase 4100 with all 32-ports enabled.  Estiate is rough estimate from Accris for planning purposes.</t>
        </r>
      </text>
    </comment>
    <comment ref="B11" authorId="0">
      <text>
        <r>
          <rPr>
            <sz val="8"/>
            <rFont val="Tahoma"/>
            <family val="2"/>
          </rPr>
          <t>Per port costs vary, depending on config.  Least expensive method is to purchase 4100 with all 32-ports enabled.  Estimate is rough estimate from Accris for planning purposes.</t>
        </r>
      </text>
    </comment>
    <comment ref="B23" authorId="0">
      <text>
        <r>
          <rPr>
            <sz val="8"/>
            <rFont val="Tahoma"/>
            <family val="2"/>
          </rPr>
          <t>Per port costs vary, depending on config.  Least expensive method is to purchase 4100 with all 32-ports enabled.  Estimate is rough estimate from Accris for planning purposes.</t>
        </r>
      </text>
    </comment>
    <comment ref="D123" authorId="0">
      <text>
        <r>
          <rPr>
            <sz val="8"/>
            <rFont val="Tahoma"/>
            <family val="2"/>
          </rPr>
          <t>Spare drive allocated once per filer.  No additional spare drives are needed as we add shelves.  Costs considered sunk cost since the spare drives that are being used are part of the original base system costs shown below.</t>
        </r>
        <r>
          <rPr>
            <sz val="8"/>
            <rFont val="Tahoma"/>
            <family val="2"/>
          </rPr>
          <t xml:space="preserve">
</t>
        </r>
      </text>
    </comment>
    <comment ref="D119" authorId="0">
      <text>
        <r>
          <rPr>
            <b/>
            <sz val="8"/>
            <rFont val="Tahoma"/>
            <family val="2"/>
          </rPr>
          <t>Derived from usable drive size in MB / 1024 MB per GB
Usable drive size can be obtained using the sysconfig -A command.  Even though manufacturer's list drives as having 500 GB available, actuality is that they have less space.  Also, NetApp right-sizes drives to make sure drives from different manufacturer's match up to the same number of blocks for the same size.</t>
        </r>
        <r>
          <rPr>
            <sz val="8"/>
            <rFont val="Tahoma"/>
            <family val="2"/>
          </rPr>
          <t xml:space="preserve">
</t>
        </r>
      </text>
    </comment>
    <comment ref="D77" authorId="0">
      <text>
        <r>
          <rPr>
            <b/>
            <sz val="8"/>
            <rFont val="Tahoma"/>
            <family val="2"/>
          </rPr>
          <t>Derived from usable drive size in MB / 1024 MB per GB
Usable drive size can be obtained using the sysconfig -A command.  Even though manufacturer's list drives as having 500 GB available, actuality is that they have less space.  Also, NetApp right-sizes drives to make sure drives from different manufacturer's match up to the same number of blocks for the same size.</t>
        </r>
        <r>
          <rPr>
            <sz val="8"/>
            <rFont val="Tahoma"/>
            <family val="2"/>
          </rPr>
          <t xml:space="preserve">
</t>
        </r>
      </text>
    </comment>
    <comment ref="D81" authorId="0">
      <text>
        <r>
          <rPr>
            <sz val="8"/>
            <rFont val="Tahoma"/>
            <family val="2"/>
          </rPr>
          <t>Spare drive allocated once per filer.  No additional spare drives are needed as we add shelves.  Costs considered sunk cost since the spare drives that are being used are part of the original base system costs shown below.</t>
        </r>
      </text>
    </comment>
    <comment ref="D98" authorId="0">
      <text>
        <r>
          <rPr>
            <b/>
            <sz val="8"/>
            <rFont val="Tahoma"/>
            <family val="2"/>
          </rPr>
          <t>Derived from usable drive size in MB / 1024 MB per GB
Usable drive size can be obtained using the sysconfig -A command.  Even though manufacturer's list drives as having 500 GB available, actuality is that they have less space.  Also, NetApp right-sizes drives to make sure drives from different manufacturer's match up to the same number of blocks for the same size.</t>
        </r>
        <r>
          <rPr>
            <sz val="8"/>
            <rFont val="Tahoma"/>
            <family val="2"/>
          </rPr>
          <t xml:space="preserve">
</t>
        </r>
      </text>
    </comment>
    <comment ref="D102" authorId="0">
      <text>
        <r>
          <rPr>
            <sz val="8"/>
            <rFont val="Tahoma"/>
            <family val="2"/>
          </rPr>
          <t>Spare drive allocated once per filer.  No additional spare drives are needed as we add shelves.  Costs considered sunk cost since the spare drives that are being used are part of the original base system costs shown below.</t>
        </r>
      </text>
    </comment>
    <comment ref="C116" authorId="0">
      <text>
        <r>
          <rPr>
            <b/>
            <sz val="8"/>
            <rFont val="Tahoma"/>
            <family val="2"/>
          </rPr>
          <t>Set quantity to the number of months that remain till 9/1/2009.  Support is co-terminous.</t>
        </r>
      </text>
    </comment>
    <comment ref="C95" authorId="0">
      <text>
        <r>
          <rPr>
            <b/>
            <sz val="8"/>
            <rFont val="Tahoma"/>
            <family val="2"/>
          </rPr>
          <t>Set quantity to the number of months that remain till 9/1/2009.  Support is co-terminous.</t>
        </r>
        <r>
          <rPr>
            <sz val="8"/>
            <rFont val="Tahoma"/>
            <family val="2"/>
          </rPr>
          <t xml:space="preserve">
</t>
        </r>
      </text>
    </comment>
    <comment ref="C74" authorId="0">
      <text>
        <r>
          <rPr>
            <b/>
            <sz val="8"/>
            <rFont val="Tahoma"/>
            <family val="2"/>
          </rPr>
          <t>Set quantity to the number of months that remain till 9/1/2009.  Support is co-terminous.</t>
        </r>
        <r>
          <rPr>
            <sz val="8"/>
            <rFont val="Tahoma"/>
            <family val="2"/>
          </rPr>
          <t xml:space="preserve">
</t>
        </r>
      </text>
    </comment>
    <comment ref="C149" authorId="0">
      <text>
        <r>
          <rPr>
            <b/>
            <sz val="8"/>
            <rFont val="Tahoma"/>
            <family val="2"/>
          </rPr>
          <t>Set quantity to the number of months that remain till 9/1/2009.  Support is co-terminous.</t>
        </r>
        <r>
          <rPr>
            <sz val="8"/>
            <rFont val="Tahoma"/>
            <family val="2"/>
          </rPr>
          <t xml:space="preserve">
</t>
        </r>
      </text>
    </comment>
    <comment ref="D152" authorId="0">
      <text>
        <r>
          <rPr>
            <b/>
            <sz val="8"/>
            <rFont val="Tahoma"/>
            <family val="2"/>
          </rPr>
          <t>Derived from usable drive size in MB / 1024 MB per GB
Usable drive size can be obtained using the sysconfig -A command.  Even though manufacturer's list drives as having 500 GB available, actuality is that they have less space.  Also, NetApp right-sizes drives to make sure drives from different manufacturer's match up to the same number of blocks for the same size.</t>
        </r>
        <r>
          <rPr>
            <sz val="8"/>
            <rFont val="Tahoma"/>
            <family val="2"/>
          </rPr>
          <t xml:space="preserve">
</t>
        </r>
      </text>
    </comment>
    <comment ref="D156" authorId="0">
      <text>
        <r>
          <rPr>
            <sz val="8"/>
            <rFont val="Tahoma"/>
            <family val="2"/>
          </rPr>
          <t>Spare drive allocated once per filer.  No additional spare drives are needed as we add shelves.  Costs considered sunk cost since the spare drives that are being used are part of the original base system costs shown below.</t>
        </r>
      </text>
    </comment>
    <comment ref="C170" authorId="0">
      <text>
        <r>
          <rPr>
            <b/>
            <sz val="8"/>
            <rFont val="Tahoma"/>
            <family val="2"/>
          </rPr>
          <t>Set quantity to the number of months that remain till 9/1/2009.  Support is co-terminous.</t>
        </r>
        <r>
          <rPr>
            <sz val="8"/>
            <rFont val="Tahoma"/>
            <family val="2"/>
          </rPr>
          <t xml:space="preserve">
</t>
        </r>
      </text>
    </comment>
    <comment ref="D173" authorId="0">
      <text>
        <r>
          <rPr>
            <b/>
            <sz val="8"/>
            <rFont val="Tahoma"/>
            <family val="2"/>
          </rPr>
          <t>Derived from usable drive size in MB / 1024 MB per GB
Usable drive size can be obtained using the sysconfig -A command.  Even though manufacturer's list drives as having 500 GB available, actuality is that they have less space.  Also, NetApp right-sizes drives to make sure drives from different manufacturer's match up to the same number of blocks for the same size.</t>
        </r>
        <r>
          <rPr>
            <sz val="8"/>
            <rFont val="Tahoma"/>
            <family val="2"/>
          </rPr>
          <t xml:space="preserve">
</t>
        </r>
      </text>
    </comment>
    <comment ref="D177" authorId="0">
      <text>
        <r>
          <rPr>
            <sz val="8"/>
            <rFont val="Tahoma"/>
            <family val="2"/>
          </rPr>
          <t>Spare drive allocated once per filer.  No additional spare drives are needed as we add shelves.  Costs considered sunk cost since the spare drives that are being used are part of the original base system costs shown below.</t>
        </r>
      </text>
    </comment>
    <comment ref="C191" authorId="0">
      <text>
        <r>
          <rPr>
            <b/>
            <sz val="8"/>
            <rFont val="Tahoma"/>
            <family val="2"/>
          </rPr>
          <t>Set quantity to the number of months that remain till 9/1/2009.  Support is co-terminous.</t>
        </r>
        <r>
          <rPr>
            <sz val="8"/>
            <rFont val="Tahoma"/>
            <family val="2"/>
          </rPr>
          <t xml:space="preserve">
</t>
        </r>
      </text>
    </comment>
    <comment ref="D194" authorId="0">
      <text>
        <r>
          <rPr>
            <b/>
            <sz val="8"/>
            <rFont val="Tahoma"/>
            <family val="2"/>
          </rPr>
          <t>Derived from usable drive size in MB / 1024 MB per GB
Usable drive size can be obtained using the sysconfig -A command.  Even though manufacturer's list drives as having 500 GB available, actuality is that they have less space.  Also, NetApp right-sizes drives to make sure drives from different manufacturer's match up to the same number of blocks for the same size.</t>
        </r>
        <r>
          <rPr>
            <sz val="8"/>
            <rFont val="Tahoma"/>
            <family val="2"/>
          </rPr>
          <t xml:space="preserve">
</t>
        </r>
      </text>
    </comment>
    <comment ref="D198" authorId="0">
      <text>
        <r>
          <rPr>
            <sz val="8"/>
            <rFont val="Tahoma"/>
            <family val="2"/>
          </rPr>
          <t>Spare drive allocated once per filer.  No additional spare drives are needed as we add shelves.  Costs considered sunk cost since the spare drives that are being used are part of the original base system costs shown below.</t>
        </r>
      </text>
    </comment>
    <comment ref="B38" authorId="0">
      <text>
        <r>
          <rPr>
            <sz val="8"/>
            <rFont val="Tahoma"/>
            <family val="2"/>
          </rPr>
          <t>Per port costs vary, depending on config.  Least expensive method is to purchase 4100 with all 32-ports enabled.  Estimate is rough estimate from Accris for planning purposes.</t>
        </r>
      </text>
    </comment>
    <comment ref="B45" authorId="0">
      <text>
        <r>
          <rPr>
            <sz val="8"/>
            <rFont val="Tahoma"/>
            <family val="2"/>
          </rPr>
          <t>Per port costs vary, depending on config.  Least expensive method is to purchase 4100 with all 32-ports enabled.  Estimate is rough estimate from Accris for planning purposes.</t>
        </r>
      </text>
    </comment>
    <comment ref="B52" authorId="0">
      <text>
        <r>
          <rPr>
            <sz val="8"/>
            <rFont val="Tahoma"/>
            <family val="2"/>
          </rPr>
          <t>Per port costs vary, depending on config.  Least expensive method is to purchase 4100 with all 32-ports enabled.  Estimate is rough estimate from Accris for planning purposes.</t>
        </r>
      </text>
    </comment>
    <comment ref="C215" authorId="0">
      <text>
        <r>
          <rPr>
            <b/>
            <sz val="8"/>
            <rFont val="Tahoma"/>
            <family val="2"/>
          </rPr>
          <t>Set quantity to the number of months that remain till 9/1/2009.  Support is co-terminous.</t>
        </r>
        <r>
          <rPr>
            <sz val="8"/>
            <rFont val="Tahoma"/>
            <family val="2"/>
          </rPr>
          <t xml:space="preserve">
</t>
        </r>
      </text>
    </comment>
    <comment ref="D218" authorId="0">
      <text>
        <r>
          <rPr>
            <b/>
            <sz val="8"/>
            <rFont val="Tahoma"/>
            <family val="2"/>
          </rPr>
          <t>Derived from usable drive size in MB / 1024 MB per GB
Usable drive size can be obtained using the sysconfig -A command.  Even though manufacturer's list drives as having 500 GB available, actuality is that they have less space.  Also, NetApp right-sizes drives to make sure drives from different manufacturer's match up to the same number of blocks for the same size.</t>
        </r>
        <r>
          <rPr>
            <sz val="8"/>
            <rFont val="Tahoma"/>
            <family val="2"/>
          </rPr>
          <t xml:space="preserve">
</t>
        </r>
      </text>
    </comment>
    <comment ref="D222" authorId="0">
      <text>
        <r>
          <rPr>
            <sz val="8"/>
            <rFont val="Tahoma"/>
            <family val="2"/>
          </rPr>
          <t>Spare drive allocated once per filer.  No additional spare drives are needed as we add shelves.  Costs considered sunk cost since the spare drives that are being used are part of the original base system costs shown below.</t>
        </r>
      </text>
    </comment>
    <comment ref="B59" authorId="0">
      <text>
        <r>
          <rPr>
            <sz val="8"/>
            <rFont val="Tahoma"/>
            <family val="2"/>
          </rPr>
          <t>Per port costs vary, depending on config.  Least expensive method is to purchase 4100 with all 32-ports enabled.  Estimate is rough estimate from Accris for planning purposes.</t>
        </r>
      </text>
    </comment>
  </commentList>
</comments>
</file>

<file path=xl/sharedStrings.xml><?xml version="1.0" encoding="utf-8"?>
<sst xmlns="http://schemas.openxmlformats.org/spreadsheetml/2006/main" count="507" uniqueCount="223">
  <si>
    <t xml:space="preserve">Description </t>
  </si>
  <si>
    <t>TOTAL</t>
  </si>
  <si>
    <t>2</t>
  </si>
  <si>
    <t>Qty</t>
  </si>
  <si>
    <t>Cost</t>
  </si>
  <si>
    <t>1</t>
  </si>
  <si>
    <t>RackMount Kit</t>
  </si>
  <si>
    <t>Total</t>
  </si>
  <si>
    <t>Part</t>
  </si>
  <si>
    <t>CBL, 0.5 Patch, FC SFP to SFP</t>
  </si>
  <si>
    <t>Power Cable North America</t>
  </si>
  <si>
    <t>RAID Overhead in GB</t>
  </si>
  <si>
    <t>Cost per 100 GB of RAID Protected Storage</t>
  </si>
  <si>
    <t>144 GB Fibre Channel Storage</t>
  </si>
  <si>
    <t>500 GB SATA Storage</t>
  </si>
  <si>
    <t xml:space="preserve">Disk Shelf, 14 x 500 (7TB), </t>
  </si>
  <si>
    <t>CBL, 2M, Optical, Pair, LC/LC -C, R6</t>
  </si>
  <si>
    <t>Fibre cables</t>
  </si>
  <si>
    <t>Assumes Gigabit switching infrastructure is in place.</t>
  </si>
  <si>
    <t>HP 380T PCIe MFN 1000T Dual-Port Gigabit Adapter with TOE</t>
  </si>
  <si>
    <t>Pricing assumes RAID-DP configuration with 2 drives for RAID parity per shelf.</t>
  </si>
  <si>
    <t>Per-Server Charges for Windows  iSCSI Attached</t>
  </si>
  <si>
    <t xml:space="preserve">Brocade 4100 FC Switch per Port Estimated Cost </t>
  </si>
  <si>
    <t>DS14MK2 Disk Shelf, 14x 144GB</t>
  </si>
  <si>
    <t xml:space="preserve"> </t>
  </si>
  <si>
    <t>List prices are used for budgeting purposes.</t>
  </si>
  <si>
    <t>Per-Server Charges for Production Windows Fibre-Attached</t>
  </si>
  <si>
    <t>Per-Server Charges for Production Solaris Fibre-Attached</t>
  </si>
  <si>
    <t>Per port estimated charge for gigabit switch</t>
  </si>
  <si>
    <t>A percentage of usable space should be reserved for VM Ware snapshot capability.  This will allow for administrators to take quick system snapshots prior to system changes to allow for quick rollback.  This is similar to the ERD drive approach.</t>
  </si>
  <si>
    <t>VMWare Snapshot Reserve</t>
  </si>
  <si>
    <t>Per-Server Charges for DR Windows Fibre-Attached</t>
  </si>
  <si>
    <t>Per-Server Charges for DR Solaris Fibre-Attached</t>
  </si>
  <si>
    <t>Base system costs.   This money goes into a pool for the purchase of the next 3020 or upgrade to a 3050.</t>
  </si>
  <si>
    <t>Cost per 100 GB for Percentage of System Usage</t>
  </si>
  <si>
    <t>Initial space used before allocation spreadsheet implemented</t>
  </si>
  <si>
    <t>Space available to business</t>
  </si>
  <si>
    <t>Spare drive</t>
  </si>
  <si>
    <t>WAFL Overhead</t>
  </si>
  <si>
    <t>Available RAID protected space</t>
  </si>
  <si>
    <t>Number of Drives per Shelf</t>
  </si>
  <si>
    <t>Raw space per shelf</t>
  </si>
  <si>
    <t>RAID Protected Space</t>
  </si>
  <si>
    <t>Percentage Overhead for RAID-DP, Spare and WAFL</t>
  </si>
  <si>
    <t>Right-sized drive space</t>
  </si>
  <si>
    <t>Manufacturer listed drive space</t>
  </si>
  <si>
    <t>Expected maximum raw space used when system is full.</t>
  </si>
  <si>
    <t>Percentage Overhead including Right-Sizing</t>
  </si>
  <si>
    <t>Discount</t>
  </si>
  <si>
    <t>Cost Parameters</t>
  </si>
  <si>
    <t>Storage Unit</t>
  </si>
  <si>
    <t>Right-sized</t>
  </si>
  <si>
    <t>Minus RAID Overhead</t>
  </si>
  <si>
    <t>One Shelf of 14 x 144 GB FC Drives</t>
  </si>
  <si>
    <t>One Shelf of 14 x 500 GB SATA Drives</t>
  </si>
  <si>
    <t>Fully loaded 3020 with 144 GB FC Drives</t>
  </si>
  <si>
    <t>Fully loaded 3020 with 500 GB SATA Drives</t>
  </si>
  <si>
    <t>The amount of storage that should always be kept free after storage has been allocated.  By maintaining a buffer of storage space, we will always have some spare free space available for ad-hoc allocations so that we can respond more quickly to business requests.</t>
  </si>
  <si>
    <t>Storage Buffer (GB)</t>
  </si>
  <si>
    <t>Usable Storage for NetApp 3020 Filer</t>
  </si>
  <si>
    <t>Usable storage with RAID-DP configuration and 14 drives per RAID group.  Spare drives not included.  Fourteen drives per shelf.  Maximum of twelve shelves for 3020.  You can choose to put in either fibre-channel or SATA shelves.</t>
  </si>
  <si>
    <t>300 GB Fibre Channel Storage</t>
  </si>
  <si>
    <t>One Shelf of 14 x 300 GB FC Drives</t>
  </si>
  <si>
    <t>Fully loaded 3020 with 300 GB FC Drives</t>
  </si>
  <si>
    <t>Replacement system cost estimate</t>
  </si>
  <si>
    <t>32</t>
  </si>
  <si>
    <t xml:space="preserve">7x24x4hr Support per Month </t>
  </si>
  <si>
    <t>7x24x4hr Support per Month</t>
  </si>
  <si>
    <t>NO DR - No Snapshots</t>
  </si>
  <si>
    <t>Sun StorEdge Shelf with 5 x 146GB FC drives</t>
  </si>
  <si>
    <t>146GB FC Drives</t>
  </si>
  <si>
    <t>9</t>
  </si>
  <si>
    <t>Usable Storage for Sun StorEdge 6130</t>
  </si>
  <si>
    <t>One Shelf of 14 x 146 GB FC Drives</t>
  </si>
  <si>
    <t>One Shelf of 14 x 400 GB SATA Drives</t>
  </si>
  <si>
    <t>Fully loaded with 400 GB SATA Drives</t>
  </si>
  <si>
    <t>Kb</t>
  </si>
  <si>
    <t>Mb</t>
  </si>
  <si>
    <t>Gb</t>
  </si>
  <si>
    <t>Tb</t>
  </si>
  <si>
    <t>Drive "Right-Size" Calculator</t>
  </si>
  <si>
    <t>Type</t>
  </si>
  <si>
    <t>When drive manufacturers advertise sizes, they advertise the "decimal" size.  However, usable size is actually based off of the binary size.  This calculator lets you quickly calculate usable size.  Plug in advertised decimal size on the left to get usable on the right.  For more info see:  http://www.seagate.com/support/kb/disc/tb/capacity_measure.html</t>
  </si>
  <si>
    <t>Binary</t>
  </si>
  <si>
    <t>Decimal</t>
  </si>
  <si>
    <t>Advertised Size (Decimal)</t>
  </si>
  <si>
    <t>Usable Size (Binary)</t>
  </si>
  <si>
    <t>Fully loaded with 146 GB FC Drives</t>
  </si>
  <si>
    <t>Overhead</t>
  </si>
  <si>
    <t>NetApp Right-sized</t>
  </si>
  <si>
    <t>USABLE</t>
  </si>
  <si>
    <t>RAID Overhead</t>
  </si>
  <si>
    <t>File System</t>
  </si>
  <si>
    <t>File System (WAFL)</t>
  </si>
  <si>
    <t>Usable storage with RAID 1+ 0 configuration.  Spare drives not included.  Fourteen drives per shelf.  Maximum of eight shelves for 6130.  You can choose to put in either fibre-channel or SATA shelves.</t>
  </si>
  <si>
    <t>Advertised</t>
  </si>
  <si>
    <t>Unit</t>
  </si>
  <si>
    <t>Server Attachment to SAN Pricing</t>
  </si>
  <si>
    <t>NetApp 3020 Storage Costs</t>
  </si>
  <si>
    <t>Base System and Software Costs</t>
  </si>
  <si>
    <t>1.7</t>
  </si>
  <si>
    <t>Added Sizing Estimator</t>
  </si>
  <si>
    <t>Document Versioning</t>
  </si>
  <si>
    <t>TH</t>
  </si>
  <si>
    <t>Sun SG-XPCIE1FC-QF4</t>
  </si>
  <si>
    <t xml:space="preserve">QLogic dual port 2 Gbps Fibre Channel </t>
  </si>
  <si>
    <t>QLogic single port 2 Gbps Fibre Channel</t>
  </si>
  <si>
    <t>Sun SG-XPCIE2FC-QF4</t>
  </si>
  <si>
    <t>HP DL 385 G2</t>
  </si>
  <si>
    <t>Base System Cost</t>
  </si>
  <si>
    <t>VMWare Ent</t>
  </si>
  <si>
    <t>AMD Opteron 880</t>
  </si>
  <si>
    <t>HP DL 585 G1</t>
  </si>
  <si>
    <t>NIC</t>
  </si>
  <si>
    <t>Support + Misc</t>
  </si>
  <si>
    <t>VMWare Support</t>
  </si>
  <si>
    <t>GEN0VH08</t>
  </si>
  <si>
    <t>Proc</t>
  </si>
  <si>
    <t>Host</t>
  </si>
  <si>
    <t>Mem Cost</t>
  </si>
  <si>
    <t>BRN0VH02</t>
  </si>
  <si>
    <t>GEN0VH01</t>
  </si>
  <si>
    <t xml:space="preserve">HP DL 385 </t>
  </si>
  <si>
    <t>AMD Opteron 270</t>
  </si>
  <si>
    <t>GEN0VH02</t>
  </si>
  <si>
    <t>GEN0VH03</t>
  </si>
  <si>
    <t>GEN0VH04</t>
  </si>
  <si>
    <t>GEN0VH05</t>
  </si>
  <si>
    <t>GEN0VH09</t>
  </si>
  <si>
    <t>GEN0VH10</t>
  </si>
  <si>
    <t>Local Drives</t>
  </si>
  <si>
    <t>AMD Opteron 2216</t>
  </si>
  <si>
    <t>Total Ghz</t>
  </si>
  <si>
    <t>TOTALS</t>
  </si>
  <si>
    <t>Windows Virtualization Costing</t>
  </si>
  <si>
    <t>Cost / Ghz</t>
  </si>
  <si>
    <t>Mem GB</t>
  </si>
  <si>
    <t>CPU Ghz</t>
  </si>
  <si>
    <t>CPU Cores</t>
  </si>
  <si>
    <t>Cost per GB of Mem</t>
  </si>
  <si>
    <t>BRN0VH01</t>
  </si>
  <si>
    <t>VMWare Environment Costing</t>
  </si>
  <si>
    <t>HP DL 385 (CA)</t>
  </si>
  <si>
    <t>HP DL 385 G2 (Exc Arch)</t>
  </si>
  <si>
    <t>Total GB</t>
  </si>
  <si>
    <t xml:space="preserve">Enterprise Class - Two Processor - Four Core </t>
  </si>
  <si>
    <t>Enterprise Class - Four Processor - Eight Core</t>
  </si>
  <si>
    <t>ModComp DL 385 Quote</t>
  </si>
  <si>
    <t>AMD Operteron 2216</t>
  </si>
  <si>
    <t>Misc</t>
  </si>
  <si>
    <t>24x7x4 HW Support</t>
  </si>
  <si>
    <t>TOTAL per System</t>
  </si>
  <si>
    <t>ModComp HP DL 585</t>
  </si>
  <si>
    <t>AMD Opteron 8216</t>
  </si>
  <si>
    <t>HP DL 585 G1 (MP)</t>
  </si>
  <si>
    <t xml:space="preserve">Enterprise Class - One Processor - Two Core </t>
  </si>
  <si>
    <t>Per Machine Weighted Average Cost</t>
  </si>
  <si>
    <t>Cost difference for SQL Clustering per Processor</t>
  </si>
  <si>
    <t xml:space="preserve">Sun StorEdge 6130 Storage Costs </t>
  </si>
  <si>
    <t>Sun StorEdge 6130 - 146 GB Fibre Channel Storage - RAID 5</t>
  </si>
  <si>
    <t>Sun StorEdge 6130 - 400GB SATA Storage - RAID 1+0</t>
  </si>
  <si>
    <t>Sun StorEdge 6130 - 146 GB Fibre Channel Storage - RAID 1+0</t>
  </si>
  <si>
    <t>Includes DR  with Hardware Replication</t>
  </si>
  <si>
    <t>NetApp</t>
  </si>
  <si>
    <t>Per Port Costs for Switching Options</t>
  </si>
  <si>
    <t>Brocade M6140 Director with 64 ports</t>
  </si>
  <si>
    <t>Total ports</t>
  </si>
  <si>
    <t>Overhead for ISL</t>
  </si>
  <si>
    <t>Cost per Port</t>
  </si>
  <si>
    <t>Brocade M6140 Director Expandable to 140 Ports</t>
  </si>
  <si>
    <t>Brocade 48000 Director Expandable to 384 ports</t>
  </si>
  <si>
    <t>Brocade 48000 Director with 64 ports</t>
  </si>
  <si>
    <t>Brocade 4140</t>
  </si>
  <si>
    <t>Brocade 4140 with 32 ports and SFP's (Discounted)</t>
  </si>
  <si>
    <t xml:space="preserve">HP MSA 1000 Storage Costs </t>
  </si>
  <si>
    <t>36</t>
  </si>
  <si>
    <t>MSA 1000 - 146 GB Fibre Channel Storage - RAID 1+0</t>
  </si>
  <si>
    <t>300 GB 10K Drives</t>
  </si>
  <si>
    <t>HP MSAi1500 Base Unit with 256MB Cache, Redundant Controllers, Dual Gigabit</t>
  </si>
  <si>
    <t>MSA30 Expansion Cabinet</t>
  </si>
  <si>
    <t>3</t>
  </si>
  <si>
    <t>56</t>
  </si>
  <si>
    <t>NTFS Overhead</t>
  </si>
  <si>
    <t>Total Drives</t>
  </si>
  <si>
    <t>HP MSA i1500</t>
  </si>
  <si>
    <t>RAID DP</t>
  </si>
  <si>
    <t>RAID 1+0</t>
  </si>
  <si>
    <t>RAID 5</t>
  </si>
  <si>
    <t>Sun 6130</t>
  </si>
  <si>
    <t>Parameters</t>
  </si>
  <si>
    <t>SATA drives (slower/less reliable)</t>
  </si>
  <si>
    <t>Fibre Channel/SCSI drives (faster/more reliable)</t>
  </si>
  <si>
    <t>Cost Estimations per Gigabyte of Storage</t>
  </si>
  <si>
    <t>Brocade 4140 with 16-ports</t>
  </si>
  <si>
    <t>8-port expansions</t>
  </si>
  <si>
    <t>NetApp ratio of space needed for snaps/replication to usable for DR capability</t>
  </si>
  <si>
    <t>HP StorageWorks 2242SR Host Bus Adapters Dual Port</t>
  </si>
  <si>
    <t>HP StorageWorks 2142SR Host Bus Adapter Single Port</t>
  </si>
  <si>
    <t>Region</t>
  </si>
  <si>
    <t>Latin America and the Caribbean (LAC)</t>
  </si>
  <si>
    <t>Western Asia (ESCWA)</t>
  </si>
  <si>
    <t>Africa (ECA)</t>
  </si>
  <si>
    <t>Asia-Pacific (ESCAP)</t>
  </si>
  <si>
    <t>Europe (EU)</t>
  </si>
  <si>
    <t>Argentina, Bolivia, Brasil, Chile, Colombia, Costa Rica, Cuba, Ecuador, El Salvador, Guatemala, Honduras, México, Nicaragua, Panamá, Paraguay, Perú, República Dominicana, Uruguay, Venezuela, Antigua y Barbuda, Aruba, Bahamas, Barbados, Dominica, Grenada, Guadalupe, Haití, Islas Caimán, Islas Turcas y Caicos, Islas Vírgenes, Jamaica, Martinica, San Bartolomé, San Cristóbal y Nieves, San Vicente y las Granadinas, Santa Lucía and Trinidad y Tobago</t>
  </si>
  <si>
    <t>Bahrain, Egypt, Iraq, Jordan, Kuwait, Lebanon, Oman, Palestine, Qatar, Saudi Arabia, Sudan, Syria, United Arab Emirates, Yemen</t>
  </si>
  <si>
    <t>OECD</t>
  </si>
  <si>
    <t xml:space="preserve">Total number of countries </t>
  </si>
  <si>
    <t>Contact</t>
  </si>
  <si>
    <r>
      <rPr>
        <b/>
        <i/>
        <sz val="20"/>
        <color indexed="51"/>
        <rFont val="Arial"/>
        <family val="2"/>
      </rPr>
      <t>Partnership on Measuring ICT for Development</t>
    </r>
    <r>
      <rPr>
        <b/>
        <sz val="20"/>
        <color indexed="51"/>
        <rFont val="Arial"/>
        <family val="2"/>
      </rPr>
      <t xml:space="preserve"> 
2013  WSIS Targets Questionnaire - regional distribution</t>
    </r>
  </si>
  <si>
    <t>Australia, Canada, Israel, Japan, Korea (Rep.), Turkey, United States,  New Zealand</t>
  </si>
  <si>
    <t>Algeria, Angola, Benin, Botswana, Burkina Faso, Burundi, Cameroon, Cape-Verde, Comoros, Congo (Republic Democratic), Congo (Brazzaville), Cote d'Ivoire, Djibouti, Eritrea, Ethiopia, Gabon, Gambia, Ghana, Guinee, Guinea-Bissau, Guinee Equatoriale, Kenya, Lesotho, Libya, Madagascar, Malawi, Mali, Liberia, Morocco, Mauritania, Mauritius, Mozambique, Namibia, Niger, Nigeria, Central African Republic, Rwanda, Sao Tome and Principe, Senegal, Seychelles, Sierra Leone, South Africa, South Sudan, Swaziland, Tanzania, Togo, Tchad, Tunisia, Uganda, Zambia and Zimbabwe</t>
  </si>
  <si>
    <t xml:space="preserve">Albania, Belarus, Bosnia and Herzegovina, Bulgaria, Croatia, Moldova, Montenegro, Romania, Serbia, TFYR of Macedonia, Ukraine </t>
  </si>
  <si>
    <t>Austria, Belgium, Cyprus, Czech Republic, Denmark, Estonia, Finland, France, Germany, Greece, Hungary, Iceland, Ireland, Italy, Latvia, Lithuania, Luxembourg, Malta, Netherlands, Norway, Poland, Portugal,  Slovakia, Slovenia, Spain, Sweden, Switzerland, United Kingdom</t>
  </si>
  <si>
    <t>Remi Lang</t>
  </si>
  <si>
    <t>Andrea de Panizza</t>
  </si>
  <si>
    <t>Rami Zaatari</t>
  </si>
  <si>
    <t>Scarlett Fondeur Gil</t>
  </si>
  <si>
    <t>Countries covered by UNCTAD</t>
  </si>
  <si>
    <t xml:space="preserve"> Jorge PATINO</t>
  </si>
  <si>
    <t>Makane Faye</t>
  </si>
  <si>
    <t>Countries covered</t>
  </si>
  <si>
    <t>Afghanistan, Armenia, Azerbaijan, Bangladesh, Bhutan, Brunei, Cambodia, China, Democratic People Republic of Korea, Fiji, Georgia, India, Indonesia, Iran, Kazakhstan, Kiribati, Kyrgyzstan, Lao, Malaysia, Maldives, Marshall Islands, Micronesia, Mongolia, Myanmar, Nauru, Nepal, Pakistan, Palau, Papua New Guinea, Philippines, Russian Federation, Samoa, Singapore, Solomon Islands, Sri Lanka, Tajikistan, Thailand, Timor-Leste, Tonga, Turkmenistan, Tuvalu, Uzbekistan, Vanuatu, Viet nam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</si>
</sst>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0.0%"/>
    <numFmt numFmtId="167" formatCode="#,##0\ &quot;GB&quot;"/>
    <numFmt numFmtId="168" formatCode="#,##0.0"/>
  </numFmts>
  <fonts count="53">
    <font>
      <sz val="10"/>
      <name val="Arial"/>
      <family val="0"/>
    </font>
    <font>
      <sz val="11"/>
      <color indexed="8"/>
      <name val="Calibri"/>
      <family val="2"/>
    </font>
    <font>
      <sz val="8"/>
      <name val="Arial"/>
      <family val="2"/>
    </font>
    <font>
      <b/>
      <sz val="10"/>
      <name val="Arial"/>
      <family val="2"/>
    </font>
    <font>
      <b/>
      <sz val="12"/>
      <color indexed="9"/>
      <name val="Arial"/>
      <family val="2"/>
    </font>
    <font>
      <sz val="8"/>
      <name val="Tahoma"/>
      <family val="2"/>
    </font>
    <font>
      <b/>
      <sz val="8"/>
      <name val="Tahoma"/>
      <family val="2"/>
    </font>
    <font>
      <sz val="9"/>
      <color indexed="8"/>
      <name val="Arial"/>
      <family val="2"/>
    </font>
    <font>
      <b/>
      <sz val="20"/>
      <color indexed="9"/>
      <name val="Arial"/>
      <family val="2"/>
    </font>
    <font>
      <b/>
      <sz val="12"/>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18"/>
      <color indexed="9"/>
      <name val="Arial"/>
      <family val="2"/>
    </font>
    <font>
      <sz val="10"/>
      <color indexed="10"/>
      <name val="Arial"/>
      <family val="2"/>
    </font>
    <font>
      <b/>
      <sz val="20"/>
      <color indexed="51"/>
      <name val="Arial"/>
      <family val="2"/>
    </font>
    <font>
      <b/>
      <i/>
      <sz val="20"/>
      <color indexed="51"/>
      <name val="Arial"/>
      <family val="2"/>
    </font>
    <font>
      <b/>
      <sz val="11"/>
      <name val="Arial"/>
      <family val="2"/>
    </font>
    <font>
      <sz val="11"/>
      <name val="Arial"/>
      <family val="2"/>
    </font>
    <font>
      <sz val="11"/>
      <color indexed="8"/>
      <name val="Arial"/>
      <family val="2"/>
    </font>
    <font>
      <u val="single"/>
      <sz val="10"/>
      <color indexed="12"/>
      <name val="Arial"/>
      <family val="2"/>
    </font>
    <font>
      <b/>
      <sz val="18"/>
      <color indexed="56"/>
      <name val="Cambria"/>
      <family val="2"/>
    </font>
    <font>
      <i/>
      <sz val="11"/>
      <color indexed="23"/>
      <name val="Calibri"/>
      <family val="2"/>
    </font>
    <font>
      <b/>
      <u val="single"/>
      <sz val="12"/>
      <color indexed="8"/>
      <name val="Times New Roman"/>
      <family val="0"/>
    </font>
    <font>
      <b/>
      <sz val="12"/>
      <color indexed="8"/>
      <name val="Times New Roman"/>
      <family val="0"/>
    </font>
    <font>
      <sz val="12"/>
      <color indexed="8"/>
      <name val="Times New Roman"/>
      <family val="0"/>
    </font>
    <font>
      <strike/>
      <sz val="12"/>
      <color indexed="8"/>
      <name val="Times New Roman"/>
      <family val="0"/>
    </font>
    <font>
      <sz val="11"/>
      <color indexed="8"/>
      <name val="Times New Roman"/>
      <family val="0"/>
    </font>
    <font>
      <i/>
      <sz val="11"/>
      <color indexed="8"/>
      <name val="Times New Roman"/>
      <family val="0"/>
    </font>
    <font>
      <strike/>
      <sz val="11"/>
      <color indexed="10"/>
      <name val="Times New Roman"/>
      <family val="0"/>
    </font>
    <font>
      <i/>
      <sz val="12"/>
      <color indexed="8"/>
      <name val="Times New Roman"/>
      <family val="0"/>
    </font>
    <font>
      <b/>
      <sz val="11"/>
      <color indexed="8"/>
      <name val="Times New Roman"/>
      <family val="0"/>
    </font>
    <font>
      <sz val="11"/>
      <color theme="1"/>
      <name val="Calibri"/>
      <family val="2"/>
    </font>
    <font>
      <sz val="11"/>
      <color theme="0"/>
      <name val="Calibri"/>
      <family val="2"/>
    </font>
    <font>
      <i/>
      <sz val="11"/>
      <color rgb="FF7F7F7F"/>
      <name val="Calibri"/>
      <family val="2"/>
    </font>
    <font>
      <u val="single"/>
      <sz val="10"/>
      <color theme="10"/>
      <name val="Arial"/>
      <family val="2"/>
    </font>
    <font>
      <b/>
      <sz val="18"/>
      <color theme="3"/>
      <name val="Cambria"/>
      <family val="2"/>
    </font>
    <font>
      <sz val="11"/>
      <color theme="1"/>
      <name val="Arial"/>
      <family val="2"/>
    </font>
    <font>
      <b/>
      <sz val="20"/>
      <color rgb="FFFFC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31"/>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0000"/>
        <bgColor indexed="64"/>
      </patternFill>
    </fill>
    <fill>
      <patternFill patternType="solid">
        <fgColor indexed="5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22"/>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medium"/>
      <right/>
      <top/>
      <bottom/>
    </border>
    <border>
      <left/>
      <right style="medium"/>
      <top/>
      <bottom/>
    </border>
    <border>
      <left style="thin"/>
      <right/>
      <top style="thin"/>
      <bottom style="thin"/>
    </border>
    <border>
      <left style="thin"/>
      <right/>
      <top style="medium"/>
      <bottom style="medium"/>
    </border>
    <border>
      <left style="thin"/>
      <right/>
      <top style="thin"/>
      <bottom/>
    </border>
    <border>
      <left style="thin"/>
      <right/>
      <top style="thin"/>
      <bottom style="medium"/>
    </border>
    <border>
      <left style="medium"/>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right style="thin"/>
      <top style="thin"/>
      <bottom style="thin"/>
    </border>
    <border>
      <left style="thin"/>
      <right style="thin"/>
      <top/>
      <bottom style="thin"/>
    </border>
    <border>
      <left style="medium"/>
      <right/>
      <top style="medium"/>
      <bottom style="thin"/>
    </border>
    <border>
      <left/>
      <right/>
      <top style="medium"/>
      <bottom style="thin"/>
    </border>
    <border>
      <left/>
      <right style="medium"/>
      <top style="medium"/>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25" fillId="25"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25" fillId="30"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32" borderId="0" applyNumberFormat="0" applyBorder="0" applyAlignment="0" applyProtection="0"/>
    <xf numFmtId="0" fontId="21" fillId="33" borderId="1" applyNumberFormat="0" applyAlignment="0" applyProtection="0"/>
    <xf numFmtId="0" fontId="2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0" fillId="0" borderId="0">
      <alignment/>
      <protection/>
    </xf>
    <xf numFmtId="0" fontId="47" fillId="0" borderId="0" applyNumberFormat="0" applyFill="0" applyBorder="0" applyAlignment="0" applyProtection="0"/>
    <xf numFmtId="0" fontId="15" fillId="27"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19" fillId="31" borderId="1" applyNumberFormat="0" applyAlignment="0" applyProtection="0"/>
    <xf numFmtId="0" fontId="22" fillId="0" borderId="6" applyNumberFormat="0" applyFill="0" applyAlignment="0" applyProtection="0"/>
    <xf numFmtId="0" fontId="17" fillId="37" borderId="0" applyNumberFormat="0" applyBorder="0" applyAlignment="0" applyProtection="0"/>
    <xf numFmtId="0" fontId="45"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0" fillId="24" borderId="7" applyNumberFormat="0" applyFont="0" applyAlignment="0" applyProtection="0"/>
    <xf numFmtId="0" fontId="20" fillId="33"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18" fillId="0" borderId="9" applyNumberFormat="0" applyFill="0" applyAlignment="0" applyProtection="0"/>
    <xf numFmtId="0" fontId="24" fillId="0" borderId="0" applyNumberFormat="0" applyFill="0" applyBorder="0" applyAlignment="0" applyProtection="0"/>
  </cellStyleXfs>
  <cellXfs count="200">
    <xf numFmtId="0" fontId="0" fillId="0" borderId="0" xfId="0" applyAlignment="1">
      <alignment/>
    </xf>
    <xf numFmtId="0" fontId="3" fillId="38" borderId="10" xfId="0" applyFont="1" applyFill="1" applyBorder="1" applyAlignment="1">
      <alignment horizontal="center"/>
    </xf>
    <xf numFmtId="49" fontId="0" fillId="0" borderId="0" xfId="0" applyNumberFormat="1" applyAlignment="1">
      <alignment wrapText="1"/>
    </xf>
    <xf numFmtId="0" fontId="0" fillId="0" borderId="10" xfId="0" applyBorder="1" applyAlignment="1">
      <alignment/>
    </xf>
    <xf numFmtId="49" fontId="3" fillId="38" borderId="11" xfId="0" applyNumberFormat="1" applyFont="1" applyFill="1" applyBorder="1" applyAlignment="1">
      <alignment horizontal="center"/>
    </xf>
    <xf numFmtId="49" fontId="0" fillId="0" borderId="11" xfId="0" applyNumberFormat="1" applyFont="1" applyBorder="1" applyAlignment="1">
      <alignment wrapText="1"/>
    </xf>
    <xf numFmtId="165" fontId="0" fillId="0" borderId="11" xfId="0" applyNumberFormat="1" applyBorder="1" applyAlignment="1">
      <alignment/>
    </xf>
    <xf numFmtId="49" fontId="0" fillId="0" borderId="11" xfId="0" applyNumberFormat="1" applyFont="1" applyBorder="1" applyAlignment="1">
      <alignment horizontal="left" wrapText="1" indent="1"/>
    </xf>
    <xf numFmtId="49" fontId="0" fillId="0" borderId="11" xfId="0" applyNumberFormat="1" applyFont="1" applyBorder="1" applyAlignment="1">
      <alignment horizontal="left" wrapText="1"/>
    </xf>
    <xf numFmtId="49" fontId="0" fillId="0" borderId="11" xfId="0" applyNumberFormat="1" applyFont="1" applyBorder="1" applyAlignment="1">
      <alignment horizontal="right" wrapText="1"/>
    </xf>
    <xf numFmtId="49" fontId="3" fillId="38" borderId="12" xfId="0" applyNumberFormat="1" applyFont="1" applyFill="1" applyBorder="1" applyAlignment="1">
      <alignment horizontal="center"/>
    </xf>
    <xf numFmtId="0" fontId="0" fillId="0" borderId="10" xfId="0" applyBorder="1" applyAlignment="1">
      <alignment wrapText="1"/>
    </xf>
    <xf numFmtId="165" fontId="0" fillId="0" borderId="11" xfId="0" applyNumberFormat="1" applyBorder="1" applyAlignment="1">
      <alignment wrapText="1"/>
    </xf>
    <xf numFmtId="165" fontId="0" fillId="0" borderId="12" xfId="0" applyNumberFormat="1" applyBorder="1" applyAlignment="1">
      <alignment wrapText="1"/>
    </xf>
    <xf numFmtId="0" fontId="0" fillId="0" borderId="13" xfId="0" applyBorder="1" applyAlignment="1">
      <alignment wrapText="1"/>
    </xf>
    <xf numFmtId="49" fontId="0" fillId="0" borderId="14" xfId="0" applyNumberFormat="1" applyFont="1" applyBorder="1" applyAlignment="1">
      <alignment horizontal="left" wrapText="1"/>
    </xf>
    <xf numFmtId="49" fontId="0" fillId="0" borderId="14" xfId="0" applyNumberFormat="1" applyFont="1" applyBorder="1" applyAlignment="1">
      <alignment horizontal="right" wrapText="1"/>
    </xf>
    <xf numFmtId="165" fontId="0" fillId="0" borderId="14" xfId="0" applyNumberFormat="1" applyBorder="1" applyAlignment="1">
      <alignment wrapText="1"/>
    </xf>
    <xf numFmtId="165" fontId="0" fillId="0" borderId="15" xfId="0" applyNumberFormat="1" applyBorder="1" applyAlignment="1">
      <alignment wrapText="1"/>
    </xf>
    <xf numFmtId="0" fontId="0" fillId="0" borderId="16" xfId="0" applyBorder="1" applyAlignment="1">
      <alignment wrapText="1"/>
    </xf>
    <xf numFmtId="49" fontId="0" fillId="0" borderId="17" xfId="0" applyNumberFormat="1" applyFont="1" applyBorder="1" applyAlignment="1">
      <alignment horizontal="left" wrapText="1"/>
    </xf>
    <xf numFmtId="49" fontId="0" fillId="0" borderId="17" xfId="0" applyNumberFormat="1" applyFont="1" applyBorder="1" applyAlignment="1">
      <alignment horizontal="right" wrapText="1"/>
    </xf>
    <xf numFmtId="165" fontId="3" fillId="0" borderId="17" xfId="0" applyNumberFormat="1" applyFont="1" applyBorder="1" applyAlignment="1">
      <alignment horizontal="right" wrapText="1"/>
    </xf>
    <xf numFmtId="165" fontId="3" fillId="0" borderId="18" xfId="0" applyNumberFormat="1" applyFont="1" applyBorder="1" applyAlignment="1">
      <alignment horizontal="right" wrapText="1"/>
    </xf>
    <xf numFmtId="0" fontId="0" fillId="0" borderId="19" xfId="0" applyBorder="1" applyAlignment="1">
      <alignment wrapText="1"/>
    </xf>
    <xf numFmtId="49" fontId="0" fillId="0" borderId="20" xfId="0" applyNumberFormat="1" applyFont="1" applyBorder="1" applyAlignment="1">
      <alignment horizontal="left" wrapText="1"/>
    </xf>
    <xf numFmtId="49" fontId="0" fillId="0" borderId="20" xfId="0" applyNumberFormat="1" applyFont="1" applyBorder="1" applyAlignment="1">
      <alignment horizontal="right" wrapText="1"/>
    </xf>
    <xf numFmtId="165" fontId="0" fillId="0" borderId="20" xfId="0" applyNumberFormat="1" applyBorder="1" applyAlignment="1">
      <alignment wrapText="1"/>
    </xf>
    <xf numFmtId="165" fontId="3" fillId="0" borderId="11" xfId="0" applyNumberFormat="1" applyFont="1" applyBorder="1" applyAlignment="1">
      <alignment horizontal="right" wrapText="1"/>
    </xf>
    <xf numFmtId="165" fontId="3" fillId="0" borderId="12" xfId="0" applyNumberFormat="1" applyFont="1" applyBorder="1" applyAlignment="1">
      <alignment wrapText="1"/>
    </xf>
    <xf numFmtId="3" fontId="3" fillId="0" borderId="12" xfId="0" applyNumberFormat="1" applyFont="1" applyBorder="1" applyAlignment="1">
      <alignment wrapText="1"/>
    </xf>
    <xf numFmtId="0" fontId="0" fillId="0" borderId="21" xfId="0" applyBorder="1" applyAlignment="1">
      <alignment wrapText="1"/>
    </xf>
    <xf numFmtId="49" fontId="0" fillId="0" borderId="22" xfId="0" applyNumberFormat="1" applyFont="1" applyBorder="1" applyAlignment="1">
      <alignment horizontal="left" wrapText="1"/>
    </xf>
    <xf numFmtId="49" fontId="0" fillId="0" borderId="22" xfId="0" applyNumberFormat="1" applyFont="1" applyBorder="1" applyAlignment="1">
      <alignment horizontal="right" wrapText="1"/>
    </xf>
    <xf numFmtId="165" fontId="3" fillId="39" borderId="22" xfId="0" applyNumberFormat="1" applyFont="1" applyFill="1" applyBorder="1" applyAlignment="1">
      <alignment horizontal="right" wrapText="1"/>
    </xf>
    <xf numFmtId="165" fontId="3" fillId="0" borderId="23" xfId="0" applyNumberFormat="1" applyFont="1" applyBorder="1" applyAlignment="1">
      <alignment wrapText="1"/>
    </xf>
    <xf numFmtId="165" fontId="3" fillId="0" borderId="14" xfId="0" applyNumberFormat="1" applyFont="1" applyBorder="1" applyAlignment="1">
      <alignment horizontal="right" wrapText="1"/>
    </xf>
    <xf numFmtId="3" fontId="3" fillId="0" borderId="15" xfId="0" applyNumberFormat="1" applyFont="1" applyBorder="1" applyAlignment="1">
      <alignment wrapText="1"/>
    </xf>
    <xf numFmtId="0" fontId="0" fillId="0" borderId="0" xfId="0" applyBorder="1" applyAlignment="1">
      <alignment/>
    </xf>
    <xf numFmtId="0" fontId="0" fillId="0" borderId="11" xfId="0" applyNumberFormat="1" applyFont="1" applyBorder="1" applyAlignment="1">
      <alignment horizontal="left" wrapText="1"/>
    </xf>
    <xf numFmtId="0" fontId="0" fillId="0" borderId="10" xfId="0" applyNumberFormat="1" applyFont="1" applyBorder="1" applyAlignment="1">
      <alignment horizontal="left" wrapText="1"/>
    </xf>
    <xf numFmtId="0" fontId="0" fillId="0" borderId="24" xfId="0" applyBorder="1" applyAlignment="1">
      <alignment wrapText="1"/>
    </xf>
    <xf numFmtId="165" fontId="0" fillId="0" borderId="14" xfId="0" applyNumberFormat="1" applyBorder="1" applyAlignment="1">
      <alignment/>
    </xf>
    <xf numFmtId="0" fontId="0" fillId="0" borderId="13" xfId="0" applyBorder="1" applyAlignment="1">
      <alignment/>
    </xf>
    <xf numFmtId="49" fontId="0" fillId="0" borderId="25" xfId="0" applyNumberFormat="1" applyBorder="1" applyAlignment="1">
      <alignment wrapText="1"/>
    </xf>
    <xf numFmtId="0" fontId="0" fillId="0" borderId="26" xfId="0" applyBorder="1" applyAlignment="1">
      <alignment/>
    </xf>
    <xf numFmtId="0" fontId="7" fillId="0" borderId="10" xfId="0" applyFont="1" applyBorder="1" applyAlignment="1">
      <alignment/>
    </xf>
    <xf numFmtId="0" fontId="0" fillId="0" borderId="0" xfId="0" applyAlignment="1" applyProtection="1">
      <alignment/>
      <protection/>
    </xf>
    <xf numFmtId="1" fontId="0" fillId="0" borderId="11" xfId="0" applyNumberFormat="1" applyFont="1" applyBorder="1" applyAlignment="1">
      <alignment horizontal="right" wrapText="1"/>
    </xf>
    <xf numFmtId="9" fontId="3" fillId="0" borderId="15" xfId="0" applyNumberFormat="1" applyFont="1" applyBorder="1" applyAlignment="1">
      <alignment wrapText="1"/>
    </xf>
    <xf numFmtId="9" fontId="3" fillId="0" borderId="0" xfId="0" applyNumberFormat="1" applyFont="1" applyBorder="1" applyAlignment="1">
      <alignment wrapText="1"/>
    </xf>
    <xf numFmtId="1" fontId="0" fillId="0" borderId="11" xfId="0" applyNumberFormat="1" applyBorder="1" applyAlignment="1">
      <alignment/>
    </xf>
    <xf numFmtId="9" fontId="3" fillId="0" borderId="12" xfId="0" applyNumberFormat="1" applyFont="1" applyBorder="1" applyAlignment="1">
      <alignment wrapText="1"/>
    </xf>
    <xf numFmtId="9" fontId="0" fillId="0" borderId="11" xfId="0" applyNumberFormat="1" applyBorder="1" applyAlignment="1">
      <alignment/>
    </xf>
    <xf numFmtId="2" fontId="0" fillId="0" borderId="11" xfId="0" applyNumberFormat="1" applyBorder="1" applyAlignment="1">
      <alignment/>
    </xf>
    <xf numFmtId="9" fontId="0" fillId="0" borderId="11" xfId="0" applyNumberFormat="1" applyBorder="1" applyAlignment="1">
      <alignment wrapText="1"/>
    </xf>
    <xf numFmtId="49" fontId="3" fillId="38" borderId="27" xfId="0" applyNumberFormat="1" applyFont="1" applyFill="1" applyBorder="1" applyAlignment="1">
      <alignment horizontal="center"/>
    </xf>
    <xf numFmtId="165" fontId="3" fillId="0" borderId="28" xfId="0" applyNumberFormat="1" applyFont="1" applyBorder="1" applyAlignment="1">
      <alignment horizontal="right" wrapText="1"/>
    </xf>
    <xf numFmtId="165" fontId="3" fillId="0" borderId="27" xfId="0" applyNumberFormat="1" applyFont="1" applyBorder="1" applyAlignment="1">
      <alignment horizontal="right" wrapText="1"/>
    </xf>
    <xf numFmtId="165" fontId="3" fillId="0" borderId="29" xfId="0" applyNumberFormat="1" applyFont="1" applyBorder="1" applyAlignment="1">
      <alignment horizontal="right" wrapText="1"/>
    </xf>
    <xf numFmtId="165" fontId="3" fillId="39" borderId="30" xfId="0" applyNumberFormat="1" applyFont="1" applyFill="1" applyBorder="1" applyAlignment="1">
      <alignment horizontal="right" wrapText="1"/>
    </xf>
    <xf numFmtId="9" fontId="0" fillId="0" borderId="14" xfId="0" applyNumberFormat="1" applyBorder="1" applyAlignment="1">
      <alignment wrapText="1"/>
    </xf>
    <xf numFmtId="9" fontId="0" fillId="0" borderId="27" xfId="0" applyNumberFormat="1" applyBorder="1" applyAlignment="1">
      <alignment wrapText="1"/>
    </xf>
    <xf numFmtId="2" fontId="0" fillId="0" borderId="22" xfId="0" applyNumberFormat="1" applyBorder="1" applyAlignment="1">
      <alignment/>
    </xf>
    <xf numFmtId="1" fontId="0" fillId="0" borderId="22" xfId="0" applyNumberFormat="1" applyBorder="1" applyAlignment="1">
      <alignment/>
    </xf>
    <xf numFmtId="0" fontId="3" fillId="0" borderId="10"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xf>
    <xf numFmtId="0" fontId="3" fillId="0" borderId="21" xfId="0" applyFont="1" applyBorder="1" applyAlignment="1">
      <alignment/>
    </xf>
    <xf numFmtId="9" fontId="0" fillId="0" borderId="12" xfId="0" applyNumberFormat="1" applyFont="1" applyBorder="1" applyAlignment="1">
      <alignment horizontal="right" wrapText="1"/>
    </xf>
    <xf numFmtId="0" fontId="0" fillId="0" borderId="21" xfId="0" applyNumberFormat="1" applyFont="1" applyBorder="1" applyAlignment="1">
      <alignment horizontal="left" wrapText="1"/>
    </xf>
    <xf numFmtId="0" fontId="0" fillId="0" borderId="22" xfId="0" applyNumberFormat="1" applyFont="1" applyBorder="1" applyAlignment="1">
      <alignment horizontal="left" wrapText="1"/>
    </xf>
    <xf numFmtId="1" fontId="0" fillId="0" borderId="23" xfId="0" applyNumberFormat="1" applyFont="1" applyBorder="1" applyAlignment="1">
      <alignment horizontal="right" wrapText="1"/>
    </xf>
    <xf numFmtId="0" fontId="0" fillId="0" borderId="12" xfId="0" applyNumberFormat="1" applyBorder="1" applyAlignment="1">
      <alignment/>
    </xf>
    <xf numFmtId="2" fontId="0" fillId="0" borderId="10" xfId="0" applyNumberFormat="1" applyBorder="1" applyAlignment="1">
      <alignment/>
    </xf>
    <xf numFmtId="2" fontId="0" fillId="0" borderId="12" xfId="0" applyNumberFormat="1" applyBorder="1" applyAlignment="1">
      <alignment/>
    </xf>
    <xf numFmtId="2" fontId="0" fillId="0" borderId="21" xfId="0" applyNumberFormat="1" applyBorder="1" applyAlignment="1">
      <alignment/>
    </xf>
    <xf numFmtId="2" fontId="0" fillId="0" borderId="23" xfId="0" applyNumberFormat="1" applyBorder="1" applyAlignment="1">
      <alignment/>
    </xf>
    <xf numFmtId="0" fontId="3" fillId="0" borderId="10" xfId="0" applyFont="1" applyBorder="1" applyAlignment="1">
      <alignment horizontal="center" wrapText="1"/>
    </xf>
    <xf numFmtId="1" fontId="3" fillId="39" borderId="12" xfId="0" applyNumberFormat="1" applyFont="1" applyFill="1" applyBorder="1" applyAlignment="1">
      <alignment/>
    </xf>
    <xf numFmtId="1" fontId="3" fillId="39" borderId="23" xfId="0" applyNumberFormat="1" applyFont="1" applyFill="1" applyBorder="1" applyAlignment="1">
      <alignment/>
    </xf>
    <xf numFmtId="0" fontId="3" fillId="0" borderId="27" xfId="0" applyFont="1" applyBorder="1" applyAlignment="1">
      <alignment horizontal="center" wrapText="1"/>
    </xf>
    <xf numFmtId="1" fontId="0" fillId="0" borderId="27" xfId="0" applyNumberFormat="1" applyBorder="1" applyAlignment="1">
      <alignment/>
    </xf>
    <xf numFmtId="1" fontId="0" fillId="0" borderId="30" xfId="0" applyNumberFormat="1" applyBorder="1" applyAlignment="1">
      <alignment/>
    </xf>
    <xf numFmtId="166" fontId="0" fillId="0" borderId="27" xfId="0" applyNumberFormat="1" applyBorder="1" applyAlignment="1">
      <alignment/>
    </xf>
    <xf numFmtId="166" fontId="0" fillId="0" borderId="30" xfId="0" applyNumberFormat="1" applyBorder="1" applyAlignment="1">
      <alignment/>
    </xf>
    <xf numFmtId="1" fontId="0" fillId="0" borderId="14" xfId="0" applyNumberFormat="1" applyBorder="1" applyAlignment="1">
      <alignment/>
    </xf>
    <xf numFmtId="49" fontId="0" fillId="0" borderId="11" xfId="0" applyNumberFormat="1" applyBorder="1" applyAlignment="1">
      <alignment wrapText="1"/>
    </xf>
    <xf numFmtId="1" fontId="0" fillId="0" borderId="0" xfId="0" applyNumberFormat="1" applyBorder="1" applyAlignment="1" applyProtection="1">
      <alignment/>
      <protection/>
    </xf>
    <xf numFmtId="0" fontId="0" fillId="0" borderId="0" xfId="0" applyBorder="1" applyAlignment="1" applyProtection="1">
      <alignment/>
      <protection/>
    </xf>
    <xf numFmtId="0" fontId="0" fillId="0" borderId="25" xfId="0" applyBorder="1" applyAlignment="1" applyProtection="1">
      <alignment/>
      <protection/>
    </xf>
    <xf numFmtId="1" fontId="0" fillId="0" borderId="11" xfId="0" applyNumberFormat="1" applyFont="1" applyBorder="1" applyAlignment="1">
      <alignment/>
    </xf>
    <xf numFmtId="167" fontId="3" fillId="39" borderId="12" xfId="0" applyNumberFormat="1" applyFont="1" applyFill="1" applyBorder="1" applyAlignment="1">
      <alignment/>
    </xf>
    <xf numFmtId="0" fontId="3" fillId="40" borderId="11" xfId="0" applyFont="1" applyFill="1" applyBorder="1" applyAlignment="1">
      <alignment horizontal="center" wrapText="1"/>
    </xf>
    <xf numFmtId="165" fontId="0" fillId="0" borderId="0" xfId="0" applyNumberFormat="1" applyAlignment="1">
      <alignment/>
    </xf>
    <xf numFmtId="0" fontId="3" fillId="0" borderId="10" xfId="0" applyFont="1" applyBorder="1" applyAlignment="1">
      <alignment wrapText="1"/>
    </xf>
    <xf numFmtId="0" fontId="9" fillId="40" borderId="11" xfId="0" applyFont="1" applyFill="1" applyBorder="1" applyAlignment="1">
      <alignment horizontal="center" wrapText="1"/>
    </xf>
    <xf numFmtId="0" fontId="3" fillId="0" borderId="11" xfId="0" applyFont="1" applyBorder="1" applyAlignment="1">
      <alignment/>
    </xf>
    <xf numFmtId="165" fontId="0" fillId="0" borderId="11" xfId="0" applyNumberFormat="1" applyFont="1" applyBorder="1" applyAlignment="1">
      <alignment horizontal="right" wrapText="1"/>
    </xf>
    <xf numFmtId="165" fontId="0" fillId="41" borderId="11" xfId="0" applyNumberFormat="1" applyFill="1" applyBorder="1" applyAlignment="1">
      <alignment/>
    </xf>
    <xf numFmtId="165" fontId="0" fillId="41" borderId="11" xfId="0" applyNumberFormat="1" applyFont="1" applyFill="1" applyBorder="1" applyAlignment="1">
      <alignment horizontal="right"/>
    </xf>
    <xf numFmtId="165" fontId="0" fillId="39" borderId="11" xfId="0" applyNumberFormat="1" applyFill="1" applyBorder="1" applyAlignment="1">
      <alignment/>
    </xf>
    <xf numFmtId="0" fontId="3" fillId="0" borderId="0" xfId="0" applyFont="1" applyBorder="1" applyAlignment="1">
      <alignment/>
    </xf>
    <xf numFmtId="0" fontId="0" fillId="0" borderId="0" xfId="80" applyAlignment="1" applyProtection="1">
      <alignment wrapText="1"/>
      <protection/>
    </xf>
    <xf numFmtId="0" fontId="10" fillId="42" borderId="11" xfId="80" applyFont="1" applyFill="1" applyBorder="1" applyAlignment="1">
      <alignment horizontal="center" wrapText="1"/>
      <protection/>
    </xf>
    <xf numFmtId="0" fontId="0" fillId="0" borderId="11" xfId="80" applyFont="1" applyBorder="1" applyAlignment="1">
      <alignment wrapText="1"/>
      <protection/>
    </xf>
    <xf numFmtId="3" fontId="0" fillId="0" borderId="11" xfId="80" applyNumberFormat="1" applyBorder="1" applyAlignment="1" applyProtection="1">
      <alignment wrapText="1"/>
      <protection/>
    </xf>
    <xf numFmtId="168" fontId="0" fillId="0" borderId="11" xfId="80" applyNumberFormat="1" applyBorder="1" applyAlignment="1" applyProtection="1">
      <alignment wrapText="1"/>
      <protection/>
    </xf>
    <xf numFmtId="3" fontId="2" fillId="0" borderId="11" xfId="80" applyNumberFormat="1" applyFont="1" applyBorder="1" applyAlignment="1" applyProtection="1">
      <alignment wrapText="1"/>
      <protection/>
    </xf>
    <xf numFmtId="165" fontId="0" fillId="0" borderId="11" xfId="80" applyNumberFormat="1" applyBorder="1" applyAlignment="1" applyProtection="1">
      <alignment wrapText="1"/>
      <protection/>
    </xf>
    <xf numFmtId="0" fontId="0" fillId="0" borderId="14" xfId="80" applyFont="1" applyBorder="1" applyAlignment="1">
      <alignment wrapText="1"/>
      <protection/>
    </xf>
    <xf numFmtId="3" fontId="0" fillId="0" borderId="14" xfId="80" applyNumberFormat="1" applyBorder="1" applyAlignment="1" applyProtection="1">
      <alignment wrapText="1"/>
      <protection/>
    </xf>
    <xf numFmtId="168" fontId="0" fillId="0" borderId="14" xfId="80" applyNumberFormat="1" applyBorder="1" applyAlignment="1" applyProtection="1">
      <alignment wrapText="1"/>
      <protection/>
    </xf>
    <xf numFmtId="3" fontId="2" fillId="0" borderId="14" xfId="80" applyNumberFormat="1" applyFont="1" applyBorder="1" applyAlignment="1" applyProtection="1">
      <alignment wrapText="1"/>
      <protection/>
    </xf>
    <xf numFmtId="165" fontId="0" fillId="0" borderId="14" xfId="80" applyNumberFormat="1" applyBorder="1" applyAlignment="1" applyProtection="1">
      <alignment wrapText="1"/>
      <protection/>
    </xf>
    <xf numFmtId="0" fontId="3" fillId="0" borderId="16" xfId="80" applyFont="1" applyBorder="1" applyAlignment="1">
      <alignment wrapText="1"/>
      <protection/>
    </xf>
    <xf numFmtId="0" fontId="3" fillId="0" borderId="17" xfId="80" applyFont="1" applyBorder="1" applyAlignment="1">
      <alignment wrapText="1"/>
      <protection/>
    </xf>
    <xf numFmtId="3" fontId="0" fillId="0" borderId="17" xfId="80" applyNumberFormat="1" applyBorder="1" applyAlignment="1" applyProtection="1">
      <alignment wrapText="1"/>
      <protection/>
    </xf>
    <xf numFmtId="168" fontId="3" fillId="0" borderId="17" xfId="80" applyNumberFormat="1" applyFont="1" applyBorder="1" applyAlignment="1" applyProtection="1">
      <alignment wrapText="1"/>
      <protection/>
    </xf>
    <xf numFmtId="3" fontId="3" fillId="0" borderId="17" xfId="80" applyNumberFormat="1" applyFont="1" applyBorder="1" applyAlignment="1" applyProtection="1">
      <alignment wrapText="1"/>
      <protection/>
    </xf>
    <xf numFmtId="3" fontId="2" fillId="0" borderId="17" xfId="80" applyNumberFormat="1" applyFont="1" applyBorder="1" applyAlignment="1" applyProtection="1">
      <alignment wrapText="1"/>
      <protection/>
    </xf>
    <xf numFmtId="165" fontId="0" fillId="0" borderId="17" xfId="80" applyNumberFormat="1" applyBorder="1" applyAlignment="1" applyProtection="1">
      <alignment wrapText="1"/>
      <protection/>
    </xf>
    <xf numFmtId="165" fontId="3" fillId="0" borderId="17" xfId="80" applyNumberFormat="1" applyFont="1" applyBorder="1" applyAlignment="1" applyProtection="1">
      <alignment wrapText="1"/>
      <protection/>
    </xf>
    <xf numFmtId="165" fontId="3" fillId="0" borderId="18" xfId="80" applyNumberFormat="1" applyFont="1" applyBorder="1" applyAlignment="1" applyProtection="1">
      <alignment wrapText="1"/>
      <protection/>
    </xf>
    <xf numFmtId="0" fontId="0" fillId="0" borderId="11" xfId="80" applyFont="1" applyBorder="1" applyAlignment="1">
      <alignment horizontal="left" wrapText="1"/>
      <protection/>
    </xf>
    <xf numFmtId="165" fontId="0" fillId="0" borderId="11" xfId="80" applyNumberFormat="1" applyFont="1" applyBorder="1" applyAlignment="1" applyProtection="1">
      <alignment wrapText="1"/>
      <protection/>
    </xf>
    <xf numFmtId="165" fontId="0" fillId="0" borderId="0" xfId="80" applyNumberFormat="1" applyAlignment="1" applyProtection="1">
      <alignment wrapText="1"/>
      <protection/>
    </xf>
    <xf numFmtId="0" fontId="0" fillId="0" borderId="11" xfId="80" applyBorder="1" applyAlignment="1" applyProtection="1">
      <alignment wrapText="1"/>
      <protection/>
    </xf>
    <xf numFmtId="164" fontId="0" fillId="0" borderId="11" xfId="80" applyNumberFormat="1" applyBorder="1" applyAlignment="1" applyProtection="1">
      <alignment wrapText="1"/>
      <protection/>
    </xf>
    <xf numFmtId="0" fontId="27" fillId="0" borderId="0" xfId="0" applyFont="1" applyAlignment="1">
      <alignment/>
    </xf>
    <xf numFmtId="0" fontId="0" fillId="0" borderId="0" xfId="0" applyFont="1" applyAlignment="1">
      <alignment/>
    </xf>
    <xf numFmtId="0" fontId="0" fillId="0" borderId="0" xfId="0" applyAlignment="1">
      <alignment horizontal="center" vertical="center"/>
    </xf>
    <xf numFmtId="0" fontId="31" fillId="0" borderId="11" xfId="0" applyFont="1" applyBorder="1" applyAlignment="1">
      <alignment horizontal="center" vertical="center"/>
    </xf>
    <xf numFmtId="49" fontId="30" fillId="42" borderId="11" xfId="0" applyNumberFormat="1" applyFont="1" applyFill="1" applyBorder="1" applyAlignment="1">
      <alignment horizontal="left" vertical="center" wrapText="1"/>
    </xf>
    <xf numFmtId="49" fontId="9" fillId="42" borderId="11" xfId="0" applyNumberFormat="1" applyFont="1" applyFill="1" applyBorder="1" applyAlignment="1">
      <alignment horizontal="left" vertical="center" wrapText="1"/>
    </xf>
    <xf numFmtId="0" fontId="30" fillId="12" borderId="11" xfId="0" applyFont="1" applyFill="1" applyBorder="1" applyAlignment="1">
      <alignment horizontal="center" vertical="center" wrapText="1"/>
    </xf>
    <xf numFmtId="0" fontId="9" fillId="0" borderId="0" xfId="0" applyFont="1" applyAlignment="1">
      <alignment/>
    </xf>
    <xf numFmtId="0" fontId="9" fillId="0" borderId="11" xfId="0" applyFont="1" applyBorder="1" applyAlignment="1">
      <alignment/>
    </xf>
    <xf numFmtId="0" fontId="9" fillId="43" borderId="11" xfId="0" applyFont="1" applyFill="1" applyBorder="1" applyAlignment="1">
      <alignment horizontal="center" vertical="center" wrapText="1"/>
    </xf>
    <xf numFmtId="1" fontId="31" fillId="0" borderId="11" xfId="0" applyNumberFormat="1" applyFont="1" applyBorder="1" applyAlignment="1">
      <alignment horizontal="center" vertical="center"/>
    </xf>
    <xf numFmtId="0" fontId="0" fillId="0" borderId="11" xfId="0" applyNumberFormat="1" applyFont="1" applyBorder="1" applyAlignment="1">
      <alignment vertical="top" wrapText="1"/>
    </xf>
    <xf numFmtId="0" fontId="0" fillId="0" borderId="11" xfId="0" applyNumberFormat="1" applyFont="1" applyBorder="1" applyAlignment="1">
      <alignment horizontal="left" vertical="top" wrapText="1"/>
    </xf>
    <xf numFmtId="0" fontId="0" fillId="0" borderId="11" xfId="0" applyNumberFormat="1" applyBorder="1" applyAlignment="1">
      <alignment horizontal="left" vertical="top" wrapText="1"/>
    </xf>
    <xf numFmtId="1" fontId="9" fillId="0" borderId="11" xfId="0" applyNumberFormat="1" applyFont="1" applyBorder="1" applyAlignment="1">
      <alignment horizontal="center" vertical="center"/>
    </xf>
    <xf numFmtId="49" fontId="30" fillId="42" borderId="0" xfId="0" applyNumberFormat="1" applyFont="1" applyFill="1" applyBorder="1" applyAlignment="1">
      <alignment horizontal="left" vertical="center" wrapText="1"/>
    </xf>
    <xf numFmtId="49" fontId="50" fillId="0" borderId="11" xfId="0" applyNumberFormat="1" applyFont="1" applyBorder="1" applyAlignment="1">
      <alignment wrapText="1"/>
    </xf>
    <xf numFmtId="0" fontId="48" fillId="0" borderId="11" xfId="74" applyBorder="1" applyAlignment="1">
      <alignment horizontal="center" vertical="center"/>
    </xf>
    <xf numFmtId="0" fontId="48" fillId="0" borderId="11" xfId="74" applyBorder="1" applyAlignment="1">
      <alignment/>
    </xf>
    <xf numFmtId="0" fontId="0" fillId="42" borderId="31" xfId="0" applyFont="1" applyFill="1" applyBorder="1" applyAlignment="1">
      <alignment horizontal="left" wrapText="1"/>
    </xf>
    <xf numFmtId="0" fontId="0" fillId="42" borderId="32" xfId="0" applyFont="1" applyFill="1" applyBorder="1" applyAlignment="1">
      <alignment horizontal="left" wrapText="1"/>
    </xf>
    <xf numFmtId="0" fontId="0" fillId="42" borderId="33" xfId="0" applyFont="1" applyFill="1" applyBorder="1" applyAlignment="1">
      <alignment horizontal="left" wrapText="1"/>
    </xf>
    <xf numFmtId="0" fontId="3" fillId="40" borderId="34" xfId="0" applyFont="1" applyFill="1" applyBorder="1" applyAlignment="1">
      <alignment horizontal="center" wrapText="1"/>
    </xf>
    <xf numFmtId="0" fontId="3" fillId="40" borderId="35" xfId="0" applyFont="1" applyFill="1" applyBorder="1" applyAlignment="1">
      <alignment horizontal="center" wrapText="1"/>
    </xf>
    <xf numFmtId="0" fontId="3" fillId="40" borderId="36" xfId="0" applyFont="1" applyFill="1" applyBorder="1" applyAlignment="1">
      <alignment horizontal="center" wrapText="1"/>
    </xf>
    <xf numFmtId="0" fontId="3" fillId="40" borderId="37" xfId="0" applyFont="1" applyFill="1" applyBorder="1" applyAlignment="1">
      <alignment horizontal="center" wrapText="1"/>
    </xf>
    <xf numFmtId="49" fontId="4" fillId="44" borderId="34" xfId="0" applyNumberFormat="1" applyFont="1" applyFill="1" applyBorder="1" applyAlignment="1">
      <alignment horizontal="center" wrapText="1"/>
    </xf>
    <xf numFmtId="49" fontId="4" fillId="44" borderId="35" xfId="0" applyNumberFormat="1" applyFont="1" applyFill="1" applyBorder="1" applyAlignment="1">
      <alignment horizontal="center" wrapText="1"/>
    </xf>
    <xf numFmtId="49" fontId="4" fillId="44" borderId="37" xfId="0" applyNumberFormat="1" applyFont="1" applyFill="1" applyBorder="1" applyAlignment="1">
      <alignment horizontal="center" wrapText="1"/>
    </xf>
    <xf numFmtId="0" fontId="0" fillId="42" borderId="10" xfId="0" applyFont="1" applyFill="1" applyBorder="1" applyAlignment="1">
      <alignment horizontal="left" wrapText="1"/>
    </xf>
    <xf numFmtId="0" fontId="0" fillId="42" borderId="11" xfId="0" applyFont="1" applyFill="1" applyBorder="1" applyAlignment="1">
      <alignment horizontal="left" wrapText="1"/>
    </xf>
    <xf numFmtId="0" fontId="0" fillId="42" borderId="27" xfId="0" applyFont="1" applyFill="1" applyBorder="1" applyAlignment="1">
      <alignment horizontal="left" wrapText="1"/>
    </xf>
    <xf numFmtId="0" fontId="0" fillId="42" borderId="12" xfId="0" applyFont="1" applyFill="1" applyBorder="1" applyAlignment="1">
      <alignment horizontal="left" wrapText="1"/>
    </xf>
    <xf numFmtId="49" fontId="4" fillId="44" borderId="36" xfId="0" applyNumberFormat="1" applyFont="1" applyFill="1" applyBorder="1" applyAlignment="1">
      <alignment horizontal="center" wrapText="1"/>
    </xf>
    <xf numFmtId="0" fontId="3" fillId="40" borderId="10" xfId="0" applyFont="1" applyFill="1" applyBorder="1" applyAlignment="1">
      <alignment horizontal="center"/>
    </xf>
    <xf numFmtId="0" fontId="3" fillId="40" borderId="11" xfId="0" applyFont="1" applyFill="1" applyBorder="1" applyAlignment="1">
      <alignment horizontal="center"/>
    </xf>
    <xf numFmtId="0" fontId="3" fillId="40" borderId="27" xfId="0" applyFont="1" applyFill="1" applyBorder="1" applyAlignment="1">
      <alignment horizontal="center"/>
    </xf>
    <xf numFmtId="0" fontId="3" fillId="40" borderId="12" xfId="0" applyFont="1" applyFill="1" applyBorder="1" applyAlignment="1">
      <alignment horizontal="center"/>
    </xf>
    <xf numFmtId="0" fontId="3" fillId="40" borderId="34" xfId="0" applyFont="1" applyFill="1" applyBorder="1" applyAlignment="1">
      <alignment horizontal="center"/>
    </xf>
    <xf numFmtId="0" fontId="3" fillId="40" borderId="35" xfId="0" applyFont="1" applyFill="1" applyBorder="1" applyAlignment="1">
      <alignment horizontal="center"/>
    </xf>
    <xf numFmtId="0" fontId="3" fillId="40" borderId="36" xfId="0" applyFont="1" applyFill="1" applyBorder="1" applyAlignment="1">
      <alignment horizontal="center"/>
    </xf>
    <xf numFmtId="0" fontId="3" fillId="40" borderId="37" xfId="0" applyFont="1" applyFill="1" applyBorder="1" applyAlignment="1">
      <alignment horizontal="center"/>
    </xf>
    <xf numFmtId="49" fontId="26" fillId="44" borderId="34" xfId="0" applyNumberFormat="1" applyFont="1" applyFill="1" applyBorder="1" applyAlignment="1" applyProtection="1">
      <alignment horizontal="center" wrapText="1"/>
      <protection/>
    </xf>
    <xf numFmtId="49" fontId="26" fillId="44" borderId="38" xfId="0" applyNumberFormat="1" applyFont="1" applyFill="1" applyBorder="1" applyAlignment="1" applyProtection="1">
      <alignment horizontal="center" wrapText="1"/>
      <protection/>
    </xf>
    <xf numFmtId="49" fontId="26" fillId="44" borderId="35" xfId="0" applyNumberFormat="1" applyFont="1" applyFill="1" applyBorder="1" applyAlignment="1" applyProtection="1">
      <alignment horizontal="center" wrapText="1"/>
      <protection/>
    </xf>
    <xf numFmtId="49" fontId="26" fillId="44" borderId="37" xfId="0" applyNumberFormat="1" applyFont="1" applyFill="1" applyBorder="1" applyAlignment="1" applyProtection="1">
      <alignment horizontal="center" wrapText="1"/>
      <protection/>
    </xf>
    <xf numFmtId="0" fontId="9" fillId="41" borderId="34" xfId="0" applyFont="1" applyFill="1" applyBorder="1" applyAlignment="1">
      <alignment horizontal="center"/>
    </xf>
    <xf numFmtId="0" fontId="9" fillId="41" borderId="37" xfId="0" applyFont="1" applyFill="1" applyBorder="1" applyAlignment="1">
      <alignment horizontal="center"/>
    </xf>
    <xf numFmtId="0" fontId="9" fillId="38" borderId="27" xfId="0" applyFont="1" applyFill="1" applyBorder="1" applyAlignment="1">
      <alignment horizontal="center"/>
    </xf>
    <xf numFmtId="0" fontId="9" fillId="38" borderId="32" xfId="0" applyFont="1" applyFill="1" applyBorder="1" applyAlignment="1">
      <alignment horizontal="center"/>
    </xf>
    <xf numFmtId="0" fontId="9" fillId="38" borderId="39" xfId="0" applyFont="1" applyFill="1" applyBorder="1" applyAlignment="1">
      <alignment horizontal="center"/>
    </xf>
    <xf numFmtId="165" fontId="0" fillId="41" borderId="14" xfId="0" applyNumberFormat="1" applyFont="1" applyFill="1" applyBorder="1" applyAlignment="1">
      <alignment horizontal="center" wrapText="1"/>
    </xf>
    <xf numFmtId="165" fontId="0" fillId="41" borderId="40" xfId="0" applyNumberFormat="1" applyFont="1" applyFill="1" applyBorder="1" applyAlignment="1">
      <alignment horizontal="center" wrapText="1"/>
    </xf>
    <xf numFmtId="0" fontId="9" fillId="41" borderId="41" xfId="0" applyFont="1" applyFill="1" applyBorder="1" applyAlignment="1">
      <alignment horizontal="center"/>
    </xf>
    <xf numFmtId="0" fontId="9" fillId="41" borderId="42" xfId="0" applyFont="1" applyFill="1" applyBorder="1" applyAlignment="1">
      <alignment horizontal="center"/>
    </xf>
    <xf numFmtId="0" fontId="9" fillId="41" borderId="43" xfId="0" applyFont="1" applyFill="1" applyBorder="1" applyAlignment="1">
      <alignment horizontal="center"/>
    </xf>
    <xf numFmtId="49" fontId="3" fillId="41" borderId="27" xfId="0" applyNumberFormat="1" applyFont="1" applyFill="1" applyBorder="1" applyAlignment="1">
      <alignment horizontal="center" wrapText="1"/>
    </xf>
    <xf numFmtId="49" fontId="3" fillId="41" borderId="32" xfId="0" applyNumberFormat="1" applyFont="1" applyFill="1" applyBorder="1" applyAlignment="1">
      <alignment horizontal="center" wrapText="1"/>
    </xf>
    <xf numFmtId="49" fontId="3" fillId="41" borderId="39" xfId="0" applyNumberFormat="1" applyFont="1" applyFill="1" applyBorder="1" applyAlignment="1">
      <alignment horizontal="center" wrapText="1"/>
    </xf>
    <xf numFmtId="49" fontId="3" fillId="41" borderId="11" xfId="80" applyNumberFormat="1" applyFont="1" applyFill="1" applyBorder="1" applyAlignment="1" applyProtection="1">
      <alignment horizontal="center" wrapText="1"/>
      <protection/>
    </xf>
    <xf numFmtId="49" fontId="8" fillId="44" borderId="27" xfId="80" applyNumberFormat="1" applyFont="1" applyFill="1" applyBorder="1" applyAlignment="1" applyProtection="1">
      <alignment horizontal="center" wrapText="1"/>
      <protection/>
    </xf>
    <xf numFmtId="49" fontId="8" fillId="44" borderId="32" xfId="80" applyNumberFormat="1" applyFont="1" applyFill="1" applyBorder="1" applyAlignment="1" applyProtection="1">
      <alignment horizontal="center" wrapText="1"/>
      <protection/>
    </xf>
    <xf numFmtId="49" fontId="8" fillId="44" borderId="39" xfId="80" applyNumberFormat="1" applyFont="1" applyFill="1" applyBorder="1" applyAlignment="1" applyProtection="1">
      <alignment horizontal="center" wrapText="1"/>
      <protection/>
    </xf>
    <xf numFmtId="49" fontId="3" fillId="41" borderId="27" xfId="80" applyNumberFormat="1" applyFont="1" applyFill="1" applyBorder="1" applyAlignment="1" applyProtection="1">
      <alignment horizontal="center" wrapText="1"/>
      <protection/>
    </xf>
    <xf numFmtId="49" fontId="3" fillId="41" borderId="32" xfId="80" applyNumberFormat="1" applyFont="1" applyFill="1" applyBorder="1" applyAlignment="1" applyProtection="1">
      <alignment horizontal="center" wrapText="1"/>
      <protection/>
    </xf>
    <xf numFmtId="49" fontId="3" fillId="41" borderId="39" xfId="80" applyNumberFormat="1" applyFont="1" applyFill="1" applyBorder="1" applyAlignment="1" applyProtection="1">
      <alignment horizontal="center" wrapText="1"/>
      <protection/>
    </xf>
    <xf numFmtId="49" fontId="51" fillId="44" borderId="27" xfId="0" applyNumberFormat="1" applyFont="1" applyFill="1" applyBorder="1" applyAlignment="1">
      <alignment horizontal="center" vertical="center" wrapText="1"/>
    </xf>
    <xf numFmtId="49" fontId="51" fillId="44" borderId="32" xfId="0" applyNumberFormat="1" applyFont="1" applyFill="1" applyBorder="1" applyAlignment="1">
      <alignment horizontal="center" vertical="center"/>
    </xf>
    <xf numFmtId="0" fontId="0" fillId="0" borderId="32" xfId="0" applyBorder="1" applyAlignment="1">
      <alignment horizontal="center"/>
    </xf>
    <xf numFmtId="0" fontId="0" fillId="0" borderId="39" xfId="0" applyBorder="1" applyAlignment="1">
      <alignment horizont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cel Built-in Normal 4" xfId="67"/>
    <cellStyle name="Explanatory Text" xfId="68"/>
    <cellStyle name="Good" xfId="69"/>
    <cellStyle name="Heading 1" xfId="70"/>
    <cellStyle name="Heading 2" xfId="71"/>
    <cellStyle name="Heading 3" xfId="72"/>
    <cellStyle name="Heading 4" xfId="73"/>
    <cellStyle name="Hyperlink" xfId="74"/>
    <cellStyle name="Input" xfId="75"/>
    <cellStyle name="Linked Cell" xfId="76"/>
    <cellStyle name="Neutral" xfId="77"/>
    <cellStyle name="Normal 2" xfId="78"/>
    <cellStyle name="Normal 3" xfId="79"/>
    <cellStyle name="Normal 4" xfId="80"/>
    <cellStyle name="Note" xfId="81"/>
    <cellStyle name="Note 2" xfId="82"/>
    <cellStyle name="Output" xfId="83"/>
    <cellStyle name="Percent" xfId="84"/>
    <cellStyle name="Sheet Title" xfId="85"/>
    <cellStyle name="Title" xfId="86"/>
    <cellStyle name="Total"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xdr:rowOff>
    </xdr:from>
    <xdr:to>
      <xdr:col>11</xdr:col>
      <xdr:colOff>400050</xdr:colOff>
      <xdr:row>49</xdr:row>
      <xdr:rowOff>47625</xdr:rowOff>
    </xdr:to>
    <xdr:sp>
      <xdr:nvSpPr>
        <xdr:cNvPr id="1" name="Text Box 1"/>
        <xdr:cNvSpPr txBox="1">
          <a:spLocks noChangeArrowheads="1"/>
        </xdr:cNvSpPr>
      </xdr:nvSpPr>
      <xdr:spPr>
        <a:xfrm>
          <a:off x="95250" y="180975"/>
          <a:ext cx="7010400" cy="7800975"/>
        </a:xfrm>
        <a:prstGeom prst="rect">
          <a:avLst/>
        </a:prstGeom>
        <a:solidFill>
          <a:srgbClr val="DBEEF4"/>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Metadata Questionnaire on the WSIS Target Indicators 
</a:t>
          </a:r>
          <a:r>
            <a:rPr lang="en-US" cap="none" sz="1200" b="1" i="0" u="sng"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Purpose of the questionnaire</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The questionnaire aims to collect </a:t>
          </a:r>
          <a:r>
            <a:rPr lang="en-US" cap="none" sz="1200" b="1" i="0" u="none" baseline="0">
              <a:solidFill>
                <a:srgbClr val="000000"/>
              </a:solidFill>
              <a:latin typeface="Times New Roman"/>
              <a:ea typeface="Times New Roman"/>
              <a:cs typeface="Times New Roman"/>
            </a:rPr>
            <a:t>information/metadata on data availability </a:t>
          </a:r>
          <a:r>
            <a:rPr lang="en-US" cap="none" sz="1200" b="0" i="0" u="none" baseline="0">
              <a:solidFill>
                <a:srgbClr val="000000"/>
              </a:solidFill>
              <a:latin typeface="Times New Roman"/>
              <a:ea typeface="Times New Roman"/>
              <a:cs typeface="Times New Roman"/>
            </a:rPr>
            <a:t>for the WSIS Targets indicators, as outlined in </a:t>
          </a:r>
          <a:r>
            <a:rPr lang="en-US" cap="none" sz="1200" b="0" i="0" u="none" baseline="0">
              <a:solidFill>
                <a:srgbClr val="000000"/>
              </a:solidFill>
              <a:latin typeface="Times New Roman"/>
              <a:ea typeface="Times New Roman"/>
              <a:cs typeface="Times New Roman"/>
            </a:rPr>
            <a:t>the Questionnaire worksheet. This is in preparation for the data collection that will be conducted in 2013 to collect the data for each of the indicators listed in this questionnaire. 
</a:t>
          </a:r>
          <a:r>
            <a:rPr lang="en-US" cap="none" sz="1200" b="0" i="0" u="none" strike="sngStrik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 part of the activities towards the WSIS+10 review, t</a:t>
          </a:r>
          <a:r>
            <a:rPr lang="en-US" cap="none" sz="1100" b="0" i="0" u="none" baseline="0">
              <a:solidFill>
                <a:srgbClr val="000000"/>
              </a:solidFill>
              <a:latin typeface="Times New Roman"/>
              <a:ea typeface="Times New Roman"/>
              <a:cs typeface="Times New Roman"/>
            </a:rPr>
            <a:t>he </a:t>
          </a:r>
          <a:r>
            <a:rPr lang="en-US" cap="none" sz="1100" b="0" i="1" u="none" baseline="0">
              <a:solidFill>
                <a:srgbClr val="000000"/>
              </a:solidFill>
              <a:latin typeface="Times New Roman"/>
              <a:ea typeface="Times New Roman"/>
              <a:cs typeface="Times New Roman"/>
            </a:rPr>
            <a:t>Partnership on Measuring ICT for Development </a:t>
          </a:r>
          <a:r>
            <a:rPr lang="en-US" cap="none" sz="1100" b="0" i="0" u="none" baseline="0">
              <a:solidFill>
                <a:srgbClr val="000000"/>
              </a:solidFill>
              <a:latin typeface="Times New Roman"/>
              <a:ea typeface="Times New Roman"/>
              <a:cs typeface="Times New Roman"/>
            </a:rPr>
            <a:t>is carring out this survey to take stock of data availability in countries that </a:t>
          </a:r>
          <a:r>
            <a:rPr lang="en-US" cap="none" sz="1100" b="0" i="0" u="none" baseline="0">
              <a:solidFill>
                <a:srgbClr val="000000"/>
              </a:solidFill>
              <a:latin typeface="Times New Roman"/>
              <a:ea typeface="Times New Roman"/>
              <a:cs typeface="Times New Roman"/>
            </a:rPr>
            <a:t>will help monitor progress on the WSIS targets.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set of indicators established to measure the WSIS targets</a:t>
          </a:r>
          <a:r>
            <a:rPr lang="en-US" cap="none" sz="1100" b="0" i="0" u="none" strike="sngStrike" baseline="0">
              <a:solidFill>
                <a:srgbClr val="FF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cover a broad range of topics,. Therefore, in some cases it will be necessary to consult with other organizations in your country to obtain the requested information. The information  will make an important contribution to the monitoring of the WSIS outcomes and highlight the data gaps that still need to be addressed.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Instructions:</a:t>
          </a:r>
          <a:r>
            <a:rPr lang="en-US" cap="none" sz="1200" b="0" i="0" u="none" baseline="0">
              <a:solidFill>
                <a:srgbClr val="000000"/>
              </a:solidFill>
              <a:latin typeface="Times New Roman"/>
              <a:ea typeface="Times New Roman"/>
              <a:cs typeface="Times New Roman"/>
            </a:rPr>
            <a:t> For each indicator (except for indicators 6.7, 9.2, 9.3, 9.4 an 9.5, where we have added a note), you are requested to provide information 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Availability of the data for the indicator specified
</a:t>
          </a:r>
          <a:r>
            <a:rPr lang="en-US" cap="none" sz="1200" b="0" i="0" u="none" baseline="0">
              <a:solidFill>
                <a:srgbClr val="000000"/>
              </a:solidFill>
              <a:latin typeface="Times New Roman"/>
              <a:ea typeface="Times New Roman"/>
              <a:cs typeface="Times New Roman"/>
            </a:rPr>
            <a:t>- Latest reference year
</a:t>
          </a:r>
          <a:r>
            <a:rPr lang="en-US" cap="none" sz="1200" b="0" i="0" u="none" baseline="0">
              <a:solidFill>
                <a:srgbClr val="000000"/>
              </a:solidFill>
              <a:latin typeface="Times New Roman"/>
              <a:ea typeface="Times New Roman"/>
              <a:cs typeface="Times New Roman"/>
            </a:rPr>
            <a:t>- Name </a:t>
          </a:r>
          <a:r>
            <a:rPr lang="en-US" cap="none" sz="1200" b="0" i="0" u="none" baseline="0">
              <a:solidFill>
                <a:srgbClr val="000000"/>
              </a:solidFill>
              <a:latin typeface="Times New Roman"/>
              <a:ea typeface="Times New Roman"/>
              <a:cs typeface="Times New Roman"/>
            </a:rPr>
            <a:t>of the organization </a:t>
          </a:r>
          <a:r>
            <a:rPr lang="en-US" cap="none" sz="1200" b="0" i="0" u="none" baseline="0">
              <a:solidFill>
                <a:srgbClr val="000000"/>
              </a:solidFill>
              <a:latin typeface="Times New Roman"/>
              <a:ea typeface="Times New Roman"/>
              <a:cs typeface="Times New Roman"/>
            </a:rPr>
            <a:t>in charge of collecting the data for each indicator, if possible the contact details of the person in charge of collecting the data (full name, email and phone)
</a:t>
          </a:r>
          <a:r>
            <a:rPr lang="en-US" cap="none" sz="1200" b="0" i="0" u="none" baseline="0">
              <a:solidFill>
                <a:srgbClr val="000000"/>
              </a:solidFill>
              <a:latin typeface="Times New Roman"/>
              <a:ea typeface="Times New Roman"/>
              <a:cs typeface="Times New Roman"/>
            </a:rPr>
            <a:t>- Internet address at which the data are available or any other published sources where the data are available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Before filling out the questionnaire, please consult the following document: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Measuring the WSIS targets: a statistical framework
</a:t>
          </a:r>
          <a:r>
            <a:rPr lang="en-US" cap="none" sz="1200" b="0" i="0" u="none" baseline="0">
              <a:solidFill>
                <a:srgbClr val="000000"/>
              </a:solidFill>
              <a:latin typeface="Times New Roman"/>
              <a:ea typeface="Times New Roman"/>
              <a:cs typeface="Times New Roman"/>
            </a:rPr>
            <a:t>http://www.itu.int/dms_pub/itu-d/opb/ind/D-IND-MEAS_WSIS-2011-PDF-E.pdf</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Background</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t>
          </a:r>
          <a:r>
            <a:rPr lang="en-US" cap="none" sz="1200" b="0" i="1" u="none" baseline="0">
              <a:solidFill>
                <a:srgbClr val="000000"/>
              </a:solidFill>
              <a:latin typeface="Times New Roman"/>
              <a:ea typeface="Times New Roman"/>
              <a:cs typeface="Times New Roman"/>
            </a:rPr>
            <a:t>Partnership on Measuring ICT for Development </a:t>
          </a:r>
          <a:r>
            <a:rPr lang="en-US" cap="none" sz="1200" b="0" i="0" u="none" baseline="0">
              <a:solidFill>
                <a:srgbClr val="000000"/>
              </a:solidFill>
              <a:latin typeface="Times New Roman"/>
              <a:ea typeface="Times New Roman"/>
              <a:cs typeface="Times New Roman"/>
            </a:rPr>
            <a:t>was launched in June 2004, following the first phase of  the World Summit on the Information Society (WSIS). Its current members are: International Telecommunication Union (ITU), Organisation for Economic Co-operation and Development (OECD), Statistical Office of the European Communities, (Eurostat), United Nations Conference on Trade and Development (UNCTAD), United Nations Department of Economic and Social Affairs (UNDESA), United Nations Economic Commission for Africa (ECA), United Nations Economic Commission for Latin America and the Caribbean (ECLAC), United Nations Economic and Social Commission for Asia and the Pacific (ESCAP), United Nations Economic and Social Commission for Western Asia (ESCWA), UNESCO Institute for Statistics (UIS), United Nations Environment, Programme/Secretariat of the Basel Convention (UNEP/SBC) and World Bank.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For further information on the objectives  and activities of  the Partnership, see 
</a:t>
          </a:r>
          <a:r>
            <a:rPr lang="en-US" cap="none" sz="1100" b="0" i="0" u="none" baseline="0">
              <a:solidFill>
                <a:srgbClr val="000000"/>
              </a:solidFill>
              <a:latin typeface="Times New Roman"/>
              <a:ea typeface="Times New Roman"/>
              <a:cs typeface="Times New Roman"/>
            </a:rPr>
            <a:t>http://www.itu.int/ITU-D/ict/partnership/ and http://measuring-ict.unctad.org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a:t>
          </a:r>
          <a:r>
            <a:rPr lang="en-US" cap="none" sz="1100" b="1" i="0" u="none" baseline="0">
              <a:solidFill>
                <a:srgbClr val="000000"/>
              </a:solidFill>
              <a:latin typeface="Times New Roman"/>
              <a:ea typeface="Times New Roman"/>
              <a:cs typeface="Times New Roman"/>
            </a:rPr>
            <a:t>World Summit on the Information Society (WSIS)</a:t>
          </a:r>
          <a:r>
            <a:rPr lang="en-US" cap="none" sz="1100" b="0" i="0" u="none" baseline="0">
              <a:solidFill>
                <a:srgbClr val="000000"/>
              </a:solidFill>
              <a:latin typeface="Times New Roman"/>
              <a:ea typeface="Times New Roman"/>
              <a:cs typeface="Times New Roman"/>
            </a:rPr>
            <a:t> was held in two phases under the United Nations mandate. The first phase took place in Geneva from 10 to 12 December 2003 and the second phase took place in Tunis, from 16 to 18 November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escap-ids@un.org?subject=WSIS%20Targets%20questionnaire%202013" TargetMode="External" /><Relationship Id="rId2" Type="http://schemas.openxmlformats.org/officeDocument/2006/relationships/hyperlink" Target="mailto:Andrea.DEPANIZZA@oecd.org?subject=WSIS%20Targets%20questionnaire%202013" TargetMode="External" /><Relationship Id="rId3" Type="http://schemas.openxmlformats.org/officeDocument/2006/relationships/hyperlink" Target="mailto:Andrea.DEPANIZZA@oecd.org?subject=WSIS%20Targets%20questionnaire%202013" TargetMode="External" /><Relationship Id="rId4" Type="http://schemas.openxmlformats.org/officeDocument/2006/relationships/hyperlink" Target="mailto:zaatari@un.org?subject=WSIS%20Targets%20questionnaire%202013" TargetMode="External" /><Relationship Id="rId5" Type="http://schemas.openxmlformats.org/officeDocument/2006/relationships/hyperlink" Target="mailto:emeasurement@unctad.org?subject=WSIS%20Targets%20questionnaire%202013" TargetMode="External" /><Relationship Id="rId6" Type="http://schemas.openxmlformats.org/officeDocument/2006/relationships/hyperlink" Target="mailto:eLAC2015@cepal.org?subject=WSIS%20Targets%20questionnaire%202013" TargetMode="External" /><Relationship Id="rId7" Type="http://schemas.openxmlformats.org/officeDocument/2006/relationships/hyperlink" Target="mailto:afigf@uneca.org?subject=WSIS%20Targets%20questionnaire%202013" TargetMode="External" /><Relationship Id="rId8"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232"/>
  <sheetViews>
    <sheetView showGridLines="0" zoomScale="80" zoomScaleNormal="80" zoomScalePageLayoutView="0" workbookViewId="0" topLeftCell="A1">
      <selection activeCell="F20" sqref="F20"/>
    </sheetView>
  </sheetViews>
  <sheetFormatPr defaultColWidth="9.140625" defaultRowHeight="12.75"/>
  <cols>
    <col min="1" max="1" width="20.8515625" style="2" customWidth="1"/>
    <col min="2" max="2" width="54.28125" style="0" customWidth="1"/>
    <col min="3" max="3" width="8.140625" style="0" customWidth="1"/>
    <col min="4" max="4" width="35.421875" style="0" customWidth="1"/>
    <col min="5" max="5" width="9.57421875" style="0" customWidth="1"/>
    <col min="6" max="6" width="16.421875" style="0" customWidth="1"/>
  </cols>
  <sheetData>
    <row r="1" spans="1:6" ht="17.25" customHeight="1">
      <c r="A1" s="156" t="s">
        <v>97</v>
      </c>
      <c r="B1" s="157"/>
      <c r="C1" s="157"/>
      <c r="D1" s="157"/>
      <c r="E1" s="163"/>
      <c r="F1" s="158"/>
    </row>
    <row r="2" spans="1:6" ht="17.25" customHeight="1">
      <c r="A2" s="149" t="s">
        <v>25</v>
      </c>
      <c r="B2" s="150"/>
      <c r="C2" s="150"/>
      <c r="D2" s="150"/>
      <c r="E2" s="150"/>
      <c r="F2" s="151"/>
    </row>
    <row r="3" spans="1:6" ht="12.75">
      <c r="A3" s="1" t="s">
        <v>8</v>
      </c>
      <c r="B3" s="4" t="s">
        <v>0</v>
      </c>
      <c r="C3" s="4" t="s">
        <v>3</v>
      </c>
      <c r="D3" s="4" t="s">
        <v>4</v>
      </c>
      <c r="E3" s="56" t="s">
        <v>48</v>
      </c>
      <c r="F3" s="10" t="s">
        <v>7</v>
      </c>
    </row>
    <row r="4" spans="1:6" ht="12.75">
      <c r="A4" s="164" t="s">
        <v>26</v>
      </c>
      <c r="B4" s="165"/>
      <c r="C4" s="165"/>
      <c r="D4" s="165"/>
      <c r="E4" s="166"/>
      <c r="F4" s="167"/>
    </row>
    <row r="5" spans="1:6" ht="12.75">
      <c r="A5" s="14" t="s">
        <v>24</v>
      </c>
      <c r="B5" s="15" t="s">
        <v>22</v>
      </c>
      <c r="C5" s="38">
        <v>2</v>
      </c>
      <c r="D5" s="17">
        <f>F64</f>
        <v>578.55875</v>
      </c>
      <c r="E5" s="55">
        <v>0</v>
      </c>
      <c r="F5" s="18">
        <f>C5*D5*(1-E5)</f>
        <v>1157.1175</v>
      </c>
    </row>
    <row r="6" spans="1:6" ht="12.75">
      <c r="A6" s="3" t="s">
        <v>24</v>
      </c>
      <c r="B6" s="8" t="s">
        <v>196</v>
      </c>
      <c r="C6" s="9" t="s">
        <v>5</v>
      </c>
      <c r="D6" s="6">
        <v>1900</v>
      </c>
      <c r="E6" s="53">
        <v>0</v>
      </c>
      <c r="F6" s="18">
        <f>C6*D6*(1-E6)</f>
        <v>1900</v>
      </c>
    </row>
    <row r="7" spans="1:6" ht="13.5" thickBot="1">
      <c r="A7" s="24"/>
      <c r="B7" s="25" t="s">
        <v>17</v>
      </c>
      <c r="C7" s="26" t="s">
        <v>2</v>
      </c>
      <c r="D7" s="27">
        <v>100</v>
      </c>
      <c r="E7" s="61">
        <v>0</v>
      </c>
      <c r="F7" s="18">
        <f>C7*D7*(1-E7)</f>
        <v>200</v>
      </c>
    </row>
    <row r="8" spans="1:6" ht="13.5" thickBot="1">
      <c r="A8" s="19"/>
      <c r="B8" s="20"/>
      <c r="C8" s="21"/>
      <c r="D8" s="22" t="s">
        <v>1</v>
      </c>
      <c r="E8" s="57"/>
      <c r="F8" s="23">
        <f>SUM(F5:F7)</f>
        <v>3257.1175000000003</v>
      </c>
    </row>
    <row r="9" spans="1:6" ht="13.5" thickBot="1">
      <c r="A9" s="44"/>
      <c r="B9" s="38"/>
      <c r="C9" s="38"/>
      <c r="D9" s="38"/>
      <c r="E9" s="38"/>
      <c r="F9" s="45"/>
    </row>
    <row r="10" spans="1:6" ht="12.75">
      <c r="A10" s="168" t="s">
        <v>31</v>
      </c>
      <c r="B10" s="169"/>
      <c r="C10" s="169"/>
      <c r="D10" s="169"/>
      <c r="E10" s="170"/>
      <c r="F10" s="171"/>
    </row>
    <row r="11" spans="1:6" ht="12.75">
      <c r="A11" s="14" t="s">
        <v>24</v>
      </c>
      <c r="B11" s="15" t="s">
        <v>22</v>
      </c>
      <c r="C11" s="38">
        <v>1</v>
      </c>
      <c r="D11" s="17">
        <f>F64</f>
        <v>578.55875</v>
      </c>
      <c r="E11" s="55">
        <v>0</v>
      </c>
      <c r="F11" s="18">
        <f>C11*D11*(1-E11)</f>
        <v>578.55875</v>
      </c>
    </row>
    <row r="12" spans="1:6" ht="12.75">
      <c r="A12" s="3" t="s">
        <v>24</v>
      </c>
      <c r="B12" s="8" t="s">
        <v>197</v>
      </c>
      <c r="C12" s="9" t="s">
        <v>5</v>
      </c>
      <c r="D12" s="6">
        <v>1225</v>
      </c>
      <c r="E12" s="53">
        <v>0</v>
      </c>
      <c r="F12" s="18">
        <f>C12*D12*(1-E12)</f>
        <v>1225</v>
      </c>
    </row>
    <row r="13" spans="1:6" ht="13.5" thickBot="1">
      <c r="A13" s="24"/>
      <c r="B13" s="25" t="s">
        <v>17</v>
      </c>
      <c r="C13" s="26" t="s">
        <v>5</v>
      </c>
      <c r="D13" s="27">
        <v>100</v>
      </c>
      <c r="E13" s="61">
        <v>0</v>
      </c>
      <c r="F13" s="18">
        <f>C13*D13*(1-E13)</f>
        <v>100</v>
      </c>
    </row>
    <row r="14" spans="1:6" ht="13.5" thickBot="1">
      <c r="A14" s="19"/>
      <c r="B14" s="20"/>
      <c r="C14" s="21"/>
      <c r="D14" s="22" t="s">
        <v>1</v>
      </c>
      <c r="E14" s="57"/>
      <c r="F14" s="23">
        <f>SUM(F11:F13)</f>
        <v>1903.5587500000001</v>
      </c>
    </row>
    <row r="15" spans="1:6" ht="13.5" thickBot="1">
      <c r="A15" s="44"/>
      <c r="B15" s="38"/>
      <c r="C15" s="38"/>
      <c r="D15" s="38"/>
      <c r="E15" s="38"/>
      <c r="F15" s="45"/>
    </row>
    <row r="16" spans="1:6" ht="12.75">
      <c r="A16" s="168" t="s">
        <v>27</v>
      </c>
      <c r="B16" s="169"/>
      <c r="C16" s="169"/>
      <c r="D16" s="169"/>
      <c r="E16" s="170"/>
      <c r="F16" s="171"/>
    </row>
    <row r="17" spans="1:6" ht="12.75">
      <c r="A17" s="11" t="s">
        <v>24</v>
      </c>
      <c r="B17" s="15" t="s">
        <v>22</v>
      </c>
      <c r="C17" s="38">
        <v>2</v>
      </c>
      <c r="D17" s="17">
        <f>F64</f>
        <v>578.55875</v>
      </c>
      <c r="E17" s="55">
        <v>0</v>
      </c>
      <c r="F17" s="18">
        <f>C17*D17*(1-E17)</f>
        <v>1157.1175</v>
      </c>
    </row>
    <row r="18" spans="1:6" ht="12.75">
      <c r="A18" s="46" t="s">
        <v>107</v>
      </c>
      <c r="B18" s="8" t="s">
        <v>105</v>
      </c>
      <c r="C18" s="9" t="s">
        <v>5</v>
      </c>
      <c r="D18" s="6">
        <v>2530</v>
      </c>
      <c r="E18" s="53">
        <v>0</v>
      </c>
      <c r="F18" s="18">
        <f>C18*D18*(1-E18)</f>
        <v>2530</v>
      </c>
    </row>
    <row r="19" spans="1:6" ht="13.5" thickBot="1">
      <c r="A19" s="11"/>
      <c r="B19" s="25" t="s">
        <v>17</v>
      </c>
      <c r="C19" s="26" t="s">
        <v>2</v>
      </c>
      <c r="D19" s="27">
        <v>100</v>
      </c>
      <c r="E19" s="61">
        <v>0</v>
      </c>
      <c r="F19" s="18">
        <f>C19*D19*(1-E19)</f>
        <v>200</v>
      </c>
    </row>
    <row r="20" spans="1:6" ht="13.5" thickBot="1">
      <c r="A20" s="41"/>
      <c r="B20" s="20"/>
      <c r="C20" s="21"/>
      <c r="D20" s="22" t="s">
        <v>1</v>
      </c>
      <c r="E20" s="57"/>
      <c r="F20" s="23">
        <f>SUM(F17:F19)</f>
        <v>3887.1175000000003</v>
      </c>
    </row>
    <row r="21" spans="1:6" ht="13.5" thickBot="1">
      <c r="A21" s="44"/>
      <c r="B21" s="38"/>
      <c r="C21" s="38"/>
      <c r="D21" s="38"/>
      <c r="E21" s="38"/>
      <c r="F21" s="45"/>
    </row>
    <row r="22" spans="1:6" ht="12.75">
      <c r="A22" s="168" t="s">
        <v>32</v>
      </c>
      <c r="B22" s="169"/>
      <c r="C22" s="169"/>
      <c r="D22" s="169"/>
      <c r="E22" s="170"/>
      <c r="F22" s="171"/>
    </row>
    <row r="23" spans="1:6" ht="12.75">
      <c r="A23" s="11" t="s">
        <v>24</v>
      </c>
      <c r="B23" s="15" t="s">
        <v>22</v>
      </c>
      <c r="C23" s="38">
        <v>1</v>
      </c>
      <c r="D23" s="17">
        <f>F64</f>
        <v>578.55875</v>
      </c>
      <c r="E23" s="55">
        <v>0</v>
      </c>
      <c r="F23" s="18">
        <f>C23*D23*(1-E23)</f>
        <v>578.55875</v>
      </c>
    </row>
    <row r="24" spans="1:6" ht="12.75">
      <c r="A24" s="46" t="s">
        <v>104</v>
      </c>
      <c r="B24" s="8" t="s">
        <v>106</v>
      </c>
      <c r="C24" s="9" t="s">
        <v>5</v>
      </c>
      <c r="D24" s="6">
        <v>1320</v>
      </c>
      <c r="E24" s="53">
        <v>0</v>
      </c>
      <c r="F24" s="18">
        <f>C24*D24*(1-E24)</f>
        <v>1320</v>
      </c>
    </row>
    <row r="25" spans="1:6" ht="13.5" thickBot="1">
      <c r="A25" s="11"/>
      <c r="B25" s="25" t="s">
        <v>17</v>
      </c>
      <c r="C25" s="26" t="s">
        <v>5</v>
      </c>
      <c r="D25" s="27">
        <v>100</v>
      </c>
      <c r="E25" s="61">
        <v>0</v>
      </c>
      <c r="F25" s="18">
        <f>C25*D25*(1-E25)</f>
        <v>100</v>
      </c>
    </row>
    <row r="26" spans="1:6" ht="13.5" thickBot="1">
      <c r="A26" s="41"/>
      <c r="B26" s="20"/>
      <c r="C26" s="21"/>
      <c r="D26" s="22" t="s">
        <v>1</v>
      </c>
      <c r="E26" s="57"/>
      <c r="F26" s="23">
        <f>SUM(F23:F25)</f>
        <v>1998.5587500000001</v>
      </c>
    </row>
    <row r="27" spans="1:6" ht="13.5" thickBot="1">
      <c r="A27" s="44"/>
      <c r="B27" s="38"/>
      <c r="C27" s="38"/>
      <c r="D27" s="38"/>
      <c r="E27" s="38"/>
      <c r="F27" s="45"/>
    </row>
    <row r="28" spans="1:6" ht="12.75">
      <c r="A28" s="168" t="s">
        <v>21</v>
      </c>
      <c r="B28" s="169"/>
      <c r="C28" s="169"/>
      <c r="D28" s="169"/>
      <c r="E28" s="170"/>
      <c r="F28" s="171"/>
    </row>
    <row r="29" spans="1:6" ht="16.5" customHeight="1">
      <c r="A29" s="149" t="s">
        <v>18</v>
      </c>
      <c r="B29" s="150"/>
      <c r="C29" s="150"/>
      <c r="D29" s="150"/>
      <c r="E29" s="150"/>
      <c r="F29" s="151"/>
    </row>
    <row r="30" spans="1:6" ht="25.5">
      <c r="A30" s="3"/>
      <c r="B30" s="8" t="s">
        <v>19</v>
      </c>
      <c r="C30" s="9" t="s">
        <v>5</v>
      </c>
      <c r="D30" s="6">
        <v>399</v>
      </c>
      <c r="E30" s="55">
        <v>0</v>
      </c>
      <c r="F30" s="13">
        <f>C30*D30*(1-E30)</f>
        <v>399</v>
      </c>
    </row>
    <row r="31" spans="1:6" ht="13.5" thickBot="1">
      <c r="A31" s="43"/>
      <c r="B31" s="15" t="s">
        <v>28</v>
      </c>
      <c r="C31" s="16" t="s">
        <v>2</v>
      </c>
      <c r="D31" s="42">
        <v>150</v>
      </c>
      <c r="E31" s="53">
        <v>0</v>
      </c>
      <c r="F31" s="13">
        <f>C31*D31*(1-E31)</f>
        <v>300</v>
      </c>
    </row>
    <row r="32" spans="1:6" ht="13.5" thickBot="1">
      <c r="A32" s="19"/>
      <c r="B32" s="20"/>
      <c r="C32" s="21"/>
      <c r="D32" s="22" t="s">
        <v>1</v>
      </c>
      <c r="E32" s="57"/>
      <c r="F32" s="23">
        <f>SUM(F30:F31)</f>
        <v>699</v>
      </c>
    </row>
    <row r="33" spans="1:6" ht="13.5" thickBot="1">
      <c r="A33" s="44"/>
      <c r="B33" s="38"/>
      <c r="C33" s="38"/>
      <c r="D33" s="38"/>
      <c r="E33" s="38"/>
      <c r="F33" s="45"/>
    </row>
    <row r="34" spans="1:6" ht="17.25" customHeight="1">
      <c r="A34" s="156" t="s">
        <v>164</v>
      </c>
      <c r="B34" s="157"/>
      <c r="C34" s="157"/>
      <c r="D34" s="157"/>
      <c r="E34" s="163"/>
      <c r="F34" s="158"/>
    </row>
    <row r="35" spans="1:6" ht="17.25" customHeight="1">
      <c r="A35" s="149"/>
      <c r="B35" s="150"/>
      <c r="C35" s="150"/>
      <c r="D35" s="150"/>
      <c r="E35" s="150"/>
      <c r="F35" s="151"/>
    </row>
    <row r="36" spans="1:6" ht="12.75">
      <c r="A36" s="1" t="s">
        <v>8</v>
      </c>
      <c r="B36" s="4" t="s">
        <v>0</v>
      </c>
      <c r="C36" s="4" t="s">
        <v>3</v>
      </c>
      <c r="D36" s="4" t="s">
        <v>4</v>
      </c>
      <c r="E36" s="56" t="s">
        <v>48</v>
      </c>
      <c r="F36" s="10" t="s">
        <v>7</v>
      </c>
    </row>
    <row r="37" spans="1:6" ht="12.75">
      <c r="A37" s="164" t="s">
        <v>169</v>
      </c>
      <c r="B37" s="165"/>
      <c r="C37" s="165"/>
      <c r="D37" s="165"/>
      <c r="E37" s="166"/>
      <c r="F37" s="167"/>
    </row>
    <row r="38" spans="1:6" ht="12.75">
      <c r="A38" s="14" t="s">
        <v>24</v>
      </c>
      <c r="B38" s="15" t="s">
        <v>165</v>
      </c>
      <c r="C38" s="38">
        <v>1</v>
      </c>
      <c r="D38" s="17">
        <v>95000</v>
      </c>
      <c r="E38" s="55">
        <v>0</v>
      </c>
      <c r="F38" s="18">
        <f>C38*D38*(1-E38)</f>
        <v>95000</v>
      </c>
    </row>
    <row r="39" spans="1:6" ht="12.75">
      <c r="A39" s="3" t="s">
        <v>24</v>
      </c>
      <c r="B39" s="8"/>
      <c r="C39" s="9"/>
      <c r="D39" s="28" t="s">
        <v>1</v>
      </c>
      <c r="E39" s="53">
        <v>0</v>
      </c>
      <c r="F39" s="18">
        <f>SUM(F38:F38)</f>
        <v>95000</v>
      </c>
    </row>
    <row r="40" spans="1:6" ht="12.75">
      <c r="A40" s="24"/>
      <c r="B40" s="25"/>
      <c r="C40" s="26"/>
      <c r="D40" s="28" t="s">
        <v>166</v>
      </c>
      <c r="E40" s="61"/>
      <c r="F40" s="30">
        <v>64</v>
      </c>
    </row>
    <row r="41" spans="1:6" ht="12.75">
      <c r="A41" s="11"/>
      <c r="B41" s="8"/>
      <c r="C41" s="9"/>
      <c r="D41" s="28" t="s">
        <v>167</v>
      </c>
      <c r="E41" s="58"/>
      <c r="F41" s="49">
        <v>0</v>
      </c>
    </row>
    <row r="42" spans="1:6" ht="13.5" thickBot="1">
      <c r="A42" s="31"/>
      <c r="B42" s="32"/>
      <c r="C42" s="33"/>
      <c r="D42" s="34" t="s">
        <v>168</v>
      </c>
      <c r="E42" s="60"/>
      <c r="F42" s="35">
        <f>F39/F40*(1-F41)</f>
        <v>1484.375</v>
      </c>
    </row>
    <row r="43" spans="1:6" ht="12.75">
      <c r="A43" s="44"/>
      <c r="B43" s="38"/>
      <c r="C43" s="38"/>
      <c r="D43" s="38"/>
      <c r="E43" s="38"/>
      <c r="F43" s="45"/>
    </row>
    <row r="44" spans="1:6" ht="12.75">
      <c r="A44" s="164" t="s">
        <v>170</v>
      </c>
      <c r="B44" s="165"/>
      <c r="C44" s="165"/>
      <c r="D44" s="165"/>
      <c r="E44" s="166"/>
      <c r="F44" s="167"/>
    </row>
    <row r="45" spans="1:6" ht="12.75">
      <c r="A45" s="14" t="s">
        <v>24</v>
      </c>
      <c r="B45" s="15" t="s">
        <v>171</v>
      </c>
      <c r="C45" s="38">
        <v>1</v>
      </c>
      <c r="D45" s="17">
        <v>125000</v>
      </c>
      <c r="E45" s="55">
        <v>0</v>
      </c>
      <c r="F45" s="18">
        <f>C45*D45*(1-E45)</f>
        <v>125000</v>
      </c>
    </row>
    <row r="46" spans="1:6" ht="12.75">
      <c r="A46" s="3" t="s">
        <v>24</v>
      </c>
      <c r="B46" s="8"/>
      <c r="C46" s="9"/>
      <c r="D46" s="28" t="s">
        <v>1</v>
      </c>
      <c r="E46" s="53">
        <v>0</v>
      </c>
      <c r="F46" s="18">
        <f>SUM(F45:F45)</f>
        <v>125000</v>
      </c>
    </row>
    <row r="47" spans="1:6" ht="12.75">
      <c r="A47" s="24"/>
      <c r="B47" s="25"/>
      <c r="C47" s="26"/>
      <c r="D47" s="28" t="s">
        <v>166</v>
      </c>
      <c r="E47" s="61"/>
      <c r="F47" s="30">
        <v>64</v>
      </c>
    </row>
    <row r="48" spans="1:6" ht="12.75">
      <c r="A48" s="11"/>
      <c r="B48" s="8"/>
      <c r="C48" s="9"/>
      <c r="D48" s="28" t="s">
        <v>167</v>
      </c>
      <c r="E48" s="58"/>
      <c r="F48" s="49">
        <v>0</v>
      </c>
    </row>
    <row r="49" spans="1:6" ht="13.5" thickBot="1">
      <c r="A49" s="31"/>
      <c r="B49" s="32"/>
      <c r="C49" s="33"/>
      <c r="D49" s="34" t="s">
        <v>168</v>
      </c>
      <c r="E49" s="60"/>
      <c r="F49" s="35">
        <f>F46/F47*(1-F48)</f>
        <v>1953.125</v>
      </c>
    </row>
    <row r="50" spans="1:6" ht="12.75">
      <c r="A50" s="44"/>
      <c r="B50" s="38"/>
      <c r="C50" s="38"/>
      <c r="D50" s="38"/>
      <c r="E50" s="38"/>
      <c r="F50" s="45"/>
    </row>
    <row r="51" spans="1:6" ht="12.75">
      <c r="A51" s="164" t="s">
        <v>172</v>
      </c>
      <c r="B51" s="165"/>
      <c r="C51" s="165"/>
      <c r="D51" s="165"/>
      <c r="E51" s="166"/>
      <c r="F51" s="167"/>
    </row>
    <row r="52" spans="1:6" ht="12.75">
      <c r="A52" s="14" t="s">
        <v>24</v>
      </c>
      <c r="B52" s="15" t="s">
        <v>173</v>
      </c>
      <c r="C52" s="38">
        <v>1</v>
      </c>
      <c r="D52" s="17">
        <v>18661</v>
      </c>
      <c r="E52" s="55">
        <v>0</v>
      </c>
      <c r="F52" s="18">
        <f>C52*D52*(1-E52)</f>
        <v>18661</v>
      </c>
    </row>
    <row r="53" spans="1:6" ht="12.75">
      <c r="A53" s="3" t="s">
        <v>24</v>
      </c>
      <c r="B53" s="8"/>
      <c r="C53" s="9"/>
      <c r="D53" s="28" t="s">
        <v>1</v>
      </c>
      <c r="E53" s="53">
        <v>0</v>
      </c>
      <c r="F53" s="18">
        <f>SUM(F52:F52)</f>
        <v>18661</v>
      </c>
    </row>
    <row r="54" spans="1:6" ht="12.75">
      <c r="A54" s="24"/>
      <c r="B54" s="25"/>
      <c r="C54" s="26"/>
      <c r="D54" s="28" t="s">
        <v>166</v>
      </c>
      <c r="E54" s="61"/>
      <c r="F54" s="30">
        <v>32</v>
      </c>
    </row>
    <row r="55" spans="1:6" ht="12.75">
      <c r="A55" s="11"/>
      <c r="B55" s="8"/>
      <c r="C55" s="9"/>
      <c r="D55" s="28" t="s">
        <v>167</v>
      </c>
      <c r="E55" s="58"/>
      <c r="F55" s="49">
        <f>4/32</f>
        <v>0.125</v>
      </c>
    </row>
    <row r="56" spans="1:6" ht="13.5" thickBot="1">
      <c r="A56" s="31"/>
      <c r="B56" s="32"/>
      <c r="C56" s="33"/>
      <c r="D56" s="34" t="s">
        <v>168</v>
      </c>
      <c r="E56" s="60"/>
      <c r="F56" s="35">
        <f>F53/F54*(1-F55)</f>
        <v>510.26171875</v>
      </c>
    </row>
    <row r="57" spans="1:6" ht="12.75">
      <c r="A57" s="44"/>
      <c r="B57" s="38"/>
      <c r="C57" s="38"/>
      <c r="D57" s="38"/>
      <c r="E57" s="38"/>
      <c r="F57" s="45"/>
    </row>
    <row r="58" spans="1:6" ht="12.75">
      <c r="A58" s="164" t="s">
        <v>172</v>
      </c>
      <c r="B58" s="165"/>
      <c r="C58" s="165"/>
      <c r="D58" s="165"/>
      <c r="E58" s="166"/>
      <c r="F58" s="167"/>
    </row>
    <row r="59" spans="1:6" ht="12.75">
      <c r="A59" s="14" t="s">
        <v>24</v>
      </c>
      <c r="B59" s="15" t="s">
        <v>193</v>
      </c>
      <c r="C59" s="38">
        <v>2</v>
      </c>
      <c r="D59" s="17">
        <v>16450</v>
      </c>
      <c r="E59" s="55">
        <v>0</v>
      </c>
      <c r="F59" s="18">
        <f>C59*D59*(1-E59)</f>
        <v>32900</v>
      </c>
    </row>
    <row r="60" spans="1:6" ht="12.75">
      <c r="A60" s="3" t="s">
        <v>24</v>
      </c>
      <c r="B60" s="8" t="s">
        <v>194</v>
      </c>
      <c r="C60" s="9" t="s">
        <v>2</v>
      </c>
      <c r="D60" s="99">
        <v>4708.72</v>
      </c>
      <c r="E60" s="53">
        <v>0</v>
      </c>
      <c r="F60" s="18">
        <f>C60*D60*(1-E60)</f>
        <v>9417.44</v>
      </c>
    </row>
    <row r="61" spans="1:6" ht="12.75">
      <c r="A61" s="3" t="s">
        <v>24</v>
      </c>
      <c r="B61" s="8"/>
      <c r="C61" s="9"/>
      <c r="D61" s="28" t="s">
        <v>1</v>
      </c>
      <c r="E61" s="53">
        <v>0</v>
      </c>
      <c r="F61" s="18">
        <f>SUM(F59:F60)</f>
        <v>42317.44</v>
      </c>
    </row>
    <row r="62" spans="1:6" ht="12.75">
      <c r="A62" s="24"/>
      <c r="B62" s="25"/>
      <c r="C62" s="26"/>
      <c r="D62" s="28" t="s">
        <v>166</v>
      </c>
      <c r="E62" s="61"/>
      <c r="F62" s="30">
        <v>64</v>
      </c>
    </row>
    <row r="63" spans="1:6" ht="12.75">
      <c r="A63" s="11"/>
      <c r="B63" s="8"/>
      <c r="C63" s="9"/>
      <c r="D63" s="28" t="s">
        <v>167</v>
      </c>
      <c r="E63" s="58"/>
      <c r="F63" s="49">
        <f>4/32</f>
        <v>0.125</v>
      </c>
    </row>
    <row r="64" spans="1:6" ht="13.5" thickBot="1">
      <c r="A64" s="31"/>
      <c r="B64" s="32"/>
      <c r="C64" s="33"/>
      <c r="D64" s="34" t="s">
        <v>168</v>
      </c>
      <c r="E64" s="60"/>
      <c r="F64" s="35">
        <f>F61/F62*(1-F63)</f>
        <v>578.55875</v>
      </c>
    </row>
    <row r="65" spans="1:6" ht="13.5" thickBot="1">
      <c r="A65" s="44"/>
      <c r="B65" s="38"/>
      <c r="C65" s="38"/>
      <c r="D65" s="38"/>
      <c r="E65" s="38"/>
      <c r="F65" s="45"/>
    </row>
    <row r="66" spans="1:6" ht="17.25" customHeight="1">
      <c r="A66" s="156" t="s">
        <v>98</v>
      </c>
      <c r="B66" s="157"/>
      <c r="C66" s="157"/>
      <c r="D66" s="157"/>
      <c r="E66" s="163"/>
      <c r="F66" s="158"/>
    </row>
    <row r="67" spans="1:6" ht="17.25" customHeight="1" thickBot="1">
      <c r="A67" s="149" t="s">
        <v>25</v>
      </c>
      <c r="B67" s="150"/>
      <c r="C67" s="150"/>
      <c r="D67" s="150"/>
      <c r="E67" s="150"/>
      <c r="F67" s="151"/>
    </row>
    <row r="68" spans="1:6" ht="12.75">
      <c r="A68" s="152" t="s">
        <v>61</v>
      </c>
      <c r="B68" s="153"/>
      <c r="C68" s="153"/>
      <c r="D68" s="153"/>
      <c r="E68" s="154"/>
      <c r="F68" s="155"/>
    </row>
    <row r="69" spans="1:6" ht="16.5" customHeight="1">
      <c r="A69" s="149" t="s">
        <v>20</v>
      </c>
      <c r="B69" s="150"/>
      <c r="C69" s="150"/>
      <c r="D69" s="150"/>
      <c r="E69" s="150"/>
      <c r="F69" s="151"/>
    </row>
    <row r="70" spans="1:6" ht="12.75">
      <c r="A70" s="11"/>
      <c r="B70" s="5" t="s">
        <v>23</v>
      </c>
      <c r="C70" s="9" t="s">
        <v>5</v>
      </c>
      <c r="D70" s="12">
        <v>42480</v>
      </c>
      <c r="E70" s="55">
        <v>0</v>
      </c>
      <c r="F70" s="13">
        <f>C70*D70*(1-E70)</f>
        <v>42480</v>
      </c>
    </row>
    <row r="71" spans="1:6" ht="12.75">
      <c r="A71" s="11"/>
      <c r="B71" s="7" t="s">
        <v>9</v>
      </c>
      <c r="C71" s="9" t="s">
        <v>5</v>
      </c>
      <c r="D71" s="12">
        <v>0</v>
      </c>
      <c r="E71" s="53">
        <v>0</v>
      </c>
      <c r="F71" s="13">
        <f>C71*D71*(1-E71)</f>
        <v>0</v>
      </c>
    </row>
    <row r="72" spans="1:6" ht="12.75">
      <c r="A72" s="11"/>
      <c r="B72" s="7" t="s">
        <v>10</v>
      </c>
      <c r="C72" s="9" t="s">
        <v>5</v>
      </c>
      <c r="D72" s="12">
        <v>0</v>
      </c>
      <c r="E72" s="55">
        <v>0</v>
      </c>
      <c r="F72" s="13">
        <f>C72*D72*(1-E72)</f>
        <v>0</v>
      </c>
    </row>
    <row r="73" spans="1:6" ht="12.75">
      <c r="A73" s="11"/>
      <c r="B73" s="8" t="s">
        <v>6</v>
      </c>
      <c r="C73" s="9" t="s">
        <v>5</v>
      </c>
      <c r="D73" s="12">
        <v>100</v>
      </c>
      <c r="E73" s="53">
        <v>0</v>
      </c>
      <c r="F73" s="13">
        <f>C73*D73*(1-E73)</f>
        <v>100</v>
      </c>
    </row>
    <row r="74" spans="1:6" ht="12.75">
      <c r="A74" s="11"/>
      <c r="B74" s="8" t="s">
        <v>67</v>
      </c>
      <c r="C74" s="9" t="s">
        <v>65</v>
      </c>
      <c r="D74" s="12">
        <v>216.83</v>
      </c>
      <c r="E74" s="55">
        <v>0</v>
      </c>
      <c r="F74" s="13">
        <f>C74*D74*(1-E74)</f>
        <v>6938.56</v>
      </c>
    </row>
    <row r="75" spans="1:6" ht="12.75">
      <c r="A75" s="11"/>
      <c r="B75" s="8"/>
      <c r="C75" s="9"/>
      <c r="D75" s="28" t="s">
        <v>1</v>
      </c>
      <c r="E75" s="58"/>
      <c r="F75" s="29">
        <f>SUM(F70:F74)</f>
        <v>49518.56</v>
      </c>
    </row>
    <row r="76" spans="1:6" ht="12.75">
      <c r="A76" s="11"/>
      <c r="B76" s="8"/>
      <c r="C76" s="9"/>
      <c r="D76" s="28" t="s">
        <v>45</v>
      </c>
      <c r="E76" s="58"/>
      <c r="F76" s="30">
        <v>300</v>
      </c>
    </row>
    <row r="77" spans="1:6" ht="12.75">
      <c r="A77" s="11"/>
      <c r="B77" s="8"/>
      <c r="C77" s="9"/>
      <c r="D77" s="28" t="s">
        <v>44</v>
      </c>
      <c r="E77" s="58"/>
      <c r="F77" s="30">
        <f>272000/1024</f>
        <v>265.625</v>
      </c>
    </row>
    <row r="78" spans="1:6" ht="12.75">
      <c r="A78" s="11"/>
      <c r="B78" s="8"/>
      <c r="C78" s="9"/>
      <c r="D78" s="28" t="s">
        <v>40</v>
      </c>
      <c r="E78" s="58"/>
      <c r="F78" s="30">
        <v>14</v>
      </c>
    </row>
    <row r="79" spans="1:6" ht="12.75">
      <c r="A79" s="11"/>
      <c r="B79" s="8"/>
      <c r="C79" s="9"/>
      <c r="D79" s="28" t="s">
        <v>41</v>
      </c>
      <c r="E79" s="58"/>
      <c r="F79" s="30">
        <f>F77*F78</f>
        <v>3718.75</v>
      </c>
    </row>
    <row r="80" spans="1:6" ht="12.75">
      <c r="A80" s="11"/>
      <c r="B80" s="8"/>
      <c r="C80" s="9"/>
      <c r="D80" s="28" t="s">
        <v>11</v>
      </c>
      <c r="E80" s="58"/>
      <c r="F80" s="30">
        <f>2*F77</f>
        <v>531.25</v>
      </c>
    </row>
    <row r="81" spans="1:6" ht="12.75">
      <c r="A81" s="11"/>
      <c r="B81" s="8"/>
      <c r="C81" s="9"/>
      <c r="D81" s="28" t="s">
        <v>37</v>
      </c>
      <c r="E81" s="58"/>
      <c r="F81" s="30">
        <v>0</v>
      </c>
    </row>
    <row r="82" spans="1:6" ht="12.75">
      <c r="A82" s="14"/>
      <c r="B82" s="15"/>
      <c r="C82" s="16"/>
      <c r="D82" s="36" t="s">
        <v>42</v>
      </c>
      <c r="E82" s="59"/>
      <c r="F82" s="37">
        <f>F79-F80-F81</f>
        <v>3187.5</v>
      </c>
    </row>
    <row r="83" spans="1:6" ht="12.75">
      <c r="A83" s="14"/>
      <c r="B83" s="15"/>
      <c r="C83" s="16"/>
      <c r="D83" s="36" t="s">
        <v>38</v>
      </c>
      <c r="E83" s="59"/>
      <c r="F83" s="37">
        <f>0.1*F82</f>
        <v>318.75</v>
      </c>
    </row>
    <row r="84" spans="1:6" ht="12.75">
      <c r="A84" s="14"/>
      <c r="B84" s="15"/>
      <c r="C84" s="16"/>
      <c r="D84" s="36" t="s">
        <v>39</v>
      </c>
      <c r="E84" s="59"/>
      <c r="F84" s="37">
        <f>F82-F83</f>
        <v>2868.75</v>
      </c>
    </row>
    <row r="85" spans="1:7" ht="25.5">
      <c r="A85" s="14"/>
      <c r="B85" s="15"/>
      <c r="C85" s="16"/>
      <c r="D85" s="36" t="s">
        <v>43</v>
      </c>
      <c r="E85" s="59"/>
      <c r="F85" s="49">
        <f>(F79-F84)/F79</f>
        <v>0.22857142857142856</v>
      </c>
      <c r="G85" s="50"/>
    </row>
    <row r="86" spans="1:7" ht="25.5">
      <c r="A86" s="14"/>
      <c r="B86" s="15"/>
      <c r="C86" s="16"/>
      <c r="D86" s="36" t="s">
        <v>47</v>
      </c>
      <c r="E86" s="59"/>
      <c r="F86" s="49">
        <f>(F79-F84+F78*(F76-F77))/(F76*F78)</f>
        <v>0.3169642857142857</v>
      </c>
      <c r="G86" s="50"/>
    </row>
    <row r="87" spans="1:6" ht="26.25" thickBot="1">
      <c r="A87" s="31"/>
      <c r="B87" s="32"/>
      <c r="C87" s="33"/>
      <c r="D87" s="34" t="s">
        <v>12</v>
      </c>
      <c r="E87" s="60"/>
      <c r="F87" s="35">
        <f>F75/(F84/100)</f>
        <v>1726.1371677559912</v>
      </c>
    </row>
    <row r="88" spans="1:6" ht="13.5" thickBot="1">
      <c r="A88" s="44"/>
      <c r="B88" s="38"/>
      <c r="C88" s="38"/>
      <c r="D88" s="38"/>
      <c r="E88" s="38"/>
      <c r="F88" s="45"/>
    </row>
    <row r="89" spans="1:6" ht="12.75" customHeight="1">
      <c r="A89" s="152" t="s">
        <v>13</v>
      </c>
      <c r="B89" s="153"/>
      <c r="C89" s="153"/>
      <c r="D89" s="153"/>
      <c r="E89" s="154"/>
      <c r="F89" s="155"/>
    </row>
    <row r="90" spans="1:6" ht="16.5" customHeight="1">
      <c r="A90" s="149" t="s">
        <v>20</v>
      </c>
      <c r="B90" s="150"/>
      <c r="C90" s="150"/>
      <c r="D90" s="150"/>
      <c r="E90" s="150"/>
      <c r="F90" s="151"/>
    </row>
    <row r="91" spans="1:6" ht="12.75">
      <c r="A91" s="11"/>
      <c r="B91" s="5" t="s">
        <v>23</v>
      </c>
      <c r="C91" s="9" t="s">
        <v>5</v>
      </c>
      <c r="D91" s="12">
        <v>31590</v>
      </c>
      <c r="E91" s="55">
        <v>0</v>
      </c>
      <c r="F91" s="13">
        <f>C91*D91*(1-E91)</f>
        <v>31590</v>
      </c>
    </row>
    <row r="92" spans="1:6" ht="12.75">
      <c r="A92" s="11"/>
      <c r="B92" s="7" t="s">
        <v>9</v>
      </c>
      <c r="C92" s="9" t="s">
        <v>5</v>
      </c>
      <c r="D92" s="12">
        <v>0</v>
      </c>
      <c r="E92" s="53">
        <v>0</v>
      </c>
      <c r="F92" s="13">
        <f>C92*D92*(1-E92)</f>
        <v>0</v>
      </c>
    </row>
    <row r="93" spans="1:6" ht="12.75">
      <c r="A93" s="11"/>
      <c r="B93" s="7" t="s">
        <v>10</v>
      </c>
      <c r="C93" s="9" t="s">
        <v>5</v>
      </c>
      <c r="D93" s="12">
        <v>0</v>
      </c>
      <c r="E93" s="55">
        <v>0</v>
      </c>
      <c r="F93" s="13">
        <f>C93*D93*(1-E93)</f>
        <v>0</v>
      </c>
    </row>
    <row r="94" spans="1:6" ht="12.75">
      <c r="A94" s="11"/>
      <c r="B94" s="8" t="s">
        <v>6</v>
      </c>
      <c r="C94" s="9" t="s">
        <v>5</v>
      </c>
      <c r="D94" s="12">
        <v>100</v>
      </c>
      <c r="E94" s="53">
        <v>0</v>
      </c>
      <c r="F94" s="13">
        <f>C94*D94*(1-E94)</f>
        <v>100</v>
      </c>
    </row>
    <row r="95" spans="1:6" ht="12.75">
      <c r="A95" s="11"/>
      <c r="B95" s="8" t="s">
        <v>67</v>
      </c>
      <c r="C95" s="9" t="s">
        <v>65</v>
      </c>
      <c r="D95" s="12">
        <v>210.6</v>
      </c>
      <c r="E95" s="55">
        <v>0</v>
      </c>
      <c r="F95" s="13">
        <f>C95*D95*(1-E95)</f>
        <v>6739.2</v>
      </c>
    </row>
    <row r="96" spans="1:6" ht="12.75">
      <c r="A96" s="11"/>
      <c r="B96" s="8"/>
      <c r="C96" s="9"/>
      <c r="D96" s="28" t="s">
        <v>1</v>
      </c>
      <c r="E96" s="58"/>
      <c r="F96" s="29">
        <f>SUM(F91:F95)</f>
        <v>38429.2</v>
      </c>
    </row>
    <row r="97" spans="1:6" ht="12.75">
      <c r="A97" s="11"/>
      <c r="B97" s="8"/>
      <c r="C97" s="9"/>
      <c r="D97" s="28" t="s">
        <v>45</v>
      </c>
      <c r="E97" s="58"/>
      <c r="F97" s="30">
        <v>144</v>
      </c>
    </row>
    <row r="98" spans="1:6" ht="12.75">
      <c r="A98" s="11"/>
      <c r="B98" s="8"/>
      <c r="C98" s="9"/>
      <c r="D98" s="28" t="s">
        <v>44</v>
      </c>
      <c r="E98" s="58"/>
      <c r="F98" s="30">
        <v>132.8125</v>
      </c>
    </row>
    <row r="99" spans="1:6" ht="12.75">
      <c r="A99" s="11"/>
      <c r="B99" s="8"/>
      <c r="C99" s="9"/>
      <c r="D99" s="28" t="s">
        <v>40</v>
      </c>
      <c r="E99" s="58"/>
      <c r="F99" s="30">
        <v>14</v>
      </c>
    </row>
    <row r="100" spans="1:6" ht="12.75">
      <c r="A100" s="11"/>
      <c r="B100" s="8"/>
      <c r="C100" s="9"/>
      <c r="D100" s="28" t="s">
        <v>41</v>
      </c>
      <c r="E100" s="58"/>
      <c r="F100" s="30">
        <f>F98*F99</f>
        <v>1859.375</v>
      </c>
    </row>
    <row r="101" spans="1:6" ht="12.75">
      <c r="A101" s="11"/>
      <c r="B101" s="8"/>
      <c r="C101" s="9"/>
      <c r="D101" s="28" t="s">
        <v>11</v>
      </c>
      <c r="E101" s="58"/>
      <c r="F101" s="30">
        <f>2*F98</f>
        <v>265.625</v>
      </c>
    </row>
    <row r="102" spans="1:6" ht="12.75">
      <c r="A102" s="11"/>
      <c r="B102" s="8"/>
      <c r="C102" s="9"/>
      <c r="D102" s="28" t="s">
        <v>37</v>
      </c>
      <c r="E102" s="58"/>
      <c r="F102" s="30">
        <v>0</v>
      </c>
    </row>
    <row r="103" spans="1:6" ht="12.75">
      <c r="A103" s="14"/>
      <c r="B103" s="15"/>
      <c r="C103" s="16"/>
      <c r="D103" s="36" t="s">
        <v>42</v>
      </c>
      <c r="E103" s="59"/>
      <c r="F103" s="37">
        <f>F100-F101-F102</f>
        <v>1593.75</v>
      </c>
    </row>
    <row r="104" spans="1:6" ht="12.75">
      <c r="A104" s="14"/>
      <c r="B104" s="15"/>
      <c r="C104" s="16"/>
      <c r="D104" s="36" t="s">
        <v>38</v>
      </c>
      <c r="E104" s="59"/>
      <c r="F104" s="37">
        <f>0.1*F103</f>
        <v>159.375</v>
      </c>
    </row>
    <row r="105" spans="1:6" ht="12.75">
      <c r="A105" s="14"/>
      <c r="B105" s="15"/>
      <c r="C105" s="16"/>
      <c r="D105" s="36" t="s">
        <v>39</v>
      </c>
      <c r="E105" s="59"/>
      <c r="F105" s="37">
        <f>F103-F104</f>
        <v>1434.375</v>
      </c>
    </row>
    <row r="106" spans="1:7" ht="25.5">
      <c r="A106" s="14"/>
      <c r="B106" s="15"/>
      <c r="C106" s="16"/>
      <c r="D106" s="36" t="s">
        <v>43</v>
      </c>
      <c r="E106" s="59"/>
      <c r="F106" s="49">
        <f>(F100-F105)/F100</f>
        <v>0.22857142857142856</v>
      </c>
      <c r="G106" s="50"/>
    </row>
    <row r="107" spans="1:7" ht="25.5">
      <c r="A107" s="14"/>
      <c r="B107" s="15"/>
      <c r="C107" s="16"/>
      <c r="D107" s="36" t="s">
        <v>47</v>
      </c>
      <c r="E107" s="59"/>
      <c r="F107" s="49">
        <f>(F100-F105+F99*(F97-F98))/(F97*F99)</f>
        <v>0.2885044642857143</v>
      </c>
      <c r="G107" s="50"/>
    </row>
    <row r="108" spans="1:6" ht="26.25" thickBot="1">
      <c r="A108" s="31"/>
      <c r="B108" s="32"/>
      <c r="C108" s="33"/>
      <c r="D108" s="34" t="s">
        <v>12</v>
      </c>
      <c r="E108" s="60"/>
      <c r="F108" s="35">
        <f>F96/(F105/100)</f>
        <v>2679.15991285403</v>
      </c>
    </row>
    <row r="109" spans="1:6" ht="13.5" thickBot="1">
      <c r="A109" s="44"/>
      <c r="B109" s="38"/>
      <c r="C109" s="38"/>
      <c r="D109" s="38"/>
      <c r="E109" s="38"/>
      <c r="F109" s="45"/>
    </row>
    <row r="110" spans="1:6" ht="12.75">
      <c r="A110" s="152" t="s">
        <v>14</v>
      </c>
      <c r="B110" s="153"/>
      <c r="C110" s="153"/>
      <c r="D110" s="153"/>
      <c r="E110" s="154"/>
      <c r="F110" s="155"/>
    </row>
    <row r="111" spans="1:6" ht="16.5" customHeight="1">
      <c r="A111" s="159" t="s">
        <v>20</v>
      </c>
      <c r="B111" s="160"/>
      <c r="C111" s="160"/>
      <c r="D111" s="160"/>
      <c r="E111" s="161"/>
      <c r="F111" s="162"/>
    </row>
    <row r="112" spans="1:6" ht="12.75">
      <c r="A112" s="11"/>
      <c r="B112" s="5" t="s">
        <v>15</v>
      </c>
      <c r="C112" s="9" t="s">
        <v>5</v>
      </c>
      <c r="D112" s="12">
        <v>39990</v>
      </c>
      <c r="E112" s="55">
        <v>0</v>
      </c>
      <c r="F112" s="13">
        <f>C112*D112*(1-E112)</f>
        <v>39990</v>
      </c>
    </row>
    <row r="113" spans="1:6" ht="12.75">
      <c r="A113" s="11"/>
      <c r="B113" s="7" t="s">
        <v>16</v>
      </c>
      <c r="C113" s="9" t="s">
        <v>5</v>
      </c>
      <c r="D113" s="12">
        <v>125</v>
      </c>
      <c r="E113" s="53">
        <v>0</v>
      </c>
      <c r="F113" s="13">
        <f>C113*D113*(1-E113)</f>
        <v>125</v>
      </c>
    </row>
    <row r="114" spans="1:6" ht="12.75">
      <c r="A114" s="11"/>
      <c r="B114" s="7" t="s">
        <v>10</v>
      </c>
      <c r="C114" s="9" t="s">
        <v>5</v>
      </c>
      <c r="D114" s="12">
        <v>0</v>
      </c>
      <c r="E114" s="55">
        <v>0</v>
      </c>
      <c r="F114" s="13">
        <f>C114*D114*(1-E114)</f>
        <v>0</v>
      </c>
    </row>
    <row r="115" spans="1:6" ht="12.75">
      <c r="A115" s="11"/>
      <c r="B115" s="8" t="s">
        <v>6</v>
      </c>
      <c r="C115" s="9" t="s">
        <v>5</v>
      </c>
      <c r="D115" s="12">
        <v>100</v>
      </c>
      <c r="E115" s="53">
        <v>0</v>
      </c>
      <c r="F115" s="13">
        <f>C115*D115*(1-E115)</f>
        <v>100</v>
      </c>
    </row>
    <row r="116" spans="1:6" ht="12.75">
      <c r="A116" s="11"/>
      <c r="B116" s="8" t="s">
        <v>66</v>
      </c>
      <c r="C116" s="9" t="s">
        <v>65</v>
      </c>
      <c r="D116" s="12">
        <v>266.6</v>
      </c>
      <c r="E116" s="55">
        <v>0</v>
      </c>
      <c r="F116" s="13">
        <f>C116*D116*(1-E116)</f>
        <v>8531.2</v>
      </c>
    </row>
    <row r="117" spans="1:6" ht="12.75">
      <c r="A117" s="11"/>
      <c r="B117" s="8"/>
      <c r="C117" s="9"/>
      <c r="D117" s="28" t="s">
        <v>1</v>
      </c>
      <c r="E117" s="58"/>
      <c r="F117" s="29">
        <f>SUM(F112:F116)</f>
        <v>48746.2</v>
      </c>
    </row>
    <row r="118" spans="1:6" ht="12.75">
      <c r="A118" s="11"/>
      <c r="B118" s="8"/>
      <c r="C118" s="9"/>
      <c r="D118" s="28" t="s">
        <v>45</v>
      </c>
      <c r="E118" s="58"/>
      <c r="F118" s="30">
        <v>500</v>
      </c>
    </row>
    <row r="119" spans="1:6" ht="12.75">
      <c r="A119" s="11"/>
      <c r="B119" s="8"/>
      <c r="C119" s="9"/>
      <c r="D119" s="28" t="s">
        <v>44</v>
      </c>
      <c r="E119" s="58"/>
      <c r="F119" s="30">
        <v>413.1943359</v>
      </c>
    </row>
    <row r="120" spans="1:6" ht="12.75">
      <c r="A120" s="11"/>
      <c r="B120" s="8"/>
      <c r="C120" s="9"/>
      <c r="D120" s="28" t="s">
        <v>40</v>
      </c>
      <c r="E120" s="58"/>
      <c r="F120" s="30">
        <v>14</v>
      </c>
    </row>
    <row r="121" spans="1:6" ht="12.75">
      <c r="A121" s="11"/>
      <c r="B121" s="8"/>
      <c r="C121" s="9"/>
      <c r="D121" s="28" t="s">
        <v>41</v>
      </c>
      <c r="E121" s="58"/>
      <c r="F121" s="30">
        <f>F119*F120</f>
        <v>5784.7207026</v>
      </c>
    </row>
    <row r="122" spans="1:6" ht="12.75">
      <c r="A122" s="11"/>
      <c r="B122" s="8"/>
      <c r="C122" s="9"/>
      <c r="D122" s="28" t="s">
        <v>11</v>
      </c>
      <c r="E122" s="58"/>
      <c r="F122" s="30">
        <f>2*F119</f>
        <v>826.3886718</v>
      </c>
    </row>
    <row r="123" spans="1:6" ht="12.75">
      <c r="A123" s="11"/>
      <c r="B123" s="8"/>
      <c r="C123" s="9"/>
      <c r="D123" s="28" t="s">
        <v>37</v>
      </c>
      <c r="E123" s="58"/>
      <c r="F123" s="30">
        <v>0</v>
      </c>
    </row>
    <row r="124" spans="1:6" ht="12.75">
      <c r="A124" s="11"/>
      <c r="B124" s="8"/>
      <c r="C124" s="9"/>
      <c r="D124" s="28" t="s">
        <v>42</v>
      </c>
      <c r="E124" s="58"/>
      <c r="F124" s="30">
        <f>F121-F122-F123</f>
        <v>4958.332030799999</v>
      </c>
    </row>
    <row r="125" spans="1:6" ht="12.75">
      <c r="A125" s="11"/>
      <c r="B125" s="8"/>
      <c r="C125" s="9"/>
      <c r="D125" s="28" t="s">
        <v>38</v>
      </c>
      <c r="E125" s="58"/>
      <c r="F125" s="30">
        <f>0.1*F124</f>
        <v>495.83320308</v>
      </c>
    </row>
    <row r="126" spans="1:6" ht="12.75">
      <c r="A126" s="11"/>
      <c r="B126" s="8"/>
      <c r="C126" s="9"/>
      <c r="D126" s="28" t="s">
        <v>39</v>
      </c>
      <c r="E126" s="58"/>
      <c r="F126" s="30">
        <f>F124-F125</f>
        <v>4462.498827719999</v>
      </c>
    </row>
    <row r="127" spans="1:6" ht="25.5">
      <c r="A127" s="11"/>
      <c r="B127" s="8"/>
      <c r="C127" s="9"/>
      <c r="D127" s="28" t="s">
        <v>43</v>
      </c>
      <c r="E127" s="58"/>
      <c r="F127" s="52">
        <f>(F121-F126)/F121</f>
        <v>0.22857142857142868</v>
      </c>
    </row>
    <row r="128" spans="1:6" ht="25.5">
      <c r="A128" s="11"/>
      <c r="B128" s="8"/>
      <c r="C128" s="9"/>
      <c r="D128" s="28" t="s">
        <v>47</v>
      </c>
      <c r="E128" s="58"/>
      <c r="F128" s="52">
        <f>(F121-F126+F120*(F118-F119))/(F120*F118)</f>
        <v>0.3625001674685715</v>
      </c>
    </row>
    <row r="129" spans="1:6" ht="26.25" thickBot="1">
      <c r="A129" s="31"/>
      <c r="B129" s="32"/>
      <c r="C129" s="33"/>
      <c r="D129" s="34" t="s">
        <v>12</v>
      </c>
      <c r="E129" s="60"/>
      <c r="F129" s="35">
        <f>F117/(F126/100)</f>
        <v>1092.3521076846005</v>
      </c>
    </row>
    <row r="130" ht="13.5" thickBot="1"/>
    <row r="131" spans="1:6" ht="12.75">
      <c r="A131" s="152" t="s">
        <v>99</v>
      </c>
      <c r="B131" s="153"/>
      <c r="C131" s="153"/>
      <c r="D131" s="153"/>
      <c r="E131" s="154"/>
      <c r="F131" s="155"/>
    </row>
    <row r="132" spans="1:6" ht="12.75">
      <c r="A132" s="149" t="s">
        <v>33</v>
      </c>
      <c r="B132" s="150"/>
      <c r="C132" s="150"/>
      <c r="D132" s="150"/>
      <c r="E132" s="150"/>
      <c r="F132" s="151"/>
    </row>
    <row r="133" spans="1:6" ht="12.75">
      <c r="A133" s="11"/>
      <c r="B133" s="5" t="s">
        <v>64</v>
      </c>
      <c r="C133" s="48">
        <v>1</v>
      </c>
      <c r="D133" s="12">
        <v>168000</v>
      </c>
      <c r="E133" s="62">
        <v>0</v>
      </c>
      <c r="F133" s="13">
        <f>C133*D133*(1-E133)</f>
        <v>168000</v>
      </c>
    </row>
    <row r="134" spans="1:6" ht="12.75">
      <c r="A134" s="11"/>
      <c r="B134" s="8"/>
      <c r="C134" s="9"/>
      <c r="D134" s="28" t="s">
        <v>1</v>
      </c>
      <c r="E134" s="58"/>
      <c r="F134" s="29">
        <f>SUM(F133:F133)</f>
        <v>168000</v>
      </c>
    </row>
    <row r="135" spans="1:6" ht="25.5">
      <c r="A135" s="11"/>
      <c r="B135" s="8"/>
      <c r="C135" s="9"/>
      <c r="D135" s="28" t="s">
        <v>46</v>
      </c>
      <c r="E135" s="58"/>
      <c r="F135" s="30">
        <v>50000</v>
      </c>
    </row>
    <row r="136" spans="1:6" ht="38.25">
      <c r="A136" s="14"/>
      <c r="B136" s="15"/>
      <c r="C136" s="16"/>
      <c r="D136" s="36" t="s">
        <v>35</v>
      </c>
      <c r="E136" s="59"/>
      <c r="F136" s="37">
        <v>2682</v>
      </c>
    </row>
    <row r="137" spans="1:6" ht="12.75">
      <c r="A137" s="14"/>
      <c r="B137" s="15"/>
      <c r="C137" s="16"/>
      <c r="D137" s="36" t="s">
        <v>36</v>
      </c>
      <c r="E137" s="59"/>
      <c r="F137" s="37">
        <f>F135-F136</f>
        <v>47318</v>
      </c>
    </row>
    <row r="138" spans="1:6" ht="26.25" thickBot="1">
      <c r="A138" s="31"/>
      <c r="B138" s="32"/>
      <c r="C138" s="33"/>
      <c r="D138" s="34" t="s">
        <v>34</v>
      </c>
      <c r="E138" s="60"/>
      <c r="F138" s="35">
        <f>F134/(F137/100)</f>
        <v>355.0445919100554</v>
      </c>
    </row>
    <row r="139" ht="13.5" thickBot="1"/>
    <row r="140" spans="1:6" ht="17.25" customHeight="1">
      <c r="A140" s="156" t="s">
        <v>158</v>
      </c>
      <c r="B140" s="157"/>
      <c r="C140" s="157"/>
      <c r="D140" s="157"/>
      <c r="E140" s="163"/>
      <c r="F140" s="158"/>
    </row>
    <row r="141" spans="1:6" ht="17.25" customHeight="1">
      <c r="A141" s="149" t="s">
        <v>25</v>
      </c>
      <c r="B141" s="150"/>
      <c r="C141" s="150"/>
      <c r="D141" s="150"/>
      <c r="E141" s="150"/>
      <c r="F141" s="151"/>
    </row>
    <row r="142" ht="13.5" thickBot="1"/>
    <row r="143" spans="1:6" ht="12.75">
      <c r="A143" s="152" t="s">
        <v>161</v>
      </c>
      <c r="B143" s="153"/>
      <c r="C143" s="153"/>
      <c r="D143" s="153"/>
      <c r="E143" s="154"/>
      <c r="F143" s="155"/>
    </row>
    <row r="144" spans="1:6" ht="12.75">
      <c r="A144" s="149" t="s">
        <v>20</v>
      </c>
      <c r="B144" s="150"/>
      <c r="C144" s="150"/>
      <c r="D144" s="150"/>
      <c r="E144" s="150"/>
      <c r="F144" s="151"/>
    </row>
    <row r="145" spans="1:6" ht="12.75">
      <c r="A145" s="11"/>
      <c r="B145" s="5" t="s">
        <v>69</v>
      </c>
      <c r="C145" s="9" t="s">
        <v>5</v>
      </c>
      <c r="D145" s="12">
        <v>15495</v>
      </c>
      <c r="E145" s="55">
        <v>0</v>
      </c>
      <c r="F145" s="13">
        <f>C145*D145</f>
        <v>15495</v>
      </c>
    </row>
    <row r="146" spans="1:6" ht="12.75">
      <c r="A146" s="11"/>
      <c r="B146" s="7" t="s">
        <v>70</v>
      </c>
      <c r="C146" s="9" t="s">
        <v>71</v>
      </c>
      <c r="D146" s="12">
        <v>1895</v>
      </c>
      <c r="E146" s="53">
        <v>0</v>
      </c>
      <c r="F146" s="13">
        <f>C146*D146</f>
        <v>17055</v>
      </c>
    </row>
    <row r="147" spans="1:6" ht="12.75">
      <c r="A147" s="11"/>
      <c r="B147" s="7" t="s">
        <v>10</v>
      </c>
      <c r="C147" s="9" t="s">
        <v>5</v>
      </c>
      <c r="D147" s="12">
        <v>0</v>
      </c>
      <c r="E147" s="55">
        <v>0</v>
      </c>
      <c r="F147" s="13">
        <f>C147*D147</f>
        <v>0</v>
      </c>
    </row>
    <row r="148" spans="1:6" ht="12.75">
      <c r="A148" s="11"/>
      <c r="B148" s="8" t="s">
        <v>6</v>
      </c>
      <c r="C148" s="9" t="s">
        <v>5</v>
      </c>
      <c r="D148" s="12">
        <v>100</v>
      </c>
      <c r="E148" s="53">
        <v>0</v>
      </c>
      <c r="F148" s="13">
        <f>C148*D148</f>
        <v>100</v>
      </c>
    </row>
    <row r="149" spans="1:6" ht="12.75">
      <c r="A149" s="11"/>
      <c r="B149" s="8" t="s">
        <v>67</v>
      </c>
      <c r="C149" s="9" t="s">
        <v>65</v>
      </c>
      <c r="D149" s="12">
        <f>0.2*SUM(F145:F146)/36</f>
        <v>180.83333333333334</v>
      </c>
      <c r="E149" s="55">
        <v>0</v>
      </c>
      <c r="F149" s="13">
        <f>C149*D149</f>
        <v>5786.666666666667</v>
      </c>
    </row>
    <row r="150" spans="1:6" ht="12.75">
      <c r="A150" s="11"/>
      <c r="B150" s="8"/>
      <c r="C150" s="9"/>
      <c r="D150" s="28" t="s">
        <v>1</v>
      </c>
      <c r="E150" s="58"/>
      <c r="F150" s="29">
        <f>SUM(F145:F149)</f>
        <v>38436.666666666664</v>
      </c>
    </row>
    <row r="151" spans="1:6" ht="12.75">
      <c r="A151" s="11"/>
      <c r="B151" s="8"/>
      <c r="C151" s="9"/>
      <c r="D151" s="28" t="s">
        <v>45</v>
      </c>
      <c r="E151" s="58"/>
      <c r="F151" s="30">
        <v>146</v>
      </c>
    </row>
    <row r="152" spans="1:6" ht="12.75">
      <c r="A152" s="11"/>
      <c r="B152" s="8"/>
      <c r="C152" s="9"/>
      <c r="D152" s="28" t="s">
        <v>44</v>
      </c>
      <c r="E152" s="58"/>
      <c r="F152" s="30">
        <v>136</v>
      </c>
    </row>
    <row r="153" spans="1:6" ht="12.75">
      <c r="A153" s="11"/>
      <c r="B153" s="8"/>
      <c r="C153" s="9"/>
      <c r="D153" s="28" t="s">
        <v>40</v>
      </c>
      <c r="E153" s="58"/>
      <c r="F153" s="30">
        <v>14</v>
      </c>
    </row>
    <row r="154" spans="1:6" ht="12.75">
      <c r="A154" s="11"/>
      <c r="B154" s="8"/>
      <c r="C154" s="9"/>
      <c r="D154" s="28" t="s">
        <v>41</v>
      </c>
      <c r="E154" s="58"/>
      <c r="F154" s="30">
        <f>F152*F153</f>
        <v>1904</v>
      </c>
    </row>
    <row r="155" spans="1:6" ht="12.75">
      <c r="A155" s="11"/>
      <c r="B155" s="8"/>
      <c r="C155" s="9"/>
      <c r="D155" s="28" t="s">
        <v>11</v>
      </c>
      <c r="E155" s="58"/>
      <c r="F155" s="30">
        <f>7*F152</f>
        <v>952</v>
      </c>
    </row>
    <row r="156" spans="1:6" ht="12.75">
      <c r="A156" s="11"/>
      <c r="B156" s="8"/>
      <c r="C156" s="9"/>
      <c r="D156" s="28" t="s">
        <v>37</v>
      </c>
      <c r="E156" s="58"/>
      <c r="F156" s="30">
        <v>0</v>
      </c>
    </row>
    <row r="157" spans="1:6" ht="12.75">
      <c r="A157" s="14"/>
      <c r="B157" s="15"/>
      <c r="C157" s="16"/>
      <c r="D157" s="36" t="s">
        <v>42</v>
      </c>
      <c r="E157" s="59"/>
      <c r="F157" s="37">
        <f>F154-F155-F156</f>
        <v>952</v>
      </c>
    </row>
    <row r="158" spans="1:6" ht="12.75">
      <c r="A158" s="14"/>
      <c r="B158" s="15"/>
      <c r="C158" s="16"/>
      <c r="D158" s="36" t="s">
        <v>38</v>
      </c>
      <c r="E158" s="59"/>
      <c r="F158" s="37">
        <v>0</v>
      </c>
    </row>
    <row r="159" spans="1:6" ht="12.75">
      <c r="A159" s="14"/>
      <c r="B159" s="15"/>
      <c r="C159" s="16"/>
      <c r="D159" s="36" t="s">
        <v>39</v>
      </c>
      <c r="E159" s="59"/>
      <c r="F159" s="37">
        <f>F157-F158</f>
        <v>952</v>
      </c>
    </row>
    <row r="160" spans="1:6" ht="25.5">
      <c r="A160" s="14"/>
      <c r="B160" s="15"/>
      <c r="C160" s="16"/>
      <c r="D160" s="36" t="s">
        <v>43</v>
      </c>
      <c r="E160" s="59"/>
      <c r="F160" s="49">
        <f>(F154-F159)/F154</f>
        <v>0.5</v>
      </c>
    </row>
    <row r="161" spans="1:6" ht="25.5">
      <c r="A161" s="14"/>
      <c r="B161" s="15"/>
      <c r="C161" s="16"/>
      <c r="D161" s="36" t="s">
        <v>47</v>
      </c>
      <c r="E161" s="59"/>
      <c r="F161" s="49">
        <f>(F154-F159+F153*(F151-F152))/(F151*F153)</f>
        <v>0.5342465753424658</v>
      </c>
    </row>
    <row r="162" spans="1:6" ht="26.25" thickBot="1">
      <c r="A162" s="31"/>
      <c r="B162" s="32"/>
      <c r="C162" s="33"/>
      <c r="D162" s="34" t="s">
        <v>12</v>
      </c>
      <c r="E162" s="60"/>
      <c r="F162" s="35">
        <f>F150/(F159/100)</f>
        <v>4037.4649859943975</v>
      </c>
    </row>
    <row r="163" ht="13.5" thickBot="1"/>
    <row r="164" spans="1:6" ht="12.75">
      <c r="A164" s="152" t="s">
        <v>160</v>
      </c>
      <c r="B164" s="153"/>
      <c r="C164" s="153"/>
      <c r="D164" s="153"/>
      <c r="E164" s="154"/>
      <c r="F164" s="155"/>
    </row>
    <row r="165" spans="1:6" ht="12.75">
      <c r="A165" s="149" t="s">
        <v>20</v>
      </c>
      <c r="B165" s="150"/>
      <c r="C165" s="150"/>
      <c r="D165" s="150"/>
      <c r="E165" s="150"/>
      <c r="F165" s="151"/>
    </row>
    <row r="166" spans="1:6" ht="12.75">
      <c r="A166" s="11"/>
      <c r="B166" s="5" t="s">
        <v>69</v>
      </c>
      <c r="C166" s="9" t="s">
        <v>5</v>
      </c>
      <c r="D166" s="12">
        <v>15495</v>
      </c>
      <c r="E166" s="55">
        <v>0</v>
      </c>
      <c r="F166" s="13">
        <f>C166*D166</f>
        <v>15495</v>
      </c>
    </row>
    <row r="167" spans="1:6" ht="12.75">
      <c r="A167" s="11"/>
      <c r="B167" s="7" t="s">
        <v>70</v>
      </c>
      <c r="C167" s="9" t="s">
        <v>71</v>
      </c>
      <c r="D167" s="12">
        <v>1895</v>
      </c>
      <c r="E167" s="53">
        <v>0</v>
      </c>
      <c r="F167" s="13">
        <f>C167*D167</f>
        <v>17055</v>
      </c>
    </row>
    <row r="168" spans="1:6" ht="12.75">
      <c r="A168" s="11"/>
      <c r="B168" s="7" t="s">
        <v>10</v>
      </c>
      <c r="C168" s="9" t="s">
        <v>5</v>
      </c>
      <c r="D168" s="12">
        <v>0</v>
      </c>
      <c r="E168" s="55">
        <v>0</v>
      </c>
      <c r="F168" s="13">
        <f>C168*D168</f>
        <v>0</v>
      </c>
    </row>
    <row r="169" spans="1:6" ht="12.75">
      <c r="A169" s="11"/>
      <c r="B169" s="8" t="s">
        <v>6</v>
      </c>
      <c r="C169" s="9" t="s">
        <v>5</v>
      </c>
      <c r="D169" s="12">
        <v>100</v>
      </c>
      <c r="E169" s="53">
        <v>0</v>
      </c>
      <c r="F169" s="13">
        <f>C169*D169</f>
        <v>100</v>
      </c>
    </row>
    <row r="170" spans="1:6" ht="12.75">
      <c r="A170" s="11"/>
      <c r="B170" s="8" t="s">
        <v>67</v>
      </c>
      <c r="C170" s="9" t="s">
        <v>65</v>
      </c>
      <c r="D170" s="12">
        <f>0.2*SUM(F166:F167)/36</f>
        <v>180.83333333333334</v>
      </c>
      <c r="E170" s="55">
        <v>0</v>
      </c>
      <c r="F170" s="13">
        <f>C170*D170</f>
        <v>5786.666666666667</v>
      </c>
    </row>
    <row r="171" spans="1:6" ht="12.75">
      <c r="A171" s="11"/>
      <c r="B171" s="8"/>
      <c r="C171" s="9"/>
      <c r="D171" s="28" t="s">
        <v>1</v>
      </c>
      <c r="E171" s="58"/>
      <c r="F171" s="29">
        <f>SUM(F166:F170)</f>
        <v>38436.666666666664</v>
      </c>
    </row>
    <row r="172" spans="1:6" ht="12.75">
      <c r="A172" s="11"/>
      <c r="B172" s="8"/>
      <c r="C172" s="9"/>
      <c r="D172" s="28" t="s">
        <v>45</v>
      </c>
      <c r="E172" s="58"/>
      <c r="F172" s="30">
        <v>146</v>
      </c>
    </row>
    <row r="173" spans="1:6" ht="12.75">
      <c r="A173" s="11"/>
      <c r="B173" s="8"/>
      <c r="C173" s="9"/>
      <c r="D173" s="28" t="s">
        <v>44</v>
      </c>
      <c r="E173" s="58"/>
      <c r="F173" s="30">
        <v>136</v>
      </c>
    </row>
    <row r="174" spans="1:6" ht="12.75">
      <c r="A174" s="11"/>
      <c r="B174" s="8"/>
      <c r="C174" s="9"/>
      <c r="D174" s="28" t="s">
        <v>40</v>
      </c>
      <c r="E174" s="58"/>
      <c r="F174" s="30">
        <v>14</v>
      </c>
    </row>
    <row r="175" spans="1:6" ht="12.75">
      <c r="A175" s="11"/>
      <c r="B175" s="8"/>
      <c r="C175" s="9"/>
      <c r="D175" s="28" t="s">
        <v>41</v>
      </c>
      <c r="E175" s="58"/>
      <c r="F175" s="30">
        <f>F173*F174</f>
        <v>1904</v>
      </c>
    </row>
    <row r="176" spans="1:6" ht="12.75">
      <c r="A176" s="11"/>
      <c r="B176" s="8"/>
      <c r="C176" s="9"/>
      <c r="D176" s="28" t="s">
        <v>11</v>
      </c>
      <c r="E176" s="58"/>
      <c r="F176" s="30">
        <f>7*F173</f>
        <v>952</v>
      </c>
    </row>
    <row r="177" spans="1:6" ht="12.75">
      <c r="A177" s="11"/>
      <c r="B177" s="8"/>
      <c r="C177" s="9"/>
      <c r="D177" s="28" t="s">
        <v>37</v>
      </c>
      <c r="E177" s="58"/>
      <c r="F177" s="30">
        <v>0</v>
      </c>
    </row>
    <row r="178" spans="1:6" ht="12.75">
      <c r="A178" s="14"/>
      <c r="B178" s="15"/>
      <c r="C178" s="16"/>
      <c r="D178" s="36" t="s">
        <v>42</v>
      </c>
      <c r="E178" s="59"/>
      <c r="F178" s="37">
        <f>F175-F176-F177</f>
        <v>952</v>
      </c>
    </row>
    <row r="179" spans="1:6" ht="12.75">
      <c r="A179" s="14"/>
      <c r="B179" s="15"/>
      <c r="C179" s="16"/>
      <c r="D179" s="36" t="s">
        <v>38</v>
      </c>
      <c r="E179" s="59"/>
      <c r="F179" s="37">
        <v>0</v>
      </c>
    </row>
    <row r="180" spans="1:6" ht="12.75">
      <c r="A180" s="14"/>
      <c r="B180" s="15"/>
      <c r="C180" s="16"/>
      <c r="D180" s="36" t="s">
        <v>39</v>
      </c>
      <c r="E180" s="59"/>
      <c r="F180" s="37">
        <f>F178-F179</f>
        <v>952</v>
      </c>
    </row>
    <row r="181" spans="1:6" ht="25.5">
      <c r="A181" s="14"/>
      <c r="B181" s="15"/>
      <c r="C181" s="16"/>
      <c r="D181" s="36" t="s">
        <v>43</v>
      </c>
      <c r="E181" s="59"/>
      <c r="F181" s="49">
        <f>(F175-F180)/F175</f>
        <v>0.5</v>
      </c>
    </row>
    <row r="182" spans="1:6" ht="25.5">
      <c r="A182" s="14"/>
      <c r="B182" s="15"/>
      <c r="C182" s="16"/>
      <c r="D182" s="36" t="s">
        <v>47</v>
      </c>
      <c r="E182" s="59"/>
      <c r="F182" s="49">
        <f>(F175-F180+F174*(F172-F173))/(F172*F174)</f>
        <v>0.5342465753424658</v>
      </c>
    </row>
    <row r="183" spans="1:6" ht="26.25" thickBot="1">
      <c r="A183" s="31"/>
      <c r="B183" s="32"/>
      <c r="C183" s="33"/>
      <c r="D183" s="34" t="s">
        <v>12</v>
      </c>
      <c r="E183" s="60"/>
      <c r="F183" s="35">
        <f>F171/(F180/100)</f>
        <v>4037.4649859943975</v>
      </c>
    </row>
    <row r="184" ht="13.5" thickBot="1"/>
    <row r="185" spans="1:6" ht="12.75">
      <c r="A185" s="152" t="s">
        <v>159</v>
      </c>
      <c r="B185" s="153"/>
      <c r="C185" s="153"/>
      <c r="D185" s="153"/>
      <c r="E185" s="154"/>
      <c r="F185" s="155"/>
    </row>
    <row r="186" spans="1:6" ht="12.75">
      <c r="A186" s="149" t="s">
        <v>20</v>
      </c>
      <c r="B186" s="150"/>
      <c r="C186" s="150"/>
      <c r="D186" s="150"/>
      <c r="E186" s="150"/>
      <c r="F186" s="151"/>
    </row>
    <row r="187" spans="1:6" ht="12.75">
      <c r="A187" s="11"/>
      <c r="B187" s="5" t="s">
        <v>69</v>
      </c>
      <c r="C187" s="9" t="s">
        <v>5</v>
      </c>
      <c r="D187" s="12">
        <v>15495</v>
      </c>
      <c r="E187" s="55">
        <v>0</v>
      </c>
      <c r="F187" s="13">
        <f>C187*D187</f>
        <v>15495</v>
      </c>
    </row>
    <row r="188" spans="1:6" ht="12.75">
      <c r="A188" s="11"/>
      <c r="B188" s="7" t="s">
        <v>70</v>
      </c>
      <c r="C188" s="9" t="s">
        <v>71</v>
      </c>
      <c r="D188" s="12">
        <v>1895</v>
      </c>
      <c r="E188" s="53">
        <v>0</v>
      </c>
      <c r="F188" s="13">
        <f>C188*D188</f>
        <v>17055</v>
      </c>
    </row>
    <row r="189" spans="1:6" ht="12.75">
      <c r="A189" s="11"/>
      <c r="B189" s="7" t="s">
        <v>10</v>
      </c>
      <c r="C189" s="9" t="s">
        <v>5</v>
      </c>
      <c r="D189" s="12">
        <v>0</v>
      </c>
      <c r="E189" s="55">
        <v>0</v>
      </c>
      <c r="F189" s="13">
        <f>C189*D189</f>
        <v>0</v>
      </c>
    </row>
    <row r="190" spans="1:6" ht="12.75">
      <c r="A190" s="11"/>
      <c r="B190" s="8" t="s">
        <v>6</v>
      </c>
      <c r="C190" s="9" t="s">
        <v>5</v>
      </c>
      <c r="D190" s="12">
        <v>100</v>
      </c>
      <c r="E190" s="53">
        <v>0</v>
      </c>
      <c r="F190" s="13">
        <f>C190*D190</f>
        <v>100</v>
      </c>
    </row>
    <row r="191" spans="1:6" ht="12.75">
      <c r="A191" s="11"/>
      <c r="B191" s="8" t="s">
        <v>67</v>
      </c>
      <c r="C191" s="9" t="s">
        <v>65</v>
      </c>
      <c r="D191" s="12">
        <f>0.2*SUM(F187:F188)/36</f>
        <v>180.83333333333334</v>
      </c>
      <c r="E191" s="55">
        <v>0</v>
      </c>
      <c r="F191" s="13">
        <f>C191*D191</f>
        <v>5786.666666666667</v>
      </c>
    </row>
    <row r="192" spans="1:6" ht="12.75">
      <c r="A192" s="11"/>
      <c r="B192" s="8"/>
      <c r="C192" s="9"/>
      <c r="D192" s="28" t="s">
        <v>1</v>
      </c>
      <c r="E192" s="58"/>
      <c r="F192" s="29">
        <f>SUM(F187:F191)</f>
        <v>38436.666666666664</v>
      </c>
    </row>
    <row r="193" spans="1:6" ht="12.75">
      <c r="A193" s="11"/>
      <c r="B193" s="8"/>
      <c r="C193" s="9"/>
      <c r="D193" s="28" t="s">
        <v>45</v>
      </c>
      <c r="E193" s="58"/>
      <c r="F193" s="30">
        <v>146</v>
      </c>
    </row>
    <row r="194" spans="1:6" ht="12.75">
      <c r="A194" s="11"/>
      <c r="B194" s="8"/>
      <c r="C194" s="9"/>
      <c r="D194" s="28" t="s">
        <v>44</v>
      </c>
      <c r="E194" s="58"/>
      <c r="F194" s="30">
        <v>136</v>
      </c>
    </row>
    <row r="195" spans="1:6" ht="12.75">
      <c r="A195" s="11"/>
      <c r="B195" s="8"/>
      <c r="C195" s="9"/>
      <c r="D195" s="28" t="s">
        <v>40</v>
      </c>
      <c r="E195" s="58"/>
      <c r="F195" s="30">
        <v>14</v>
      </c>
    </row>
    <row r="196" spans="1:6" ht="12.75">
      <c r="A196" s="11"/>
      <c r="B196" s="8"/>
      <c r="C196" s="9"/>
      <c r="D196" s="28" t="s">
        <v>41</v>
      </c>
      <c r="E196" s="58"/>
      <c r="F196" s="30">
        <f>F194*F195</f>
        <v>1904</v>
      </c>
    </row>
    <row r="197" spans="1:6" ht="12.75">
      <c r="A197" s="11"/>
      <c r="B197" s="8"/>
      <c r="C197" s="9"/>
      <c r="D197" s="28" t="s">
        <v>11</v>
      </c>
      <c r="E197" s="58"/>
      <c r="F197" s="30">
        <f>1*F194</f>
        <v>136</v>
      </c>
    </row>
    <row r="198" spans="1:6" ht="12.75">
      <c r="A198" s="11"/>
      <c r="B198" s="8"/>
      <c r="C198" s="9"/>
      <c r="D198" s="28" t="s">
        <v>37</v>
      </c>
      <c r="E198" s="58"/>
      <c r="F198" s="30">
        <v>0</v>
      </c>
    </row>
    <row r="199" spans="1:6" ht="12.75">
      <c r="A199" s="14"/>
      <c r="B199" s="15"/>
      <c r="C199" s="16"/>
      <c r="D199" s="36" t="s">
        <v>42</v>
      </c>
      <c r="E199" s="59"/>
      <c r="F199" s="37">
        <f>F196-F197-F198</f>
        <v>1768</v>
      </c>
    </row>
    <row r="200" spans="1:6" ht="12.75">
      <c r="A200" s="14"/>
      <c r="B200" s="15"/>
      <c r="C200" s="16"/>
      <c r="D200" s="36" t="s">
        <v>38</v>
      </c>
      <c r="E200" s="59"/>
      <c r="F200" s="37">
        <v>0</v>
      </c>
    </row>
    <row r="201" spans="1:6" ht="12.75">
      <c r="A201" s="14"/>
      <c r="B201" s="15"/>
      <c r="C201" s="16"/>
      <c r="D201" s="36" t="s">
        <v>39</v>
      </c>
      <c r="E201" s="59"/>
      <c r="F201" s="37">
        <f>F199-F200</f>
        <v>1768</v>
      </c>
    </row>
    <row r="202" spans="1:6" ht="25.5">
      <c r="A202" s="14"/>
      <c r="B202" s="15"/>
      <c r="C202" s="16"/>
      <c r="D202" s="36" t="s">
        <v>43</v>
      </c>
      <c r="E202" s="59"/>
      <c r="F202" s="49">
        <f>(F196-F201)/F196</f>
        <v>0.07142857142857142</v>
      </c>
    </row>
    <row r="203" spans="1:6" ht="25.5">
      <c r="A203" s="14"/>
      <c r="B203" s="15"/>
      <c r="C203" s="16"/>
      <c r="D203" s="36" t="s">
        <v>47</v>
      </c>
      <c r="E203" s="59"/>
      <c r="F203" s="49">
        <f>(F196-F201+F195*(F193-F194))/(F193*F195)</f>
        <v>0.1350293542074364</v>
      </c>
    </row>
    <row r="204" spans="1:6" ht="26.25" thickBot="1">
      <c r="A204" s="31"/>
      <c r="B204" s="32"/>
      <c r="C204" s="33"/>
      <c r="D204" s="34" t="s">
        <v>12</v>
      </c>
      <c r="E204" s="60"/>
      <c r="F204" s="35">
        <f>F192/(F201/100)</f>
        <v>2174.0196078431372</v>
      </c>
    </row>
    <row r="205" ht="12.75">
      <c r="F205" s="95"/>
    </row>
    <row r="206" ht="13.5" thickBot="1">
      <c r="F206" s="95"/>
    </row>
    <row r="207" spans="1:6" ht="17.25" customHeight="1">
      <c r="A207" s="156" t="s">
        <v>174</v>
      </c>
      <c r="B207" s="157"/>
      <c r="C207" s="157"/>
      <c r="D207" s="157"/>
      <c r="E207" s="163"/>
      <c r="F207" s="158"/>
    </row>
    <row r="208" spans="1:6" ht="17.25" customHeight="1">
      <c r="A208" s="149" t="s">
        <v>25</v>
      </c>
      <c r="B208" s="150"/>
      <c r="C208" s="150"/>
      <c r="D208" s="150"/>
      <c r="E208" s="150"/>
      <c r="F208" s="151"/>
    </row>
    <row r="209" ht="13.5" thickBot="1"/>
    <row r="210" spans="1:6" ht="12.75">
      <c r="A210" s="152" t="s">
        <v>176</v>
      </c>
      <c r="B210" s="153"/>
      <c r="C210" s="153"/>
      <c r="D210" s="153"/>
      <c r="E210" s="154"/>
      <c r="F210" s="155"/>
    </row>
    <row r="211" spans="1:6" ht="12.75">
      <c r="A211" s="149" t="s">
        <v>20</v>
      </c>
      <c r="B211" s="150"/>
      <c r="C211" s="150"/>
      <c r="D211" s="150"/>
      <c r="E211" s="150"/>
      <c r="F211" s="151"/>
    </row>
    <row r="212" spans="1:6" ht="25.5">
      <c r="A212" s="11"/>
      <c r="B212" s="5" t="s">
        <v>178</v>
      </c>
      <c r="C212" s="9" t="s">
        <v>5</v>
      </c>
      <c r="D212" s="12">
        <v>10974</v>
      </c>
      <c r="E212" s="55">
        <v>0</v>
      </c>
      <c r="F212" s="13">
        <f>C212*D212</f>
        <v>10974</v>
      </c>
    </row>
    <row r="213" spans="1:6" ht="12.75">
      <c r="A213" s="11"/>
      <c r="B213" s="7" t="s">
        <v>177</v>
      </c>
      <c r="C213" s="9" t="s">
        <v>181</v>
      </c>
      <c r="D213" s="12">
        <v>839</v>
      </c>
      <c r="E213" s="53">
        <v>0</v>
      </c>
      <c r="F213" s="13">
        <f>C213*D213</f>
        <v>46984</v>
      </c>
    </row>
    <row r="214" spans="1:6" ht="12.75">
      <c r="A214" s="11"/>
      <c r="B214" s="7" t="s">
        <v>179</v>
      </c>
      <c r="C214" s="9" t="s">
        <v>180</v>
      </c>
      <c r="D214" s="12">
        <v>3049</v>
      </c>
      <c r="E214" s="53">
        <v>0</v>
      </c>
      <c r="F214" s="13">
        <f>C214*D214</f>
        <v>9147</v>
      </c>
    </row>
    <row r="215" spans="1:6" ht="12.75">
      <c r="A215" s="11"/>
      <c r="B215" s="8" t="s">
        <v>67</v>
      </c>
      <c r="C215" s="9" t="s">
        <v>175</v>
      </c>
      <c r="D215" s="12">
        <v>89.5</v>
      </c>
      <c r="E215" s="55">
        <v>0</v>
      </c>
      <c r="F215" s="13">
        <f>C215*D215</f>
        <v>3222</v>
      </c>
    </row>
    <row r="216" spans="1:6" ht="12.75">
      <c r="A216" s="11"/>
      <c r="B216" s="8"/>
      <c r="C216" s="9"/>
      <c r="D216" s="28" t="s">
        <v>1</v>
      </c>
      <c r="E216" s="58"/>
      <c r="F216" s="29">
        <f>SUM(F212:F215)</f>
        <v>70327</v>
      </c>
    </row>
    <row r="217" spans="1:6" ht="12.75">
      <c r="A217" s="11"/>
      <c r="B217" s="8"/>
      <c r="C217" s="9"/>
      <c r="D217" s="28" t="s">
        <v>45</v>
      </c>
      <c r="E217" s="58"/>
      <c r="F217" s="30">
        <v>300</v>
      </c>
    </row>
    <row r="218" spans="1:6" ht="12.75">
      <c r="A218" s="11"/>
      <c r="B218" s="8"/>
      <c r="C218" s="9"/>
      <c r="D218" s="28" t="s">
        <v>44</v>
      </c>
      <c r="E218" s="58"/>
      <c r="F218" s="30">
        <v>300</v>
      </c>
    </row>
    <row r="219" spans="1:6" ht="12.75">
      <c r="A219" s="11"/>
      <c r="B219" s="8"/>
      <c r="C219" s="9"/>
      <c r="D219" s="28" t="s">
        <v>183</v>
      </c>
      <c r="E219" s="58"/>
      <c r="F219" s="30">
        <v>56</v>
      </c>
    </row>
    <row r="220" spans="1:6" ht="12.75">
      <c r="A220" s="11"/>
      <c r="B220" s="8"/>
      <c r="C220" s="9"/>
      <c r="D220" s="28" t="s">
        <v>41</v>
      </c>
      <c r="E220" s="58"/>
      <c r="F220" s="30">
        <f>F218*F219</f>
        <v>16800</v>
      </c>
    </row>
    <row r="221" spans="1:6" ht="12.75">
      <c r="A221" s="11"/>
      <c r="B221" s="8"/>
      <c r="C221" s="9"/>
      <c r="D221" s="28" t="s">
        <v>11</v>
      </c>
      <c r="E221" s="58"/>
      <c r="F221" s="30">
        <f>516*4</f>
        <v>2064</v>
      </c>
    </row>
    <row r="222" spans="1:6" ht="12.75">
      <c r="A222" s="11"/>
      <c r="B222" s="8"/>
      <c r="C222" s="9"/>
      <c r="D222" s="28" t="s">
        <v>37</v>
      </c>
      <c r="E222" s="58"/>
      <c r="F222" s="30">
        <v>0</v>
      </c>
    </row>
    <row r="223" spans="1:6" ht="12.75">
      <c r="A223" s="14"/>
      <c r="B223" s="15"/>
      <c r="C223" s="16"/>
      <c r="D223" s="36" t="s">
        <v>42</v>
      </c>
      <c r="E223" s="59"/>
      <c r="F223" s="37">
        <f>F220-F221-F222</f>
        <v>14736</v>
      </c>
    </row>
    <row r="224" spans="1:6" ht="12.75">
      <c r="A224" s="14"/>
      <c r="B224" s="15"/>
      <c r="C224" s="16"/>
      <c r="D224" s="36" t="s">
        <v>182</v>
      </c>
      <c r="E224" s="59"/>
      <c r="F224" s="37">
        <f>42*4</f>
        <v>168</v>
      </c>
    </row>
    <row r="225" spans="1:6" ht="12.75">
      <c r="A225" s="14"/>
      <c r="B225" s="15"/>
      <c r="C225" s="16"/>
      <c r="D225" s="36" t="s">
        <v>39</v>
      </c>
      <c r="E225" s="59"/>
      <c r="F225" s="37">
        <f>F223-F224</f>
        <v>14568</v>
      </c>
    </row>
    <row r="226" spans="1:6" ht="25.5">
      <c r="A226" s="14"/>
      <c r="B226" s="15"/>
      <c r="C226" s="16"/>
      <c r="D226" s="36" t="s">
        <v>43</v>
      </c>
      <c r="E226" s="59"/>
      <c r="F226" s="49">
        <f>(F220-F225)/F220</f>
        <v>0.13285714285714287</v>
      </c>
    </row>
    <row r="227" spans="1:6" ht="25.5">
      <c r="A227" s="14"/>
      <c r="B227" s="15"/>
      <c r="C227" s="16"/>
      <c r="D227" s="36" t="s">
        <v>47</v>
      </c>
      <c r="E227" s="59"/>
      <c r="F227" s="49">
        <f>(F220-F225+F219*(F217-F218))/(F217*F219)</f>
        <v>0.13285714285714287</v>
      </c>
    </row>
    <row r="228" spans="1:6" ht="26.25" thickBot="1">
      <c r="A228" s="31"/>
      <c r="B228" s="32"/>
      <c r="C228" s="33"/>
      <c r="D228" s="34" t="s">
        <v>12</v>
      </c>
      <c r="E228" s="60"/>
      <c r="F228" s="35">
        <f>F216/(F225/100)</f>
        <v>482.74986271279516</v>
      </c>
    </row>
    <row r="229" ht="13.5" thickBot="1"/>
    <row r="230" spans="1:3" ht="15.75">
      <c r="A230" s="156" t="s">
        <v>49</v>
      </c>
      <c r="B230" s="157"/>
      <c r="C230" s="158"/>
    </row>
    <row r="231" spans="1:3" ht="51">
      <c r="A231" s="40" t="s">
        <v>30</v>
      </c>
      <c r="B231" s="39" t="s">
        <v>29</v>
      </c>
      <c r="C231" s="70">
        <v>0.3</v>
      </c>
    </row>
    <row r="232" spans="1:3" ht="64.5" thickBot="1">
      <c r="A232" s="71" t="s">
        <v>58</v>
      </c>
      <c r="B232" s="72" t="s">
        <v>57</v>
      </c>
      <c r="C232" s="73">
        <v>1000</v>
      </c>
    </row>
  </sheetData>
  <sheetProtection/>
  <mergeCells count="37">
    <mergeCell ref="A143:F143"/>
    <mergeCell ref="A90:F90"/>
    <mergeCell ref="A140:F140"/>
    <mergeCell ref="A141:F141"/>
    <mergeCell ref="A29:F29"/>
    <mergeCell ref="A66:F66"/>
    <mergeCell ref="A51:F51"/>
    <mergeCell ref="A1:F1"/>
    <mergeCell ref="A4:F4"/>
    <mergeCell ref="A68:F68"/>
    <mergeCell ref="A2:F2"/>
    <mergeCell ref="A28:F28"/>
    <mergeCell ref="A37:F37"/>
    <mergeCell ref="A44:F44"/>
    <mergeCell ref="A10:F10"/>
    <mergeCell ref="A67:F67"/>
    <mergeCell ref="A16:F16"/>
    <mergeCell ref="A58:F58"/>
    <mergeCell ref="A22:F22"/>
    <mergeCell ref="A34:F34"/>
    <mergeCell ref="A35:F35"/>
    <mergeCell ref="A211:F211"/>
    <mergeCell ref="A185:F185"/>
    <mergeCell ref="A186:F186"/>
    <mergeCell ref="A230:C230"/>
    <mergeCell ref="A69:F69"/>
    <mergeCell ref="A111:F111"/>
    <mergeCell ref="A110:F110"/>
    <mergeCell ref="A131:F131"/>
    <mergeCell ref="A132:F132"/>
    <mergeCell ref="A89:F89"/>
    <mergeCell ref="A207:F207"/>
    <mergeCell ref="A208:F208"/>
    <mergeCell ref="A210:F210"/>
    <mergeCell ref="A164:F164"/>
    <mergeCell ref="A144:F144"/>
    <mergeCell ref="A165:F165"/>
  </mergeCells>
  <printOptions/>
  <pageMargins left="0.75" right="0.75" top="1" bottom="1" header="0.5" footer="0.5"/>
  <pageSetup fitToHeight="1" fitToWidth="1" horizontalDpi="600" verticalDpi="600" orientation="landscape" scale="1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14"/>
  <sheetViews>
    <sheetView showGridLines="0" zoomScalePageLayoutView="0" workbookViewId="0" topLeftCell="A1">
      <selection activeCell="A14" sqref="A14"/>
    </sheetView>
  </sheetViews>
  <sheetFormatPr defaultColWidth="9.140625" defaultRowHeight="12.75"/>
  <cols>
    <col min="1" max="1" width="43.8515625" style="47" customWidth="1"/>
    <col min="2" max="2" width="9.7109375" style="47" customWidth="1"/>
    <col min="3" max="3" width="11.57421875" style="47" customWidth="1"/>
    <col min="4" max="4" width="10.57421875" style="47" customWidth="1"/>
    <col min="5" max="5" width="11.57421875" style="47" customWidth="1"/>
    <col min="6" max="6" width="14.00390625" style="47" customWidth="1"/>
    <col min="7" max="16384" width="9.140625" style="47" customWidth="1"/>
  </cols>
  <sheetData>
    <row r="1" spans="1:5" ht="23.25">
      <c r="A1" s="172" t="s">
        <v>192</v>
      </c>
      <c r="B1" s="173"/>
      <c r="C1" s="174"/>
      <c r="D1" s="174"/>
      <c r="E1" s="175"/>
    </row>
    <row r="2" spans="1:5" ht="15.75">
      <c r="A2" s="178" t="s">
        <v>162</v>
      </c>
      <c r="B2" s="179"/>
      <c r="C2" s="179"/>
      <c r="D2" s="179"/>
      <c r="E2" s="180"/>
    </row>
    <row r="3" spans="1:7" ht="30.75" customHeight="1">
      <c r="A3" s="97"/>
      <c r="B3" s="94" t="s">
        <v>163</v>
      </c>
      <c r="C3" s="94" t="s">
        <v>188</v>
      </c>
      <c r="D3" s="94" t="s">
        <v>188</v>
      </c>
      <c r="E3" s="94" t="s">
        <v>184</v>
      </c>
      <c r="F3" s="90"/>
      <c r="G3" s="90"/>
    </row>
    <row r="4" spans="1:7" ht="16.5" customHeight="1">
      <c r="A4" s="97"/>
      <c r="B4" s="94" t="s">
        <v>185</v>
      </c>
      <c r="C4" s="94" t="s">
        <v>186</v>
      </c>
      <c r="D4" s="94" t="s">
        <v>187</v>
      </c>
      <c r="E4" s="94" t="s">
        <v>187</v>
      </c>
      <c r="F4" s="90"/>
      <c r="G4" s="90"/>
    </row>
    <row r="5" spans="1:7" ht="15" customHeight="1">
      <c r="A5" s="98" t="s">
        <v>191</v>
      </c>
      <c r="B5" s="6">
        <f>Components!F87*B13/100+Components!F138/100*2</f>
        <v>55.432732535368864</v>
      </c>
      <c r="C5" s="6">
        <f>Components!F162*B13/100</f>
        <v>113.04901960784314</v>
      </c>
      <c r="D5" s="181"/>
      <c r="E5" s="181"/>
      <c r="F5" s="90"/>
      <c r="G5" s="90"/>
    </row>
    <row r="6" spans="1:7" ht="12.75">
      <c r="A6" s="98" t="s">
        <v>190</v>
      </c>
      <c r="B6" s="6">
        <f>Components!F129*B13/100+Components!F138/100*2</f>
        <v>37.686750853369915</v>
      </c>
      <c r="C6" s="101"/>
      <c r="D6" s="182"/>
      <c r="E6" s="182"/>
      <c r="F6" s="90"/>
      <c r="G6" s="90"/>
    </row>
    <row r="7" spans="1:7" ht="15.75">
      <c r="A7" s="178" t="s">
        <v>68</v>
      </c>
      <c r="B7" s="179"/>
      <c r="C7" s="179"/>
      <c r="D7" s="179"/>
      <c r="E7" s="180"/>
      <c r="F7" s="90"/>
      <c r="G7" s="90"/>
    </row>
    <row r="8" spans="1:7" ht="12.75">
      <c r="A8" s="98" t="s">
        <v>191</v>
      </c>
      <c r="B8" s="6">
        <f>Components!F87/100+Components!F138/100</f>
        <v>20.811817596660465</v>
      </c>
      <c r="C8" s="6">
        <f>Components!F162/100</f>
        <v>40.37464985994397</v>
      </c>
      <c r="D8" s="6">
        <f>Components!F204/100</f>
        <v>21.74019607843137</v>
      </c>
      <c r="E8" s="102">
        <f>Components!F228/100</f>
        <v>4.827498627127952</v>
      </c>
      <c r="F8" s="90"/>
      <c r="G8" s="90"/>
    </row>
    <row r="9" spans="1:7" ht="12.75">
      <c r="A9" s="98" t="s">
        <v>190</v>
      </c>
      <c r="B9" s="102">
        <f>Components!F129/100+Components!F138/100</f>
        <v>14.473966995946558</v>
      </c>
      <c r="C9" s="100"/>
      <c r="D9" s="100"/>
      <c r="E9" s="100"/>
      <c r="F9" s="90"/>
      <c r="G9" s="90"/>
    </row>
    <row r="10" spans="1:7" ht="12.75">
      <c r="A10" s="103"/>
      <c r="B10" s="90"/>
      <c r="C10" s="90"/>
      <c r="D10" s="90"/>
      <c r="E10" s="90"/>
      <c r="F10" s="90"/>
      <c r="G10" s="90"/>
    </row>
    <row r="11" spans="1:5" ht="13.5" thickBot="1">
      <c r="A11" s="91"/>
      <c r="B11" s="90"/>
      <c r="C11" s="90"/>
      <c r="D11" s="90"/>
      <c r="E11" s="90"/>
    </row>
    <row r="12" spans="1:5" ht="15.75">
      <c r="A12" s="176" t="s">
        <v>189</v>
      </c>
      <c r="B12" s="177"/>
      <c r="C12" s="89"/>
      <c r="D12" s="89"/>
      <c r="E12" s="89"/>
    </row>
    <row r="13" spans="1:5" ht="26.25" customHeight="1">
      <c r="A13" s="96" t="s">
        <v>195</v>
      </c>
      <c r="B13" s="74">
        <v>2.8</v>
      </c>
      <c r="C13" s="90"/>
      <c r="D13" s="90"/>
      <c r="E13" s="90"/>
    </row>
    <row r="14" spans="1:5" ht="12.75">
      <c r="A14" s="91"/>
      <c r="C14" s="90"/>
      <c r="D14" s="90"/>
      <c r="E14" s="90"/>
    </row>
  </sheetData>
  <sheetProtection scenarios="1" selectLockedCells="1"/>
  <mergeCells count="6">
    <mergeCell ref="A1:E1"/>
    <mergeCell ref="A12:B12"/>
    <mergeCell ref="A2:E2"/>
    <mergeCell ref="A7:E7"/>
    <mergeCell ref="E5:E6"/>
    <mergeCell ref="D5:D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G37"/>
  <sheetViews>
    <sheetView showGridLines="0" zoomScalePageLayoutView="0" workbookViewId="0" topLeftCell="A13">
      <selection activeCell="B29" sqref="B29"/>
    </sheetView>
  </sheetViews>
  <sheetFormatPr defaultColWidth="9.140625" defaultRowHeight="12.75"/>
  <cols>
    <col min="1" max="1" width="39.7109375" style="2" customWidth="1"/>
    <col min="2" max="2" width="13.00390625" style="2" customWidth="1"/>
    <col min="3" max="3" width="17.57421875" style="2" customWidth="1"/>
    <col min="4" max="4" width="16.57421875" style="2" customWidth="1"/>
    <col min="5" max="5" width="14.57421875" style="2" customWidth="1"/>
    <col min="6" max="6" width="10.57421875" style="2" customWidth="1"/>
    <col min="7" max="7" width="11.57421875" style="0" customWidth="1"/>
    <col min="8" max="8" width="8.57421875" style="0" customWidth="1"/>
    <col min="9" max="9" width="7.7109375" style="0" hidden="1" customWidth="1"/>
    <col min="10" max="10" width="5.8515625" style="0" customWidth="1"/>
    <col min="11" max="11" width="5.7109375" style="0" bestFit="1" customWidth="1"/>
    <col min="12" max="12" width="7.140625" style="0" hidden="1" customWidth="1"/>
    <col min="13" max="13" width="5.140625" style="0" customWidth="1"/>
    <col min="14" max="14" width="6.8515625" style="0" customWidth="1"/>
    <col min="15" max="15" width="6.8515625" style="0" hidden="1" customWidth="1"/>
    <col min="16" max="16" width="4.57421875" style="0" customWidth="1"/>
    <col min="17" max="17" width="5.7109375" style="0" customWidth="1"/>
    <col min="18" max="18" width="5.7109375" style="0" hidden="1" customWidth="1"/>
    <col min="19" max="20" width="3.28125" style="0" bestFit="1" customWidth="1"/>
    <col min="21" max="21" width="12.8515625" style="0" customWidth="1"/>
    <col min="22" max="25" width="3.28125" style="0" bestFit="1" customWidth="1"/>
    <col min="26" max="26" width="3.140625" style="0" customWidth="1"/>
    <col min="27" max="28" width="12.7109375" style="0" customWidth="1"/>
  </cols>
  <sheetData>
    <row r="1" ht="13.5" thickBot="1"/>
    <row r="2" spans="1:7" ht="15.75">
      <c r="A2" s="183" t="s">
        <v>59</v>
      </c>
      <c r="B2" s="184"/>
      <c r="C2" s="184"/>
      <c r="D2" s="184"/>
      <c r="E2" s="184"/>
      <c r="F2" s="184"/>
      <c r="G2" s="185"/>
    </row>
    <row r="3" spans="1:7" ht="30" customHeight="1">
      <c r="A3" s="149" t="s">
        <v>60</v>
      </c>
      <c r="B3" s="150"/>
      <c r="C3" s="150"/>
      <c r="D3" s="150"/>
      <c r="E3" s="150"/>
      <c r="F3" s="150"/>
      <c r="G3" s="151"/>
    </row>
    <row r="4" spans="1:7" ht="25.5">
      <c r="A4" s="65" t="s">
        <v>50</v>
      </c>
      <c r="B4" s="66" t="s">
        <v>95</v>
      </c>
      <c r="C4" s="66" t="s">
        <v>89</v>
      </c>
      <c r="D4" s="66" t="s">
        <v>52</v>
      </c>
      <c r="E4" s="82" t="s">
        <v>93</v>
      </c>
      <c r="F4" s="82" t="s">
        <v>88</v>
      </c>
      <c r="G4" s="67" t="s">
        <v>90</v>
      </c>
    </row>
    <row r="5" spans="1:7" ht="12.75">
      <c r="A5" s="68" t="s">
        <v>53</v>
      </c>
      <c r="B5" s="51">
        <f>14*144</f>
        <v>2016</v>
      </c>
      <c r="C5" s="51">
        <v>1859</v>
      </c>
      <c r="D5" s="51">
        <v>265</v>
      </c>
      <c r="E5" s="83">
        <f aca="true" t="shared" si="0" ref="E5:E10">(C5-D5)*0.1</f>
        <v>159.4</v>
      </c>
      <c r="F5" s="85">
        <f aca="true" t="shared" si="1" ref="F5:F10">1-G5/B5</f>
        <v>0.28839285714285723</v>
      </c>
      <c r="G5" s="93">
        <f aca="true" t="shared" si="2" ref="G5:G10">C5-D5-E5</f>
        <v>1434.6</v>
      </c>
    </row>
    <row r="6" spans="1:7" ht="12.75">
      <c r="A6" s="68" t="s">
        <v>62</v>
      </c>
      <c r="B6" s="92">
        <f>14*300</f>
        <v>4200</v>
      </c>
      <c r="C6" s="51">
        <f>14*266</f>
        <v>3724</v>
      </c>
      <c r="D6" s="51">
        <f>2*266</f>
        <v>532</v>
      </c>
      <c r="E6" s="83">
        <f t="shared" si="0"/>
        <v>319.20000000000005</v>
      </c>
      <c r="F6" s="85">
        <f t="shared" si="1"/>
        <v>0.31599999999999995</v>
      </c>
      <c r="G6" s="93">
        <f t="shared" si="2"/>
        <v>2872.8</v>
      </c>
    </row>
    <row r="7" spans="1:7" ht="12.75">
      <c r="A7" s="68" t="s">
        <v>54</v>
      </c>
      <c r="B7" s="51">
        <f>14*500</f>
        <v>7000</v>
      </c>
      <c r="C7" s="51">
        <v>5785</v>
      </c>
      <c r="D7" s="51">
        <v>827</v>
      </c>
      <c r="E7" s="83">
        <f t="shared" si="0"/>
        <v>495.8</v>
      </c>
      <c r="F7" s="85">
        <f t="shared" si="1"/>
        <v>0.36254285714285717</v>
      </c>
      <c r="G7" s="93">
        <f t="shared" si="2"/>
        <v>4462.2</v>
      </c>
    </row>
    <row r="8" spans="1:7" ht="12.75">
      <c r="A8" s="68" t="s">
        <v>55</v>
      </c>
      <c r="B8" s="51">
        <f aca="true" t="shared" si="3" ref="B8:C10">12*B5</f>
        <v>24192</v>
      </c>
      <c r="C8" s="51">
        <f t="shared" si="3"/>
        <v>22308</v>
      </c>
      <c r="D8" s="51">
        <v>3180</v>
      </c>
      <c r="E8" s="83">
        <f t="shared" si="0"/>
        <v>1912.8000000000002</v>
      </c>
      <c r="F8" s="85">
        <f t="shared" si="1"/>
        <v>0.2883928571428571</v>
      </c>
      <c r="G8" s="93">
        <f t="shared" si="2"/>
        <v>17215.2</v>
      </c>
    </row>
    <row r="9" spans="1:7" ht="12.75">
      <c r="A9" s="68" t="s">
        <v>63</v>
      </c>
      <c r="B9" s="87">
        <f t="shared" si="3"/>
        <v>50400</v>
      </c>
      <c r="C9" s="87">
        <f t="shared" si="3"/>
        <v>44688</v>
      </c>
      <c r="D9" s="87">
        <f>12*D6</f>
        <v>6384</v>
      </c>
      <c r="E9" s="83">
        <f t="shared" si="0"/>
        <v>3830.4</v>
      </c>
      <c r="F9" s="85">
        <f t="shared" si="1"/>
        <v>0.31600000000000006</v>
      </c>
      <c r="G9" s="93">
        <f t="shared" si="2"/>
        <v>34473.6</v>
      </c>
    </row>
    <row r="10" spans="1:7" ht="13.5" thickBot="1">
      <c r="A10" s="69" t="s">
        <v>56</v>
      </c>
      <c r="B10" s="64">
        <f t="shared" si="3"/>
        <v>84000</v>
      </c>
      <c r="C10" s="64">
        <f t="shared" si="3"/>
        <v>69420</v>
      </c>
      <c r="D10" s="64">
        <v>9924</v>
      </c>
      <c r="E10" s="84">
        <f t="shared" si="0"/>
        <v>5949.6</v>
      </c>
      <c r="F10" s="86">
        <f t="shared" si="1"/>
        <v>0.36254285714285717</v>
      </c>
      <c r="G10" s="93">
        <f t="shared" si="2"/>
        <v>53546.4</v>
      </c>
    </row>
    <row r="11" ht="13.5" thickBot="1"/>
    <row r="12" spans="1:7" ht="15.75">
      <c r="A12" s="183" t="s">
        <v>72</v>
      </c>
      <c r="B12" s="184"/>
      <c r="C12" s="184"/>
      <c r="D12" s="184"/>
      <c r="E12" s="184"/>
      <c r="F12" s="184"/>
      <c r="G12" s="185"/>
    </row>
    <row r="13" spans="1:7" ht="25.5" customHeight="1">
      <c r="A13" s="149" t="s">
        <v>94</v>
      </c>
      <c r="B13" s="150"/>
      <c r="C13" s="150"/>
      <c r="D13" s="150"/>
      <c r="E13" s="150"/>
      <c r="F13" s="150"/>
      <c r="G13" s="151"/>
    </row>
    <row r="14" spans="1:7" ht="12.75">
      <c r="A14" s="65" t="s">
        <v>50</v>
      </c>
      <c r="B14" s="66" t="s">
        <v>95</v>
      </c>
      <c r="C14" s="66" t="s">
        <v>51</v>
      </c>
      <c r="D14" s="66" t="s">
        <v>91</v>
      </c>
      <c r="E14" s="82" t="s">
        <v>92</v>
      </c>
      <c r="F14" s="82" t="s">
        <v>88</v>
      </c>
      <c r="G14" s="67" t="s">
        <v>90</v>
      </c>
    </row>
    <row r="15" spans="1:7" ht="12.75">
      <c r="A15" s="68" t="s">
        <v>73</v>
      </c>
      <c r="B15" s="51">
        <f>14*146</f>
        <v>2044</v>
      </c>
      <c r="C15" s="51">
        <f>B15*D$25/C$25</f>
        <v>1903.623342514038</v>
      </c>
      <c r="D15" s="51">
        <f>0.5*C15</f>
        <v>951.811671257019</v>
      </c>
      <c r="E15" s="83">
        <v>0</v>
      </c>
      <c r="F15" s="85">
        <f>1-G15/B15</f>
        <v>0.5343387126922607</v>
      </c>
      <c r="G15" s="80">
        <f>C15-D15</f>
        <v>951.811671257019</v>
      </c>
    </row>
    <row r="16" spans="1:7" ht="12.75">
      <c r="A16" s="68" t="s">
        <v>74</v>
      </c>
      <c r="B16" s="51">
        <f>14*400</f>
        <v>5600</v>
      </c>
      <c r="C16" s="51">
        <f>B16*D$25/C$25</f>
        <v>5215.40641784668</v>
      </c>
      <c r="D16" s="51">
        <f>0.5*C16</f>
        <v>2607.70320892334</v>
      </c>
      <c r="E16" s="83">
        <v>0</v>
      </c>
      <c r="F16" s="85">
        <f>1-G16/B16</f>
        <v>0.5343387126922607</v>
      </c>
      <c r="G16" s="80">
        <f>C16-D16</f>
        <v>2607.70320892334</v>
      </c>
    </row>
    <row r="17" spans="1:7" ht="12.75">
      <c r="A17" s="68" t="s">
        <v>87</v>
      </c>
      <c r="B17" s="51">
        <f>8*B15</f>
        <v>16352</v>
      </c>
      <c r="C17" s="51">
        <f>B17*D$25/C$25</f>
        <v>15228.986740112305</v>
      </c>
      <c r="D17" s="51">
        <f>0.5*C17</f>
        <v>7614.493370056152</v>
      </c>
      <c r="E17" s="83">
        <v>0</v>
      </c>
      <c r="F17" s="85">
        <f>1-G17/B17</f>
        <v>0.5343387126922607</v>
      </c>
      <c r="G17" s="80">
        <f>C17-D17</f>
        <v>7614.493370056152</v>
      </c>
    </row>
    <row r="18" spans="1:7" ht="13.5" thickBot="1">
      <c r="A18" s="69" t="s">
        <v>75</v>
      </c>
      <c r="B18" s="64">
        <f>8*B16</f>
        <v>44800</v>
      </c>
      <c r="C18" s="64">
        <f>B18*D$25/C$25</f>
        <v>41723.25134277344</v>
      </c>
      <c r="D18" s="64">
        <f>0.5*C18</f>
        <v>20861.62567138672</v>
      </c>
      <c r="E18" s="84">
        <v>0</v>
      </c>
      <c r="F18" s="86">
        <f>1-G18/B18</f>
        <v>0.5343387126922607</v>
      </c>
      <c r="G18" s="81">
        <f>C18-D18</f>
        <v>20861.62567138672</v>
      </c>
    </row>
    <row r="19" ht="13.5" thickBot="1"/>
    <row r="20" spans="1:7" ht="15.75">
      <c r="A20" s="183" t="s">
        <v>80</v>
      </c>
      <c r="B20" s="184"/>
      <c r="C20" s="184"/>
      <c r="D20" s="184"/>
      <c r="E20" s="184"/>
      <c r="F20" s="184"/>
      <c r="G20" s="185"/>
    </row>
    <row r="21" spans="1:7" ht="39.75" customHeight="1">
      <c r="A21" s="149" t="s">
        <v>82</v>
      </c>
      <c r="B21" s="150"/>
      <c r="C21" s="150"/>
      <c r="D21" s="150"/>
      <c r="E21" s="150"/>
      <c r="F21" s="150"/>
      <c r="G21" s="151"/>
    </row>
    <row r="22" spans="1:7" ht="38.25">
      <c r="A22" s="79" t="s">
        <v>85</v>
      </c>
      <c r="B22" s="66" t="s">
        <v>81</v>
      </c>
      <c r="C22" s="66" t="s">
        <v>83</v>
      </c>
      <c r="D22" s="66" t="s">
        <v>84</v>
      </c>
      <c r="E22" s="66"/>
      <c r="F22" s="66"/>
      <c r="G22" s="67" t="s">
        <v>86</v>
      </c>
    </row>
    <row r="23" spans="1:7" ht="12.75">
      <c r="A23" s="75">
        <v>400</v>
      </c>
      <c r="B23" s="54" t="s">
        <v>76</v>
      </c>
      <c r="C23" s="54">
        <v>1024</v>
      </c>
      <c r="D23" s="54">
        <v>1000</v>
      </c>
      <c r="E23" s="54"/>
      <c r="F23" s="54"/>
      <c r="G23" s="76">
        <f>A23*D23/C23</f>
        <v>390.625</v>
      </c>
    </row>
    <row r="24" spans="1:7" ht="12.75">
      <c r="A24" s="75">
        <v>400</v>
      </c>
      <c r="B24" s="54" t="s">
        <v>77</v>
      </c>
      <c r="C24" s="54">
        <v>1048576</v>
      </c>
      <c r="D24" s="54">
        <v>1000000</v>
      </c>
      <c r="E24" s="54"/>
      <c r="F24" s="54"/>
      <c r="G24" s="76">
        <f>A24*D24/C24</f>
        <v>381.4697265625</v>
      </c>
    </row>
    <row r="25" spans="1:7" ht="12.75">
      <c r="A25" s="75">
        <v>2044</v>
      </c>
      <c r="B25" s="54" t="s">
        <v>78</v>
      </c>
      <c r="C25" s="54">
        <v>1073741824</v>
      </c>
      <c r="D25" s="54">
        <v>1000000000</v>
      </c>
      <c r="E25" s="54"/>
      <c r="F25" s="54"/>
      <c r="G25" s="76">
        <f>A25*D25/C25</f>
        <v>1903.623342514038</v>
      </c>
    </row>
    <row r="26" spans="1:7" ht="13.5" thickBot="1">
      <c r="A26" s="77">
        <v>400</v>
      </c>
      <c r="B26" s="63" t="s">
        <v>79</v>
      </c>
      <c r="C26" s="63">
        <v>1099511627776</v>
      </c>
      <c r="D26" s="63">
        <v>1000000000000</v>
      </c>
      <c r="E26" s="63"/>
      <c r="F26" s="63"/>
      <c r="G26" s="78">
        <f>A26*D26/C26</f>
        <v>363.7978807091713</v>
      </c>
    </row>
    <row r="35" spans="1:3" ht="12.75">
      <c r="A35" s="186" t="s">
        <v>102</v>
      </c>
      <c r="B35" s="187"/>
      <c r="C35" s="188"/>
    </row>
    <row r="36" spans="1:3" ht="12.75">
      <c r="A36" s="88" t="s">
        <v>101</v>
      </c>
      <c r="B36" s="88" t="s">
        <v>100</v>
      </c>
      <c r="C36" s="88" t="s">
        <v>103</v>
      </c>
    </row>
    <row r="37" spans="1:3" ht="12.75">
      <c r="A37" s="88"/>
      <c r="B37" s="88"/>
      <c r="C37" s="88"/>
    </row>
  </sheetData>
  <sheetProtection/>
  <mergeCells count="7">
    <mergeCell ref="A2:G2"/>
    <mergeCell ref="A35:C35"/>
    <mergeCell ref="A12:G12"/>
    <mergeCell ref="A13:G13"/>
    <mergeCell ref="A20:G20"/>
    <mergeCell ref="A21:G21"/>
    <mergeCell ref="A3:G3"/>
  </mergeCells>
  <printOptions/>
  <pageMargins left="0.75" right="0.75" top="1" bottom="1" header="0.5" footer="0.5"/>
  <pageSetup fitToHeight="1" fitToWidth="1" horizontalDpi="600" verticalDpi="600" orientation="landscape" scale="83" r:id="rId1"/>
</worksheet>
</file>

<file path=xl/worksheets/sheet4.xml><?xml version="1.0" encoding="utf-8"?>
<worksheet xmlns="http://schemas.openxmlformats.org/spreadsheetml/2006/main" xmlns:r="http://schemas.openxmlformats.org/officeDocument/2006/relationships">
  <sheetPr>
    <pageSetUpPr fitToPage="1"/>
  </sheetPr>
  <dimension ref="A1:T43"/>
  <sheetViews>
    <sheetView showGridLines="0" zoomScalePageLayoutView="0" workbookViewId="0" topLeftCell="A1">
      <selection activeCell="S12" sqref="S12"/>
    </sheetView>
  </sheetViews>
  <sheetFormatPr defaultColWidth="9.140625" defaultRowHeight="12.75"/>
  <cols>
    <col min="1" max="1" width="11.28125" style="104" customWidth="1"/>
    <col min="2" max="2" width="26.140625" style="104" customWidth="1"/>
    <col min="3" max="3" width="6.140625" style="104" customWidth="1"/>
    <col min="4" max="7" width="5.421875" style="104" customWidth="1"/>
    <col min="8" max="8" width="15.7109375" style="104" customWidth="1"/>
    <col min="9" max="9" width="11.28125" style="104" customWidth="1"/>
    <col min="10" max="16" width="10.57421875" style="104" customWidth="1"/>
    <col min="17" max="17" width="15.140625" style="104" customWidth="1"/>
    <col min="18" max="18" width="10.57421875" style="104" customWidth="1"/>
    <col min="19" max="19" width="11.57421875" style="104" customWidth="1"/>
    <col min="20" max="20" width="10.140625" style="104" customWidth="1"/>
    <col min="21" max="21" width="14.00390625" style="104" customWidth="1"/>
    <col min="22" max="16384" width="9.140625" style="104" customWidth="1"/>
  </cols>
  <sheetData>
    <row r="1" spans="1:20" ht="26.25" customHeight="1">
      <c r="A1" s="190" t="s">
        <v>134</v>
      </c>
      <c r="B1" s="191"/>
      <c r="C1" s="191"/>
      <c r="D1" s="191"/>
      <c r="E1" s="191"/>
      <c r="F1" s="191"/>
      <c r="G1" s="191"/>
      <c r="H1" s="191"/>
      <c r="I1" s="191"/>
      <c r="J1" s="191"/>
      <c r="K1" s="191"/>
      <c r="L1" s="191"/>
      <c r="M1" s="191"/>
      <c r="N1" s="191"/>
      <c r="O1" s="191"/>
      <c r="P1" s="191"/>
      <c r="Q1" s="191"/>
      <c r="R1" s="191"/>
      <c r="S1" s="191"/>
      <c r="T1" s="192"/>
    </row>
    <row r="2" spans="1:20" ht="15" customHeight="1">
      <c r="A2" s="193" t="s">
        <v>141</v>
      </c>
      <c r="B2" s="194"/>
      <c r="C2" s="194"/>
      <c r="D2" s="194"/>
      <c r="E2" s="194"/>
      <c r="F2" s="194"/>
      <c r="G2" s="194"/>
      <c r="H2" s="194"/>
      <c r="I2" s="194"/>
      <c r="J2" s="194"/>
      <c r="K2" s="194"/>
      <c r="L2" s="194"/>
      <c r="M2" s="194"/>
      <c r="N2" s="194"/>
      <c r="O2" s="194"/>
      <c r="P2" s="194"/>
      <c r="Q2" s="194"/>
      <c r="R2" s="194"/>
      <c r="S2" s="194"/>
      <c r="T2" s="195"/>
    </row>
    <row r="3" spans="1:20" ht="24">
      <c r="A3" s="105" t="s">
        <v>118</v>
      </c>
      <c r="B3" s="105" t="s">
        <v>96</v>
      </c>
      <c r="C3" s="105" t="s">
        <v>138</v>
      </c>
      <c r="D3" s="105" t="s">
        <v>137</v>
      </c>
      <c r="E3" s="105" t="s">
        <v>132</v>
      </c>
      <c r="F3" s="105" t="s">
        <v>136</v>
      </c>
      <c r="G3" s="105"/>
      <c r="H3" s="105" t="s">
        <v>117</v>
      </c>
      <c r="I3" s="105" t="s">
        <v>109</v>
      </c>
      <c r="J3" s="105" t="s">
        <v>130</v>
      </c>
      <c r="K3" s="105" t="s">
        <v>113</v>
      </c>
      <c r="L3" s="105"/>
      <c r="M3" s="105" t="s">
        <v>114</v>
      </c>
      <c r="N3" s="105" t="s">
        <v>110</v>
      </c>
      <c r="O3" s="105" t="s">
        <v>115</v>
      </c>
      <c r="P3" s="105" t="s">
        <v>151</v>
      </c>
      <c r="Q3" s="105" t="s">
        <v>1</v>
      </c>
      <c r="R3" s="105" t="s">
        <v>135</v>
      </c>
      <c r="S3" s="105" t="s">
        <v>119</v>
      </c>
      <c r="T3" s="105" t="s">
        <v>139</v>
      </c>
    </row>
    <row r="4" spans="1:20" ht="15.75" customHeight="1">
      <c r="A4" s="106" t="s">
        <v>116</v>
      </c>
      <c r="B4" s="106" t="s">
        <v>112</v>
      </c>
      <c r="C4" s="107">
        <v>4</v>
      </c>
      <c r="D4" s="108">
        <v>2.4</v>
      </c>
      <c r="E4" s="108">
        <f aca="true" t="shared" si="0" ref="E4:E13">D4*C4</f>
        <v>9.6</v>
      </c>
      <c r="F4" s="107">
        <v>32</v>
      </c>
      <c r="G4" s="107"/>
      <c r="H4" s="109" t="s">
        <v>111</v>
      </c>
      <c r="I4" s="110">
        <v>8129</v>
      </c>
      <c r="J4" s="110">
        <f>4*353</f>
        <v>1412</v>
      </c>
      <c r="K4" s="110">
        <v>256</v>
      </c>
      <c r="L4" s="110"/>
      <c r="M4" s="110">
        <f>150+240+1267</f>
        <v>1657</v>
      </c>
      <c r="N4" s="110">
        <v>4827</v>
      </c>
      <c r="O4" s="110">
        <v>1172</v>
      </c>
      <c r="P4" s="110"/>
      <c r="Q4" s="110">
        <f aca="true" t="shared" si="1" ref="Q4:Q13">SUM(I4:O4)</f>
        <v>17453</v>
      </c>
      <c r="R4" s="110">
        <f aca="true" t="shared" si="2" ref="R4:R13">Q4/(D4*C4)</f>
        <v>1818.0208333333335</v>
      </c>
      <c r="S4" s="110">
        <f>1338*8</f>
        <v>10704</v>
      </c>
      <c r="T4" s="110">
        <f aca="true" t="shared" si="3" ref="T4:T14">S4/F4</f>
        <v>334.5</v>
      </c>
    </row>
    <row r="5" spans="1:20" ht="15.75" customHeight="1">
      <c r="A5" s="106" t="s">
        <v>120</v>
      </c>
      <c r="B5" s="106" t="s">
        <v>112</v>
      </c>
      <c r="C5" s="107">
        <v>4</v>
      </c>
      <c r="D5" s="108">
        <v>2.4</v>
      </c>
      <c r="E5" s="108">
        <f t="shared" si="0"/>
        <v>9.6</v>
      </c>
      <c r="F5" s="107">
        <v>32</v>
      </c>
      <c r="G5" s="107"/>
      <c r="H5" s="109" t="s">
        <v>111</v>
      </c>
      <c r="I5" s="110">
        <v>8129</v>
      </c>
      <c r="J5" s="110">
        <f>4*353</f>
        <v>1412</v>
      </c>
      <c r="K5" s="110">
        <v>256</v>
      </c>
      <c r="L5" s="110"/>
      <c r="M5" s="110">
        <f>150+240+1267</f>
        <v>1657</v>
      </c>
      <c r="N5" s="110">
        <v>4827</v>
      </c>
      <c r="O5" s="110">
        <v>1172</v>
      </c>
      <c r="P5" s="110"/>
      <c r="Q5" s="110">
        <f t="shared" si="1"/>
        <v>17453</v>
      </c>
      <c r="R5" s="110">
        <f t="shared" si="2"/>
        <v>1818.0208333333335</v>
      </c>
      <c r="S5" s="110">
        <f>1338*8</f>
        <v>10704</v>
      </c>
      <c r="T5" s="110">
        <f t="shared" si="3"/>
        <v>334.5</v>
      </c>
    </row>
    <row r="6" spans="1:20" ht="15.75" customHeight="1">
      <c r="A6" s="106" t="s">
        <v>121</v>
      </c>
      <c r="B6" s="106" t="s">
        <v>122</v>
      </c>
      <c r="C6" s="107">
        <v>4</v>
      </c>
      <c r="D6" s="108">
        <v>2</v>
      </c>
      <c r="E6" s="108">
        <f t="shared" si="0"/>
        <v>8</v>
      </c>
      <c r="F6" s="107">
        <v>16</v>
      </c>
      <c r="G6" s="107"/>
      <c r="H6" s="109" t="s">
        <v>123</v>
      </c>
      <c r="I6" s="110">
        <v>3356</v>
      </c>
      <c r="J6" s="110">
        <v>1140</v>
      </c>
      <c r="K6" s="110">
        <v>550</v>
      </c>
      <c r="L6" s="110"/>
      <c r="M6" s="110">
        <v>905</v>
      </c>
      <c r="N6" s="110">
        <v>5470.3</v>
      </c>
      <c r="O6" s="110">
        <v>1198.96</v>
      </c>
      <c r="P6" s="110"/>
      <c r="Q6" s="110">
        <f t="shared" si="1"/>
        <v>12620.259999999998</v>
      </c>
      <c r="R6" s="110">
        <f t="shared" si="2"/>
        <v>1577.5324999999998</v>
      </c>
      <c r="S6" s="110">
        <v>4376</v>
      </c>
      <c r="T6" s="110">
        <f t="shared" si="3"/>
        <v>273.5</v>
      </c>
    </row>
    <row r="7" spans="1:20" ht="15.75" customHeight="1">
      <c r="A7" s="106" t="s">
        <v>124</v>
      </c>
      <c r="B7" s="106" t="s">
        <v>122</v>
      </c>
      <c r="C7" s="107">
        <v>4</v>
      </c>
      <c r="D7" s="108">
        <v>2</v>
      </c>
      <c r="E7" s="108">
        <f t="shared" si="0"/>
        <v>8</v>
      </c>
      <c r="F7" s="107">
        <v>16</v>
      </c>
      <c r="G7" s="107"/>
      <c r="H7" s="109" t="s">
        <v>123</v>
      </c>
      <c r="I7" s="110">
        <v>3356</v>
      </c>
      <c r="J7" s="110">
        <v>1140</v>
      </c>
      <c r="K7" s="110">
        <v>550</v>
      </c>
      <c r="L7" s="110"/>
      <c r="M7" s="110">
        <v>905</v>
      </c>
      <c r="N7" s="110">
        <v>5470.3</v>
      </c>
      <c r="O7" s="110">
        <v>1198.96</v>
      </c>
      <c r="P7" s="110"/>
      <c r="Q7" s="110">
        <f t="shared" si="1"/>
        <v>12620.259999999998</v>
      </c>
      <c r="R7" s="110">
        <f t="shared" si="2"/>
        <v>1577.5324999999998</v>
      </c>
      <c r="S7" s="110">
        <v>4376</v>
      </c>
      <c r="T7" s="110">
        <f t="shared" si="3"/>
        <v>273.5</v>
      </c>
    </row>
    <row r="8" spans="1:20" ht="15.75" customHeight="1">
      <c r="A8" s="106" t="s">
        <v>125</v>
      </c>
      <c r="B8" s="106" t="s">
        <v>122</v>
      </c>
      <c r="C8" s="107">
        <v>4</v>
      </c>
      <c r="D8" s="108">
        <v>2</v>
      </c>
      <c r="E8" s="108">
        <f t="shared" si="0"/>
        <v>8</v>
      </c>
      <c r="F8" s="107">
        <v>16</v>
      </c>
      <c r="G8" s="107"/>
      <c r="H8" s="109" t="s">
        <v>123</v>
      </c>
      <c r="I8" s="110">
        <v>3356</v>
      </c>
      <c r="J8" s="110">
        <v>1140</v>
      </c>
      <c r="K8" s="110">
        <v>550</v>
      </c>
      <c r="L8" s="110"/>
      <c r="M8" s="110">
        <v>905</v>
      </c>
      <c r="N8" s="110">
        <v>5470.3</v>
      </c>
      <c r="O8" s="110">
        <v>1198.96</v>
      </c>
      <c r="P8" s="110"/>
      <c r="Q8" s="110">
        <f t="shared" si="1"/>
        <v>12620.259999999998</v>
      </c>
      <c r="R8" s="110">
        <f t="shared" si="2"/>
        <v>1577.5324999999998</v>
      </c>
      <c r="S8" s="110">
        <v>4376</v>
      </c>
      <c r="T8" s="110">
        <f t="shared" si="3"/>
        <v>273.5</v>
      </c>
    </row>
    <row r="9" spans="1:20" ht="15.75" customHeight="1">
      <c r="A9" s="106" t="s">
        <v>126</v>
      </c>
      <c r="B9" s="106" t="s">
        <v>122</v>
      </c>
      <c r="C9" s="107">
        <v>4</v>
      </c>
      <c r="D9" s="108">
        <v>2</v>
      </c>
      <c r="E9" s="108">
        <f t="shared" si="0"/>
        <v>8</v>
      </c>
      <c r="F9" s="107">
        <v>16</v>
      </c>
      <c r="G9" s="107"/>
      <c r="H9" s="109" t="s">
        <v>123</v>
      </c>
      <c r="I9" s="110">
        <v>3356</v>
      </c>
      <c r="J9" s="110">
        <v>1140</v>
      </c>
      <c r="K9" s="110">
        <v>550</v>
      </c>
      <c r="L9" s="110"/>
      <c r="M9" s="110">
        <v>905</v>
      </c>
      <c r="N9" s="110">
        <v>5470.3</v>
      </c>
      <c r="O9" s="110">
        <v>1198.96</v>
      </c>
      <c r="P9" s="110"/>
      <c r="Q9" s="110">
        <f t="shared" si="1"/>
        <v>12620.259999999998</v>
      </c>
      <c r="R9" s="110">
        <f t="shared" si="2"/>
        <v>1577.5324999999998</v>
      </c>
      <c r="S9" s="110">
        <v>4376</v>
      </c>
      <c r="T9" s="110">
        <f t="shared" si="3"/>
        <v>273.5</v>
      </c>
    </row>
    <row r="10" spans="1:20" ht="15.75" customHeight="1">
      <c r="A10" s="106" t="s">
        <v>127</v>
      </c>
      <c r="B10" s="106" t="s">
        <v>122</v>
      </c>
      <c r="C10" s="107">
        <v>4</v>
      </c>
      <c r="D10" s="108">
        <v>2</v>
      </c>
      <c r="E10" s="108">
        <f t="shared" si="0"/>
        <v>8</v>
      </c>
      <c r="F10" s="107">
        <v>16</v>
      </c>
      <c r="G10" s="107"/>
      <c r="H10" s="109" t="s">
        <v>123</v>
      </c>
      <c r="I10" s="110">
        <v>3356</v>
      </c>
      <c r="J10" s="110">
        <v>1140</v>
      </c>
      <c r="K10" s="110">
        <v>550</v>
      </c>
      <c r="L10" s="110"/>
      <c r="M10" s="110">
        <v>905</v>
      </c>
      <c r="N10" s="110">
        <v>5050.32</v>
      </c>
      <c r="O10" s="110">
        <v>1198.96</v>
      </c>
      <c r="P10" s="110"/>
      <c r="Q10" s="110">
        <f t="shared" si="1"/>
        <v>12200.279999999999</v>
      </c>
      <c r="R10" s="110">
        <f t="shared" si="2"/>
        <v>1525.0349999999999</v>
      </c>
      <c r="S10" s="110">
        <v>4376</v>
      </c>
      <c r="T10" s="110">
        <f t="shared" si="3"/>
        <v>273.5</v>
      </c>
    </row>
    <row r="11" spans="1:20" ht="15.75" customHeight="1">
      <c r="A11" s="106" t="s">
        <v>140</v>
      </c>
      <c r="B11" s="106" t="s">
        <v>122</v>
      </c>
      <c r="C11" s="107">
        <v>2</v>
      </c>
      <c r="D11" s="108">
        <v>2</v>
      </c>
      <c r="E11" s="108">
        <f t="shared" si="0"/>
        <v>4</v>
      </c>
      <c r="F11" s="107">
        <v>4</v>
      </c>
      <c r="G11" s="107"/>
      <c r="H11" s="109" t="s">
        <v>123</v>
      </c>
      <c r="I11" s="110">
        <v>3356</v>
      </c>
      <c r="J11" s="110">
        <v>1140</v>
      </c>
      <c r="K11" s="110">
        <v>550</v>
      </c>
      <c r="L11" s="110"/>
      <c r="M11" s="110">
        <v>905</v>
      </c>
      <c r="N11" s="110">
        <v>5050.32</v>
      </c>
      <c r="O11" s="110">
        <v>1198.96</v>
      </c>
      <c r="P11" s="110"/>
      <c r="Q11" s="110">
        <f t="shared" si="1"/>
        <v>12200.279999999999</v>
      </c>
      <c r="R11" s="110">
        <f t="shared" si="2"/>
        <v>3050.0699999999997</v>
      </c>
      <c r="S11" s="110">
        <f>4376/4</f>
        <v>1094</v>
      </c>
      <c r="T11" s="110">
        <f t="shared" si="3"/>
        <v>273.5</v>
      </c>
    </row>
    <row r="12" spans="1:20" ht="15.75" customHeight="1">
      <c r="A12" s="106" t="s">
        <v>128</v>
      </c>
      <c r="B12" s="106" t="s">
        <v>108</v>
      </c>
      <c r="C12" s="107">
        <v>4</v>
      </c>
      <c r="D12" s="108">
        <v>2.4</v>
      </c>
      <c r="E12" s="108">
        <f t="shared" si="0"/>
        <v>9.6</v>
      </c>
      <c r="F12" s="107">
        <v>8</v>
      </c>
      <c r="G12" s="107"/>
      <c r="H12" s="109" t="s">
        <v>131</v>
      </c>
      <c r="I12" s="110">
        <v>2862</v>
      </c>
      <c r="J12" s="110">
        <v>482</v>
      </c>
      <c r="K12" s="110">
        <v>550</v>
      </c>
      <c r="L12" s="110"/>
      <c r="M12" s="110">
        <v>1490</v>
      </c>
      <c r="N12" s="110">
        <v>5050.32</v>
      </c>
      <c r="O12" s="110">
        <v>1198.96</v>
      </c>
      <c r="P12" s="110"/>
      <c r="Q12" s="110">
        <f t="shared" si="1"/>
        <v>11633.279999999999</v>
      </c>
      <c r="R12" s="110">
        <f t="shared" si="2"/>
        <v>1211.8</v>
      </c>
      <c r="S12" s="110">
        <v>1700</v>
      </c>
      <c r="T12" s="110">
        <f t="shared" si="3"/>
        <v>212.5</v>
      </c>
    </row>
    <row r="13" spans="1:20" ht="15.75" customHeight="1" thickBot="1">
      <c r="A13" s="111" t="s">
        <v>129</v>
      </c>
      <c r="B13" s="111" t="s">
        <v>108</v>
      </c>
      <c r="C13" s="112">
        <v>4</v>
      </c>
      <c r="D13" s="113">
        <v>2.4</v>
      </c>
      <c r="E13" s="113">
        <f t="shared" si="0"/>
        <v>9.6</v>
      </c>
      <c r="F13" s="112">
        <v>8</v>
      </c>
      <c r="G13" s="112"/>
      <c r="H13" s="114" t="s">
        <v>131</v>
      </c>
      <c r="I13" s="115">
        <v>2862</v>
      </c>
      <c r="J13" s="115">
        <v>482</v>
      </c>
      <c r="K13" s="115">
        <v>550</v>
      </c>
      <c r="L13" s="115"/>
      <c r="M13" s="115">
        <v>1490</v>
      </c>
      <c r="N13" s="115">
        <v>4827</v>
      </c>
      <c r="O13" s="115">
        <v>1172</v>
      </c>
      <c r="P13" s="115"/>
      <c r="Q13" s="115">
        <f t="shared" si="1"/>
        <v>11383</v>
      </c>
      <c r="R13" s="110">
        <f t="shared" si="2"/>
        <v>1185.7291666666667</v>
      </c>
      <c r="S13" s="115">
        <v>1700</v>
      </c>
      <c r="T13" s="115">
        <f t="shared" si="3"/>
        <v>212.5</v>
      </c>
    </row>
    <row r="14" spans="1:20" ht="15.75" customHeight="1" thickBot="1">
      <c r="A14" s="116" t="s">
        <v>133</v>
      </c>
      <c r="B14" s="117"/>
      <c r="C14" s="118"/>
      <c r="D14" s="119">
        <f>AVERAGE(D4:D13)</f>
        <v>2.1599999999999997</v>
      </c>
      <c r="E14" s="119">
        <f>SUM(E4:E13)</f>
        <v>82.39999999999999</v>
      </c>
      <c r="F14" s="120">
        <f>SUM(F4:F13)</f>
        <v>164</v>
      </c>
      <c r="G14" s="120"/>
      <c r="H14" s="121"/>
      <c r="I14" s="122"/>
      <c r="J14" s="122"/>
      <c r="K14" s="122"/>
      <c r="L14" s="122"/>
      <c r="M14" s="122"/>
      <c r="N14" s="122"/>
      <c r="O14" s="122"/>
      <c r="P14" s="122"/>
      <c r="Q14" s="123">
        <f>SUM(Q4:Q13)</f>
        <v>132803.87999999998</v>
      </c>
      <c r="R14" s="123">
        <f>Q14/E14</f>
        <v>1611.697572815534</v>
      </c>
      <c r="S14" s="123">
        <f>SUM(S4:S13)</f>
        <v>47782</v>
      </c>
      <c r="T14" s="124">
        <f t="shared" si="3"/>
        <v>291.3536585365854</v>
      </c>
    </row>
    <row r="16" spans="1:20" ht="15" customHeight="1">
      <c r="A16" s="193" t="s">
        <v>155</v>
      </c>
      <c r="B16" s="194"/>
      <c r="C16" s="194"/>
      <c r="D16" s="194"/>
      <c r="E16" s="194"/>
      <c r="F16" s="194"/>
      <c r="G16" s="194"/>
      <c r="H16" s="194"/>
      <c r="I16" s="194"/>
      <c r="J16" s="194"/>
      <c r="K16" s="194"/>
      <c r="L16" s="194"/>
      <c r="M16" s="194"/>
      <c r="N16" s="194"/>
      <c r="O16" s="194"/>
      <c r="P16" s="194"/>
      <c r="Q16" s="194"/>
      <c r="R16" s="194"/>
      <c r="S16" s="194"/>
      <c r="T16" s="195"/>
    </row>
    <row r="17" spans="1:20" ht="24">
      <c r="A17" s="105" t="s">
        <v>3</v>
      </c>
      <c r="B17" s="105" t="s">
        <v>96</v>
      </c>
      <c r="C17" s="105" t="s">
        <v>138</v>
      </c>
      <c r="D17" s="105" t="s">
        <v>137</v>
      </c>
      <c r="E17" s="105" t="s">
        <v>132</v>
      </c>
      <c r="F17" s="105" t="s">
        <v>136</v>
      </c>
      <c r="G17" s="105" t="s">
        <v>144</v>
      </c>
      <c r="H17" s="105" t="s">
        <v>117</v>
      </c>
      <c r="I17" s="105" t="s">
        <v>109</v>
      </c>
      <c r="J17" s="105" t="s">
        <v>130</v>
      </c>
      <c r="K17" s="105" t="s">
        <v>113</v>
      </c>
      <c r="L17" s="105" t="s">
        <v>149</v>
      </c>
      <c r="M17" s="105" t="s">
        <v>150</v>
      </c>
      <c r="N17" s="105" t="s">
        <v>110</v>
      </c>
      <c r="O17" s="105" t="s">
        <v>115</v>
      </c>
      <c r="P17" s="105" t="s">
        <v>151</v>
      </c>
      <c r="Q17" s="105" t="s">
        <v>1</v>
      </c>
      <c r="R17" s="105" t="s">
        <v>135</v>
      </c>
      <c r="S17" s="105" t="s">
        <v>119</v>
      </c>
      <c r="T17" s="105" t="s">
        <v>139</v>
      </c>
    </row>
    <row r="18" spans="1:20" ht="15.75" customHeight="1">
      <c r="A18" s="106">
        <v>7</v>
      </c>
      <c r="B18" s="106" t="s">
        <v>142</v>
      </c>
      <c r="C18" s="107">
        <v>4</v>
      </c>
      <c r="D18" s="108">
        <v>2</v>
      </c>
      <c r="E18" s="108">
        <f>D18*C18*A18</f>
        <v>56</v>
      </c>
      <c r="F18" s="107">
        <v>16</v>
      </c>
      <c r="G18" s="107">
        <f>A18*F18</f>
        <v>112</v>
      </c>
      <c r="H18" s="109" t="s">
        <v>123</v>
      </c>
      <c r="I18" s="110">
        <f>3356-750</f>
        <v>2606</v>
      </c>
      <c r="J18" s="110">
        <v>1140</v>
      </c>
      <c r="K18" s="110">
        <v>550</v>
      </c>
      <c r="L18" s="110">
        <v>905</v>
      </c>
      <c r="M18" s="110">
        <v>919</v>
      </c>
      <c r="N18" s="110"/>
      <c r="O18" s="110"/>
      <c r="P18" s="110">
        <f>SUM(I18:O18)</f>
        <v>6120</v>
      </c>
      <c r="Q18" s="110">
        <f>SUM(I18:O18)*A18</f>
        <v>42840</v>
      </c>
      <c r="R18" s="110">
        <f>Q18/(D18*C18*A18)</f>
        <v>765</v>
      </c>
      <c r="S18" s="110">
        <f>A18*4376</f>
        <v>30632</v>
      </c>
      <c r="T18" s="110">
        <f>S18/G18</f>
        <v>273.5</v>
      </c>
    </row>
    <row r="19" spans="1:20" ht="15.75" customHeight="1">
      <c r="A19" s="106">
        <v>1</v>
      </c>
      <c r="B19" s="106" t="s">
        <v>147</v>
      </c>
      <c r="C19" s="107">
        <v>4</v>
      </c>
      <c r="D19" s="108">
        <v>2.4</v>
      </c>
      <c r="E19" s="108">
        <f>D19*C19*A19</f>
        <v>9.6</v>
      </c>
      <c r="F19" s="107">
        <v>14</v>
      </c>
      <c r="G19" s="107">
        <f>A19*F19</f>
        <v>14</v>
      </c>
      <c r="H19" s="109" t="s">
        <v>148</v>
      </c>
      <c r="I19" s="110">
        <f>2561-750</f>
        <v>1811</v>
      </c>
      <c r="J19" s="110">
        <v>648</v>
      </c>
      <c r="K19" s="110">
        <v>256</v>
      </c>
      <c r="L19" s="110">
        <v>508</v>
      </c>
      <c r="M19" s="110">
        <v>919</v>
      </c>
      <c r="N19" s="110"/>
      <c r="O19" s="110"/>
      <c r="P19" s="110">
        <f>SUM(I19:O19)</f>
        <v>4142</v>
      </c>
      <c r="Q19" s="110">
        <f>SUM(I19:O19)*A19</f>
        <v>4142</v>
      </c>
      <c r="R19" s="110"/>
      <c r="S19" s="110">
        <v>2890</v>
      </c>
      <c r="T19" s="110">
        <f>S19/G19</f>
        <v>206.42857142857142</v>
      </c>
    </row>
    <row r="20" spans="1:20" ht="15.75" customHeight="1" thickBot="1">
      <c r="A20" s="106">
        <v>26</v>
      </c>
      <c r="B20" s="125" t="s">
        <v>143</v>
      </c>
      <c r="C20" s="107">
        <v>4</v>
      </c>
      <c r="D20" s="108">
        <v>2.4</v>
      </c>
      <c r="E20" s="108">
        <f>D20*C20*A20</f>
        <v>249.6</v>
      </c>
      <c r="F20" s="107">
        <v>8</v>
      </c>
      <c r="G20" s="107">
        <f>A20*F20</f>
        <v>208</v>
      </c>
      <c r="H20" s="109" t="s">
        <v>131</v>
      </c>
      <c r="I20" s="110">
        <f>2862-750</f>
        <v>2112</v>
      </c>
      <c r="J20" s="110">
        <v>482</v>
      </c>
      <c r="K20" s="110">
        <v>550</v>
      </c>
      <c r="L20" s="110">
        <v>1490</v>
      </c>
      <c r="M20" s="110">
        <v>919</v>
      </c>
      <c r="N20" s="110"/>
      <c r="O20" s="110"/>
      <c r="P20" s="110">
        <f>SUM(I20:O20)</f>
        <v>5553</v>
      </c>
      <c r="Q20" s="110">
        <f>SUM(I20:O20)*A20</f>
        <v>144378</v>
      </c>
      <c r="R20" s="110">
        <f>Q20/(D20*C20*A20)</f>
        <v>578.4375</v>
      </c>
      <c r="S20" s="110">
        <f>1700*A20</f>
        <v>44200</v>
      </c>
      <c r="T20" s="110">
        <f>S20/G20</f>
        <v>212.5</v>
      </c>
    </row>
    <row r="21" spans="1:20" ht="15.75" customHeight="1" thickBot="1">
      <c r="A21" s="116" t="s">
        <v>133</v>
      </c>
      <c r="B21" s="117"/>
      <c r="C21" s="118"/>
      <c r="D21" s="119"/>
      <c r="E21" s="119">
        <f>SUM(E18:E20)</f>
        <v>315.2</v>
      </c>
      <c r="F21" s="120">
        <f>SUM(G18:G20)</f>
        <v>334</v>
      </c>
      <c r="G21" s="120">
        <f>SUM(G18:G20)</f>
        <v>334</v>
      </c>
      <c r="H21" s="121"/>
      <c r="I21" s="122"/>
      <c r="J21" s="122"/>
      <c r="K21" s="122"/>
      <c r="L21" s="122"/>
      <c r="M21" s="122"/>
      <c r="N21" s="122"/>
      <c r="O21" s="122"/>
      <c r="P21" s="122"/>
      <c r="Q21" s="123">
        <f>SUM(Q18:Q20)</f>
        <v>191360</v>
      </c>
      <c r="R21" s="123">
        <f>Q21/(E21)</f>
        <v>607.1065989847716</v>
      </c>
      <c r="S21" s="123">
        <f>SUM(S18:S20)</f>
        <v>77722</v>
      </c>
      <c r="T21" s="124">
        <f>S21/G21</f>
        <v>232.7005988023952</v>
      </c>
    </row>
    <row r="23" spans="1:20" ht="15" customHeight="1">
      <c r="A23" s="193" t="s">
        <v>145</v>
      </c>
      <c r="B23" s="194"/>
      <c r="C23" s="194"/>
      <c r="D23" s="194"/>
      <c r="E23" s="194"/>
      <c r="F23" s="194"/>
      <c r="G23" s="194"/>
      <c r="H23" s="194"/>
      <c r="I23" s="194"/>
      <c r="J23" s="194"/>
      <c r="K23" s="194"/>
      <c r="L23" s="194"/>
      <c r="M23" s="194"/>
      <c r="N23" s="194"/>
      <c r="O23" s="194"/>
      <c r="P23" s="194"/>
      <c r="Q23" s="194"/>
      <c r="R23" s="194"/>
      <c r="S23" s="194"/>
      <c r="T23" s="195"/>
    </row>
    <row r="24" spans="1:20" ht="24">
      <c r="A24" s="105" t="s">
        <v>3</v>
      </c>
      <c r="B24" s="105" t="s">
        <v>96</v>
      </c>
      <c r="C24" s="105" t="s">
        <v>138</v>
      </c>
      <c r="D24" s="105" t="s">
        <v>137</v>
      </c>
      <c r="E24" s="105" t="s">
        <v>132</v>
      </c>
      <c r="F24" s="105" t="s">
        <v>136</v>
      </c>
      <c r="G24" s="105" t="s">
        <v>144</v>
      </c>
      <c r="H24" s="105" t="s">
        <v>117</v>
      </c>
      <c r="I24" s="105" t="s">
        <v>109</v>
      </c>
      <c r="J24" s="105" t="s">
        <v>130</v>
      </c>
      <c r="K24" s="105" t="s">
        <v>113</v>
      </c>
      <c r="L24" s="105" t="s">
        <v>149</v>
      </c>
      <c r="M24" s="105" t="s">
        <v>150</v>
      </c>
      <c r="N24" s="105" t="s">
        <v>110</v>
      </c>
      <c r="O24" s="105" t="s">
        <v>115</v>
      </c>
      <c r="P24" s="105" t="s">
        <v>151</v>
      </c>
      <c r="Q24" s="105" t="s">
        <v>1</v>
      </c>
      <c r="R24" s="105" t="s">
        <v>135</v>
      </c>
      <c r="S24" s="105" t="s">
        <v>119</v>
      </c>
      <c r="T24" s="105" t="s">
        <v>139</v>
      </c>
    </row>
    <row r="25" spans="1:20" ht="15.75" customHeight="1">
      <c r="A25" s="106">
        <v>7</v>
      </c>
      <c r="B25" s="106" t="s">
        <v>142</v>
      </c>
      <c r="C25" s="107">
        <v>4</v>
      </c>
      <c r="D25" s="108">
        <v>2</v>
      </c>
      <c r="E25" s="108">
        <f>D25*C25*A25</f>
        <v>56</v>
      </c>
      <c r="F25" s="107">
        <v>16</v>
      </c>
      <c r="G25" s="107">
        <f>A25*F25</f>
        <v>112</v>
      </c>
      <c r="H25" s="109" t="s">
        <v>123</v>
      </c>
      <c r="I25" s="126">
        <f>3356</f>
        <v>3356</v>
      </c>
      <c r="J25" s="110">
        <v>1140</v>
      </c>
      <c r="K25" s="110">
        <v>550</v>
      </c>
      <c r="L25" s="110">
        <v>905</v>
      </c>
      <c r="M25" s="110">
        <v>919</v>
      </c>
      <c r="N25" s="110"/>
      <c r="O25" s="110"/>
      <c r="P25" s="110">
        <f>SUM(I25:O25)</f>
        <v>6870</v>
      </c>
      <c r="Q25" s="110">
        <f>SUM(I25:O25)*A25</f>
        <v>48090</v>
      </c>
      <c r="R25" s="110">
        <f>Q25/(D25*C25*A25)</f>
        <v>858.75</v>
      </c>
      <c r="S25" s="110">
        <f>A25*4376</f>
        <v>30632</v>
      </c>
      <c r="T25" s="110">
        <f>S25/G25</f>
        <v>273.5</v>
      </c>
    </row>
    <row r="26" spans="1:20" ht="15.75" customHeight="1">
      <c r="A26" s="106">
        <v>1</v>
      </c>
      <c r="B26" s="106" t="s">
        <v>147</v>
      </c>
      <c r="C26" s="107">
        <v>4</v>
      </c>
      <c r="D26" s="108">
        <v>2.4</v>
      </c>
      <c r="E26" s="108">
        <f>D26*C26*A26</f>
        <v>9.6</v>
      </c>
      <c r="F26" s="107">
        <v>14</v>
      </c>
      <c r="G26" s="107">
        <f>A26*F26</f>
        <v>14</v>
      </c>
      <c r="H26" s="109" t="s">
        <v>148</v>
      </c>
      <c r="I26" s="110">
        <f>2561</f>
        <v>2561</v>
      </c>
      <c r="J26" s="110">
        <v>648</v>
      </c>
      <c r="K26" s="110">
        <v>256</v>
      </c>
      <c r="L26" s="110">
        <v>508</v>
      </c>
      <c r="M26" s="110">
        <v>919</v>
      </c>
      <c r="N26" s="110"/>
      <c r="O26" s="110"/>
      <c r="P26" s="110">
        <f>SUM(I26:O26)</f>
        <v>4892</v>
      </c>
      <c r="Q26" s="110">
        <f>SUM(I26:O26)*A26</f>
        <v>4892</v>
      </c>
      <c r="R26" s="110"/>
      <c r="S26" s="110">
        <v>2890</v>
      </c>
      <c r="T26" s="110">
        <f>S26/G26</f>
        <v>206.42857142857142</v>
      </c>
    </row>
    <row r="27" spans="1:20" ht="15.75" customHeight="1" thickBot="1">
      <c r="A27" s="106">
        <v>26</v>
      </c>
      <c r="B27" s="125" t="s">
        <v>143</v>
      </c>
      <c r="C27" s="107">
        <v>4</v>
      </c>
      <c r="D27" s="108">
        <v>2.4</v>
      </c>
      <c r="E27" s="108">
        <f>D27*C27*A27</f>
        <v>249.6</v>
      </c>
      <c r="F27" s="107">
        <v>8</v>
      </c>
      <c r="G27" s="107">
        <f>A27*F27</f>
        <v>208</v>
      </c>
      <c r="H27" s="109" t="s">
        <v>131</v>
      </c>
      <c r="I27" s="110">
        <f>2862</f>
        <v>2862</v>
      </c>
      <c r="J27" s="110">
        <v>482</v>
      </c>
      <c r="K27" s="110">
        <v>550</v>
      </c>
      <c r="L27" s="110">
        <v>1490</v>
      </c>
      <c r="M27" s="110">
        <v>919</v>
      </c>
      <c r="N27" s="110"/>
      <c r="O27" s="110"/>
      <c r="P27" s="110">
        <f>SUM(I27:O27)</f>
        <v>6303</v>
      </c>
      <c r="Q27" s="110">
        <f>SUM(I27:O27)*A27</f>
        <v>163878</v>
      </c>
      <c r="R27" s="110">
        <f>Q27/(D27*C27*A27)</f>
        <v>656.5625</v>
      </c>
      <c r="S27" s="110">
        <f>1700*A27</f>
        <v>44200</v>
      </c>
      <c r="T27" s="110">
        <f>S27/G27</f>
        <v>212.5</v>
      </c>
    </row>
    <row r="28" spans="1:20" ht="15.75" customHeight="1" thickBot="1">
      <c r="A28" s="116" t="s">
        <v>133</v>
      </c>
      <c r="B28" s="117"/>
      <c r="C28" s="118"/>
      <c r="D28" s="119"/>
      <c r="E28" s="119">
        <f>SUM(E25:E27)</f>
        <v>315.2</v>
      </c>
      <c r="F28" s="120">
        <f>SUM(G25:G27)</f>
        <v>334</v>
      </c>
      <c r="G28" s="120">
        <f>SUM(G25:G27)</f>
        <v>334</v>
      </c>
      <c r="H28" s="121"/>
      <c r="I28" s="122"/>
      <c r="J28" s="122"/>
      <c r="K28" s="122"/>
      <c r="L28" s="122"/>
      <c r="M28" s="122"/>
      <c r="N28" s="122"/>
      <c r="O28" s="122"/>
      <c r="P28" s="122"/>
      <c r="Q28" s="123">
        <f>SUM(Q25:Q27)</f>
        <v>216860</v>
      </c>
      <c r="R28" s="123">
        <f>Q28/(E28)</f>
        <v>688.0076142131979</v>
      </c>
      <c r="S28" s="123">
        <f>SUM(S25:S27)</f>
        <v>77722</v>
      </c>
      <c r="T28" s="124">
        <f>S28/G28</f>
        <v>232.7005988023952</v>
      </c>
    </row>
    <row r="30" spans="1:20" ht="15" customHeight="1">
      <c r="A30" s="193" t="s">
        <v>146</v>
      </c>
      <c r="B30" s="194"/>
      <c r="C30" s="194"/>
      <c r="D30" s="194"/>
      <c r="E30" s="194"/>
      <c r="F30" s="194"/>
      <c r="G30" s="194"/>
      <c r="H30" s="194"/>
      <c r="I30" s="194"/>
      <c r="J30" s="194"/>
      <c r="K30" s="194"/>
      <c r="L30" s="194"/>
      <c r="M30" s="194"/>
      <c r="N30" s="194"/>
      <c r="O30" s="194"/>
      <c r="P30" s="194"/>
      <c r="Q30" s="194"/>
      <c r="R30" s="194"/>
      <c r="S30" s="194"/>
      <c r="T30" s="195"/>
    </row>
    <row r="31" spans="1:20" ht="24">
      <c r="A31" s="105" t="s">
        <v>3</v>
      </c>
      <c r="B31" s="105" t="s">
        <v>96</v>
      </c>
      <c r="C31" s="105" t="s">
        <v>138</v>
      </c>
      <c r="D31" s="105" t="s">
        <v>137</v>
      </c>
      <c r="E31" s="105" t="s">
        <v>132</v>
      </c>
      <c r="F31" s="105" t="s">
        <v>136</v>
      </c>
      <c r="G31" s="105" t="s">
        <v>144</v>
      </c>
      <c r="H31" s="105" t="s">
        <v>117</v>
      </c>
      <c r="I31" s="105" t="s">
        <v>109</v>
      </c>
      <c r="J31" s="105" t="s">
        <v>130</v>
      </c>
      <c r="K31" s="105" t="s">
        <v>113</v>
      </c>
      <c r="L31" s="105" t="s">
        <v>149</v>
      </c>
      <c r="M31" s="105" t="s">
        <v>150</v>
      </c>
      <c r="N31" s="105" t="s">
        <v>110</v>
      </c>
      <c r="O31" s="105" t="s">
        <v>115</v>
      </c>
      <c r="P31" s="105" t="s">
        <v>151</v>
      </c>
      <c r="Q31" s="105" t="s">
        <v>1</v>
      </c>
      <c r="R31" s="105" t="s">
        <v>135</v>
      </c>
      <c r="S31" s="105" t="s">
        <v>119</v>
      </c>
      <c r="T31" s="105" t="s">
        <v>139</v>
      </c>
    </row>
    <row r="32" spans="1:20" ht="15.75" customHeight="1">
      <c r="A32" s="106">
        <v>2</v>
      </c>
      <c r="B32" s="106" t="s">
        <v>154</v>
      </c>
      <c r="C32" s="107">
        <v>8</v>
      </c>
      <c r="D32" s="108">
        <v>2.4</v>
      </c>
      <c r="E32" s="108">
        <f>D32*C32*A32</f>
        <v>38.4</v>
      </c>
      <c r="F32" s="107">
        <v>32</v>
      </c>
      <c r="G32" s="107">
        <f>F32*A32</f>
        <v>64</v>
      </c>
      <c r="H32" s="109" t="s">
        <v>111</v>
      </c>
      <c r="I32" s="110">
        <f>8129+3049</f>
        <v>11178</v>
      </c>
      <c r="J32" s="110">
        <v>1059</v>
      </c>
      <c r="K32" s="110">
        <v>256</v>
      </c>
      <c r="L32" s="110">
        <v>390</v>
      </c>
      <c r="M32" s="110">
        <v>1267</v>
      </c>
      <c r="N32" s="110"/>
      <c r="O32" s="110"/>
      <c r="P32" s="110">
        <f>SUM(I32:O32)</f>
        <v>14150</v>
      </c>
      <c r="Q32" s="110">
        <f>SUM(I32:O32)*A32</f>
        <v>28300</v>
      </c>
      <c r="R32" s="110">
        <f>Q32/(D32*C32*A32)</f>
        <v>736.9791666666667</v>
      </c>
      <c r="S32" s="110">
        <f>1338*8*A32</f>
        <v>21408</v>
      </c>
      <c r="T32" s="110">
        <f>S32/(F32*A32)</f>
        <v>334.5</v>
      </c>
    </row>
    <row r="33" spans="1:20" ht="15.75" customHeight="1" thickBot="1">
      <c r="A33" s="106">
        <v>1</v>
      </c>
      <c r="B33" s="106" t="s">
        <v>152</v>
      </c>
      <c r="C33" s="107">
        <v>8</v>
      </c>
      <c r="D33" s="108">
        <v>2.4</v>
      </c>
      <c r="E33" s="108">
        <f>D33*C33*A33</f>
        <v>19.2</v>
      </c>
      <c r="F33" s="107">
        <v>28</v>
      </c>
      <c r="G33" s="107">
        <f>F33*A33</f>
        <v>28</v>
      </c>
      <c r="H33" s="109" t="s">
        <v>153</v>
      </c>
      <c r="I33" s="110">
        <v>9134</v>
      </c>
      <c r="J33" s="110">
        <v>648</v>
      </c>
      <c r="K33" s="110">
        <v>256</v>
      </c>
      <c r="L33" s="110">
        <v>274</v>
      </c>
      <c r="M33" s="110">
        <v>1267</v>
      </c>
      <c r="N33" s="110"/>
      <c r="O33" s="110"/>
      <c r="P33" s="110">
        <f>SUM(I33:O33)</f>
        <v>11579</v>
      </c>
      <c r="Q33" s="110">
        <f>SUM(I33:O33)*A33</f>
        <v>11579</v>
      </c>
      <c r="R33" s="110">
        <f>Q33/(D33*C33*A33)</f>
        <v>603.0729166666667</v>
      </c>
      <c r="S33" s="110">
        <v>6230</v>
      </c>
      <c r="T33" s="110">
        <f>S33/(F33*A33)</f>
        <v>222.5</v>
      </c>
    </row>
    <row r="34" spans="1:20" ht="15.75" customHeight="1" thickBot="1">
      <c r="A34" s="116" t="s">
        <v>133</v>
      </c>
      <c r="B34" s="117"/>
      <c r="C34" s="118"/>
      <c r="D34" s="119"/>
      <c r="E34" s="119">
        <f>SUM(E32:E33)</f>
        <v>57.599999999999994</v>
      </c>
      <c r="F34" s="120">
        <f>SUM(G32:G32)</f>
        <v>64</v>
      </c>
      <c r="G34" s="120">
        <f>SUM(G32:G33)</f>
        <v>92</v>
      </c>
      <c r="H34" s="121"/>
      <c r="I34" s="122"/>
      <c r="J34" s="122"/>
      <c r="K34" s="122"/>
      <c r="L34" s="122"/>
      <c r="M34" s="122"/>
      <c r="N34" s="122"/>
      <c r="O34" s="122"/>
      <c r="P34" s="122"/>
      <c r="Q34" s="123">
        <f>SUM(Q32:Q33)</f>
        <v>39879</v>
      </c>
      <c r="R34" s="123">
        <f>Q34/(E34)</f>
        <v>692.3437500000001</v>
      </c>
      <c r="S34" s="123">
        <f>SUM(S32:S33)</f>
        <v>27638</v>
      </c>
      <c r="T34" s="124">
        <f>S34/G34</f>
        <v>300.4130434782609</v>
      </c>
    </row>
    <row r="36" spans="7:8" ht="37.5" customHeight="1">
      <c r="G36" s="193" t="s">
        <v>156</v>
      </c>
      <c r="H36" s="194"/>
    </row>
    <row r="37" spans="2:8" ht="12.75">
      <c r="B37" s="127"/>
      <c r="G37" s="128">
        <v>1</v>
      </c>
      <c r="H37" s="110">
        <f>Q21/SUM(A18:A20)</f>
        <v>5628.235294117647</v>
      </c>
    </row>
    <row r="38" spans="2:8" ht="12.75">
      <c r="B38" s="127"/>
      <c r="G38" s="128">
        <v>2</v>
      </c>
      <c r="H38" s="110">
        <f>Q21/SUM(A18:A20)</f>
        <v>5628.235294117647</v>
      </c>
    </row>
    <row r="39" spans="7:8" ht="12.75">
      <c r="G39" s="128">
        <v>4</v>
      </c>
      <c r="H39" s="110">
        <f>Q28/SUM(A25:A27)</f>
        <v>6378.235294117647</v>
      </c>
    </row>
    <row r="40" spans="7:8" ht="12.75">
      <c r="G40" s="128">
        <v>8</v>
      </c>
      <c r="H40" s="110">
        <f>Q34/SUM(A32:A33)</f>
        <v>13293</v>
      </c>
    </row>
    <row r="42" spans="7:8" ht="49.5" customHeight="1">
      <c r="G42" s="189" t="s">
        <v>157</v>
      </c>
      <c r="H42" s="189"/>
    </row>
    <row r="43" spans="7:8" ht="12.75">
      <c r="G43" s="128"/>
      <c r="H43" s="129">
        <v>18174</v>
      </c>
    </row>
  </sheetData>
  <sheetProtection scenarios="1" selectLockedCells="1"/>
  <mergeCells count="7">
    <mergeCell ref="G42:H42"/>
    <mergeCell ref="A1:T1"/>
    <mergeCell ref="A2:T2"/>
    <mergeCell ref="A16:T16"/>
    <mergeCell ref="A23:T23"/>
    <mergeCell ref="A30:T30"/>
    <mergeCell ref="G36:H36"/>
  </mergeCells>
  <printOptions/>
  <pageMargins left="0.75" right="0.75" top="1" bottom="1" header="0.5" footer="0.5"/>
  <pageSetup fitToHeight="1" fitToWidth="1" horizontalDpi="600" verticalDpi="600" orientation="landscape" scale="57" r:id="rId1"/>
</worksheet>
</file>

<file path=xl/worksheets/sheet5.xml><?xml version="1.0" encoding="utf-8"?>
<worksheet xmlns="http://schemas.openxmlformats.org/spreadsheetml/2006/main" xmlns:r="http://schemas.openxmlformats.org/officeDocument/2006/relationships">
  <dimension ref="M6:M42"/>
  <sheetViews>
    <sheetView showGridLines="0" zoomScalePageLayoutView="0" workbookViewId="0" topLeftCell="A1">
      <selection activeCell="Q25" sqref="Q25"/>
    </sheetView>
  </sheetViews>
  <sheetFormatPr defaultColWidth="9.140625" defaultRowHeight="12.75"/>
  <sheetData>
    <row r="6" ht="12.75">
      <c r="M6" s="130"/>
    </row>
    <row r="11" ht="12.75">
      <c r="M11" s="130"/>
    </row>
    <row r="18" ht="12.75">
      <c r="M18" s="131"/>
    </row>
    <row r="33" ht="12.75">
      <c r="M33" s="130"/>
    </row>
    <row r="42" ht="12.75">
      <c r="M42" s="130"/>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L5"/>
  <sheetViews>
    <sheetView tabSelected="1" zoomScale="85" zoomScaleNormal="85" zoomScalePageLayoutView="0" workbookViewId="0" topLeftCell="A1">
      <selection activeCell="A1" sqref="A1:J1"/>
    </sheetView>
  </sheetViews>
  <sheetFormatPr defaultColWidth="9.140625" defaultRowHeight="12.75"/>
  <cols>
    <col min="1" max="1" width="12.140625" style="2" customWidth="1"/>
    <col min="2" max="3" width="10.7109375" style="2" hidden="1" customWidth="1"/>
    <col min="4" max="4" width="36.7109375" style="132" customWidth="1"/>
    <col min="5" max="5" width="41.8515625" style="132" customWidth="1"/>
    <col min="6" max="6" width="37.421875" style="132" customWidth="1"/>
    <col min="7" max="7" width="29.00390625" style="132" customWidth="1"/>
    <col min="8" max="8" width="22.28125" style="132" customWidth="1"/>
    <col min="9" max="9" width="25.7109375" style="0" customWidth="1"/>
    <col min="10" max="10" width="20.7109375" style="0" customWidth="1"/>
    <col min="11" max="11" width="13.57421875" style="137" customWidth="1"/>
    <col min="12" max="12" width="72.00390625" style="0" customWidth="1"/>
  </cols>
  <sheetData>
    <row r="1" spans="1:12" ht="96" customHeight="1">
      <c r="A1" s="196" t="s">
        <v>209</v>
      </c>
      <c r="B1" s="197"/>
      <c r="C1" s="197"/>
      <c r="D1" s="198"/>
      <c r="E1" s="198"/>
      <c r="F1" s="198"/>
      <c r="G1" s="198"/>
      <c r="H1" s="198"/>
      <c r="I1" s="198"/>
      <c r="J1" s="199"/>
      <c r="K1" s="138"/>
      <c r="L1" s="38"/>
    </row>
    <row r="2" spans="1:12" ht="39" customHeight="1">
      <c r="A2" s="134" t="s">
        <v>198</v>
      </c>
      <c r="B2" s="135"/>
      <c r="C2" s="135"/>
      <c r="D2" s="136" t="s">
        <v>199</v>
      </c>
      <c r="E2" s="136" t="s">
        <v>201</v>
      </c>
      <c r="F2" s="136" t="s">
        <v>202</v>
      </c>
      <c r="G2" s="136" t="s">
        <v>203</v>
      </c>
      <c r="H2" s="136" t="s">
        <v>206</v>
      </c>
      <c r="I2" s="136" t="s">
        <v>200</v>
      </c>
      <c r="J2" s="136" t="s">
        <v>218</v>
      </c>
      <c r="K2" s="139" t="s">
        <v>1</v>
      </c>
      <c r="L2" s="38"/>
    </row>
    <row r="3" spans="1:12" ht="151.5" customHeight="1">
      <c r="A3" s="134" t="s">
        <v>221</v>
      </c>
      <c r="B3" s="135"/>
      <c r="C3" s="135"/>
      <c r="D3" s="143" t="s">
        <v>204</v>
      </c>
      <c r="E3" s="142" t="s">
        <v>211</v>
      </c>
      <c r="F3" s="142" t="s">
        <v>222</v>
      </c>
      <c r="G3" s="142" t="s">
        <v>213</v>
      </c>
      <c r="H3" s="141" t="s">
        <v>210</v>
      </c>
      <c r="I3" s="141" t="s">
        <v>205</v>
      </c>
      <c r="J3" s="141" t="s">
        <v>212</v>
      </c>
      <c r="K3" s="138"/>
      <c r="L3" s="38"/>
    </row>
    <row r="4" spans="1:12" ht="41.25" customHeight="1">
      <c r="A4" s="134" t="s">
        <v>207</v>
      </c>
      <c r="B4" s="135"/>
      <c r="C4" s="135"/>
      <c r="D4" s="140">
        <v>37</v>
      </c>
      <c r="E4" s="133">
        <v>53</v>
      </c>
      <c r="F4" s="133">
        <v>44</v>
      </c>
      <c r="G4" s="133">
        <v>28</v>
      </c>
      <c r="H4" s="133">
        <v>8</v>
      </c>
      <c r="I4" s="133">
        <v>14</v>
      </c>
      <c r="J4" s="133">
        <v>11</v>
      </c>
      <c r="K4" s="144">
        <f>SUM(D4:J4)</f>
        <v>195</v>
      </c>
      <c r="L4" s="145"/>
    </row>
    <row r="5" spans="1:11" ht="15.75">
      <c r="A5" s="146" t="s">
        <v>208</v>
      </c>
      <c r="B5" s="146"/>
      <c r="C5" s="146"/>
      <c r="D5" s="147" t="s">
        <v>219</v>
      </c>
      <c r="E5" s="147" t="s">
        <v>220</v>
      </c>
      <c r="F5" s="147" t="s">
        <v>214</v>
      </c>
      <c r="G5" s="148" t="s">
        <v>215</v>
      </c>
      <c r="H5" s="148" t="s">
        <v>215</v>
      </c>
      <c r="I5" s="148" t="s">
        <v>216</v>
      </c>
      <c r="J5" s="148" t="s">
        <v>217</v>
      </c>
      <c r="K5" s="138"/>
    </row>
  </sheetData>
  <sheetProtection/>
  <mergeCells count="1">
    <mergeCell ref="A1:J1"/>
  </mergeCells>
  <hyperlinks>
    <hyperlink ref="F5" r:id="rId1" display="Remi Lang"/>
    <hyperlink ref="G5" r:id="rId2" display="Andrea de Panizza"/>
    <hyperlink ref="H5" r:id="rId3" display="Andrea de Panizza"/>
    <hyperlink ref="I5" r:id="rId4" display="Rami Zaatari"/>
    <hyperlink ref="J5" r:id="rId5" display="Scarlett Fondeur Gil"/>
    <hyperlink ref="D5" r:id="rId6" display=" Jorge PATINO"/>
    <hyperlink ref="E5" r:id="rId7" display="Makane Faye"/>
  </hyperlinks>
  <printOptions/>
  <pageMargins left="0.7" right="0.7" top="0.75" bottom="0.75" header="0.3" footer="0.3"/>
  <pageSetup horizontalDpi="600" verticalDpi="600" orientation="portrait" paperSize="9" r:id="rId8"/>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PATINO</dc:creator>
  <cp:keywords/>
  <dc:description/>
  <cp:lastModifiedBy>Delmas, Nathalie</cp:lastModifiedBy>
  <cp:lastPrinted>2007-09-06T14:18:48Z</cp:lastPrinted>
  <dcterms:created xsi:type="dcterms:W3CDTF">2012-09-06T15:48:16Z</dcterms:created>
  <dcterms:modified xsi:type="dcterms:W3CDTF">2013-07-16T06:40:34Z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TC023920319991</vt:lpwstr>
  </property>
</Properties>
</file>