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3820"/>
  <bookViews>
    <workbookView xWindow="-45" yWindow="-30" windowWidth="15600" windowHeight="8670" tabRatio="424" firstSheet="4" activeTab="4"/>
  </bookViews>
  <sheets>
    <sheet name="Components" sheetId="2" state="hidden" r:id="rId1"/>
    <sheet name="Cost per GB" sheetId="7" state="hidden" r:id="rId2"/>
    <sheet name="Usable Storage" sheetId="10" state="hidden" r:id="rId3"/>
    <sheet name="Virtual Costing" sheetId="17" state="hidden" r:id="rId4"/>
    <sheet name="Instructions" sheetId="18" r:id="rId5"/>
    <sheet name="General info" sheetId="20" r:id="rId6"/>
    <sheet name="Questionnaire" sheetId="12" r:id="rId7"/>
  </sheets>
  <definedNames>
    <definedName name="Costs">Questionnaire!#REF!,Questionnaire!#REF!,Questionnaire!#REF!,Questionnaire!#REF!</definedName>
    <definedName name="Costs_Total">Questionnaire!#REF!</definedName>
    <definedName name="Costs_Total2">Questionnaire!#REF!</definedName>
    <definedName name="Costs2">Questionnaire!#REF!,Questionnaire!#REF!,Questionnaire!#REF!</definedName>
    <definedName name="Costs3">Questionnaire!#REF!,Questionnaire!#REF!,Questionnaire!#REF!</definedName>
    <definedName name="Costs4">Questionnaire!#REF!,Questionnaire!#REF!,Questionnaire!#REF!,Questionnaire!#REF!</definedName>
    <definedName name="DR">Questionnaire!#REF!,Questionnaire!#REF!,Questionnaire!#REF!,Questionnaire!#REF!,Questionnaire!#REF!</definedName>
    <definedName name="DR_Config">Questionnaire!#REF!,Questionnaire!#REF!,Questionnaire!#REF!,Questionnaire!#REF!,Questionnaire!#REF!</definedName>
    <definedName name="Drive_Type">#REF!</definedName>
    <definedName name="Physical_Config">Questionnaire!#REF!</definedName>
    <definedName name="Physical_Config2">Questionnaire!#REF!,Questionnaire!#REF!,Questionnaire!#REF!,Questionnaire!#REF!</definedName>
    <definedName name="Physical_Server">Questionnaire!#REF!,Questionnaire!#REF!,Questionnaire!#REF!</definedName>
    <definedName name="Prod_Server_Cost">Questionnaire!#REF!</definedName>
  </definedNames>
  <calcPr calcId="145621"/>
</workbook>
</file>

<file path=xl/calcChain.xml><?xml version="1.0" encoding="utf-8"?>
<calcChain xmlns="http://schemas.openxmlformats.org/spreadsheetml/2006/main">
  <c r="B64" i="12" l="1"/>
  <c r="C64" i="12"/>
  <c r="D64" i="12"/>
  <c r="B66" i="12"/>
  <c r="C66" i="12"/>
  <c r="D66" i="12"/>
  <c r="B62" i="12"/>
  <c r="C62" i="12" s="1"/>
  <c r="D62" i="12" s="1"/>
  <c r="B61" i="12"/>
  <c r="C61" i="12"/>
  <c r="D61" i="12" s="1"/>
  <c r="B60" i="12"/>
  <c r="C60" i="12"/>
  <c r="D60" i="12" s="1"/>
  <c r="B59" i="12"/>
  <c r="C59" i="12"/>
  <c r="D59" i="12"/>
  <c r="B58" i="12"/>
  <c r="C58" i="12" s="1"/>
  <c r="D58" i="12" s="1"/>
  <c r="B56" i="12"/>
  <c r="C56" i="12"/>
  <c r="D56" i="12" s="1"/>
  <c r="B55" i="12"/>
  <c r="C55" i="12"/>
  <c r="D55" i="12"/>
  <c r="B54" i="12"/>
  <c r="C54" i="12"/>
  <c r="D54" i="12"/>
  <c r="B53" i="12"/>
  <c r="C53" i="12" s="1"/>
  <c r="D53" i="12" s="1"/>
  <c r="B52" i="12"/>
  <c r="C52" i="12"/>
  <c r="D52" i="12" s="1"/>
  <c r="B50" i="12"/>
  <c r="C50" i="12"/>
  <c r="D50" i="12"/>
  <c r="B49" i="12"/>
  <c r="C49" i="12"/>
  <c r="D49" i="12"/>
  <c r="B48" i="12"/>
  <c r="C48" i="12" s="1"/>
  <c r="D48" i="12" s="1"/>
  <c r="B46" i="12"/>
  <c r="C46" i="12" s="1"/>
  <c r="D46" i="12" s="1"/>
  <c r="B45" i="12"/>
  <c r="C45" i="12"/>
  <c r="D45" i="12"/>
  <c r="B44" i="12"/>
  <c r="C44" i="12"/>
  <c r="D44" i="12"/>
  <c r="B43" i="12"/>
  <c r="C43" i="12" s="1"/>
  <c r="D43" i="12" s="1"/>
  <c r="B41" i="12"/>
  <c r="C41" i="12"/>
  <c r="D41" i="12" s="1"/>
  <c r="B40" i="12"/>
  <c r="C40" i="12"/>
  <c r="D40" i="12" s="1"/>
  <c r="B39" i="12"/>
  <c r="C39" i="12"/>
  <c r="D39" i="12"/>
  <c r="B38" i="12"/>
  <c r="C38" i="12" s="1"/>
  <c r="D38" i="12" s="1"/>
  <c r="B37" i="12"/>
  <c r="C37" i="12"/>
  <c r="D37" i="12" s="1"/>
  <c r="B36" i="12"/>
  <c r="C36" i="12"/>
  <c r="D36" i="12"/>
  <c r="B35" i="12"/>
  <c r="C35" i="12"/>
  <c r="D35" i="12"/>
  <c r="B33" i="12"/>
  <c r="C33" i="12" s="1"/>
  <c r="D33" i="12" s="1"/>
  <c r="B32" i="12"/>
  <c r="C32" i="12"/>
  <c r="D32" i="12" s="1"/>
  <c r="B31" i="12"/>
  <c r="C31" i="12"/>
  <c r="D31" i="12"/>
  <c r="B29" i="12"/>
  <c r="C29" i="12"/>
  <c r="D29" i="12"/>
  <c r="B28" i="12"/>
  <c r="C28" i="12" s="1"/>
  <c r="D28" i="12" s="1"/>
  <c r="B27" i="12"/>
  <c r="C27" i="12" s="1"/>
  <c r="D27" i="12" s="1"/>
  <c r="B26" i="12"/>
  <c r="C26" i="12"/>
  <c r="D26" i="12"/>
  <c r="B25" i="12"/>
  <c r="C25" i="12"/>
  <c r="D25" i="12"/>
  <c r="B24" i="12"/>
  <c r="C24" i="12" s="1"/>
  <c r="D24" i="12" s="1"/>
  <c r="B23" i="12"/>
  <c r="C23" i="12"/>
  <c r="D23" i="12" s="1"/>
  <c r="B22" i="12"/>
  <c r="C22" i="12"/>
  <c r="D22" i="12" s="1"/>
  <c r="B21" i="12"/>
  <c r="C21" i="12"/>
  <c r="D21" i="12"/>
  <c r="B20" i="12"/>
  <c r="C20" i="12" s="1"/>
  <c r="D20" i="12" s="1"/>
  <c r="B19" i="12"/>
  <c r="C19" i="12"/>
  <c r="D19" i="12" s="1"/>
  <c r="B17" i="12"/>
  <c r="C17" i="12" s="1"/>
  <c r="D17" i="12" s="1"/>
  <c r="B16" i="12"/>
  <c r="C16" i="12"/>
  <c r="D16" i="12" s="1"/>
  <c r="B15" i="12"/>
  <c r="C15" i="12" s="1"/>
  <c r="D15" i="12"/>
  <c r="B13" i="12"/>
  <c r="C13" i="12" s="1"/>
  <c r="D13" i="12" s="1"/>
  <c r="B12" i="12"/>
  <c r="C12" i="12"/>
  <c r="D12" i="12"/>
  <c r="B11" i="12"/>
  <c r="C11" i="12"/>
  <c r="D11" i="12"/>
  <c r="B10" i="12"/>
  <c r="C10" i="12" s="1"/>
  <c r="D10" i="12" s="1"/>
  <c r="B8" i="12"/>
  <c r="C8" i="12"/>
  <c r="D8" i="12" s="1"/>
  <c r="B7" i="12"/>
  <c r="C7" i="12" s="1"/>
  <c r="D7" i="12" s="1"/>
  <c r="B6" i="12"/>
  <c r="C6" i="12"/>
  <c r="D6" i="12" s="1"/>
  <c r="B5" i="12"/>
  <c r="C5" i="12" s="1"/>
  <c r="D5" i="12"/>
  <c r="E4" i="17"/>
  <c r="E14" i="17" s="1"/>
  <c r="J4" i="17"/>
  <c r="M4" i="17"/>
  <c r="Q4" i="17"/>
  <c r="R4" i="17"/>
  <c r="S4" i="17"/>
  <c r="T4" i="17" s="1"/>
  <c r="E5" i="17"/>
  <c r="J5" i="17"/>
  <c r="M5" i="17"/>
  <c r="S5" i="17"/>
  <c r="T5" i="17"/>
  <c r="E6" i="17"/>
  <c r="Q6" i="17"/>
  <c r="R6" i="17"/>
  <c r="T6" i="17"/>
  <c r="E7" i="17"/>
  <c r="Q7" i="17"/>
  <c r="R7" i="17"/>
  <c r="T7" i="17"/>
  <c r="E8" i="17"/>
  <c r="Q8" i="17"/>
  <c r="R8" i="17"/>
  <c r="T8" i="17"/>
  <c r="E9" i="17"/>
  <c r="Q9" i="17"/>
  <c r="R9" i="17"/>
  <c r="T9" i="17"/>
  <c r="E10" i="17"/>
  <c r="Q10" i="17"/>
  <c r="R10" i="17"/>
  <c r="T10" i="17"/>
  <c r="E11" i="17"/>
  <c r="Q11" i="17"/>
  <c r="R11" i="17"/>
  <c r="S11" i="17"/>
  <c r="T11" i="17" s="1"/>
  <c r="E12" i="17"/>
  <c r="Q12" i="17"/>
  <c r="R12" i="17"/>
  <c r="T12" i="17"/>
  <c r="E13" i="17"/>
  <c r="Q13" i="17"/>
  <c r="R13" i="17"/>
  <c r="T13" i="17"/>
  <c r="D14" i="17"/>
  <c r="F14" i="17"/>
  <c r="E18" i="17"/>
  <c r="G18" i="17"/>
  <c r="I18" i="17"/>
  <c r="P18" i="17" s="1"/>
  <c r="Q18" i="17"/>
  <c r="S18" i="17"/>
  <c r="T18" i="17" s="1"/>
  <c r="E19" i="17"/>
  <c r="E21" i="17" s="1"/>
  <c r="G19" i="17"/>
  <c r="T19" i="17" s="1"/>
  <c r="I19" i="17"/>
  <c r="P19" i="17"/>
  <c r="E20" i="17"/>
  <c r="G20" i="17"/>
  <c r="I20" i="17"/>
  <c r="Q20" i="17" s="1"/>
  <c r="R20" i="17" s="1"/>
  <c r="P20" i="17"/>
  <c r="S20" i="17"/>
  <c r="T20" i="17" s="1"/>
  <c r="E25" i="17"/>
  <c r="E26" i="17"/>
  <c r="E27" i="17"/>
  <c r="I25" i="17"/>
  <c r="Q25" i="17"/>
  <c r="I26" i="17"/>
  <c r="I27" i="17"/>
  <c r="Q27" i="17" s="1"/>
  <c r="R27" i="17" s="1"/>
  <c r="G25" i="17"/>
  <c r="P25" i="17"/>
  <c r="S25" i="17"/>
  <c r="G26" i="17"/>
  <c r="T26" i="17" s="1"/>
  <c r="G27" i="17"/>
  <c r="F28" i="17"/>
  <c r="S27" i="17"/>
  <c r="T27" i="17" s="1"/>
  <c r="G28" i="17"/>
  <c r="E32" i="17"/>
  <c r="G32" i="17"/>
  <c r="I32" i="17"/>
  <c r="P32" i="17"/>
  <c r="S32" i="17"/>
  <c r="T32" i="17"/>
  <c r="E33" i="17"/>
  <c r="G33" i="17"/>
  <c r="P33" i="17"/>
  <c r="Q33" i="17"/>
  <c r="R33" i="17" s="1"/>
  <c r="T33" i="17"/>
  <c r="E34" i="17"/>
  <c r="B5" i="10"/>
  <c r="E5" i="10"/>
  <c r="G5" i="10"/>
  <c r="F5" i="10"/>
  <c r="B6" i="10"/>
  <c r="B9" i="10" s="1"/>
  <c r="C6" i="10"/>
  <c r="C9" i="10" s="1"/>
  <c r="D6" i="10"/>
  <c r="G6" i="10" s="1"/>
  <c r="F6" i="10" s="1"/>
  <c r="E6" i="10"/>
  <c r="B7" i="10"/>
  <c r="B10" i="10"/>
  <c r="E7" i="10"/>
  <c r="G7" i="10"/>
  <c r="F7" i="10" s="1"/>
  <c r="B8" i="10"/>
  <c r="C8" i="10"/>
  <c r="E8" i="10"/>
  <c r="C10" i="10"/>
  <c r="E10" i="10" s="1"/>
  <c r="B15" i="10"/>
  <c r="B17" i="10" s="1"/>
  <c r="C15" i="10"/>
  <c r="B16" i="10"/>
  <c r="C16" i="10" s="1"/>
  <c r="G23" i="10"/>
  <c r="G24" i="10"/>
  <c r="G25" i="10"/>
  <c r="G26" i="10"/>
  <c r="F6" i="2"/>
  <c r="F7" i="2"/>
  <c r="F12" i="2"/>
  <c r="F13" i="2"/>
  <c r="F18" i="2"/>
  <c r="F19" i="2"/>
  <c r="F24" i="2"/>
  <c r="F25" i="2"/>
  <c r="F30" i="2"/>
  <c r="F31" i="2"/>
  <c r="F32" i="2"/>
  <c r="F38" i="2"/>
  <c r="F39" i="2"/>
  <c r="F42" i="2"/>
  <c r="F45" i="2"/>
  <c r="F46" i="2" s="1"/>
  <c r="F49" i="2" s="1"/>
  <c r="F52" i="2"/>
  <c r="F53" i="2"/>
  <c r="F56" i="2" s="1"/>
  <c r="F55" i="2"/>
  <c r="F59" i="2"/>
  <c r="F60" i="2"/>
  <c r="F63" i="2"/>
  <c r="F70" i="2"/>
  <c r="F71" i="2"/>
  <c r="F72" i="2"/>
  <c r="F73" i="2"/>
  <c r="F74" i="2"/>
  <c r="F77" i="2"/>
  <c r="F80" i="2" s="1"/>
  <c r="F79" i="2"/>
  <c r="F91" i="2"/>
  <c r="F92" i="2"/>
  <c r="F96" i="2" s="1"/>
  <c r="F93" i="2"/>
  <c r="F94" i="2"/>
  <c r="F95" i="2"/>
  <c r="F100" i="2"/>
  <c r="F103" i="2" s="1"/>
  <c r="F101" i="2"/>
  <c r="F112" i="2"/>
  <c r="F113" i="2"/>
  <c r="F114" i="2"/>
  <c r="F117" i="2" s="1"/>
  <c r="F115" i="2"/>
  <c r="F116" i="2"/>
  <c r="F121" i="2"/>
  <c r="F122" i="2"/>
  <c r="F133" i="2"/>
  <c r="F134" i="2"/>
  <c r="F137" i="2"/>
  <c r="F138" i="2"/>
  <c r="F145" i="2"/>
  <c r="F146" i="2"/>
  <c r="D149" i="2" s="1"/>
  <c r="F149" i="2" s="1"/>
  <c r="F150" i="2" s="1"/>
  <c r="F162" i="2" s="1"/>
  <c r="F147" i="2"/>
  <c r="F148" i="2"/>
  <c r="F154" i="2"/>
  <c r="F155" i="2"/>
  <c r="F166" i="2"/>
  <c r="F167" i="2"/>
  <c r="D170" i="2" s="1"/>
  <c r="F168" i="2"/>
  <c r="F171" i="2" s="1"/>
  <c r="F169" i="2"/>
  <c r="F170" i="2"/>
  <c r="F175" i="2"/>
  <c r="F176" i="2"/>
  <c r="F178" i="2"/>
  <c r="F180" i="2" s="1"/>
  <c r="F181" i="2" s="1"/>
  <c r="F187" i="2"/>
  <c r="F188" i="2"/>
  <c r="D191" i="2" s="1"/>
  <c r="F191" i="2" s="1"/>
  <c r="F189" i="2"/>
  <c r="F190" i="2"/>
  <c r="F196" i="2"/>
  <c r="F202" i="2" s="1"/>
  <c r="F197" i="2"/>
  <c r="F199" i="2"/>
  <c r="F201" i="2" s="1"/>
  <c r="F203" i="2" s="1"/>
  <c r="F212" i="2"/>
  <c r="F213" i="2"/>
  <c r="F216" i="2" s="1"/>
  <c r="F228" i="2" s="1"/>
  <c r="E8" i="7" s="1"/>
  <c r="F214" i="2"/>
  <c r="F215" i="2"/>
  <c r="F220" i="2"/>
  <c r="F223" i="2" s="1"/>
  <c r="F225" i="2" s="1"/>
  <c r="F226" i="2" s="1"/>
  <c r="F221" i="2"/>
  <c r="F224" i="2"/>
  <c r="D9" i="10"/>
  <c r="S28" i="17"/>
  <c r="T28" i="17"/>
  <c r="S14" i="17"/>
  <c r="T14" i="17" s="1"/>
  <c r="S34" i="17"/>
  <c r="Q32" i="17"/>
  <c r="R25" i="17"/>
  <c r="Q19" i="17"/>
  <c r="R32" i="17"/>
  <c r="Q34" i="17"/>
  <c r="D16" i="10"/>
  <c r="G16" i="10"/>
  <c r="F16" i="10" s="1"/>
  <c r="B18" i="10"/>
  <c r="C18" i="10"/>
  <c r="G18" i="10" s="1"/>
  <c r="F18" i="10" s="1"/>
  <c r="C17" i="10"/>
  <c r="D17" i="10" s="1"/>
  <c r="F157" i="2"/>
  <c r="F159" i="2" s="1"/>
  <c r="D18" i="10"/>
  <c r="C8" i="7" l="1"/>
  <c r="C5" i="7"/>
  <c r="T34" i="17"/>
  <c r="F183" i="2"/>
  <c r="Q14" i="17"/>
  <c r="R14" i="17" s="1"/>
  <c r="F105" i="2"/>
  <c r="F107" i="2" s="1"/>
  <c r="F104" i="2"/>
  <c r="F124" i="2"/>
  <c r="Q21" i="17"/>
  <c r="D15" i="10"/>
  <c r="G15" i="10" s="1"/>
  <c r="F15" i="10" s="1"/>
  <c r="R34" i="17"/>
  <c r="H40" i="17"/>
  <c r="F21" i="17"/>
  <c r="Q26" i="17"/>
  <c r="Q28" i="17" s="1"/>
  <c r="P26" i="17"/>
  <c r="Q5" i="17"/>
  <c r="R5" i="17" s="1"/>
  <c r="F82" i="2"/>
  <c r="G21" i="17"/>
  <c r="F227" i="2"/>
  <c r="F182" i="2"/>
  <c r="F160" i="2"/>
  <c r="F161" i="2"/>
  <c r="F75" i="2"/>
  <c r="F61" i="2"/>
  <c r="F64" i="2" s="1"/>
  <c r="G10" i="10"/>
  <c r="F10" i="10" s="1"/>
  <c r="G8" i="10"/>
  <c r="F8" i="10" s="1"/>
  <c r="E9" i="10"/>
  <c r="G9" i="10" s="1"/>
  <c r="F9" i="10" s="1"/>
  <c r="G34" i="17"/>
  <c r="P27" i="17"/>
  <c r="E28" i="17"/>
  <c r="G17" i="10"/>
  <c r="F17" i="10" s="1"/>
  <c r="S21" i="17"/>
  <c r="F34" i="17"/>
  <c r="F192" i="2"/>
  <c r="F204" i="2" s="1"/>
  <c r="D8" i="7" s="1"/>
  <c r="T25" i="17"/>
  <c r="R18" i="17"/>
  <c r="F83" i="2" l="1"/>
  <c r="F84" i="2" s="1"/>
  <c r="R28" i="17"/>
  <c r="H39" i="17"/>
  <c r="F125" i="2"/>
  <c r="F126" i="2"/>
  <c r="T21" i="17"/>
  <c r="D17" i="2"/>
  <c r="F17" i="2" s="1"/>
  <c r="F20" i="2" s="1"/>
  <c r="D11" i="2"/>
  <c r="F11" i="2" s="1"/>
  <c r="F14" i="2" s="1"/>
  <c r="D23" i="2"/>
  <c r="F23" i="2" s="1"/>
  <c r="F26" i="2" s="1"/>
  <c r="D5" i="2"/>
  <c r="F5" i="2" s="1"/>
  <c r="F8" i="2" s="1"/>
  <c r="F106" i="2"/>
  <c r="H37" i="17"/>
  <c r="R21" i="17"/>
  <c r="H38" i="17"/>
  <c r="F108" i="2"/>
  <c r="F86" i="2" l="1"/>
  <c r="F85" i="2"/>
  <c r="F87" i="2"/>
  <c r="F129" i="2"/>
  <c r="F128" i="2"/>
  <c r="F127" i="2"/>
  <c r="B9" i="7" l="1"/>
  <c r="B6" i="7"/>
  <c r="B8" i="7"/>
  <c r="B5" i="7"/>
</calcChain>
</file>

<file path=xl/comments1.xml><?xml version="1.0" encoding="utf-8"?>
<comments xmlns="http://schemas.openxmlformats.org/spreadsheetml/2006/main">
  <authors>
    <author/>
  </authors>
  <commentList>
    <comment ref="B5" authorId="0">
      <text>
        <r>
          <rPr>
            <sz val="8"/>
            <color indexed="81"/>
            <rFont val="Tahoma"/>
            <family val="2"/>
          </rPr>
          <t>Per port costs vary, depending on config.  Least expensive method is to purchase 4100 with all 32-ports enabled.  Estimate is rough estimate from Accris for planning purposes.</t>
        </r>
      </text>
    </comment>
    <comment ref="B11" authorId="0">
      <text>
        <r>
          <rPr>
            <sz val="8"/>
            <color indexed="81"/>
            <rFont val="Tahoma"/>
            <family val="2"/>
          </rPr>
          <t>Per port costs vary, depending on config.  Least expensive method is to purchase 4100 with all 32-ports enabled.  Estimate is rough estimate from Accris for planning purposes.</t>
        </r>
      </text>
    </comment>
    <comment ref="B17" authorId="0">
      <text>
        <r>
          <rPr>
            <sz val="8"/>
            <color indexed="81"/>
            <rFont val="Tahoma"/>
            <family val="2"/>
          </rPr>
          <t>Per port costs vary, depending on config.  Least expensive method is to purchase 4100 with all 32-ports enabled.  Estiate is rough estimate from Accris for planning purposes.</t>
        </r>
      </text>
    </comment>
    <comment ref="B23" authorId="0">
      <text>
        <r>
          <rPr>
            <sz val="8"/>
            <color indexed="81"/>
            <rFont val="Tahoma"/>
            <family val="2"/>
          </rPr>
          <t>Per port costs vary, depending on config.  Least expensive method is to purchase 4100 with all 32-ports enabled.  Estimate is rough estimate from Accris for planning purposes.</t>
        </r>
      </text>
    </comment>
    <comment ref="B38" authorId="0">
      <text>
        <r>
          <rPr>
            <sz val="8"/>
            <color indexed="81"/>
            <rFont val="Tahoma"/>
            <family val="2"/>
          </rPr>
          <t>Per port costs vary, depending on config.  Least expensive method is to purchase 4100 with all 32-ports enabled.  Estimate is rough estimate from Accris for planning purposes.</t>
        </r>
      </text>
    </comment>
    <comment ref="B45" authorId="0">
      <text>
        <r>
          <rPr>
            <sz val="8"/>
            <color indexed="81"/>
            <rFont val="Tahoma"/>
            <family val="2"/>
          </rPr>
          <t>Per port costs vary, depending on config.  Least expensive method is to purchase 4100 with all 32-ports enabled.  Estimate is rough estimate from Accris for planning purposes.</t>
        </r>
      </text>
    </comment>
    <comment ref="B52" authorId="0">
      <text>
        <r>
          <rPr>
            <sz val="8"/>
            <color indexed="81"/>
            <rFont val="Tahoma"/>
            <family val="2"/>
          </rPr>
          <t>Per port costs vary, depending on config.  Least expensive method is to purchase 4100 with all 32-ports enabled.  Estimate is rough estimate from Accris for planning purposes.</t>
        </r>
      </text>
    </comment>
    <comment ref="B59" authorId="0">
      <text>
        <r>
          <rPr>
            <sz val="8"/>
            <color indexed="81"/>
            <rFont val="Tahoma"/>
            <family val="2"/>
          </rPr>
          <t>Per port costs vary, depending on config.  Least expensive method is to purchase 4100 with all 32-ports enabled.  Estimate is rough estimate from Accris for planning purposes.</t>
        </r>
      </text>
    </comment>
    <comment ref="C74" authorId="0">
      <text>
        <r>
          <rPr>
            <b/>
            <sz val="8"/>
            <color indexed="81"/>
            <rFont val="Tahoma"/>
            <family val="2"/>
          </rPr>
          <t>Set quantity to the number of months that remain till 9/1/2009.  Support is co-terminous.</t>
        </r>
        <r>
          <rPr>
            <sz val="8"/>
            <color indexed="81"/>
            <rFont val="Tahoma"/>
            <family val="2"/>
          </rPr>
          <t xml:space="preserve">
</t>
        </r>
      </text>
    </comment>
    <comment ref="D77" authorId="0">
      <text>
        <r>
          <rPr>
            <b/>
            <sz val="8"/>
            <color indexed="81"/>
            <rFont val="Tahoma"/>
            <family val="2"/>
          </rPr>
          <t>Derived from usable drive size in MB / 1024 MB per GB
Usable drive size can be obtained using the sysconfig -A command.  Even though manufacturer's list drives as having 500 GB available, actuality is that they have less space.  Also, NetApp right-sizes drives to make sure drives from different manufacturer's match up to the same number of blocks for the same size.</t>
        </r>
        <r>
          <rPr>
            <sz val="8"/>
            <color indexed="81"/>
            <rFont val="Tahoma"/>
            <family val="2"/>
          </rPr>
          <t xml:space="preserve">
</t>
        </r>
      </text>
    </comment>
    <comment ref="D81" authorId="0">
      <text>
        <r>
          <rPr>
            <sz val="8"/>
            <color indexed="81"/>
            <rFont val="Tahoma"/>
            <family val="2"/>
          </rPr>
          <t>Spare drive allocated once per filer.  No additional spare drives are needed as we add shelves.  Costs considered sunk cost since the spare drives that are being used are part of the original base system costs shown below.</t>
        </r>
      </text>
    </comment>
    <comment ref="C95" authorId="0">
      <text>
        <r>
          <rPr>
            <b/>
            <sz val="8"/>
            <color indexed="81"/>
            <rFont val="Tahoma"/>
            <family val="2"/>
          </rPr>
          <t>Set quantity to the number of months that remain till 9/1/2009.  Support is co-terminous.</t>
        </r>
        <r>
          <rPr>
            <sz val="8"/>
            <color indexed="81"/>
            <rFont val="Tahoma"/>
            <family val="2"/>
          </rPr>
          <t xml:space="preserve">
</t>
        </r>
      </text>
    </comment>
    <comment ref="D98" authorId="0">
      <text>
        <r>
          <rPr>
            <b/>
            <sz val="8"/>
            <color indexed="81"/>
            <rFont val="Tahoma"/>
            <family val="2"/>
          </rPr>
          <t>Derived from usable drive size in MB / 1024 MB per GB
Usable drive size can be obtained using the sysconfig -A command.  Even though manufacturer's list drives as having 500 GB available, actuality is that they have less space.  Also, NetApp right-sizes drives to make sure drives from different manufacturer's match up to the same number of blocks for the same size.</t>
        </r>
        <r>
          <rPr>
            <sz val="8"/>
            <color indexed="81"/>
            <rFont val="Tahoma"/>
            <family val="2"/>
          </rPr>
          <t xml:space="preserve">
</t>
        </r>
      </text>
    </comment>
    <comment ref="D102" authorId="0">
      <text>
        <r>
          <rPr>
            <sz val="8"/>
            <color indexed="81"/>
            <rFont val="Tahoma"/>
            <family val="2"/>
          </rPr>
          <t>Spare drive allocated once per filer.  No additional spare drives are needed as we add shelves.  Costs considered sunk cost since the spare drives that are being used are part of the original base system costs shown below.</t>
        </r>
      </text>
    </comment>
    <comment ref="C116" authorId="0">
      <text>
        <r>
          <rPr>
            <b/>
            <sz val="8"/>
            <color indexed="81"/>
            <rFont val="Tahoma"/>
            <family val="2"/>
          </rPr>
          <t>Set quantity to the number of months that remain till 9/1/2009.  Support is co-terminous.</t>
        </r>
      </text>
    </comment>
    <comment ref="D119" authorId="0">
      <text>
        <r>
          <rPr>
            <b/>
            <sz val="8"/>
            <color indexed="81"/>
            <rFont val="Tahoma"/>
            <family val="2"/>
          </rPr>
          <t>Derived from usable drive size in MB / 1024 MB per GB
Usable drive size can be obtained using the sysconfig -A command.  Even though manufacturer's list drives as having 500 GB available, actuality is that they have less space.  Also, NetApp right-sizes drives to make sure drives from different manufacturer's match up to the same number of blocks for the same size.</t>
        </r>
        <r>
          <rPr>
            <sz val="8"/>
            <color indexed="81"/>
            <rFont val="Tahoma"/>
            <family val="2"/>
          </rPr>
          <t xml:space="preserve">
</t>
        </r>
      </text>
    </comment>
    <comment ref="D123" authorId="0">
      <text>
        <r>
          <rPr>
            <sz val="8"/>
            <color indexed="81"/>
            <rFont val="Tahoma"/>
            <family val="2"/>
          </rPr>
          <t>Spare drive allocated once per filer.  No additional spare drives are needed as we add shelves.  Costs considered sunk cost since the spare drives that are being used are part of the original base system costs shown below.</t>
        </r>
        <r>
          <rPr>
            <sz val="8"/>
            <color indexed="81"/>
            <rFont val="Tahoma"/>
            <family val="2"/>
          </rPr>
          <t xml:space="preserve">
</t>
        </r>
      </text>
    </comment>
    <comment ref="C149" authorId="0">
      <text>
        <r>
          <rPr>
            <b/>
            <sz val="8"/>
            <color indexed="81"/>
            <rFont val="Tahoma"/>
            <family val="2"/>
          </rPr>
          <t>Set quantity to the number of months that remain till 9/1/2009.  Support is co-terminous.</t>
        </r>
        <r>
          <rPr>
            <sz val="8"/>
            <color indexed="81"/>
            <rFont val="Tahoma"/>
            <family val="2"/>
          </rPr>
          <t xml:space="preserve">
</t>
        </r>
      </text>
    </comment>
    <comment ref="D152" authorId="0">
      <text>
        <r>
          <rPr>
            <b/>
            <sz val="8"/>
            <color indexed="81"/>
            <rFont val="Tahoma"/>
            <family val="2"/>
          </rPr>
          <t>Derived from usable drive size in MB / 1024 MB per GB
Usable drive size can be obtained using the sysconfig -A command.  Even though manufacturer's list drives as having 500 GB available, actuality is that they have less space.  Also, NetApp right-sizes drives to make sure drives from different manufacturer's match up to the same number of blocks for the same size.</t>
        </r>
        <r>
          <rPr>
            <sz val="8"/>
            <color indexed="81"/>
            <rFont val="Tahoma"/>
            <family val="2"/>
          </rPr>
          <t xml:space="preserve">
</t>
        </r>
      </text>
    </comment>
    <comment ref="D156" authorId="0">
      <text>
        <r>
          <rPr>
            <sz val="8"/>
            <color indexed="81"/>
            <rFont val="Tahoma"/>
            <family val="2"/>
          </rPr>
          <t>Spare drive allocated once per filer.  No additional spare drives are needed as we add shelves.  Costs considered sunk cost since the spare drives that are being used are part of the original base system costs shown below.</t>
        </r>
      </text>
    </comment>
    <comment ref="C170" authorId="0">
      <text>
        <r>
          <rPr>
            <b/>
            <sz val="8"/>
            <color indexed="81"/>
            <rFont val="Tahoma"/>
            <family val="2"/>
          </rPr>
          <t>Set quantity to the number of months that remain till 9/1/2009.  Support is co-terminous.</t>
        </r>
        <r>
          <rPr>
            <sz val="8"/>
            <color indexed="81"/>
            <rFont val="Tahoma"/>
            <family val="2"/>
          </rPr>
          <t xml:space="preserve">
</t>
        </r>
      </text>
    </comment>
    <comment ref="D173" authorId="0">
      <text>
        <r>
          <rPr>
            <b/>
            <sz val="8"/>
            <color indexed="81"/>
            <rFont val="Tahoma"/>
            <family val="2"/>
          </rPr>
          <t>Derived from usable drive size in MB / 1024 MB per GB
Usable drive size can be obtained using the sysconfig -A command.  Even though manufacturer's list drives as having 500 GB available, actuality is that they have less space.  Also, NetApp right-sizes drives to make sure drives from different manufacturer's match up to the same number of blocks for the same size.</t>
        </r>
        <r>
          <rPr>
            <sz val="8"/>
            <color indexed="81"/>
            <rFont val="Tahoma"/>
            <family val="2"/>
          </rPr>
          <t xml:space="preserve">
</t>
        </r>
      </text>
    </comment>
    <comment ref="D177" authorId="0">
      <text>
        <r>
          <rPr>
            <sz val="8"/>
            <color indexed="81"/>
            <rFont val="Tahoma"/>
            <family val="2"/>
          </rPr>
          <t>Spare drive allocated once per filer.  No additional spare drives are needed as we add shelves.  Costs considered sunk cost since the spare drives that are being used are part of the original base system costs shown below.</t>
        </r>
      </text>
    </comment>
    <comment ref="C191" authorId="0">
      <text>
        <r>
          <rPr>
            <b/>
            <sz val="8"/>
            <color indexed="81"/>
            <rFont val="Tahoma"/>
            <family val="2"/>
          </rPr>
          <t>Set quantity to the number of months that remain till 9/1/2009.  Support is co-terminous.</t>
        </r>
        <r>
          <rPr>
            <sz val="8"/>
            <color indexed="81"/>
            <rFont val="Tahoma"/>
            <family val="2"/>
          </rPr>
          <t xml:space="preserve">
</t>
        </r>
      </text>
    </comment>
    <comment ref="D194" authorId="0">
      <text>
        <r>
          <rPr>
            <b/>
            <sz val="8"/>
            <color indexed="81"/>
            <rFont val="Tahoma"/>
            <family val="2"/>
          </rPr>
          <t>Derived from usable drive size in MB / 1024 MB per GB
Usable drive size can be obtained using the sysconfig -A command.  Even though manufacturer's list drives as having 500 GB available, actuality is that they have less space.  Also, NetApp right-sizes drives to make sure drives from different manufacturer's match up to the same number of blocks for the same size.</t>
        </r>
        <r>
          <rPr>
            <sz val="8"/>
            <color indexed="81"/>
            <rFont val="Tahoma"/>
            <family val="2"/>
          </rPr>
          <t xml:space="preserve">
</t>
        </r>
      </text>
    </comment>
    <comment ref="D198" authorId="0">
      <text>
        <r>
          <rPr>
            <sz val="8"/>
            <color indexed="81"/>
            <rFont val="Tahoma"/>
            <family val="2"/>
          </rPr>
          <t>Spare drive allocated once per filer.  No additional spare drives are needed as we add shelves.  Costs considered sunk cost since the spare drives that are being used are part of the original base system costs shown below.</t>
        </r>
      </text>
    </comment>
    <comment ref="C215" authorId="0">
      <text>
        <r>
          <rPr>
            <b/>
            <sz val="8"/>
            <color indexed="81"/>
            <rFont val="Tahoma"/>
            <family val="2"/>
          </rPr>
          <t>Set quantity to the number of months that remain till 9/1/2009.  Support is co-terminous.</t>
        </r>
        <r>
          <rPr>
            <sz val="8"/>
            <color indexed="81"/>
            <rFont val="Tahoma"/>
            <family val="2"/>
          </rPr>
          <t xml:space="preserve">
</t>
        </r>
      </text>
    </comment>
    <comment ref="D218" authorId="0">
      <text>
        <r>
          <rPr>
            <b/>
            <sz val="8"/>
            <color indexed="81"/>
            <rFont val="Tahoma"/>
            <family val="2"/>
          </rPr>
          <t>Derived from usable drive size in MB / 1024 MB per GB
Usable drive size can be obtained using the sysconfig -A command.  Even though manufacturer's list drives as having 500 GB available, actuality is that they have less space.  Also, NetApp right-sizes drives to make sure drives from different manufacturer's match up to the same number of blocks for the same size.</t>
        </r>
        <r>
          <rPr>
            <sz val="8"/>
            <color indexed="81"/>
            <rFont val="Tahoma"/>
            <family val="2"/>
          </rPr>
          <t xml:space="preserve">
</t>
        </r>
      </text>
    </comment>
    <comment ref="D222" authorId="0">
      <text>
        <r>
          <rPr>
            <sz val="8"/>
            <color indexed="81"/>
            <rFont val="Tahoma"/>
            <family val="2"/>
          </rPr>
          <t>Spare drive allocated once per filer.  No additional spare drives are needed as we add shelves.  Costs considered sunk cost since the spare drives that are being used are part of the original base system costs shown below.</t>
        </r>
      </text>
    </comment>
  </commentList>
</comments>
</file>

<file path=xl/sharedStrings.xml><?xml version="1.0" encoding="utf-8"?>
<sst xmlns="http://schemas.openxmlformats.org/spreadsheetml/2006/main" count="564" uniqueCount="282">
  <si>
    <t xml:space="preserve">Description </t>
  </si>
  <si>
    <t>TOTAL</t>
  </si>
  <si>
    <t>2</t>
  </si>
  <si>
    <t>Qty</t>
  </si>
  <si>
    <t>Cost</t>
  </si>
  <si>
    <t>1</t>
  </si>
  <si>
    <t>RackMount Kit</t>
  </si>
  <si>
    <t>Total</t>
  </si>
  <si>
    <t>Part</t>
  </si>
  <si>
    <t>CBL, 0.5 Patch, FC SFP to SFP</t>
  </si>
  <si>
    <t>Power Cable North America</t>
  </si>
  <si>
    <t>RAID Overhead in GB</t>
  </si>
  <si>
    <t>Cost per 100 GB of RAID Protected Storage</t>
  </si>
  <si>
    <t>144 GB Fibre Channel Storage</t>
  </si>
  <si>
    <t>500 GB SATA Storage</t>
  </si>
  <si>
    <t xml:space="preserve">Disk Shelf, 14 x 500 (7TB), </t>
  </si>
  <si>
    <t>CBL, 2M, Optical, Pair, LC/LC -C, R6</t>
  </si>
  <si>
    <t>Fibre cables</t>
  </si>
  <si>
    <t>Assumes Gigabit switching infrastructure is in place.</t>
  </si>
  <si>
    <t>HP 380T PCIe MFN 1000T Dual-Port Gigabit Adapter with TOE</t>
  </si>
  <si>
    <t>Pricing assumes RAID-DP configuration with 2 drives for RAID parity per shelf.</t>
  </si>
  <si>
    <t>Per-Server Charges for Windows  iSCSI Attached</t>
  </si>
  <si>
    <t xml:space="preserve">Brocade 4100 FC Switch per Port Estimated Cost </t>
  </si>
  <si>
    <t>DS14MK2 Disk Shelf, 14x 144GB</t>
  </si>
  <si>
    <t xml:space="preserve"> </t>
  </si>
  <si>
    <t>List prices are used for budgeting purposes.</t>
  </si>
  <si>
    <t>Per-Server Charges for Production Windows Fibre-Attached</t>
  </si>
  <si>
    <t>Per-Server Charges for Production Solaris Fibre-Attached</t>
  </si>
  <si>
    <t>Per port estimated charge for gigabit switch</t>
  </si>
  <si>
    <t>A percentage of usable space should be reserved for VM Ware snapshot capability.  This will allow for administrators to take quick system snapshots prior to system changes to allow for quick rollback.  This is similar to the ERD drive approach.</t>
  </si>
  <si>
    <t>VMWare Snapshot Reserve</t>
  </si>
  <si>
    <t>Per-Server Charges for DR Windows Fibre-Attached</t>
  </si>
  <si>
    <t>Per-Server Charges for DR Solaris Fibre-Attached</t>
  </si>
  <si>
    <t>Base system costs.   This money goes into a pool for the purchase of the next 3020 or upgrade to a 3050.</t>
  </si>
  <si>
    <t>Cost per 100 GB for Percentage of System Usage</t>
  </si>
  <si>
    <t>Initial space used before allocation spreadsheet implemented</t>
  </si>
  <si>
    <t>Space available to business</t>
  </si>
  <si>
    <t>Spare drive</t>
  </si>
  <si>
    <t>WAFL Overhead</t>
  </si>
  <si>
    <t>Available RAID protected space</t>
  </si>
  <si>
    <t>Number of Drives per Shelf</t>
  </si>
  <si>
    <t>Raw space per shelf</t>
  </si>
  <si>
    <t>RAID Protected Space</t>
  </si>
  <si>
    <t>Percentage Overhead for RAID-DP, Spare and WAFL</t>
  </si>
  <si>
    <t>Right-sized drive space</t>
  </si>
  <si>
    <t>Manufacturer listed drive space</t>
  </si>
  <si>
    <t>Expected maximum raw space used when system is full.</t>
  </si>
  <si>
    <t>Percentage Overhead including Right-Sizing</t>
  </si>
  <si>
    <t>Discount</t>
  </si>
  <si>
    <t>Cost Parameters</t>
  </si>
  <si>
    <t>Storage Unit</t>
  </si>
  <si>
    <t>Right-sized</t>
  </si>
  <si>
    <t>Minus RAID Overhead</t>
  </si>
  <si>
    <t>One Shelf of 14 x 144 GB FC Drives</t>
  </si>
  <si>
    <t>One Shelf of 14 x 500 GB SATA Drives</t>
  </si>
  <si>
    <t>Fully loaded 3020 with 144 GB FC Drives</t>
  </si>
  <si>
    <t>Fully loaded 3020 with 500 GB SATA Drives</t>
  </si>
  <si>
    <t>The amount of storage that should always be kept free after storage has been allocated.  By maintaining a buffer of storage space, we will always have some spare free space available for ad-hoc allocations so that we can respond more quickly to business requests.</t>
  </si>
  <si>
    <t>Storage Buffer (GB)</t>
  </si>
  <si>
    <t>Usable Storage for NetApp 3020 Filer</t>
  </si>
  <si>
    <t>Usable storage with RAID-DP configuration and 14 drives per RAID group.  Spare drives not included.  Fourteen drives per shelf.  Maximum of twelve shelves for 3020.  You can choose to put in either fibre-channel or SATA shelves.</t>
  </si>
  <si>
    <t>300 GB Fibre Channel Storage</t>
  </si>
  <si>
    <t>One Shelf of 14 x 300 GB FC Drives</t>
  </si>
  <si>
    <t>Fully loaded 3020 with 300 GB FC Drives</t>
  </si>
  <si>
    <t>Replacement system cost estimate</t>
  </si>
  <si>
    <t>32</t>
  </si>
  <si>
    <t xml:space="preserve">7x24x4hr Support per Month </t>
  </si>
  <si>
    <t>7x24x4hr Support per Month</t>
  </si>
  <si>
    <t>NO DR - No Snapshots</t>
  </si>
  <si>
    <t>Sun StorEdge Shelf with 5 x 146GB FC drives</t>
  </si>
  <si>
    <t>146GB FC Drives</t>
  </si>
  <si>
    <t>9</t>
  </si>
  <si>
    <t>Usable Storage for Sun StorEdge 6130</t>
  </si>
  <si>
    <t>One Shelf of 14 x 146 GB FC Drives</t>
  </si>
  <si>
    <t>One Shelf of 14 x 400 GB SATA Drives</t>
  </si>
  <si>
    <t>Fully loaded with 400 GB SATA Drives</t>
  </si>
  <si>
    <t>Kb</t>
  </si>
  <si>
    <t>Mb</t>
  </si>
  <si>
    <t>Gb</t>
  </si>
  <si>
    <t>Tb</t>
  </si>
  <si>
    <t>Drive "Right-Size" Calculator</t>
  </si>
  <si>
    <t>Type</t>
  </si>
  <si>
    <t>When drive manufacturers advertise sizes, they advertise the "decimal" size.  However, usable size is actually based off of the binary size.  This calculator lets you quickly calculate usable size.  Plug in advertised decimal size on the left to get usable on the right.  For more info see:  http://www.seagate.com/support/kb/disc/tb/capacity_measure.html</t>
  </si>
  <si>
    <t>Binary</t>
  </si>
  <si>
    <t>Decimal</t>
  </si>
  <si>
    <t>Advertised Size (Decimal)</t>
  </si>
  <si>
    <t>Usable Size (Binary)</t>
  </si>
  <si>
    <t>Fully loaded with 146 GB FC Drives</t>
  </si>
  <si>
    <t>Overhead</t>
  </si>
  <si>
    <t>NetApp Right-sized</t>
  </si>
  <si>
    <t>USABLE</t>
  </si>
  <si>
    <t>RAID Overhead</t>
  </si>
  <si>
    <t>File System</t>
  </si>
  <si>
    <t>File System (WAFL)</t>
  </si>
  <si>
    <t>Usable storage with RAID 1+ 0 configuration.  Spare drives not included.  Fourteen drives per shelf.  Maximum of eight shelves for 6130.  You can choose to put in either fibre-channel or SATA shelves.</t>
  </si>
  <si>
    <t>Advertised</t>
  </si>
  <si>
    <t>Unit</t>
  </si>
  <si>
    <t>Server Attachment to SAN Pricing</t>
  </si>
  <si>
    <t>NetApp 3020 Storage Costs</t>
  </si>
  <si>
    <t>Base System and Software Costs</t>
  </si>
  <si>
    <t>1.7</t>
  </si>
  <si>
    <t>Added Sizing Estimator</t>
  </si>
  <si>
    <t>Document Versioning</t>
  </si>
  <si>
    <t>TH</t>
  </si>
  <si>
    <t>Sun SG-XPCIE1FC-QF4</t>
  </si>
  <si>
    <t xml:space="preserve">QLogic dual port 2 Gbps Fibre Channel </t>
  </si>
  <si>
    <t>QLogic single port 2 Gbps Fibre Channel</t>
  </si>
  <si>
    <t>Sun SG-XPCIE2FC-QF4</t>
  </si>
  <si>
    <t>HP DL 385 G2</t>
  </si>
  <si>
    <t>Base System Cost</t>
  </si>
  <si>
    <t>VMWare Ent</t>
  </si>
  <si>
    <t>AMD Opteron 880</t>
  </si>
  <si>
    <t>HP DL 585 G1</t>
  </si>
  <si>
    <t>NIC</t>
  </si>
  <si>
    <t>Support + Misc</t>
  </si>
  <si>
    <t>VMWare Support</t>
  </si>
  <si>
    <t>GEN0VH08</t>
  </si>
  <si>
    <t>Proc</t>
  </si>
  <si>
    <t>Host</t>
  </si>
  <si>
    <t>Mem Cost</t>
  </si>
  <si>
    <t>BRN0VH02</t>
  </si>
  <si>
    <t>GEN0VH01</t>
  </si>
  <si>
    <t xml:space="preserve">HP DL 385 </t>
  </si>
  <si>
    <t>AMD Opteron 270</t>
  </si>
  <si>
    <t>GEN0VH02</t>
  </si>
  <si>
    <t>GEN0VH03</t>
  </si>
  <si>
    <t>GEN0VH04</t>
  </si>
  <si>
    <t>GEN0VH05</t>
  </si>
  <si>
    <t>GEN0VH09</t>
  </si>
  <si>
    <t>GEN0VH10</t>
  </si>
  <si>
    <t>Local Drives</t>
  </si>
  <si>
    <t>AMD Opteron 2216</t>
  </si>
  <si>
    <t>Total Ghz</t>
  </si>
  <si>
    <t>TOTALS</t>
  </si>
  <si>
    <t>Windows Virtualization Costing</t>
  </si>
  <si>
    <t>Cost / Ghz</t>
  </si>
  <si>
    <t>Mem GB</t>
  </si>
  <si>
    <t>CPU Ghz</t>
  </si>
  <si>
    <t>CPU Cores</t>
  </si>
  <si>
    <t>Cost per GB of Mem</t>
  </si>
  <si>
    <t>BRN0VH01</t>
  </si>
  <si>
    <t>VMWare Environment Costing</t>
  </si>
  <si>
    <t>HP DL 385 (CA)</t>
  </si>
  <si>
    <t>HP DL 385 G2 (Exc Arch)</t>
  </si>
  <si>
    <t>Total GB</t>
  </si>
  <si>
    <t xml:space="preserve">Enterprise Class - Two Processor - Four Core </t>
  </si>
  <si>
    <t>Enterprise Class - Four Processor - Eight Core</t>
  </si>
  <si>
    <t>ModComp DL 385 Quote</t>
  </si>
  <si>
    <t>AMD Operteron 2216</t>
  </si>
  <si>
    <t>Misc</t>
  </si>
  <si>
    <t>24x7x4 HW Support</t>
  </si>
  <si>
    <t>TOTAL per System</t>
  </si>
  <si>
    <t>ModComp HP DL 585</t>
  </si>
  <si>
    <t>AMD Opteron 8216</t>
  </si>
  <si>
    <t>HP DL 585 G1 (MP)</t>
  </si>
  <si>
    <t xml:space="preserve">Enterprise Class - One Processor - Two Core </t>
  </si>
  <si>
    <t>Per Machine Weighted Average Cost</t>
  </si>
  <si>
    <t>Cost difference for SQL Clustering per Processor</t>
  </si>
  <si>
    <t xml:space="preserve">Sun StorEdge 6130 Storage Costs </t>
  </si>
  <si>
    <t>Sun StorEdge 6130 - 146 GB Fibre Channel Storage - RAID 5</t>
  </si>
  <si>
    <t>Sun StorEdge 6130 - 400GB SATA Storage - RAID 1+0</t>
  </si>
  <si>
    <t>Sun StorEdge 6130 - 146 GB Fibre Channel Storage - RAID 1+0</t>
  </si>
  <si>
    <t>Includes DR  with Hardware Replication</t>
  </si>
  <si>
    <t>NetApp</t>
  </si>
  <si>
    <t>Per Port Costs for Switching Options</t>
  </si>
  <si>
    <t>Brocade M6140 Director with 64 ports</t>
  </si>
  <si>
    <t>Total ports</t>
  </si>
  <si>
    <t>Overhead for ISL</t>
  </si>
  <si>
    <t>Cost per Port</t>
  </si>
  <si>
    <t>Brocade M6140 Director Expandable to 140 Ports</t>
  </si>
  <si>
    <t>Brocade 48000 Director Expandable to 384 ports</t>
  </si>
  <si>
    <t>Brocade 48000 Director with 64 ports</t>
  </si>
  <si>
    <t>Brocade 4140</t>
  </si>
  <si>
    <t>Brocade 4140 with 32 ports and SFP's (Discounted)</t>
  </si>
  <si>
    <t xml:space="preserve">HP MSA 1000 Storage Costs </t>
  </si>
  <si>
    <t>36</t>
  </si>
  <si>
    <t>MSA 1000 - 146 GB Fibre Channel Storage - RAID 1+0</t>
  </si>
  <si>
    <t>300 GB 10K Drives</t>
  </si>
  <si>
    <t>HP MSAi1500 Base Unit with 256MB Cache, Redundant Controllers, Dual Gigabit</t>
  </si>
  <si>
    <t>MSA30 Expansion Cabinet</t>
  </si>
  <si>
    <t>3</t>
  </si>
  <si>
    <t>56</t>
  </si>
  <si>
    <t>NTFS Overhead</t>
  </si>
  <si>
    <t>Total Drives</t>
  </si>
  <si>
    <t>HP MSA i1500</t>
  </si>
  <si>
    <t>RAID DP</t>
  </si>
  <si>
    <t>RAID 1+0</t>
  </si>
  <si>
    <t>RAID 5</t>
  </si>
  <si>
    <t>Sun 6130</t>
  </si>
  <si>
    <t>Parameters</t>
  </si>
  <si>
    <t>SATA drives (slower/less reliable)</t>
  </si>
  <si>
    <t>Fibre Channel/SCSI drives (faster/more reliable)</t>
  </si>
  <si>
    <t>Cost Estimations per Gigabyte of Storage</t>
  </si>
  <si>
    <t>Brocade 4140 with 16-ports</t>
  </si>
  <si>
    <t>8-port expansions</t>
  </si>
  <si>
    <t>NetApp ratio of space needed for snaps/replication to usable for DR capability</t>
  </si>
  <si>
    <t>HP StorageWorks 2242SR Host Bus Adapters Dual Port</t>
  </si>
  <si>
    <t>HP StorageWorks 2142SR Host Bus Adapter Single Port</t>
  </si>
  <si>
    <t>1.1: Proportion of rural population covered by a mobile cellular telephone network, by type of mobile cellular telephone technology.</t>
  </si>
  <si>
    <t>1.2: Proportion of households with telephone, by type of network, by urban/rural.</t>
  </si>
  <si>
    <t>1.3: Proportion of households with Internet access, by type of access, by urban/rural.</t>
  </si>
  <si>
    <t>1.4: Proportion of individuals using the Internet, by location, by urban/rural.</t>
  </si>
  <si>
    <t>2.1: Proportion of schools with a radio used for educational purposes.</t>
  </si>
  <si>
    <t>2.2: Proportion of schools with a television used for educational purposes.</t>
  </si>
  <si>
    <t>2.3: Learners‐to‐computer ratio.</t>
  </si>
  <si>
    <t>2.4: Proportion of schools with Internet access, by type of access.</t>
  </si>
  <si>
    <t>3.1: Proportion of public scientific and research centres with broadband Internet access.</t>
  </si>
  <si>
    <t>3.2: Presence of a national research and education network (NREN), by bandwidth (Mbit/s).</t>
  </si>
  <si>
    <t>3.3: Proportion of public scientific and research centres with Internet access to a NREN.</t>
  </si>
  <si>
    <t>4.1: Proportion of public libraries with broadband Internet access.</t>
  </si>
  <si>
    <t>4.2: Proportion of public libraries providing public Internet access.</t>
  </si>
  <si>
    <t>4.3: Proportion of public libraries with a web presence.</t>
  </si>
  <si>
    <t>4.4: Proportion of museums with broadband Internet access.</t>
  </si>
  <si>
    <t>4.5: Proportion of museums with a web presence.</t>
  </si>
  <si>
    <t>4.6: Proportion of post offices with broadband Internet access.</t>
  </si>
  <si>
    <t>4.7: Proportion of post offices providing public Internet access.</t>
  </si>
  <si>
    <t>4.8: National archives organizations with broadband Internet access.</t>
  </si>
  <si>
    <t>4.9: National archives organizations with a web presence.</t>
  </si>
  <si>
    <t>4.10: Proportion of items in the national archives that have been digitized.</t>
  </si>
  <si>
    <t>4.11: Proportion of digitized items in the national archives that are publicly available online.</t>
  </si>
  <si>
    <t>5.1: Proportion of public hospitals with Internet access, by type of access.</t>
  </si>
  <si>
    <t>5.2: Proportion of public health centres with Internet access, by type of access.</t>
  </si>
  <si>
    <t>5.3: Level of use of computers and the Internet to manage individual patient information.</t>
  </si>
  <si>
    <t>6.1: Proportion of persons employed in central government organizations routinely using computers.</t>
  </si>
  <si>
    <t>6.2: Proportion of persons employed in central government organizations routinely using the Internet.</t>
  </si>
  <si>
    <t>6.3: Proportion of central government organizations with a Local Area Network (LAN).</t>
  </si>
  <si>
    <t>6.4: Proportion of central government organizations with an intranet.</t>
  </si>
  <si>
    <t>6.5: Proportion of central government organizations with Internet access, by type of access.</t>
  </si>
  <si>
    <t>6.6: Proportion of central government organizations with a web presence.</t>
  </si>
  <si>
    <t>7.1: Proportion of ICT‐qualified teachers in schools.</t>
  </si>
  <si>
    <t>7.2: Proportion of teachers trained to teach subjects using ICT.</t>
  </si>
  <si>
    <t>7.3: Proportion of schools with computer‐assisted instruction.</t>
  </si>
  <si>
    <t>7.4: Proportion of schools with Internet‐assisted instruction.</t>
  </si>
  <si>
    <t>8.1: Proportion of households with a radio.</t>
  </si>
  <si>
    <t>8.2: Proportion of households with a TV.</t>
  </si>
  <si>
    <t>8.3: Proportion of households with multichannel television service, by type of service.</t>
  </si>
  <si>
    <t>9.1: Proportion of Internet users by language, country level.</t>
  </si>
  <si>
    <t>9.2: Proportion of Internet users by language, top ten languages, global level.</t>
  </si>
  <si>
    <t>9.3: Proportion of webpages, by language.</t>
  </si>
  <si>
    <t>9.4: Number of domain name registrations for each country‐code top‐level domain, weighted by population.</t>
  </si>
  <si>
    <t>9.5: Number and share of Wikipedia articles by language.</t>
  </si>
  <si>
    <t>10.1: Mobile cellular telephone subscriptions per 100 inhabitants.</t>
  </si>
  <si>
    <t>10.2: Proportion of households with telephone, by type of network.</t>
  </si>
  <si>
    <t>10.3: Proportion of individuals using a mobile cellular telephone.</t>
  </si>
  <si>
    <t>10.4: Proportion of individuals using the Internet.</t>
  </si>
  <si>
    <t>10.5: Proportion of households with Internet access, by type of access.</t>
  </si>
  <si>
    <t>Indicator</t>
  </si>
  <si>
    <t>Target 2. Connect all secondary schools and primary schools with ICTs</t>
  </si>
  <si>
    <t>Target 3. Connect all scientific and research centres with ICTs</t>
  </si>
  <si>
    <t>Target 5. Connect all health centres and hospitals with ICTs</t>
  </si>
  <si>
    <t>Target 6. Connect all central government departments and establish websites</t>
  </si>
  <si>
    <t>Target 9. Encourage the development of content and put in place technical conditions in order to facilitate the presence and use of all world languages on the Internet</t>
  </si>
  <si>
    <t>Target 10. Ensure that more than half the world's inhabitants have access to ICT's within their reach and make use of them</t>
  </si>
  <si>
    <t>Target 7. Adapt all primary and secondary school curricula to meet the challenges of the information society, taking into account national circumstances</t>
  </si>
  <si>
    <t>Target 1. Connect all villages with ICTs and establish community access points</t>
  </si>
  <si>
    <t>Address</t>
  </si>
  <si>
    <t>Phone</t>
  </si>
  <si>
    <t>General Information</t>
  </si>
  <si>
    <t>Country</t>
  </si>
  <si>
    <t>Organization</t>
  </si>
  <si>
    <t>Name</t>
  </si>
  <si>
    <t>email</t>
  </si>
  <si>
    <t>Type of organization</t>
  </si>
  <si>
    <r>
      <t>Target 4. Connect all public libraries, museums, post offic</t>
    </r>
    <r>
      <rPr>
        <b/>
        <strike/>
        <sz val="14"/>
        <color indexed="10"/>
        <rFont val="Calibri"/>
        <family val="2"/>
      </rPr>
      <t>i</t>
    </r>
    <r>
      <rPr>
        <b/>
        <sz val="14"/>
        <rFont val="Calibri"/>
        <family val="2"/>
      </rPr>
      <t>es and national archives with ICTs</t>
    </r>
  </si>
  <si>
    <t>Annex 1. Connect all businesses with ICTs</t>
  </si>
  <si>
    <t>A.1 Proportion of businesses using computers</t>
  </si>
  <si>
    <t>A.2 Proportion of businesses using the Internet, by type of access</t>
  </si>
  <si>
    <t>A.3 Proportion of businesses using mobile cellular telephones</t>
  </si>
  <si>
    <r>
      <rPr>
        <b/>
        <i/>
        <sz val="20"/>
        <color indexed="9"/>
        <rFont val="Arial"/>
        <family val="2"/>
      </rPr>
      <t>Partnership on Measuring ICT for Development</t>
    </r>
    <r>
      <rPr>
        <b/>
        <sz val="20"/>
        <color indexed="9"/>
        <rFont val="Arial"/>
        <family val="2"/>
      </rPr>
      <t xml:space="preserve"> 
2012 Metadata Questionnaire on the WSIS Target Indicators </t>
    </r>
  </si>
  <si>
    <r>
      <t xml:space="preserve"> Are data for this indicator available? </t>
    </r>
    <r>
      <rPr>
        <b/>
        <sz val="10"/>
        <color indexed="12"/>
        <rFont val="Arial"/>
        <family val="2"/>
      </rPr>
      <t>(Yes or No)</t>
    </r>
  </si>
  <si>
    <t>If the data on the indicator are available, please indicate the latest year of reference</t>
  </si>
  <si>
    <t xml:space="preserve">Please provide the name of the organization in charge of collecting the data, if possible the contact details of the person in charge of collecting the data (full name, email and phone) </t>
  </si>
  <si>
    <t xml:space="preserve"> Please provide the Internet address at which the data are available (url) or any other published sources where the data are available </t>
  </si>
  <si>
    <t>Please fill in the availability of the indicator, the latest year of availability, name of organization in charge of collecting the data and the Internet address at which the data are available</t>
  </si>
  <si>
    <t>Please return this questionnaire to (email address) by (date)</t>
  </si>
  <si>
    <t>6.7: Level of development of online service delivery by national governments.</t>
  </si>
  <si>
    <t>Target 8. Ensure that all of the world's population has access to television and radio services</t>
  </si>
  <si>
    <t xml:space="preserve">Data for this indicator are collected in the UN E-Government Survey, which is carried out and published biennially by the UN Department of Economic and Social Affairs. </t>
  </si>
  <si>
    <t xml:space="preserve">This indicator is estimated by Internet World Stats, using a variety of data sources including ITU and the US Bureau of the Census. </t>
  </si>
  <si>
    <t xml:space="preserve">This indicator is available for selected countries using the Language Observatory Project (LOP) methodology, which crawls country code top-level domains (ccTLD) of selected countries. </t>
  </si>
  <si>
    <t xml:space="preserve">ccTLD registration data are collected through the regional top level domain associations (CENTR, APTDL, AfTLD and LACTLD) and for some countries, registration information is publicly available from registrars’ websites. At the global level, ZookNIC also collects ccTLD data. </t>
  </si>
  <si>
    <t xml:space="preserve">Data on article counts by language are publicly available from Wikipedia’s Statistics page.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</si>
</sst>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quot;$&quot;#,##0.00_);\(&quot;$&quot;#,##0.00\)"/>
    <numFmt numFmtId="165" formatCode="&quot;$&quot;#,##0.00_);[Red]\(&quot;$&quot;#,##0.00\)"/>
    <numFmt numFmtId="166" formatCode="&quot;$&quot;#,##0.00"/>
    <numFmt numFmtId="167" formatCode="0.0%"/>
    <numFmt numFmtId="168" formatCode="#,##0\ &quot;GB&quot;"/>
    <numFmt numFmtId="169" formatCode="#,##0.0"/>
  </numFmts>
  <fonts count="48" x14ac:knownFonts="1">
    <font>
      <sz val="10"/>
      <name val="Arial"/>
    </font>
    <font>
      <sz val="8"/>
      <name val="Arial"/>
      <family val="2"/>
    </font>
    <font>
      <b/>
      <sz val="10"/>
      <name val="Arial"/>
      <family val="2"/>
    </font>
    <font>
      <sz val="10"/>
      <name val="Arial"/>
      <family val="2"/>
    </font>
    <font>
      <b/>
      <sz val="12"/>
      <color indexed="9"/>
      <name val="Arial"/>
      <family val="2"/>
    </font>
    <font>
      <sz val="8"/>
      <color indexed="81"/>
      <name val="Tahoma"/>
      <family val="2"/>
    </font>
    <font>
      <b/>
      <sz val="8"/>
      <color indexed="81"/>
      <name val="Tahoma"/>
      <family val="2"/>
    </font>
    <font>
      <sz val="9"/>
      <color indexed="8"/>
      <name val="Arial"/>
      <family val="2"/>
    </font>
    <font>
      <b/>
      <sz val="20"/>
      <color indexed="9"/>
      <name val="Arial"/>
      <family val="2"/>
    </font>
    <font>
      <b/>
      <sz val="12"/>
      <name val="Arial"/>
      <family val="2"/>
    </font>
    <font>
      <b/>
      <sz val="9"/>
      <name val="Arial"/>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17"/>
      <name val="Calibri"/>
      <family val="2"/>
    </font>
    <font>
      <sz val="11"/>
      <color indexed="16"/>
      <name val="Calibri"/>
      <family val="2"/>
    </font>
    <font>
      <sz val="11"/>
      <color indexed="60"/>
      <name val="Calibri"/>
      <family val="2"/>
    </font>
    <font>
      <b/>
      <sz val="11"/>
      <color indexed="8"/>
      <name val="Calibri"/>
      <family val="2"/>
    </font>
    <font>
      <sz val="11"/>
      <color indexed="62"/>
      <name val="Calibri"/>
      <family val="2"/>
    </font>
    <font>
      <b/>
      <sz val="11"/>
      <color indexed="63"/>
      <name val="Calibri"/>
      <family val="2"/>
    </font>
    <font>
      <b/>
      <sz val="11"/>
      <color indexed="53"/>
      <name val="Calibri"/>
      <family val="2"/>
    </font>
    <font>
      <sz val="11"/>
      <color indexed="53"/>
      <name val="Calibri"/>
      <family val="2"/>
    </font>
    <font>
      <b/>
      <sz val="11"/>
      <color indexed="9"/>
      <name val="Calibri"/>
      <family val="2"/>
    </font>
    <font>
      <sz val="11"/>
      <color indexed="10"/>
      <name val="Calibri"/>
      <family val="2"/>
    </font>
    <font>
      <sz val="10"/>
      <name val="Arial"/>
      <family val="2"/>
    </font>
    <font>
      <sz val="11"/>
      <color indexed="9"/>
      <name val="Calibri"/>
      <family val="2"/>
    </font>
    <font>
      <sz val="11"/>
      <color indexed="8"/>
      <name val="Calibri"/>
      <family val="2"/>
    </font>
    <font>
      <sz val="8"/>
      <name val="Arial"/>
      <family val="2"/>
    </font>
    <font>
      <b/>
      <sz val="18"/>
      <color indexed="9"/>
      <name val="Arial"/>
      <family val="2"/>
    </font>
    <font>
      <sz val="8"/>
      <name val="Arial"/>
      <family val="2"/>
    </font>
    <font>
      <sz val="10"/>
      <name val="Calibri"/>
      <family val="2"/>
    </font>
    <font>
      <sz val="9"/>
      <name val="Calibri"/>
      <family val="2"/>
    </font>
    <font>
      <sz val="10"/>
      <name val="Calibri"/>
      <family val="2"/>
    </font>
    <font>
      <b/>
      <sz val="14"/>
      <name val="Calibri"/>
      <family val="2"/>
    </font>
    <font>
      <sz val="9"/>
      <name val="Tahoma"/>
      <family val="2"/>
    </font>
    <font>
      <b/>
      <sz val="9"/>
      <color indexed="23"/>
      <name val="Tahoma"/>
      <family val="2"/>
    </font>
    <font>
      <b/>
      <sz val="9"/>
      <name val="Tahoma"/>
      <family val="2"/>
    </font>
    <font>
      <sz val="12"/>
      <name val="Tahoma"/>
      <family val="2"/>
    </font>
    <font>
      <b/>
      <i/>
      <sz val="16"/>
      <color indexed="23"/>
      <name val="Tahoma"/>
      <family val="2"/>
    </font>
    <font>
      <sz val="10"/>
      <color indexed="10"/>
      <name val="Arial"/>
      <family val="2"/>
    </font>
    <font>
      <sz val="12"/>
      <color indexed="10"/>
      <name val="Arial"/>
      <family val="2"/>
    </font>
    <font>
      <b/>
      <sz val="17"/>
      <color indexed="9"/>
      <name val="Arial"/>
      <family val="2"/>
    </font>
    <font>
      <b/>
      <sz val="10"/>
      <color indexed="12"/>
      <name val="Arial"/>
      <family val="2"/>
    </font>
    <font>
      <b/>
      <strike/>
      <sz val="14"/>
      <color indexed="10"/>
      <name val="Calibri"/>
      <family val="2"/>
    </font>
    <font>
      <b/>
      <i/>
      <sz val="20"/>
      <color indexed="9"/>
      <name val="Arial"/>
      <family val="2"/>
    </font>
    <font>
      <b/>
      <i/>
      <sz val="12"/>
      <color rgb="FFFF0000"/>
      <name val="Tahoma"/>
      <family val="2"/>
    </font>
    <font>
      <b/>
      <sz val="10"/>
      <name val="Calibri"/>
      <family val="2"/>
    </font>
  </fonts>
  <fills count="32">
    <fill>
      <patternFill patternType="none"/>
    </fill>
    <fill>
      <patternFill patternType="gray125"/>
    </fill>
    <fill>
      <patternFill patternType="solid">
        <fgColor indexed="31"/>
      </patternFill>
    </fill>
    <fill>
      <patternFill patternType="solid">
        <fgColor indexed="54"/>
        <bgColor indexed="54"/>
      </patternFill>
    </fill>
    <fill>
      <patternFill patternType="solid">
        <fgColor indexed="31"/>
        <bgColor indexed="31"/>
      </patternFill>
    </fill>
    <fill>
      <patternFill patternType="solid">
        <fgColor indexed="44"/>
        <bgColor indexed="44"/>
      </patternFill>
    </fill>
    <fill>
      <patternFill patternType="solid">
        <fgColor indexed="25"/>
        <bgColor indexed="25"/>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49"/>
        <bgColor indexed="49"/>
      </patternFill>
    </fill>
    <fill>
      <patternFill patternType="solid">
        <fgColor indexed="27"/>
        <bgColor indexed="27"/>
      </patternFill>
    </fill>
    <fill>
      <patternFill patternType="solid">
        <fgColor indexed="52"/>
        <bgColor indexed="52"/>
      </patternFill>
    </fill>
    <fill>
      <patternFill patternType="solid">
        <fgColor indexed="47"/>
        <bgColor indexed="47"/>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5"/>
        <bgColor indexed="45"/>
      </patternFill>
    </fill>
    <fill>
      <patternFill patternType="solid">
        <fgColor indexed="43"/>
        <bgColor indexed="43"/>
      </patternFill>
    </fill>
    <fill>
      <patternFill patternType="solid">
        <fgColor indexed="13"/>
      </patternFill>
    </fill>
    <fill>
      <patternFill patternType="solid">
        <fgColor indexed="26"/>
      </patternFill>
    </fill>
    <fill>
      <patternFill patternType="solid">
        <fgColor indexed="22"/>
        <bgColor indexed="64"/>
      </patternFill>
    </fill>
    <fill>
      <patternFill patternType="solid">
        <fgColor indexed="13"/>
        <bgColor indexed="64"/>
      </patternFill>
    </fill>
    <fill>
      <patternFill patternType="solid">
        <fgColor indexed="9"/>
      </patternFill>
    </fill>
    <fill>
      <patternFill patternType="solid">
        <fgColor indexed="31"/>
        <bgColor indexed="64"/>
      </patternFill>
    </fill>
    <fill>
      <patternFill patternType="solid">
        <fgColor indexed="9"/>
        <bgColor indexed="64"/>
      </patternFill>
    </fill>
    <fill>
      <patternFill patternType="solid">
        <fgColor indexed="56"/>
      </patternFill>
    </fill>
    <fill>
      <patternFill patternType="solid">
        <fgColor indexed="22"/>
      </patternFill>
    </fill>
    <fill>
      <patternFill patternType="solid">
        <fgColor indexed="56"/>
        <bgColor indexed="64"/>
      </patternFill>
    </fill>
    <fill>
      <patternFill patternType="solid">
        <fgColor theme="8" tint="0.59999389629810485"/>
        <bgColor indexed="64"/>
      </patternFill>
    </fill>
  </fills>
  <borders count="67">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54"/>
      </bottom>
      <diagonal/>
    </border>
    <border>
      <left/>
      <right/>
      <top/>
      <bottom style="thick">
        <color indexed="22"/>
      </bottom>
      <diagonal/>
    </border>
    <border>
      <left/>
      <right/>
      <top/>
      <bottom style="medium">
        <color indexed="44"/>
      </bottom>
      <diagonal/>
    </border>
    <border>
      <left/>
      <right/>
      <top style="thin">
        <color indexed="54"/>
      </top>
      <bottom style="double">
        <color indexed="54"/>
      </bottom>
      <diagonal/>
    </border>
    <border>
      <left style="double">
        <color indexed="63"/>
      </left>
      <right style="double">
        <color indexed="63"/>
      </right>
      <top style="double">
        <color indexed="63"/>
      </top>
      <bottom style="double">
        <color indexed="63"/>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indexed="23"/>
      </left>
      <right/>
      <top/>
      <bottom/>
      <diagonal/>
    </border>
    <border>
      <left/>
      <right style="thin">
        <color indexed="23"/>
      </right>
      <top/>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style="thin">
        <color indexed="55"/>
      </left>
      <right style="thin">
        <color indexed="55"/>
      </right>
      <top style="thin">
        <color indexed="55"/>
      </top>
      <bottom style="thin">
        <color indexed="22"/>
      </bottom>
      <diagonal/>
    </border>
    <border>
      <left style="thin">
        <color indexed="55"/>
      </left>
      <right style="thin">
        <color indexed="55"/>
      </right>
      <top style="thin">
        <color indexed="22"/>
      </top>
      <bottom style="thin">
        <color indexed="22"/>
      </bottom>
      <diagonal/>
    </border>
    <border>
      <left style="thin">
        <color indexed="55"/>
      </left>
      <right style="thin">
        <color indexed="55"/>
      </right>
      <top style="thin">
        <color indexed="22"/>
      </top>
      <bottom/>
      <diagonal/>
    </border>
    <border>
      <left style="thin">
        <color indexed="23"/>
      </left>
      <right/>
      <top style="thin">
        <color indexed="23"/>
      </top>
      <bottom style="thin">
        <color indexed="22"/>
      </bottom>
      <diagonal/>
    </border>
    <border>
      <left style="thin">
        <color indexed="23"/>
      </left>
      <right/>
      <top style="thin">
        <color indexed="22"/>
      </top>
      <bottom style="thin">
        <color indexed="22"/>
      </bottom>
      <diagonal/>
    </border>
    <border>
      <left style="thin">
        <color indexed="23"/>
      </left>
      <right style="thin">
        <color indexed="55"/>
      </right>
      <top style="thin">
        <color indexed="22"/>
      </top>
      <bottom style="thin">
        <color indexed="23"/>
      </bottom>
      <diagonal/>
    </border>
    <border>
      <left style="thin">
        <color indexed="23"/>
      </left>
      <right style="thin">
        <color indexed="55"/>
      </right>
      <top style="thin">
        <color indexed="23"/>
      </top>
      <bottom style="thin">
        <color indexed="22"/>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23"/>
      </left>
      <right/>
      <top style="thin">
        <color indexed="23"/>
      </top>
      <bottom style="thick">
        <color indexed="23"/>
      </bottom>
      <diagonal/>
    </border>
    <border>
      <left/>
      <right/>
      <top style="thin">
        <color indexed="23"/>
      </top>
      <bottom style="thick">
        <color indexed="23"/>
      </bottom>
      <diagonal/>
    </border>
    <border>
      <left/>
      <right style="thin">
        <color indexed="23"/>
      </right>
      <top style="thin">
        <color indexed="23"/>
      </top>
      <bottom style="thick">
        <color indexed="23"/>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s>
  <cellStyleXfs count="46">
    <xf numFmtId="0" fontId="0" fillId="0" borderId="0"/>
    <xf numFmtId="0" fontId="26" fillId="3"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7" fillId="7" borderId="0" applyNumberFormat="0" applyBorder="0" applyAlignment="0" applyProtection="0"/>
    <xf numFmtId="0" fontId="27" fillId="10" borderId="0" applyNumberFormat="0" applyBorder="0" applyAlignment="0" applyProtection="0"/>
    <xf numFmtId="0" fontId="26" fillId="8" borderId="0" applyNumberFormat="0" applyBorder="0" applyAlignment="0" applyProtection="0"/>
    <xf numFmtId="0" fontId="26" fillId="3" borderId="0" applyNumberFormat="0" applyBorder="0" applyAlignment="0" applyProtection="0"/>
    <xf numFmtId="0" fontId="27" fillId="4" borderId="0" applyNumberFormat="0" applyBorder="0" applyAlignment="0" applyProtection="0"/>
    <xf numFmtId="0" fontId="27" fillId="8"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0" fontId="27" fillId="12" borderId="0" applyNumberFormat="0" applyBorder="0" applyAlignment="0" applyProtection="0"/>
    <xf numFmtId="0" fontId="27" fillId="4" borderId="0" applyNumberFormat="0" applyBorder="0" applyAlignment="0" applyProtection="0"/>
    <xf numFmtId="0" fontId="26" fillId="5" borderId="0" applyNumberFormat="0" applyBorder="0" applyAlignment="0" applyProtection="0"/>
    <xf numFmtId="0" fontId="26" fillId="13" borderId="0" applyNumberFormat="0" applyBorder="0" applyAlignment="0" applyProtection="0"/>
    <xf numFmtId="0" fontId="27" fillId="7" borderId="0" applyNumberFormat="0" applyBorder="0" applyAlignment="0" applyProtection="0"/>
    <xf numFmtId="0" fontId="27" fillId="14" borderId="0" applyNumberFormat="0" applyBorder="0" applyAlignment="0" applyProtection="0"/>
    <xf numFmtId="0" fontId="26" fillId="14" borderId="0" applyNumberFormat="0" applyBorder="0" applyAlignment="0" applyProtection="0"/>
    <xf numFmtId="0" fontId="24" fillId="0" borderId="0" applyNumberFormat="0" applyFill="0" applyBorder="0" applyAlignment="0" applyProtection="0"/>
    <xf numFmtId="0" fontId="21" fillId="15" borderId="1" applyNumberFormat="0" applyAlignment="0" applyProtection="0"/>
    <xf numFmtId="0" fontId="22" fillId="0" borderId="2" applyNumberFormat="0" applyFill="0" applyAlignment="0" applyProtection="0"/>
    <xf numFmtId="0" fontId="25" fillId="7" borderId="3" applyNumberFormat="0" applyFont="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9" fillId="14" borderId="1" applyNumberFormat="0" applyAlignment="0" applyProtection="0"/>
    <xf numFmtId="0" fontId="16" fillId="19" borderId="0" applyNumberFormat="0" applyBorder="0" applyAlignment="0" applyProtection="0"/>
    <xf numFmtId="0" fontId="17" fillId="20" borderId="0" applyNumberFormat="0" applyBorder="0" applyAlignment="0" applyProtection="0"/>
    <xf numFmtId="0" fontId="3" fillId="0" borderId="0"/>
    <xf numFmtId="0" fontId="3" fillId="7" borderId="3" applyNumberFormat="0" applyFont="0" applyAlignment="0" applyProtection="0"/>
    <xf numFmtId="0" fontId="15" fillId="10" borderId="0" applyNumberFormat="0" applyBorder="0" applyAlignment="0" applyProtection="0"/>
    <xf numFmtId="0" fontId="11" fillId="0" borderId="0" applyNumberFormat="0" applyFill="0" applyBorder="0" applyAlignment="0" applyProtection="0"/>
    <xf numFmtId="0" fontId="20" fillId="15" borderId="4" applyNumberFormat="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8" fillId="0" borderId="8" applyNumberFormat="0" applyFill="0" applyAlignment="0" applyProtection="0"/>
    <xf numFmtId="0" fontId="23" fillId="9" borderId="9" applyNumberFormat="0" applyAlignment="0" applyProtection="0"/>
  </cellStyleXfs>
  <cellXfs count="239">
    <xf numFmtId="0" fontId="0" fillId="0" borderId="0" xfId="0"/>
    <xf numFmtId="0" fontId="2" fillId="2" borderId="10" xfId="0" applyFont="1" applyFill="1" applyBorder="1" applyAlignment="1">
      <alignment horizontal="center"/>
    </xf>
    <xf numFmtId="49" fontId="0" fillId="0" borderId="0" xfId="0" applyNumberFormat="1" applyAlignment="1">
      <alignment wrapText="1"/>
    </xf>
    <xf numFmtId="0" fontId="0" fillId="0" borderId="10" xfId="0" applyBorder="1"/>
    <xf numFmtId="49" fontId="2" fillId="2" borderId="11" xfId="0" applyNumberFormat="1" applyFont="1" applyFill="1" applyBorder="1" applyAlignment="1">
      <alignment horizontal="center"/>
    </xf>
    <xf numFmtId="49" fontId="3" fillId="0" borderId="11" xfId="0" applyNumberFormat="1" applyFont="1" applyBorder="1" applyAlignment="1">
      <alignment wrapText="1"/>
    </xf>
    <xf numFmtId="166" fontId="0" fillId="0" borderId="11" xfId="0" applyNumberFormat="1" applyBorder="1"/>
    <xf numFmtId="49" fontId="3" fillId="0" borderId="11" xfId="0" applyNumberFormat="1" applyFont="1" applyBorder="1" applyAlignment="1">
      <alignment horizontal="left" wrapText="1" indent="1"/>
    </xf>
    <xf numFmtId="49" fontId="3" fillId="0" borderId="11" xfId="0" applyNumberFormat="1" applyFont="1" applyBorder="1" applyAlignment="1">
      <alignment horizontal="left" wrapText="1"/>
    </xf>
    <xf numFmtId="49" fontId="3" fillId="0" borderId="11" xfId="0" applyNumberFormat="1" applyFont="1" applyBorder="1" applyAlignment="1">
      <alignment horizontal="right" wrapText="1"/>
    </xf>
    <xf numFmtId="49" fontId="2" fillId="2" borderId="12" xfId="0" applyNumberFormat="1" applyFont="1" applyFill="1" applyBorder="1" applyAlignment="1">
      <alignment horizontal="center"/>
    </xf>
    <xf numFmtId="0" fontId="0" fillId="0" borderId="10" xfId="0" applyBorder="1" applyAlignment="1">
      <alignment wrapText="1"/>
    </xf>
    <xf numFmtId="166" fontId="0" fillId="0" borderId="11" xfId="0" applyNumberFormat="1" applyBorder="1" applyAlignment="1">
      <alignment wrapText="1"/>
    </xf>
    <xf numFmtId="166" fontId="0" fillId="0" borderId="12" xfId="0" applyNumberFormat="1" applyBorder="1" applyAlignment="1">
      <alignment wrapText="1"/>
    </xf>
    <xf numFmtId="0" fontId="0" fillId="0" borderId="13" xfId="0" applyBorder="1" applyAlignment="1">
      <alignment wrapText="1"/>
    </xf>
    <xf numFmtId="49" fontId="3" fillId="0" borderId="14" xfId="0" applyNumberFormat="1" applyFont="1" applyBorder="1" applyAlignment="1">
      <alignment horizontal="left" wrapText="1"/>
    </xf>
    <xf numFmtId="49" fontId="3" fillId="0" borderId="14" xfId="0" applyNumberFormat="1" applyFont="1" applyBorder="1" applyAlignment="1">
      <alignment horizontal="right" wrapText="1"/>
    </xf>
    <xf numFmtId="166" fontId="0" fillId="0" borderId="14" xfId="0" applyNumberFormat="1" applyBorder="1" applyAlignment="1">
      <alignment wrapText="1"/>
    </xf>
    <xf numFmtId="166" fontId="0" fillId="0" borderId="15" xfId="0" applyNumberFormat="1" applyBorder="1" applyAlignment="1">
      <alignment wrapText="1"/>
    </xf>
    <xf numFmtId="0" fontId="0" fillId="0" borderId="16" xfId="0" applyBorder="1" applyAlignment="1">
      <alignment wrapText="1"/>
    </xf>
    <xf numFmtId="49" fontId="3" fillId="0" borderId="17" xfId="0" applyNumberFormat="1" applyFont="1" applyBorder="1" applyAlignment="1">
      <alignment horizontal="left" wrapText="1"/>
    </xf>
    <xf numFmtId="49" fontId="3" fillId="0" borderId="17" xfId="0" applyNumberFormat="1" applyFont="1" applyBorder="1" applyAlignment="1">
      <alignment horizontal="right" wrapText="1"/>
    </xf>
    <xf numFmtId="166" fontId="2" fillId="0" borderId="17" xfId="0" applyNumberFormat="1" applyFont="1" applyBorder="1" applyAlignment="1">
      <alignment horizontal="right" wrapText="1"/>
    </xf>
    <xf numFmtId="166" fontId="2" fillId="0" borderId="18" xfId="0" applyNumberFormat="1" applyFont="1" applyBorder="1" applyAlignment="1">
      <alignment horizontal="right" wrapText="1"/>
    </xf>
    <xf numFmtId="0" fontId="0" fillId="0" borderId="19" xfId="0" applyBorder="1" applyAlignment="1">
      <alignment wrapText="1"/>
    </xf>
    <xf numFmtId="49" fontId="3" fillId="0" borderId="20" xfId="0" applyNumberFormat="1" applyFont="1" applyBorder="1" applyAlignment="1">
      <alignment horizontal="left" wrapText="1"/>
    </xf>
    <xf numFmtId="49" fontId="3" fillId="0" borderId="20" xfId="0" applyNumberFormat="1" applyFont="1" applyBorder="1" applyAlignment="1">
      <alignment horizontal="right" wrapText="1"/>
    </xf>
    <xf numFmtId="166" fontId="0" fillId="0" borderId="20" xfId="0" applyNumberFormat="1" applyBorder="1" applyAlignment="1">
      <alignment wrapText="1"/>
    </xf>
    <xf numFmtId="166" fontId="2" fillId="0" borderId="11" xfId="0" applyNumberFormat="1" applyFont="1" applyBorder="1" applyAlignment="1">
      <alignment horizontal="right" wrapText="1"/>
    </xf>
    <xf numFmtId="166" fontId="2" fillId="0" borderId="12" xfId="0" applyNumberFormat="1" applyFont="1" applyBorder="1" applyAlignment="1">
      <alignment wrapText="1"/>
    </xf>
    <xf numFmtId="3" fontId="2" fillId="0" borderId="12" xfId="0" applyNumberFormat="1" applyFont="1" applyBorder="1" applyAlignment="1">
      <alignment wrapText="1"/>
    </xf>
    <xf numFmtId="0" fontId="0" fillId="0" borderId="21" xfId="0" applyBorder="1" applyAlignment="1">
      <alignment wrapText="1"/>
    </xf>
    <xf numFmtId="49" fontId="3" fillId="0" borderId="22" xfId="0" applyNumberFormat="1" applyFont="1" applyBorder="1" applyAlignment="1">
      <alignment horizontal="left" wrapText="1"/>
    </xf>
    <xf numFmtId="49" fontId="3" fillId="0" borderId="22" xfId="0" applyNumberFormat="1" applyFont="1" applyBorder="1" applyAlignment="1">
      <alignment horizontal="right" wrapText="1"/>
    </xf>
    <xf numFmtId="166" fontId="2" fillId="21" borderId="22" xfId="0" applyNumberFormat="1" applyFont="1" applyFill="1" applyBorder="1" applyAlignment="1">
      <alignment horizontal="right" wrapText="1"/>
    </xf>
    <xf numFmtId="166" fontId="2" fillId="0" borderId="23" xfId="0" applyNumberFormat="1" applyFont="1" applyBorder="1" applyAlignment="1">
      <alignment wrapText="1"/>
    </xf>
    <xf numFmtId="166" fontId="2" fillId="0" borderId="14" xfId="0" applyNumberFormat="1" applyFont="1" applyBorder="1" applyAlignment="1">
      <alignment horizontal="right" wrapText="1"/>
    </xf>
    <xf numFmtId="3" fontId="2" fillId="0" borderId="15" xfId="0" applyNumberFormat="1" applyFont="1" applyBorder="1" applyAlignment="1">
      <alignment wrapText="1"/>
    </xf>
    <xf numFmtId="0" fontId="0" fillId="0" borderId="0" xfId="0" applyBorder="1"/>
    <xf numFmtId="0" fontId="3" fillId="0" borderId="11" xfId="0" applyNumberFormat="1" applyFont="1" applyBorder="1" applyAlignment="1">
      <alignment horizontal="left" wrapText="1"/>
    </xf>
    <xf numFmtId="0" fontId="3" fillId="0" borderId="10" xfId="0" applyNumberFormat="1" applyFont="1" applyBorder="1" applyAlignment="1">
      <alignment horizontal="left" wrapText="1"/>
    </xf>
    <xf numFmtId="0" fontId="0" fillId="0" borderId="24" xfId="0" applyBorder="1" applyAlignment="1">
      <alignment wrapText="1"/>
    </xf>
    <xf numFmtId="166" fontId="0" fillId="0" borderId="14" xfId="0" applyNumberFormat="1" applyBorder="1"/>
    <xf numFmtId="0" fontId="0" fillId="0" borderId="13" xfId="0" applyBorder="1"/>
    <xf numFmtId="49" fontId="0" fillId="0" borderId="25" xfId="0" applyNumberFormat="1" applyBorder="1" applyAlignment="1">
      <alignment wrapText="1"/>
    </xf>
    <xf numFmtId="0" fontId="0" fillId="0" borderId="26" xfId="0" applyBorder="1"/>
    <xf numFmtId="0" fontId="7" fillId="0" borderId="10" xfId="0" applyFont="1" applyBorder="1"/>
    <xf numFmtId="0" fontId="0" fillId="0" borderId="0" xfId="0" applyProtection="1"/>
    <xf numFmtId="1" fontId="3" fillId="0" borderId="11" xfId="0" applyNumberFormat="1" applyFont="1" applyBorder="1" applyAlignment="1">
      <alignment horizontal="right" wrapText="1"/>
    </xf>
    <xf numFmtId="9" fontId="2" fillId="0" borderId="15" xfId="0" applyNumberFormat="1" applyFont="1" applyBorder="1" applyAlignment="1">
      <alignment wrapText="1"/>
    </xf>
    <xf numFmtId="9" fontId="2" fillId="0" borderId="0" xfId="0" applyNumberFormat="1" applyFont="1" applyBorder="1" applyAlignment="1">
      <alignment wrapText="1"/>
    </xf>
    <xf numFmtId="1" fontId="0" fillId="0" borderId="11" xfId="0" applyNumberFormat="1" applyBorder="1"/>
    <xf numFmtId="9" fontId="2" fillId="0" borderId="12" xfId="0" applyNumberFormat="1" applyFont="1" applyBorder="1" applyAlignment="1">
      <alignment wrapText="1"/>
    </xf>
    <xf numFmtId="9" fontId="0" fillId="0" borderId="11" xfId="0" applyNumberFormat="1" applyBorder="1"/>
    <xf numFmtId="2" fontId="0" fillId="0" borderId="11" xfId="0" applyNumberFormat="1" applyBorder="1"/>
    <xf numFmtId="9" fontId="0" fillId="0" borderId="11" xfId="0" applyNumberFormat="1" applyBorder="1" applyAlignment="1">
      <alignment wrapText="1"/>
    </xf>
    <xf numFmtId="49" fontId="2" fillId="2" borderId="27" xfId="0" applyNumberFormat="1" applyFont="1" applyFill="1" applyBorder="1" applyAlignment="1">
      <alignment horizontal="center"/>
    </xf>
    <xf numFmtId="166" fontId="2" fillId="0" borderId="28" xfId="0" applyNumberFormat="1" applyFont="1" applyBorder="1" applyAlignment="1">
      <alignment horizontal="right" wrapText="1"/>
    </xf>
    <xf numFmtId="166" fontId="2" fillId="0" borderId="27" xfId="0" applyNumberFormat="1" applyFont="1" applyBorder="1" applyAlignment="1">
      <alignment horizontal="right" wrapText="1"/>
    </xf>
    <xf numFmtId="166" fontId="2" fillId="0" borderId="29" xfId="0" applyNumberFormat="1" applyFont="1" applyBorder="1" applyAlignment="1">
      <alignment horizontal="right" wrapText="1"/>
    </xf>
    <xf numFmtId="166" fontId="2" fillId="21" borderId="30" xfId="0" applyNumberFormat="1" applyFont="1" applyFill="1" applyBorder="1" applyAlignment="1">
      <alignment horizontal="right" wrapText="1"/>
    </xf>
    <xf numFmtId="9" fontId="0" fillId="0" borderId="14" xfId="0" applyNumberFormat="1" applyBorder="1" applyAlignment="1">
      <alignment wrapText="1"/>
    </xf>
    <xf numFmtId="9" fontId="0" fillId="0" borderId="27" xfId="0" applyNumberFormat="1" applyBorder="1" applyAlignment="1">
      <alignment wrapText="1"/>
    </xf>
    <xf numFmtId="2" fontId="0" fillId="0" borderId="22" xfId="0" applyNumberFormat="1" applyBorder="1"/>
    <xf numFmtId="1" fontId="0" fillId="0" borderId="22" xfId="0" applyNumberFormat="1" applyBorder="1"/>
    <xf numFmtId="0" fontId="2" fillId="0" borderId="10" xfId="0" applyFont="1" applyBorder="1" applyAlignment="1">
      <alignment horizontal="center"/>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0" xfId="0" applyFont="1" applyBorder="1"/>
    <xf numFmtId="0" fontId="2" fillId="0" borderId="21" xfId="0" applyFont="1" applyBorder="1"/>
    <xf numFmtId="9" fontId="3" fillId="0" borderId="12" xfId="0" applyNumberFormat="1" applyFont="1" applyBorder="1" applyAlignment="1">
      <alignment horizontal="right" wrapText="1"/>
    </xf>
    <xf numFmtId="0" fontId="3" fillId="0" borderId="21" xfId="0" applyNumberFormat="1" applyFont="1" applyBorder="1" applyAlignment="1">
      <alignment horizontal="left" wrapText="1"/>
    </xf>
    <xf numFmtId="0" fontId="3" fillId="0" borderId="22" xfId="0" applyNumberFormat="1" applyFont="1" applyBorder="1" applyAlignment="1">
      <alignment horizontal="left" wrapText="1"/>
    </xf>
    <xf numFmtId="1" fontId="3" fillId="0" borderId="23" xfId="0" applyNumberFormat="1" applyFont="1" applyBorder="1" applyAlignment="1">
      <alignment horizontal="right" wrapText="1"/>
    </xf>
    <xf numFmtId="0" fontId="0" fillId="0" borderId="12" xfId="0" applyNumberFormat="1" applyBorder="1"/>
    <xf numFmtId="2" fontId="0" fillId="0" borderId="10" xfId="0" applyNumberFormat="1" applyBorder="1"/>
    <xf numFmtId="2" fontId="0" fillId="0" borderId="12" xfId="0" applyNumberFormat="1" applyBorder="1"/>
    <xf numFmtId="2" fontId="0" fillId="0" borderId="21" xfId="0" applyNumberFormat="1" applyBorder="1"/>
    <xf numFmtId="2" fontId="0" fillId="0" borderId="23" xfId="0" applyNumberFormat="1" applyBorder="1"/>
    <xf numFmtId="0" fontId="2" fillId="0" borderId="10" xfId="0" applyFont="1" applyBorder="1" applyAlignment="1">
      <alignment horizontal="center" wrapText="1"/>
    </xf>
    <xf numFmtId="1" fontId="2" fillId="21" borderId="12" xfId="0" applyNumberFormat="1" applyFont="1" applyFill="1" applyBorder="1"/>
    <xf numFmtId="1" fontId="2" fillId="21" borderId="23" xfId="0" applyNumberFormat="1" applyFont="1" applyFill="1" applyBorder="1"/>
    <xf numFmtId="0" fontId="2" fillId="0" borderId="27" xfId="0" applyFont="1" applyBorder="1" applyAlignment="1">
      <alignment horizontal="center" wrapText="1"/>
    </xf>
    <xf numFmtId="1" fontId="0" fillId="0" borderId="27" xfId="0" applyNumberFormat="1" applyBorder="1"/>
    <xf numFmtId="1" fontId="0" fillId="0" borderId="30" xfId="0" applyNumberFormat="1" applyBorder="1"/>
    <xf numFmtId="167" fontId="0" fillId="0" borderId="27" xfId="0" applyNumberFormat="1" applyBorder="1"/>
    <xf numFmtId="167" fontId="0" fillId="0" borderId="30" xfId="0" applyNumberFormat="1" applyBorder="1"/>
    <xf numFmtId="1" fontId="0" fillId="0" borderId="14" xfId="0" applyNumberFormat="1" applyBorder="1"/>
    <xf numFmtId="49" fontId="0" fillId="0" borderId="11" xfId="0" applyNumberFormat="1" applyBorder="1" applyAlignment="1">
      <alignment wrapText="1"/>
    </xf>
    <xf numFmtId="1" fontId="0" fillId="0" borderId="0" xfId="0" applyNumberFormat="1" applyBorder="1" applyProtection="1"/>
    <xf numFmtId="0" fontId="0" fillId="0" borderId="0" xfId="0" applyBorder="1" applyProtection="1"/>
    <xf numFmtId="0" fontId="0" fillId="0" borderId="25" xfId="0" applyBorder="1" applyProtection="1"/>
    <xf numFmtId="1" fontId="3" fillId="0" borderId="11" xfId="0" applyNumberFormat="1" applyFont="1" applyBorder="1"/>
    <xf numFmtId="168" fontId="2" fillId="21" borderId="12" xfId="0" applyNumberFormat="1" applyFont="1" applyFill="1" applyBorder="1"/>
    <xf numFmtId="0" fontId="2" fillId="22" borderId="11" xfId="0" applyFont="1" applyFill="1" applyBorder="1" applyAlignment="1">
      <alignment horizontal="center" wrapText="1"/>
    </xf>
    <xf numFmtId="166" fontId="0" fillId="0" borderId="0" xfId="0" applyNumberFormat="1"/>
    <xf numFmtId="0" fontId="2" fillId="0" borderId="10" xfId="0" applyFont="1" applyBorder="1" applyAlignment="1">
      <alignment wrapText="1"/>
    </xf>
    <xf numFmtId="0" fontId="9" fillId="22" borderId="11" xfId="0" applyFont="1" applyFill="1" applyBorder="1" applyAlignment="1">
      <alignment horizontal="center" wrapText="1"/>
    </xf>
    <xf numFmtId="0" fontId="2" fillId="0" borderId="11" xfId="0" applyFont="1" applyBorder="1"/>
    <xf numFmtId="166" fontId="3" fillId="0" borderId="11" xfId="0" applyNumberFormat="1" applyFont="1" applyBorder="1" applyAlignment="1">
      <alignment horizontal="right" wrapText="1"/>
    </xf>
    <xf numFmtId="166" fontId="0" fillId="23" borderId="11" xfId="0" applyNumberFormat="1" applyFill="1" applyBorder="1"/>
    <xf numFmtId="166" fontId="3" fillId="23" borderId="11" xfId="0" applyNumberFormat="1" applyFont="1" applyFill="1" applyBorder="1" applyAlignment="1">
      <alignment horizontal="right"/>
    </xf>
    <xf numFmtId="166" fontId="0" fillId="24" borderId="11" xfId="0" applyNumberFormat="1" applyFill="1" applyBorder="1"/>
    <xf numFmtId="0" fontId="2" fillId="0" borderId="0" xfId="0" applyFont="1" applyBorder="1"/>
    <xf numFmtId="0" fontId="3" fillId="0" borderId="0" xfId="35" applyAlignment="1" applyProtection="1">
      <alignment wrapText="1"/>
    </xf>
    <xf numFmtId="0" fontId="10" fillId="25" borderId="11" xfId="35" applyFont="1" applyFill="1" applyBorder="1" applyAlignment="1">
      <alignment horizontal="center" wrapText="1"/>
    </xf>
    <xf numFmtId="0" fontId="3" fillId="0" borderId="11" xfId="35" applyFont="1" applyBorder="1" applyAlignment="1">
      <alignment wrapText="1"/>
    </xf>
    <xf numFmtId="3" fontId="3" fillId="0" borderId="11" xfId="35" applyNumberFormat="1" applyBorder="1" applyAlignment="1" applyProtection="1">
      <alignment wrapText="1"/>
    </xf>
    <xf numFmtId="169" fontId="3" fillId="0" borderId="11" xfId="35" applyNumberFormat="1" applyBorder="1" applyAlignment="1" applyProtection="1">
      <alignment wrapText="1"/>
    </xf>
    <xf numFmtId="3" fontId="1" fillId="0" borderId="11" xfId="35" applyNumberFormat="1" applyFont="1" applyBorder="1" applyAlignment="1" applyProtection="1">
      <alignment wrapText="1"/>
    </xf>
    <xf numFmtId="166" fontId="3" fillId="0" borderId="11" xfId="35" applyNumberFormat="1" applyBorder="1" applyAlignment="1" applyProtection="1">
      <alignment wrapText="1"/>
    </xf>
    <xf numFmtId="0" fontId="3" fillId="0" borderId="14" xfId="35" applyFont="1" applyBorder="1" applyAlignment="1">
      <alignment wrapText="1"/>
    </xf>
    <xf numFmtId="3" fontId="3" fillId="0" borderId="14" xfId="35" applyNumberFormat="1" applyBorder="1" applyAlignment="1" applyProtection="1">
      <alignment wrapText="1"/>
    </xf>
    <xf numFmtId="169" fontId="3" fillId="0" borderId="14" xfId="35" applyNumberFormat="1" applyBorder="1" applyAlignment="1" applyProtection="1">
      <alignment wrapText="1"/>
    </xf>
    <xf numFmtId="3" fontId="1" fillId="0" borderId="14" xfId="35" applyNumberFormat="1" applyFont="1" applyBorder="1" applyAlignment="1" applyProtection="1">
      <alignment wrapText="1"/>
    </xf>
    <xf numFmtId="166" fontId="3" fillId="0" borderId="14" xfId="35" applyNumberFormat="1" applyBorder="1" applyAlignment="1" applyProtection="1">
      <alignment wrapText="1"/>
    </xf>
    <xf numFmtId="0" fontId="2" fillId="0" borderId="16" xfId="35" applyFont="1" applyBorder="1" applyAlignment="1">
      <alignment wrapText="1"/>
    </xf>
    <xf numFmtId="0" fontId="2" fillId="0" borderId="17" xfId="35" applyFont="1" applyBorder="1" applyAlignment="1">
      <alignment wrapText="1"/>
    </xf>
    <xf numFmtId="3" fontId="3" fillId="0" borderId="17" xfId="35" applyNumberFormat="1" applyBorder="1" applyAlignment="1" applyProtection="1">
      <alignment wrapText="1"/>
    </xf>
    <xf numFmtId="169" fontId="2" fillId="0" borderId="17" xfId="35" applyNumberFormat="1" applyFont="1" applyBorder="1" applyAlignment="1" applyProtection="1">
      <alignment wrapText="1"/>
    </xf>
    <xf numFmtId="3" fontId="2" fillId="0" borderId="17" xfId="35" applyNumberFormat="1" applyFont="1" applyBorder="1" applyAlignment="1" applyProtection="1">
      <alignment wrapText="1"/>
    </xf>
    <xf numFmtId="3" fontId="1" fillId="0" borderId="17" xfId="35" applyNumberFormat="1" applyFont="1" applyBorder="1" applyAlignment="1" applyProtection="1">
      <alignment wrapText="1"/>
    </xf>
    <xf numFmtId="166" fontId="3" fillId="0" borderId="17" xfId="35" applyNumberFormat="1" applyBorder="1" applyAlignment="1" applyProtection="1">
      <alignment wrapText="1"/>
    </xf>
    <xf numFmtId="166" fontId="2" fillId="0" borderId="17" xfId="35" applyNumberFormat="1" applyFont="1" applyBorder="1" applyAlignment="1" applyProtection="1">
      <alignment wrapText="1"/>
    </xf>
    <xf numFmtId="166" fontId="2" fillId="0" borderId="18" xfId="35" applyNumberFormat="1" applyFont="1" applyBorder="1" applyAlignment="1" applyProtection="1">
      <alignment wrapText="1"/>
    </xf>
    <xf numFmtId="0" fontId="3" fillId="0" borderId="11" xfId="35" applyFont="1" applyBorder="1" applyAlignment="1">
      <alignment horizontal="left" wrapText="1"/>
    </xf>
    <xf numFmtId="166" fontId="3" fillId="0" borderId="11" xfId="35" applyNumberFormat="1" applyFont="1" applyBorder="1" applyAlignment="1" applyProtection="1">
      <alignment wrapText="1"/>
    </xf>
    <xf numFmtId="166" fontId="3" fillId="0" borderId="0" xfId="35" applyNumberFormat="1" applyAlignment="1" applyProtection="1">
      <alignment wrapText="1"/>
    </xf>
    <xf numFmtId="0" fontId="3" fillId="0" borderId="11" xfId="35" applyBorder="1" applyAlignment="1" applyProtection="1">
      <alignment wrapText="1"/>
    </xf>
    <xf numFmtId="165" fontId="3" fillId="0" borderId="11" xfId="35" applyNumberFormat="1" applyBorder="1" applyAlignment="1" applyProtection="1">
      <alignment wrapText="1"/>
    </xf>
    <xf numFmtId="0" fontId="33" fillId="0" borderId="31" xfId="0" applyFont="1" applyBorder="1" applyAlignment="1">
      <alignment wrapText="1"/>
    </xf>
    <xf numFmtId="0" fontId="33" fillId="0" borderId="32" xfId="0" applyFont="1" applyBorder="1" applyAlignment="1">
      <alignment wrapText="1"/>
    </xf>
    <xf numFmtId="0" fontId="31" fillId="0" borderId="33" xfId="0" applyFont="1" applyBorder="1" applyAlignment="1">
      <alignment wrapText="1"/>
    </xf>
    <xf numFmtId="0" fontId="33" fillId="0" borderId="34" xfId="0" applyFont="1" applyBorder="1" applyAlignment="1">
      <alignment wrapText="1"/>
    </xf>
    <xf numFmtId="0" fontId="31" fillId="0" borderId="35" xfId="0" applyFont="1" applyBorder="1" applyAlignment="1">
      <alignment wrapText="1"/>
    </xf>
    <xf numFmtId="0" fontId="32" fillId="0" borderId="10" xfId="0" applyFont="1" applyBorder="1" applyAlignment="1">
      <alignment horizontal="left" vertical="center" wrapText="1"/>
    </xf>
    <xf numFmtId="0" fontId="32" fillId="0" borderId="36" xfId="0" applyFont="1" applyBorder="1" applyAlignment="1">
      <alignment horizontal="left" vertical="center" wrapText="1"/>
    </xf>
    <xf numFmtId="0" fontId="35" fillId="0" borderId="0" xfId="35" applyNumberFormat="1" applyFont="1" applyFill="1" applyBorder="1" applyAlignment="1" applyProtection="1"/>
    <xf numFmtId="0" fontId="9" fillId="26" borderId="37" xfId="0" applyFont="1" applyFill="1" applyBorder="1" applyAlignment="1">
      <alignment horizontal="left" vertical="center" wrapText="1"/>
    </xf>
    <xf numFmtId="0" fontId="2" fillId="26" borderId="38" xfId="0" applyFont="1" applyFill="1" applyBorder="1" applyAlignment="1">
      <alignment horizontal="center" vertical="top"/>
    </xf>
    <xf numFmtId="0" fontId="2" fillId="26" borderId="39" xfId="0" applyFont="1" applyFill="1" applyBorder="1" applyAlignment="1">
      <alignment horizontal="center" vertical="center" wrapText="1"/>
    </xf>
    <xf numFmtId="0" fontId="2" fillId="26" borderId="40" xfId="0" applyFont="1" applyFill="1" applyBorder="1" applyAlignment="1">
      <alignment horizontal="center" vertical="center" wrapText="1"/>
    </xf>
    <xf numFmtId="0" fontId="35" fillId="26" borderId="41" xfId="35" applyNumberFormat="1" applyFont="1" applyFill="1" applyBorder="1" applyAlignment="1" applyProtection="1">
      <alignment horizontal="centerContinuous"/>
    </xf>
    <xf numFmtId="0" fontId="35" fillId="26" borderId="0" xfId="35" applyNumberFormat="1" applyFont="1" applyFill="1" applyBorder="1" applyAlignment="1" applyProtection="1">
      <alignment horizontal="centerContinuous"/>
    </xf>
    <xf numFmtId="0" fontId="35" fillId="26" borderId="42" xfId="35" applyNumberFormat="1" applyFont="1" applyFill="1" applyBorder="1" applyAlignment="1" applyProtection="1">
      <alignment horizontal="centerContinuous"/>
    </xf>
    <xf numFmtId="0" fontId="35" fillId="26" borderId="41" xfId="35" applyNumberFormat="1" applyFont="1" applyFill="1" applyBorder="1" applyAlignment="1" applyProtection="1"/>
    <xf numFmtId="0" fontId="35" fillId="26" borderId="0" xfId="35" applyNumberFormat="1" applyFont="1" applyFill="1" applyBorder="1" applyAlignment="1" applyProtection="1"/>
    <xf numFmtId="0" fontId="35" fillId="26" borderId="42" xfId="35" applyNumberFormat="1" applyFont="1" applyFill="1" applyBorder="1" applyAlignment="1" applyProtection="1"/>
    <xf numFmtId="0" fontId="37" fillId="26" borderId="0" xfId="35" applyNumberFormat="1" applyFont="1" applyFill="1" applyBorder="1" applyAlignment="1" applyProtection="1">
      <alignment horizontal="left" vertical="center" indent="1"/>
    </xf>
    <xf numFmtId="0" fontId="35" fillId="26" borderId="42" xfId="35" applyNumberFormat="1" applyFont="1" applyFill="1" applyBorder="1" applyAlignment="1" applyProtection="1">
      <alignment horizontal="left" vertical="top" wrapText="1"/>
    </xf>
    <xf numFmtId="0" fontId="39" fillId="26" borderId="43" xfId="35" applyNumberFormat="1" applyFont="1" applyFill="1" applyBorder="1" applyAlignment="1" applyProtection="1">
      <alignment horizontal="center" vertical="center"/>
    </xf>
    <xf numFmtId="0" fontId="39" fillId="26" borderId="44" xfId="35" applyNumberFormat="1" applyFont="1" applyFill="1" applyBorder="1" applyAlignment="1" applyProtection="1">
      <alignment horizontal="center" vertical="center"/>
    </xf>
    <xf numFmtId="0" fontId="35" fillId="26" borderId="45" xfId="35" applyNumberFormat="1" applyFont="1" applyFill="1" applyBorder="1" applyAlignment="1" applyProtection="1"/>
    <xf numFmtId="0" fontId="38" fillId="27" borderId="46" xfId="35" applyNumberFormat="1" applyFont="1" applyFill="1" applyBorder="1" applyAlignment="1" applyProtection="1">
      <alignment horizontal="left" vertical="center" wrapText="1" indent="1"/>
    </xf>
    <xf numFmtId="0" fontId="38" fillId="27" borderId="47" xfId="35" applyNumberFormat="1" applyFont="1" applyFill="1" applyBorder="1" applyAlignment="1" applyProtection="1">
      <alignment horizontal="left" vertical="center" wrapText="1" indent="1"/>
    </xf>
    <xf numFmtId="164" fontId="35" fillId="27" borderId="46" xfId="35" applyNumberFormat="1" applyFont="1" applyFill="1" applyBorder="1" applyAlignment="1" applyProtection="1">
      <alignment horizontal="left" vertical="center" wrapText="1" indent="1"/>
    </xf>
    <xf numFmtId="0" fontId="40" fillId="0" borderId="0" xfId="0" applyFont="1"/>
    <xf numFmtId="0" fontId="41" fillId="0" borderId="0" xfId="0" applyFont="1"/>
    <xf numFmtId="0" fontId="3" fillId="0" borderId="0" xfId="0" applyFont="1"/>
    <xf numFmtId="0" fontId="38" fillId="27" borderId="48" xfId="35" applyNumberFormat="1" applyFont="1" applyFill="1" applyBorder="1" applyAlignment="1" applyProtection="1">
      <alignment horizontal="left" vertical="center" wrapText="1" indent="1"/>
    </xf>
    <xf numFmtId="0" fontId="10" fillId="27" borderId="49" xfId="35" applyNumberFormat="1" applyFont="1" applyFill="1" applyBorder="1" applyAlignment="1" applyProtection="1">
      <alignment horizontal="left" vertical="center" indent="1"/>
    </xf>
    <xf numFmtId="0" fontId="10" fillId="27" borderId="50" xfId="35" applyNumberFormat="1" applyFont="1" applyFill="1" applyBorder="1" applyAlignment="1" applyProtection="1">
      <alignment horizontal="left" vertical="center" indent="1"/>
    </xf>
    <xf numFmtId="0" fontId="10" fillId="27" borderId="51" xfId="35" applyNumberFormat="1" applyFont="1" applyFill="1" applyBorder="1" applyAlignment="1" applyProtection="1">
      <alignment horizontal="left" vertical="center" indent="1"/>
    </xf>
    <xf numFmtId="0" fontId="10" fillId="26" borderId="0" xfId="35" applyNumberFormat="1" applyFont="1" applyFill="1" applyBorder="1" applyAlignment="1" applyProtection="1">
      <alignment horizontal="left" indent="1"/>
    </xf>
    <xf numFmtId="0" fontId="10" fillId="27" borderId="52" xfId="35" applyNumberFormat="1" applyFont="1" applyFill="1" applyBorder="1" applyAlignment="1" applyProtection="1">
      <alignment horizontal="left" vertical="center" indent="1"/>
    </xf>
    <xf numFmtId="0" fontId="32" fillId="31" borderId="10" xfId="0" applyFont="1" applyFill="1" applyBorder="1" applyAlignment="1">
      <alignment horizontal="left" vertical="center" wrapText="1"/>
    </xf>
    <xf numFmtId="0" fontId="33" fillId="31" borderId="31" xfId="0" applyFont="1" applyFill="1" applyBorder="1" applyAlignment="1">
      <alignment wrapText="1"/>
    </xf>
    <xf numFmtId="0" fontId="33" fillId="31" borderId="32" xfId="0" applyFont="1" applyFill="1" applyBorder="1" applyAlignment="1">
      <alignment wrapText="1"/>
    </xf>
    <xf numFmtId="0" fontId="33" fillId="31" borderId="34" xfId="0" applyFont="1" applyFill="1" applyBorder="1" applyAlignment="1">
      <alignment wrapText="1"/>
    </xf>
    <xf numFmtId="0" fontId="32" fillId="31" borderId="36" xfId="0" applyFont="1" applyFill="1" applyBorder="1" applyAlignment="1">
      <alignment horizontal="left" vertical="center" wrapText="1"/>
    </xf>
    <xf numFmtId="0" fontId="3" fillId="25" borderId="36" xfId="0" applyFont="1" applyFill="1" applyBorder="1" applyAlignment="1">
      <alignment horizontal="left" wrapText="1"/>
    </xf>
    <xf numFmtId="0" fontId="3" fillId="25" borderId="55" xfId="0" applyFont="1" applyFill="1" applyBorder="1" applyAlignment="1">
      <alignment horizontal="left" wrapText="1"/>
    </xf>
    <xf numFmtId="0" fontId="3" fillId="25" borderId="35" xfId="0" applyFont="1" applyFill="1" applyBorder="1" applyAlignment="1">
      <alignment horizontal="left" wrapText="1"/>
    </xf>
    <xf numFmtId="0" fontId="2" fillId="22" borderId="53" xfId="0" applyFont="1" applyFill="1" applyBorder="1" applyAlignment="1">
      <alignment horizontal="center" wrapText="1"/>
    </xf>
    <xf numFmtId="0" fontId="2" fillId="22" borderId="32" xfId="0" applyFont="1" applyFill="1" applyBorder="1" applyAlignment="1">
      <alignment horizontal="center" wrapText="1"/>
    </xf>
    <xf numFmtId="0" fontId="2" fillId="22" borderId="34" xfId="0" applyFont="1" applyFill="1" applyBorder="1" applyAlignment="1">
      <alignment horizontal="center" wrapText="1"/>
    </xf>
    <xf numFmtId="0" fontId="2" fillId="22" borderId="54" xfId="0" applyFont="1" applyFill="1" applyBorder="1" applyAlignment="1">
      <alignment horizontal="center" wrapText="1"/>
    </xf>
    <xf numFmtId="49" fontId="4" fillId="28" borderId="53" xfId="0" applyNumberFormat="1" applyFont="1" applyFill="1" applyBorder="1" applyAlignment="1">
      <alignment horizontal="center" wrapText="1"/>
    </xf>
    <xf numFmtId="49" fontId="4" fillId="28" borderId="32" xfId="0" applyNumberFormat="1" applyFont="1" applyFill="1" applyBorder="1" applyAlignment="1">
      <alignment horizontal="center" wrapText="1"/>
    </xf>
    <xf numFmtId="49" fontId="4" fillId="28" borderId="54" xfId="0" applyNumberFormat="1" applyFont="1" applyFill="1" applyBorder="1" applyAlignment="1">
      <alignment horizontal="center" wrapText="1"/>
    </xf>
    <xf numFmtId="0" fontId="3" fillId="25" borderId="10" xfId="0" applyFont="1" applyFill="1" applyBorder="1" applyAlignment="1">
      <alignment horizontal="left" wrapText="1"/>
    </xf>
    <xf numFmtId="0" fontId="3" fillId="25" borderId="11" xfId="0" applyFont="1" applyFill="1" applyBorder="1" applyAlignment="1">
      <alignment horizontal="left" wrapText="1"/>
    </xf>
    <xf numFmtId="0" fontId="3" fillId="25" borderId="27" xfId="0" applyFont="1" applyFill="1" applyBorder="1" applyAlignment="1">
      <alignment horizontal="left" wrapText="1"/>
    </xf>
    <xf numFmtId="0" fontId="3" fillId="25" borderId="12" xfId="0" applyFont="1" applyFill="1" applyBorder="1" applyAlignment="1">
      <alignment horizontal="left" wrapText="1"/>
    </xf>
    <xf numFmtId="49" fontId="4" fillId="28" borderId="34" xfId="0" applyNumberFormat="1" applyFont="1" applyFill="1" applyBorder="1" applyAlignment="1">
      <alignment horizontal="center" wrapText="1"/>
    </xf>
    <xf numFmtId="0" fontId="2" fillId="22" borderId="10" xfId="0" applyFont="1" applyFill="1" applyBorder="1" applyAlignment="1">
      <alignment horizontal="center"/>
    </xf>
    <xf numFmtId="0" fontId="2" fillId="22" borderId="11" xfId="0" applyFont="1" applyFill="1" applyBorder="1" applyAlignment="1">
      <alignment horizontal="center"/>
    </xf>
    <xf numFmtId="0" fontId="2" fillId="22" borderId="27" xfId="0" applyFont="1" applyFill="1" applyBorder="1" applyAlignment="1">
      <alignment horizontal="center"/>
    </xf>
    <xf numFmtId="0" fontId="2" fillId="22" borderId="12" xfId="0" applyFont="1" applyFill="1" applyBorder="1" applyAlignment="1">
      <alignment horizontal="center"/>
    </xf>
    <xf numFmtId="0" fontId="2" fillId="22" borderId="53" xfId="0" applyFont="1" applyFill="1" applyBorder="1" applyAlignment="1">
      <alignment horizontal="center"/>
    </xf>
    <xf numFmtId="0" fontId="2" fillId="22" borderId="32" xfId="0" applyFont="1" applyFill="1" applyBorder="1" applyAlignment="1">
      <alignment horizontal="center"/>
    </xf>
    <xf numFmtId="0" fontId="2" fillId="22" borderId="34" xfId="0" applyFont="1" applyFill="1" applyBorder="1" applyAlignment="1">
      <alignment horizontal="center"/>
    </xf>
    <xf numFmtId="0" fontId="2" fillId="22" borderId="54" xfId="0" applyFont="1" applyFill="1" applyBorder="1" applyAlignment="1">
      <alignment horizontal="center"/>
    </xf>
    <xf numFmtId="49" fontId="29" fillId="28" borderId="53" xfId="0" applyNumberFormat="1" applyFont="1" applyFill="1" applyBorder="1" applyAlignment="1" applyProtection="1">
      <alignment horizontal="center" wrapText="1"/>
    </xf>
    <xf numFmtId="49" fontId="29" fillId="28" borderId="31" xfId="0" applyNumberFormat="1" applyFont="1" applyFill="1" applyBorder="1" applyAlignment="1" applyProtection="1">
      <alignment horizontal="center" wrapText="1"/>
    </xf>
    <xf numFmtId="49" fontId="29" fillId="28" borderId="32" xfId="0" applyNumberFormat="1" applyFont="1" applyFill="1" applyBorder="1" applyAlignment="1" applyProtection="1">
      <alignment horizontal="center" wrapText="1"/>
    </xf>
    <xf numFmtId="49" fontId="29" fillId="28" borderId="54" xfId="0" applyNumberFormat="1" applyFont="1" applyFill="1" applyBorder="1" applyAlignment="1" applyProtection="1">
      <alignment horizontal="center" wrapText="1"/>
    </xf>
    <xf numFmtId="0" fontId="9" fillId="29" borderId="53" xfId="0" applyFont="1" applyFill="1" applyBorder="1" applyAlignment="1">
      <alignment horizontal="center"/>
    </xf>
    <xf numFmtId="0" fontId="9" fillId="29" borderId="54" xfId="0" applyFont="1" applyFill="1" applyBorder="1" applyAlignment="1">
      <alignment horizontal="center"/>
    </xf>
    <xf numFmtId="0" fontId="9" fillId="2" borderId="27" xfId="0" applyFont="1" applyFill="1" applyBorder="1" applyAlignment="1">
      <alignment horizontal="center"/>
    </xf>
    <xf numFmtId="0" fontId="9" fillId="2" borderId="55" xfId="0" applyFont="1" applyFill="1" applyBorder="1" applyAlignment="1">
      <alignment horizontal="center"/>
    </xf>
    <xf numFmtId="0" fontId="9" fillId="2" borderId="56" xfId="0" applyFont="1" applyFill="1" applyBorder="1" applyAlignment="1">
      <alignment horizontal="center"/>
    </xf>
    <xf numFmtId="166" fontId="3" fillId="23" borderId="14" xfId="0" applyNumberFormat="1" applyFont="1" applyFill="1" applyBorder="1" applyAlignment="1">
      <alignment horizontal="center" wrapText="1"/>
    </xf>
    <xf numFmtId="166" fontId="3" fillId="23" borderId="57" xfId="0" applyNumberFormat="1" applyFont="1" applyFill="1" applyBorder="1" applyAlignment="1">
      <alignment horizontal="center" wrapText="1"/>
    </xf>
    <xf numFmtId="0" fontId="9" fillId="29" borderId="58" xfId="0" applyFont="1" applyFill="1" applyBorder="1" applyAlignment="1">
      <alignment horizontal="center"/>
    </xf>
    <xf numFmtId="0" fontId="9" fillId="29" borderId="59" xfId="0" applyFont="1" applyFill="1" applyBorder="1" applyAlignment="1">
      <alignment horizontal="center"/>
    </xf>
    <xf numFmtId="0" fontId="9" fillId="29" borderId="60" xfId="0" applyFont="1" applyFill="1" applyBorder="1" applyAlignment="1">
      <alignment horizontal="center"/>
    </xf>
    <xf numFmtId="49" fontId="2" fillId="23" borderId="27" xfId="0" applyNumberFormat="1" applyFont="1" applyFill="1" applyBorder="1" applyAlignment="1">
      <alignment horizontal="center" wrapText="1"/>
    </xf>
    <xf numFmtId="49" fontId="2" fillId="23" borderId="55" xfId="0" applyNumberFormat="1" applyFont="1" applyFill="1" applyBorder="1" applyAlignment="1">
      <alignment horizontal="center" wrapText="1"/>
    </xf>
    <xf numFmtId="49" fontId="2" fillId="23" borderId="56" xfId="0" applyNumberFormat="1" applyFont="1" applyFill="1" applyBorder="1" applyAlignment="1">
      <alignment horizontal="center" wrapText="1"/>
    </xf>
    <xf numFmtId="49" fontId="2" fillId="23" borderId="11" xfId="35" applyNumberFormat="1" applyFont="1" applyFill="1" applyBorder="1" applyAlignment="1" applyProtection="1">
      <alignment horizontal="center" wrapText="1"/>
    </xf>
    <xf numFmtId="49" fontId="8" fillId="28" borderId="27" xfId="35" applyNumberFormat="1" applyFont="1" applyFill="1" applyBorder="1" applyAlignment="1" applyProtection="1">
      <alignment horizontal="center" wrapText="1"/>
    </xf>
    <xf numFmtId="49" fontId="8" fillId="28" borderId="55" xfId="35" applyNumberFormat="1" applyFont="1" applyFill="1" applyBorder="1" applyAlignment="1" applyProtection="1">
      <alignment horizontal="center" wrapText="1"/>
    </xf>
    <xf numFmtId="49" fontId="8" fillId="28" borderId="56" xfId="35" applyNumberFormat="1" applyFont="1" applyFill="1" applyBorder="1" applyAlignment="1" applyProtection="1">
      <alignment horizontal="center" wrapText="1"/>
    </xf>
    <xf numFmtId="49" fontId="2" fillId="23" borderId="27" xfId="35" applyNumberFormat="1" applyFont="1" applyFill="1" applyBorder="1" applyAlignment="1" applyProtection="1">
      <alignment horizontal="center" wrapText="1"/>
    </xf>
    <xf numFmtId="49" fontId="2" fillId="23" borderId="55" xfId="35" applyNumberFormat="1" applyFont="1" applyFill="1" applyBorder="1" applyAlignment="1" applyProtection="1">
      <alignment horizontal="center" wrapText="1"/>
    </xf>
    <xf numFmtId="49" fontId="2" fillId="23" borderId="56" xfId="35" applyNumberFormat="1" applyFont="1" applyFill="1" applyBorder="1" applyAlignment="1" applyProtection="1">
      <alignment horizontal="center" wrapText="1"/>
    </xf>
    <xf numFmtId="0" fontId="42" fillId="30" borderId="61" xfId="35" applyNumberFormat="1" applyFont="1" applyFill="1" applyBorder="1" applyAlignment="1" applyProtection="1">
      <alignment horizontal="center" vertical="center"/>
    </xf>
    <xf numFmtId="0" fontId="3" fillId="30" borderId="62" xfId="35" applyFont="1" applyFill="1" applyBorder="1" applyAlignment="1">
      <alignment horizontal="center"/>
    </xf>
    <xf numFmtId="0" fontId="3" fillId="30" borderId="63" xfId="35" applyFont="1" applyFill="1" applyBorder="1" applyAlignment="1">
      <alignment horizontal="center"/>
    </xf>
    <xf numFmtId="0" fontId="36" fillId="26" borderId="41" xfId="35" applyNumberFormat="1" applyFont="1" applyFill="1" applyBorder="1" applyAlignment="1" applyProtection="1">
      <alignment horizontal="center"/>
    </xf>
    <xf numFmtId="0" fontId="3" fillId="26" borderId="0" xfId="35" applyFill="1" applyBorder="1" applyAlignment="1">
      <alignment horizontal="center"/>
    </xf>
    <xf numFmtId="0" fontId="3" fillId="26" borderId="42" xfId="35" applyFill="1" applyBorder="1" applyAlignment="1">
      <alignment horizontal="center"/>
    </xf>
    <xf numFmtId="0" fontId="46" fillId="26" borderId="41" xfId="35" applyNumberFormat="1" applyFont="1" applyFill="1" applyBorder="1" applyAlignment="1" applyProtection="1">
      <alignment horizontal="center"/>
    </xf>
    <xf numFmtId="0" fontId="9" fillId="26" borderId="0" xfId="35" applyFont="1" applyFill="1" applyBorder="1" applyAlignment="1">
      <alignment horizontal="center"/>
    </xf>
    <xf numFmtId="0" fontId="9" fillId="26" borderId="42" xfId="35" applyFont="1" applyFill="1" applyBorder="1" applyAlignment="1">
      <alignment horizontal="center"/>
    </xf>
    <xf numFmtId="0" fontId="34" fillId="23" borderId="64" xfId="0" applyFont="1" applyFill="1" applyBorder="1" applyAlignment="1">
      <alignment horizontal="left" vertical="top" wrapText="1"/>
    </xf>
    <xf numFmtId="0" fontId="34" fillId="23" borderId="65" xfId="0" applyFont="1" applyFill="1" applyBorder="1" applyAlignment="1">
      <alignment horizontal="left" vertical="top" wrapText="1"/>
    </xf>
    <xf numFmtId="0" fontId="34" fillId="23" borderId="66" xfId="0" applyFont="1" applyFill="1" applyBorder="1" applyAlignment="1">
      <alignment horizontal="left" vertical="top" wrapText="1"/>
    </xf>
    <xf numFmtId="49" fontId="9" fillId="27" borderId="27" xfId="0" applyNumberFormat="1" applyFont="1" applyFill="1" applyBorder="1" applyAlignment="1">
      <alignment horizontal="left" vertical="center" wrapText="1"/>
    </xf>
    <xf numFmtId="49" fontId="9" fillId="27" borderId="55" xfId="0" applyNumberFormat="1" applyFont="1" applyFill="1" applyBorder="1" applyAlignment="1">
      <alignment horizontal="left" vertical="center" wrapText="1"/>
    </xf>
    <xf numFmtId="49" fontId="9" fillId="27" borderId="56" xfId="0" applyNumberFormat="1" applyFont="1" applyFill="1" applyBorder="1" applyAlignment="1">
      <alignment horizontal="left" vertical="center" wrapText="1"/>
    </xf>
    <xf numFmtId="49" fontId="8" fillId="28" borderId="58" xfId="0" applyNumberFormat="1" applyFont="1" applyFill="1" applyBorder="1" applyAlignment="1">
      <alignment horizontal="left" vertical="center" wrapText="1"/>
    </xf>
    <xf numFmtId="49" fontId="8" fillId="28" borderId="59" xfId="0" applyNumberFormat="1" applyFont="1" applyFill="1" applyBorder="1" applyAlignment="1">
      <alignment horizontal="left" vertical="center" wrapText="1"/>
    </xf>
    <xf numFmtId="0" fontId="0" fillId="0" borderId="65" xfId="0" applyBorder="1"/>
    <xf numFmtId="0" fontId="0" fillId="0" borderId="66" xfId="0" applyBorder="1"/>
    <xf numFmtId="0" fontId="47" fillId="31" borderId="36" xfId="0" applyFont="1" applyFill="1" applyBorder="1" applyAlignment="1">
      <alignment horizontal="left" vertical="center" wrapText="1"/>
    </xf>
    <xf numFmtId="0" fontId="47" fillId="31" borderId="55" xfId="0" applyFont="1" applyFill="1" applyBorder="1" applyAlignment="1">
      <alignment horizontal="left" vertical="center" wrapText="1"/>
    </xf>
    <xf numFmtId="0" fontId="47" fillId="31" borderId="35" xfId="0" applyFont="1" applyFill="1" applyBorder="1" applyAlignment="1">
      <alignment horizontal="left" vertical="center" wrapText="1"/>
    </xf>
  </cellXfs>
  <cellStyles count="46">
    <cellStyle name="Accent1" xfId="1" builtinId="29" customBuiltin="1"/>
    <cellStyle name="Accent1 - 20%" xfId="2"/>
    <cellStyle name="Accent1 - 40%" xfId="3"/>
    <cellStyle name="Accent1 - 60%" xfId="4"/>
    <cellStyle name="Accent2" xfId="5" builtinId="33" customBuiltin="1"/>
    <cellStyle name="Accent2 - 20%" xfId="6"/>
    <cellStyle name="Accent2 - 40%" xfId="7"/>
    <cellStyle name="Accent2 - 60%" xfId="8"/>
    <cellStyle name="Accent3" xfId="9" builtinId="37" customBuiltin="1"/>
    <cellStyle name="Accent3 - 20%" xfId="10"/>
    <cellStyle name="Accent3 - 40%" xfId="11"/>
    <cellStyle name="Accent3 - 60%" xfId="12"/>
    <cellStyle name="Accent4" xfId="13" builtinId="41" customBuiltin="1"/>
    <cellStyle name="Accent4 - 20%" xfId="14"/>
    <cellStyle name="Accent4 - 40%" xfId="15"/>
    <cellStyle name="Accent4 - 60%" xfId="16"/>
    <cellStyle name="Accent5" xfId="17" builtinId="45" customBuiltin="1"/>
    <cellStyle name="Accent5 - 20%" xfId="18"/>
    <cellStyle name="Accent5 - 40%" xfId="19"/>
    <cellStyle name="Accent5 - 60%" xfId="20"/>
    <cellStyle name="Accent6" xfId="21" builtinId="49" customBuiltin="1"/>
    <cellStyle name="Accent6 - 20%" xfId="22"/>
    <cellStyle name="Accent6 - 40%" xfId="23"/>
    <cellStyle name="Accent6 - 60%" xfId="24"/>
    <cellStyle name="Bad" xfId="33" builtinId="27" customBuiltin="1"/>
    <cellStyle name="Calculation" xfId="26" builtinId="22" customBuiltin="1"/>
    <cellStyle name="Check Cell" xfId="45" builtinId="23" customBuiltin="1"/>
    <cellStyle name="Emphasis 1" xfId="29"/>
    <cellStyle name="Emphasis 2" xfId="30"/>
    <cellStyle name="Emphasis 3" xfId="31"/>
    <cellStyle name="Good" xfId="37" builtinId="26" customBuiltin="1"/>
    <cellStyle name="Heading 1" xfId="40" builtinId="16" customBuiltin="1"/>
    <cellStyle name="Heading 2" xfId="41" builtinId="17" customBuiltin="1"/>
    <cellStyle name="Heading 3" xfId="42" builtinId="18" customBuiltin="1"/>
    <cellStyle name="Heading 4" xfId="43" builtinId="19" customBuiltin="1"/>
    <cellStyle name="Input" xfId="32" builtinId="20" customBuiltin="1"/>
    <cellStyle name="Linked Cell" xfId="27" builtinId="24" customBuiltin="1"/>
    <cellStyle name="Neutral" xfId="34" builtinId="28" customBuiltin="1"/>
    <cellStyle name="Normal" xfId="0" builtinId="0"/>
    <cellStyle name="Normal 4" xfId="35"/>
    <cellStyle name="Note" xfId="28" builtinId="10" customBuiltin="1"/>
    <cellStyle name="Note 2" xfId="36"/>
    <cellStyle name="Output" xfId="39" builtinId="21" customBuiltin="1"/>
    <cellStyle name="Sheet Title" xfId="38"/>
    <cellStyle name="Total" xfId="44" builtinId="25" customBuiltin="1"/>
    <cellStyle name="Warning Text" xfId="2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95250</xdr:colOff>
      <xdr:row>1</xdr:row>
      <xdr:rowOff>19050</xdr:rowOff>
    </xdr:from>
    <xdr:to>
      <xdr:col>11</xdr:col>
      <xdr:colOff>400050</xdr:colOff>
      <xdr:row>49</xdr:row>
      <xdr:rowOff>47625</xdr:rowOff>
    </xdr:to>
    <xdr:sp macro="" textlink="">
      <xdr:nvSpPr>
        <xdr:cNvPr id="3073" name="Text Box 1"/>
        <xdr:cNvSpPr txBox="1">
          <a:spLocks noChangeArrowheads="1"/>
        </xdr:cNvSpPr>
      </xdr:nvSpPr>
      <xdr:spPr bwMode="auto">
        <a:xfrm>
          <a:off x="95250" y="180975"/>
          <a:ext cx="7010400" cy="7800975"/>
        </a:xfrm>
        <a:prstGeom prst="rect">
          <a:avLst/>
        </a:prstGeom>
        <a:solidFill>
          <a:schemeClr val="accent5">
            <a:lumMod val="20000"/>
            <a:lumOff val="80000"/>
          </a:schemeClr>
        </a:solidFill>
        <a:ln w="9525">
          <a:solidFill>
            <a:srgbClr val="000000"/>
          </a:solidFill>
          <a:miter lim="800000"/>
          <a:headEnd/>
          <a:tailEnd/>
        </a:ln>
      </xdr:spPr>
      <xdr:txBody>
        <a:bodyPr vertOverflow="clip" wrap="square" lIns="27432" tIns="22860" rIns="0" bIns="0" anchor="t" upright="1"/>
        <a:lstStyle/>
        <a:p>
          <a:pPr algn="l" rtl="0">
            <a:defRPr sz="1000"/>
          </a:pPr>
          <a:r>
            <a:rPr lang="de-DE" sz="1200" b="1" i="0" u="sng" strike="noStrike" baseline="0">
              <a:solidFill>
                <a:srgbClr val="000000"/>
              </a:solidFill>
              <a:latin typeface="Times New Roman"/>
              <a:cs typeface="Times New Roman"/>
            </a:rPr>
            <a:t>Metadata Questionnaire on the WSIS Target Indicators </a:t>
          </a:r>
        </a:p>
        <a:p>
          <a:pPr algn="l" rtl="0">
            <a:defRPr sz="1000"/>
          </a:pPr>
          <a:endParaRPr lang="de-DE" sz="1200" b="1" i="0" u="sng" strike="noStrike" baseline="0">
            <a:solidFill>
              <a:srgbClr val="000000"/>
            </a:solidFill>
            <a:latin typeface="Times New Roman"/>
            <a:cs typeface="Times New Roman"/>
          </a:endParaRPr>
        </a:p>
        <a:p>
          <a:pPr algn="l" rtl="0">
            <a:defRPr sz="1000"/>
          </a:pPr>
          <a:r>
            <a:rPr lang="de-DE" sz="1200" b="1" i="0" u="sng" strike="noStrike" baseline="0">
              <a:solidFill>
                <a:srgbClr val="000000"/>
              </a:solidFill>
              <a:latin typeface="Times New Roman"/>
              <a:cs typeface="Times New Roman"/>
            </a:rPr>
            <a:t>Purpose of the questionnaire</a:t>
          </a:r>
          <a:r>
            <a:rPr lang="de-DE" sz="1200" b="1" i="0" u="none" strike="noStrike" baseline="0">
              <a:solidFill>
                <a:srgbClr val="000000"/>
              </a:solidFill>
              <a:latin typeface="Times New Roman"/>
              <a:cs typeface="Times New Roman"/>
            </a:rPr>
            <a:t>:</a:t>
          </a:r>
          <a:r>
            <a:rPr lang="de-DE" sz="1200" b="0" i="0" u="none" strike="noStrike" baseline="0">
              <a:solidFill>
                <a:srgbClr val="000000"/>
              </a:solidFill>
              <a:latin typeface="Times New Roman"/>
              <a:cs typeface="Times New Roman"/>
            </a:rPr>
            <a:t> The questionnaire aims to collect </a:t>
          </a:r>
          <a:r>
            <a:rPr lang="de-DE" sz="1200" b="1" i="0" u="none" strike="noStrike" baseline="0">
              <a:solidFill>
                <a:srgbClr val="000000"/>
              </a:solidFill>
              <a:latin typeface="Times New Roman"/>
              <a:cs typeface="Times New Roman"/>
            </a:rPr>
            <a:t>information/metadata on data availability </a:t>
          </a:r>
          <a:r>
            <a:rPr lang="de-DE" sz="1200" b="0" i="0" u="none" strike="noStrike" baseline="0">
              <a:solidFill>
                <a:srgbClr val="000000"/>
              </a:solidFill>
              <a:latin typeface="Times New Roman"/>
              <a:cs typeface="Times New Roman"/>
            </a:rPr>
            <a:t>for the WSIS Targets indicators, as outlined in </a:t>
          </a:r>
          <a:r>
            <a:rPr lang="de-DE" sz="1200" b="0" i="0" u="none" strike="noStrike" baseline="0">
              <a:solidFill>
                <a:sysClr val="windowText" lastClr="000000"/>
              </a:solidFill>
              <a:latin typeface="Times New Roman"/>
              <a:cs typeface="Times New Roman"/>
            </a:rPr>
            <a:t>the Questionnaire worksheet. This is in preparation for the data collection that will be conducted in 2013 to collect the data for each of the indicators listed in this questionnaire. </a:t>
          </a:r>
        </a:p>
        <a:p>
          <a:pPr algn="l" rtl="0">
            <a:defRPr sz="1000"/>
          </a:pPr>
          <a:endParaRPr lang="de-DE" sz="1200" b="0" i="0" u="none" strike="sngStrike" baseline="0">
            <a:solidFill>
              <a:sysClr val="windowText" lastClr="000000"/>
            </a:solidFill>
            <a:latin typeface="Times New Roman"/>
            <a:cs typeface="Times New Roman"/>
          </a:endParaRPr>
        </a:p>
        <a:p>
          <a:pPr algn="l" rtl="0">
            <a:defRPr sz="1000"/>
          </a:pPr>
          <a:r>
            <a:rPr lang="de-DE" sz="1200" b="0" i="0" u="none" strike="noStrike" baseline="0">
              <a:solidFill>
                <a:sysClr val="windowText" lastClr="000000"/>
              </a:solidFill>
              <a:latin typeface="Times New Roman"/>
              <a:cs typeface="Times New Roman"/>
            </a:rPr>
            <a:t>As part of the activities towards the WSIS+10 review, t</a:t>
          </a:r>
          <a:r>
            <a:rPr lang="de-DE" sz="1100" b="0" i="0" u="none" strike="noStrike" baseline="0">
              <a:solidFill>
                <a:sysClr val="windowText" lastClr="000000"/>
              </a:solidFill>
              <a:latin typeface="Times New Roman"/>
              <a:cs typeface="Times New Roman"/>
            </a:rPr>
            <a:t>he </a:t>
          </a:r>
          <a:r>
            <a:rPr lang="de-DE" sz="1100" b="0" i="1" u="none" strike="noStrike" baseline="0">
              <a:solidFill>
                <a:sysClr val="windowText" lastClr="000000"/>
              </a:solidFill>
              <a:latin typeface="Times New Roman"/>
              <a:cs typeface="Times New Roman"/>
            </a:rPr>
            <a:t>Partnership on Measuring ICT for Development </a:t>
          </a:r>
          <a:r>
            <a:rPr lang="de-DE" sz="1100" b="0" i="0" u="none" strike="noStrike" baseline="0">
              <a:solidFill>
                <a:sysClr val="windowText" lastClr="000000"/>
              </a:solidFill>
              <a:latin typeface="Times New Roman"/>
              <a:cs typeface="Times New Roman"/>
            </a:rPr>
            <a:t>is carring out this survey to take stock of data availability in countries that </a:t>
          </a:r>
          <a:r>
            <a:rPr lang="de-DE" sz="1100" b="0" i="0" u="none" strike="noStrike" baseline="0">
              <a:solidFill>
                <a:srgbClr val="000000"/>
              </a:solidFill>
              <a:latin typeface="Times New Roman"/>
              <a:cs typeface="Times New Roman"/>
            </a:rPr>
            <a:t>will help monitor progress on the WSIS targets. </a:t>
          </a:r>
          <a:endParaRPr lang="de-DE" sz="12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a:p>
          <a:pPr algn="l" rtl="0">
            <a:defRPr sz="1000"/>
          </a:pPr>
          <a:r>
            <a:rPr lang="de-DE" sz="1100" b="0" i="0" u="none" strike="noStrike" baseline="0">
              <a:solidFill>
                <a:srgbClr val="000000"/>
              </a:solidFill>
              <a:latin typeface="Times New Roman"/>
              <a:cs typeface="Times New Roman"/>
            </a:rPr>
            <a:t>The set of indicators established to measure the WSIS targets</a:t>
          </a:r>
          <a:r>
            <a:rPr lang="de-DE" sz="1100" b="0" i="0" u="none" strike="sngStrike" baseline="0">
              <a:solidFill>
                <a:srgbClr val="FF0000"/>
              </a:solidFill>
              <a:latin typeface="Times New Roman"/>
              <a:cs typeface="Times New Roman"/>
            </a:rPr>
            <a:t>,</a:t>
          </a:r>
          <a:r>
            <a:rPr lang="de-DE" sz="1100" b="0" i="0" u="none" strike="noStrike" baseline="0">
              <a:solidFill>
                <a:srgbClr val="000000"/>
              </a:solidFill>
              <a:latin typeface="Times New Roman"/>
              <a:cs typeface="Times New Roman"/>
            </a:rPr>
            <a:t> cover a broad range of topics,. Therefore, in some cases it will be necessary to consult with other organizations in your country to obtain the requested information. The information  will make an important contribution to the monitoring of the WSIS outcomes and highlight the data gaps that still need to be addressed. </a:t>
          </a:r>
        </a:p>
        <a:p>
          <a:pPr algn="l" rtl="0">
            <a:defRPr sz="1000"/>
          </a:pPr>
          <a:endParaRPr lang="de-DE" sz="1200" b="0" i="0" u="none" strike="noStrike" baseline="0">
            <a:solidFill>
              <a:srgbClr val="000000"/>
            </a:solidFill>
            <a:latin typeface="Times New Roman"/>
            <a:cs typeface="Times New Roman"/>
          </a:endParaRPr>
        </a:p>
        <a:p>
          <a:pPr algn="l" rtl="0">
            <a:defRPr sz="1000"/>
          </a:pPr>
          <a:r>
            <a:rPr lang="de-DE" sz="1200" b="1" i="0" u="sng" strike="noStrike" baseline="0">
              <a:solidFill>
                <a:srgbClr val="000000"/>
              </a:solidFill>
              <a:latin typeface="Times New Roman"/>
              <a:cs typeface="Times New Roman"/>
            </a:rPr>
            <a:t>Instructions:</a:t>
          </a:r>
          <a:r>
            <a:rPr lang="de-DE" sz="1200" b="0" i="0" u="none" strike="noStrike" baseline="0">
              <a:solidFill>
                <a:srgbClr val="000000"/>
              </a:solidFill>
              <a:latin typeface="Times New Roman"/>
              <a:cs typeface="Times New Roman"/>
            </a:rPr>
            <a:t> For each indicator (except for indicators 6.7, 9.2, 9.3, 9.4 an 9.5, where we have added a note), you are requested to provide information on:</a:t>
          </a:r>
        </a:p>
        <a:p>
          <a:pPr algn="l" rtl="0">
            <a:defRPr sz="1000"/>
          </a:pPr>
          <a:endParaRPr lang="de-DE" sz="1200" b="0" i="0" u="none" strike="noStrike" baseline="0">
            <a:solidFill>
              <a:srgbClr val="000000"/>
            </a:solidFill>
            <a:latin typeface="Times New Roman"/>
            <a:cs typeface="Times New Roman"/>
          </a:endParaRPr>
        </a:p>
        <a:p>
          <a:pPr algn="l" rtl="0">
            <a:defRPr sz="1000"/>
          </a:pPr>
          <a:r>
            <a:rPr lang="de-DE" sz="1200" b="0" i="0" u="none" strike="noStrike" baseline="0">
              <a:solidFill>
                <a:srgbClr val="000000"/>
              </a:solidFill>
              <a:latin typeface="Times New Roman"/>
              <a:cs typeface="Times New Roman"/>
            </a:rPr>
            <a:t>- Availability of the data for the indicator specified</a:t>
          </a:r>
        </a:p>
        <a:p>
          <a:pPr algn="l" rtl="0">
            <a:defRPr sz="1000"/>
          </a:pPr>
          <a:r>
            <a:rPr lang="de-DE" sz="1200" b="0" i="0" u="none" strike="noStrike" baseline="0">
              <a:solidFill>
                <a:srgbClr val="000000"/>
              </a:solidFill>
              <a:latin typeface="Times New Roman"/>
              <a:cs typeface="Times New Roman"/>
            </a:rPr>
            <a:t>- Latest reference year</a:t>
          </a:r>
        </a:p>
        <a:p>
          <a:pPr algn="l" rtl="0">
            <a:defRPr sz="1000"/>
          </a:pPr>
          <a:r>
            <a:rPr lang="de-DE" sz="1200" b="0" i="0" u="none" strike="noStrike" baseline="0">
              <a:solidFill>
                <a:srgbClr val="000000"/>
              </a:solidFill>
              <a:latin typeface="Times New Roman"/>
              <a:cs typeface="Times New Roman"/>
            </a:rPr>
            <a:t>- Name </a:t>
          </a:r>
          <a:r>
            <a:rPr lang="de-DE" sz="1200" b="0" i="0" u="none" strike="noStrike" baseline="0">
              <a:solidFill>
                <a:sysClr val="windowText" lastClr="000000"/>
              </a:solidFill>
              <a:latin typeface="Times New Roman"/>
              <a:cs typeface="Times New Roman"/>
            </a:rPr>
            <a:t>of the organization </a:t>
          </a:r>
          <a:r>
            <a:rPr lang="de-DE" sz="1200" b="0" i="0" u="none" strike="noStrike" baseline="0">
              <a:solidFill>
                <a:srgbClr val="000000"/>
              </a:solidFill>
              <a:latin typeface="Times New Roman"/>
              <a:cs typeface="Times New Roman"/>
            </a:rPr>
            <a:t>in charge of collecting the data for each indicator, if possible the contact details of the person in charge of collecting the data (full name, email and phone)</a:t>
          </a:r>
        </a:p>
        <a:p>
          <a:pPr algn="l" rtl="0">
            <a:defRPr sz="1000"/>
          </a:pPr>
          <a:r>
            <a:rPr lang="de-DE" sz="1200" b="0" i="0" u="none" strike="noStrike" baseline="0">
              <a:solidFill>
                <a:srgbClr val="000000"/>
              </a:solidFill>
              <a:latin typeface="Times New Roman"/>
              <a:cs typeface="Times New Roman"/>
            </a:rPr>
            <a:t>- Internet address at which the data are available or any other published sources where the data are available </a:t>
          </a:r>
        </a:p>
        <a:p>
          <a:pPr algn="l" rtl="0">
            <a:defRPr sz="1000"/>
          </a:pPr>
          <a:endParaRPr lang="de-DE" sz="1200" b="0" i="0" u="none" strike="noStrike" baseline="0">
            <a:solidFill>
              <a:srgbClr val="000000"/>
            </a:solidFill>
            <a:latin typeface="Times New Roman"/>
            <a:cs typeface="Times New Roman"/>
          </a:endParaRPr>
        </a:p>
        <a:p>
          <a:pPr algn="l" rtl="0">
            <a:defRPr sz="1000"/>
          </a:pPr>
          <a:r>
            <a:rPr lang="de-DE" sz="1200" b="0" i="0" u="none" strike="noStrike" baseline="0">
              <a:solidFill>
                <a:srgbClr val="000000"/>
              </a:solidFill>
              <a:latin typeface="Times New Roman"/>
              <a:cs typeface="Times New Roman"/>
            </a:rPr>
            <a:t>Before filling out the questionnaire, please consult the following document:</a:t>
          </a:r>
        </a:p>
        <a:p>
          <a:pPr algn="l" rtl="0">
            <a:defRPr sz="1000"/>
          </a:pPr>
          <a:endParaRPr lang="de-DE" sz="1200" b="0" i="0" u="none" strike="noStrike" baseline="0">
            <a:solidFill>
              <a:srgbClr val="000000"/>
            </a:solidFill>
            <a:latin typeface="Times New Roman"/>
            <a:cs typeface="Times New Roman"/>
          </a:endParaRPr>
        </a:p>
        <a:p>
          <a:pPr algn="l" rtl="0">
            <a:defRPr sz="1000"/>
          </a:pPr>
          <a:r>
            <a:rPr lang="de-DE" sz="1200" b="0" i="1" u="none" strike="noStrike" baseline="0">
              <a:solidFill>
                <a:srgbClr val="000000"/>
              </a:solidFill>
              <a:latin typeface="Times New Roman"/>
              <a:cs typeface="Times New Roman"/>
            </a:rPr>
            <a:t>Measuring the WSIS targets: a statistical framework</a:t>
          </a:r>
        </a:p>
        <a:p>
          <a:pPr algn="l" rtl="0">
            <a:defRPr sz="1000"/>
          </a:pPr>
          <a:r>
            <a:rPr lang="en-US" sz="1200">
              <a:latin typeface="Times New Roman" pitchFamily="18" charset="0"/>
              <a:cs typeface="Times New Roman" pitchFamily="18" charset="0"/>
              <a:hlinkClick xmlns:r="http://schemas.openxmlformats.org/officeDocument/2006/relationships" r:id=""/>
            </a:rPr>
            <a:t>http://www.itu.int/dms_pub/itu-d/opb/ind/D-IND-MEAS_WSIS-2011-PDF-E.pdf</a:t>
          </a:r>
          <a:endParaRPr lang="en-US" sz="1200">
            <a:latin typeface="Times New Roman" pitchFamily="18" charset="0"/>
            <a:cs typeface="Times New Roman" pitchFamily="18" charset="0"/>
          </a:endParaRPr>
        </a:p>
        <a:p>
          <a:pPr algn="l" rtl="0">
            <a:defRPr sz="1000"/>
          </a:pPr>
          <a:endParaRPr lang="de-DE" sz="1200" b="0" i="0" u="none" strike="noStrike" baseline="0">
            <a:solidFill>
              <a:srgbClr val="000000"/>
            </a:solidFill>
            <a:latin typeface="Times New Roman"/>
            <a:cs typeface="Times New Roman"/>
          </a:endParaRPr>
        </a:p>
        <a:p>
          <a:pPr algn="l" rtl="0">
            <a:defRPr sz="1000"/>
          </a:pPr>
          <a:endParaRPr lang="de-DE" sz="1200" b="0" i="0" u="none" strike="noStrike" baseline="0">
            <a:solidFill>
              <a:srgbClr val="000000"/>
            </a:solidFill>
            <a:latin typeface="Times New Roman"/>
            <a:cs typeface="Times New Roman"/>
          </a:endParaRPr>
        </a:p>
        <a:p>
          <a:pPr algn="l" rtl="0">
            <a:defRPr sz="1000"/>
          </a:pPr>
          <a:r>
            <a:rPr lang="de-DE" sz="1200" b="1" i="0" u="sng" strike="noStrike" baseline="0">
              <a:solidFill>
                <a:srgbClr val="000000"/>
              </a:solidFill>
              <a:latin typeface="Times New Roman"/>
              <a:cs typeface="Times New Roman"/>
            </a:rPr>
            <a:t>Background</a:t>
          </a:r>
          <a:r>
            <a:rPr lang="de-DE" sz="1200" b="1" i="0" u="none" strike="noStrike" baseline="0">
              <a:solidFill>
                <a:srgbClr val="000000"/>
              </a:solidFill>
              <a:latin typeface="Times New Roman"/>
              <a:cs typeface="Times New Roman"/>
            </a:rPr>
            <a:t>:</a:t>
          </a:r>
        </a:p>
        <a:p>
          <a:pPr algn="l" rtl="0">
            <a:defRPr sz="1000"/>
          </a:pPr>
          <a:r>
            <a:rPr lang="de-DE" sz="1200" b="0" i="0" u="none" strike="noStrike" baseline="0">
              <a:solidFill>
                <a:srgbClr val="000000"/>
              </a:solidFill>
              <a:latin typeface="Times New Roman"/>
              <a:cs typeface="Times New Roman"/>
            </a:rPr>
            <a:t>The </a:t>
          </a:r>
          <a:r>
            <a:rPr lang="de-DE" sz="1200" b="0" i="1" u="none" strike="noStrike" baseline="0">
              <a:solidFill>
                <a:srgbClr val="000000"/>
              </a:solidFill>
              <a:latin typeface="Times New Roman"/>
              <a:cs typeface="Times New Roman"/>
            </a:rPr>
            <a:t>Partnership on Measuring ICT for Development </a:t>
          </a:r>
          <a:r>
            <a:rPr lang="de-DE" sz="1200" b="0" i="0" u="none" strike="noStrike" baseline="0">
              <a:solidFill>
                <a:srgbClr val="000000"/>
              </a:solidFill>
              <a:latin typeface="Times New Roman"/>
              <a:cs typeface="Times New Roman"/>
            </a:rPr>
            <a:t>was launched in June 2004, following the first phase of  the World Summit on the Information Society (WSIS). Its current members are: International Telecommunication Union (ITU), Organisation for Economic Co-operation and Development (OECD), Statistical Office of the European Communities, (Eurostat), United Nations Conference on Trade and Development (UNCTAD), United Nations Department of Economic and Social Affairs (UNDESA), United Nations Economic Commission for Africa (ECA), United Nations Economic Commission for Latin America and the Caribbean (ECLAC), United Nations Economic and Social Commission for Asia and the Pacific (ESCAP), United Nations Economic and Social Commission for Western Asia (ESCWA), UNESCO Institute for Statistics (UIS), United Nations Environment, Programme/Secretariat of the Basel Convention (UNEP/SBC) and World Bank.</a:t>
          </a:r>
        </a:p>
        <a:p>
          <a:pPr algn="l" rtl="0">
            <a:defRPr sz="1000"/>
          </a:pPr>
          <a:endParaRPr lang="de-DE" sz="1100" b="0" i="0" u="none" strike="noStrike" baseline="0">
            <a:solidFill>
              <a:srgbClr val="000000"/>
            </a:solidFill>
            <a:latin typeface="Times New Roman"/>
            <a:cs typeface="Times New Roman"/>
          </a:endParaRPr>
        </a:p>
        <a:p>
          <a:pPr algn="l" rtl="0">
            <a:defRPr sz="1000"/>
          </a:pPr>
          <a:r>
            <a:rPr lang="de-DE" sz="1100" b="0" i="0" u="none" strike="noStrike" baseline="0">
              <a:solidFill>
                <a:srgbClr val="000000"/>
              </a:solidFill>
              <a:latin typeface="Times New Roman"/>
              <a:cs typeface="Times New Roman"/>
            </a:rPr>
            <a:t>For further information on the objectives  and activities of  the Partnership, see </a:t>
          </a:r>
        </a:p>
        <a:p>
          <a:pPr algn="l" rtl="0">
            <a:defRPr sz="1000"/>
          </a:pPr>
          <a:r>
            <a:rPr lang="de-DE" sz="1100" b="0" i="0" u="none" strike="noStrike" baseline="0">
              <a:solidFill>
                <a:srgbClr val="000000"/>
              </a:solidFill>
              <a:latin typeface="Times New Roman"/>
              <a:cs typeface="Times New Roman"/>
            </a:rPr>
            <a:t>http://www.itu.int/ITU-D/ict/partnership/ and http://measuring-ict.unctad.org </a:t>
          </a:r>
        </a:p>
        <a:p>
          <a:pPr algn="l" rtl="0">
            <a:defRPr sz="1000"/>
          </a:pPr>
          <a:endParaRPr lang="de-DE" sz="1100" b="0" i="0" u="none" strike="noStrike" baseline="0">
            <a:solidFill>
              <a:srgbClr val="000000"/>
            </a:solidFill>
            <a:latin typeface="Times New Roman"/>
            <a:cs typeface="Times New Roman"/>
          </a:endParaRPr>
        </a:p>
        <a:p>
          <a:pPr algn="l" rtl="0">
            <a:defRPr sz="1000"/>
          </a:pPr>
          <a:r>
            <a:rPr lang="de-DE" sz="1100" b="0" i="0" u="none" strike="noStrike" baseline="0">
              <a:solidFill>
                <a:srgbClr val="000000"/>
              </a:solidFill>
              <a:latin typeface="Times New Roman"/>
              <a:cs typeface="Times New Roman"/>
            </a:rPr>
            <a:t>The </a:t>
          </a:r>
          <a:r>
            <a:rPr lang="de-DE" sz="1100" b="1" i="0" u="none" strike="noStrike" baseline="0">
              <a:solidFill>
                <a:srgbClr val="000000"/>
              </a:solidFill>
              <a:latin typeface="Times New Roman"/>
              <a:cs typeface="Times New Roman"/>
            </a:rPr>
            <a:t>World Summit on the Information Society (WSIS)</a:t>
          </a:r>
          <a:r>
            <a:rPr lang="de-DE" sz="1100" b="0" i="0" u="none" strike="noStrike" baseline="0">
              <a:solidFill>
                <a:srgbClr val="000000"/>
              </a:solidFill>
              <a:latin typeface="Times New Roman"/>
              <a:cs typeface="Times New Roman"/>
            </a:rPr>
            <a:t> was held in two phases under the United Nations mandate. The first phase took place in Geneva from 10 to 12 December 2003 and the second phase took place in Tunis, from 16 to 18 November 2005.</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G232"/>
  <sheetViews>
    <sheetView showGridLines="0" zoomScale="80" zoomScaleNormal="80" workbookViewId="0">
      <selection activeCell="F20" sqref="F20"/>
    </sheetView>
  </sheetViews>
  <sheetFormatPr defaultColWidth="9.140625" defaultRowHeight="12.75" x14ac:dyDescent="0.2"/>
  <cols>
    <col min="1" max="1" width="20.85546875" style="2" customWidth="1"/>
    <col min="2" max="2" width="54.28515625" customWidth="1"/>
    <col min="3" max="3" width="8.140625" customWidth="1"/>
    <col min="4" max="4" width="35.42578125" customWidth="1"/>
    <col min="5" max="5" width="9.5703125" customWidth="1"/>
    <col min="6" max="6" width="16.42578125" customWidth="1"/>
  </cols>
  <sheetData>
    <row r="1" spans="1:6" ht="17.25" customHeight="1" x14ac:dyDescent="0.25">
      <c r="A1" s="177" t="s">
        <v>97</v>
      </c>
      <c r="B1" s="178"/>
      <c r="C1" s="178"/>
      <c r="D1" s="178"/>
      <c r="E1" s="184"/>
      <c r="F1" s="179"/>
    </row>
    <row r="2" spans="1:6" ht="17.25" customHeight="1" x14ac:dyDescent="0.2">
      <c r="A2" s="170" t="s">
        <v>25</v>
      </c>
      <c r="B2" s="171"/>
      <c r="C2" s="171"/>
      <c r="D2" s="171"/>
      <c r="E2" s="171"/>
      <c r="F2" s="172"/>
    </row>
    <row r="3" spans="1:6" x14ac:dyDescent="0.2">
      <c r="A3" s="1" t="s">
        <v>8</v>
      </c>
      <c r="B3" s="4" t="s">
        <v>0</v>
      </c>
      <c r="C3" s="4" t="s">
        <v>3</v>
      </c>
      <c r="D3" s="4" t="s">
        <v>4</v>
      </c>
      <c r="E3" s="56" t="s">
        <v>48</v>
      </c>
      <c r="F3" s="10" t="s">
        <v>7</v>
      </c>
    </row>
    <row r="4" spans="1:6" x14ac:dyDescent="0.2">
      <c r="A4" s="185" t="s">
        <v>26</v>
      </c>
      <c r="B4" s="186"/>
      <c r="C4" s="186"/>
      <c r="D4" s="186"/>
      <c r="E4" s="187"/>
      <c r="F4" s="188"/>
    </row>
    <row r="5" spans="1:6" x14ac:dyDescent="0.2">
      <c r="A5" s="14" t="s">
        <v>24</v>
      </c>
      <c r="B5" s="15" t="s">
        <v>22</v>
      </c>
      <c r="C5" s="38">
        <v>2</v>
      </c>
      <c r="D5" s="17">
        <f>F64</f>
        <v>578.55875000000003</v>
      </c>
      <c r="E5" s="55">
        <v>0</v>
      </c>
      <c r="F5" s="18">
        <f>C5*D5*(1-E5)</f>
        <v>1157.1175000000001</v>
      </c>
    </row>
    <row r="6" spans="1:6" x14ac:dyDescent="0.2">
      <c r="A6" s="3" t="s">
        <v>24</v>
      </c>
      <c r="B6" s="8" t="s">
        <v>196</v>
      </c>
      <c r="C6" s="9" t="s">
        <v>5</v>
      </c>
      <c r="D6" s="6">
        <v>1900</v>
      </c>
      <c r="E6" s="53">
        <v>0</v>
      </c>
      <c r="F6" s="18">
        <f>C6*D6*(1-E6)</f>
        <v>1900</v>
      </c>
    </row>
    <row r="7" spans="1:6" ht="13.5" thickBot="1" x14ac:dyDescent="0.25">
      <c r="A7" s="24"/>
      <c r="B7" s="25" t="s">
        <v>17</v>
      </c>
      <c r="C7" s="26" t="s">
        <v>2</v>
      </c>
      <c r="D7" s="27">
        <v>100</v>
      </c>
      <c r="E7" s="61">
        <v>0</v>
      </c>
      <c r="F7" s="18">
        <f>C7*D7*(1-E7)</f>
        <v>200</v>
      </c>
    </row>
    <row r="8" spans="1:6" ht="13.5" thickBot="1" x14ac:dyDescent="0.25">
      <c r="A8" s="19"/>
      <c r="B8" s="20"/>
      <c r="C8" s="21"/>
      <c r="D8" s="22" t="s">
        <v>1</v>
      </c>
      <c r="E8" s="57"/>
      <c r="F8" s="23">
        <f>SUM(F5:F7)</f>
        <v>3257.1175000000003</v>
      </c>
    </row>
    <row r="9" spans="1:6" ht="13.5" thickBot="1" x14ac:dyDescent="0.25">
      <c r="A9" s="44"/>
      <c r="B9" s="38"/>
      <c r="C9" s="38"/>
      <c r="D9" s="38"/>
      <c r="E9" s="38"/>
      <c r="F9" s="45"/>
    </row>
    <row r="10" spans="1:6" x14ac:dyDescent="0.2">
      <c r="A10" s="189" t="s">
        <v>31</v>
      </c>
      <c r="B10" s="190"/>
      <c r="C10" s="190"/>
      <c r="D10" s="190"/>
      <c r="E10" s="191"/>
      <c r="F10" s="192"/>
    </row>
    <row r="11" spans="1:6" x14ac:dyDescent="0.2">
      <c r="A11" s="14" t="s">
        <v>24</v>
      </c>
      <c r="B11" s="15" t="s">
        <v>22</v>
      </c>
      <c r="C11" s="38">
        <v>1</v>
      </c>
      <c r="D11" s="17">
        <f>F64</f>
        <v>578.55875000000003</v>
      </c>
      <c r="E11" s="55">
        <v>0</v>
      </c>
      <c r="F11" s="18">
        <f>C11*D11*(1-E11)</f>
        <v>578.55875000000003</v>
      </c>
    </row>
    <row r="12" spans="1:6" x14ac:dyDescent="0.2">
      <c r="A12" s="3" t="s">
        <v>24</v>
      </c>
      <c r="B12" s="8" t="s">
        <v>197</v>
      </c>
      <c r="C12" s="9" t="s">
        <v>5</v>
      </c>
      <c r="D12" s="6">
        <v>1225</v>
      </c>
      <c r="E12" s="53">
        <v>0</v>
      </c>
      <c r="F12" s="18">
        <f>C12*D12*(1-E12)</f>
        <v>1225</v>
      </c>
    </row>
    <row r="13" spans="1:6" ht="13.5" thickBot="1" x14ac:dyDescent="0.25">
      <c r="A13" s="24"/>
      <c r="B13" s="25" t="s">
        <v>17</v>
      </c>
      <c r="C13" s="26" t="s">
        <v>5</v>
      </c>
      <c r="D13" s="27">
        <v>100</v>
      </c>
      <c r="E13" s="61">
        <v>0</v>
      </c>
      <c r="F13" s="18">
        <f>C13*D13*(1-E13)</f>
        <v>100</v>
      </c>
    </row>
    <row r="14" spans="1:6" ht="13.5" thickBot="1" x14ac:dyDescent="0.25">
      <c r="A14" s="19"/>
      <c r="B14" s="20"/>
      <c r="C14" s="21"/>
      <c r="D14" s="22" t="s">
        <v>1</v>
      </c>
      <c r="E14" s="57"/>
      <c r="F14" s="23">
        <f>SUM(F11:F13)</f>
        <v>1903.5587500000001</v>
      </c>
    </row>
    <row r="15" spans="1:6" ht="13.5" thickBot="1" x14ac:dyDescent="0.25">
      <c r="A15" s="44"/>
      <c r="B15" s="38"/>
      <c r="C15" s="38"/>
      <c r="D15" s="38"/>
      <c r="E15" s="38"/>
      <c r="F15" s="45"/>
    </row>
    <row r="16" spans="1:6" x14ac:dyDescent="0.2">
      <c r="A16" s="189" t="s">
        <v>27</v>
      </c>
      <c r="B16" s="190"/>
      <c r="C16" s="190"/>
      <c r="D16" s="190"/>
      <c r="E16" s="191"/>
      <c r="F16" s="192"/>
    </row>
    <row r="17" spans="1:6" x14ac:dyDescent="0.2">
      <c r="A17" s="11" t="s">
        <v>24</v>
      </c>
      <c r="B17" s="15" t="s">
        <v>22</v>
      </c>
      <c r="C17" s="38">
        <v>2</v>
      </c>
      <c r="D17" s="17">
        <f>F64</f>
        <v>578.55875000000003</v>
      </c>
      <c r="E17" s="55">
        <v>0</v>
      </c>
      <c r="F17" s="18">
        <f>C17*D17*(1-E17)</f>
        <v>1157.1175000000001</v>
      </c>
    </row>
    <row r="18" spans="1:6" x14ac:dyDescent="0.2">
      <c r="A18" s="46" t="s">
        <v>107</v>
      </c>
      <c r="B18" s="8" t="s">
        <v>105</v>
      </c>
      <c r="C18" s="9" t="s">
        <v>5</v>
      </c>
      <c r="D18" s="6">
        <v>2530</v>
      </c>
      <c r="E18" s="53">
        <v>0</v>
      </c>
      <c r="F18" s="18">
        <f>C18*D18*(1-E18)</f>
        <v>2530</v>
      </c>
    </row>
    <row r="19" spans="1:6" ht="13.5" thickBot="1" x14ac:dyDescent="0.25">
      <c r="A19" s="11"/>
      <c r="B19" s="25" t="s">
        <v>17</v>
      </c>
      <c r="C19" s="26" t="s">
        <v>2</v>
      </c>
      <c r="D19" s="27">
        <v>100</v>
      </c>
      <c r="E19" s="61">
        <v>0</v>
      </c>
      <c r="F19" s="18">
        <f>C19*D19*(1-E19)</f>
        <v>200</v>
      </c>
    </row>
    <row r="20" spans="1:6" ht="13.5" thickBot="1" x14ac:dyDescent="0.25">
      <c r="A20" s="41"/>
      <c r="B20" s="20"/>
      <c r="C20" s="21"/>
      <c r="D20" s="22" t="s">
        <v>1</v>
      </c>
      <c r="E20" s="57"/>
      <c r="F20" s="23">
        <f>SUM(F17:F19)</f>
        <v>3887.1175000000003</v>
      </c>
    </row>
    <row r="21" spans="1:6" ht="13.5" thickBot="1" x14ac:dyDescent="0.25">
      <c r="A21" s="44"/>
      <c r="B21" s="38"/>
      <c r="C21" s="38"/>
      <c r="D21" s="38"/>
      <c r="E21" s="38"/>
      <c r="F21" s="45"/>
    </row>
    <row r="22" spans="1:6" x14ac:dyDescent="0.2">
      <c r="A22" s="189" t="s">
        <v>32</v>
      </c>
      <c r="B22" s="190"/>
      <c r="C22" s="190"/>
      <c r="D22" s="190"/>
      <c r="E22" s="191"/>
      <c r="F22" s="192"/>
    </row>
    <row r="23" spans="1:6" x14ac:dyDescent="0.2">
      <c r="A23" s="11" t="s">
        <v>24</v>
      </c>
      <c r="B23" s="15" t="s">
        <v>22</v>
      </c>
      <c r="C23" s="38">
        <v>1</v>
      </c>
      <c r="D23" s="17">
        <f>F64</f>
        <v>578.55875000000003</v>
      </c>
      <c r="E23" s="55">
        <v>0</v>
      </c>
      <c r="F23" s="18">
        <f>C23*D23*(1-E23)</f>
        <v>578.55875000000003</v>
      </c>
    </row>
    <row r="24" spans="1:6" x14ac:dyDescent="0.2">
      <c r="A24" s="46" t="s">
        <v>104</v>
      </c>
      <c r="B24" s="8" t="s">
        <v>106</v>
      </c>
      <c r="C24" s="9" t="s">
        <v>5</v>
      </c>
      <c r="D24" s="6">
        <v>1320</v>
      </c>
      <c r="E24" s="53">
        <v>0</v>
      </c>
      <c r="F24" s="18">
        <f>C24*D24*(1-E24)</f>
        <v>1320</v>
      </c>
    </row>
    <row r="25" spans="1:6" ht="13.5" thickBot="1" x14ac:dyDescent="0.25">
      <c r="A25" s="11"/>
      <c r="B25" s="25" t="s">
        <v>17</v>
      </c>
      <c r="C25" s="26" t="s">
        <v>5</v>
      </c>
      <c r="D25" s="27">
        <v>100</v>
      </c>
      <c r="E25" s="61">
        <v>0</v>
      </c>
      <c r="F25" s="18">
        <f>C25*D25*(1-E25)</f>
        <v>100</v>
      </c>
    </row>
    <row r="26" spans="1:6" ht="13.5" thickBot="1" x14ac:dyDescent="0.25">
      <c r="A26" s="41"/>
      <c r="B26" s="20"/>
      <c r="C26" s="21"/>
      <c r="D26" s="22" t="s">
        <v>1</v>
      </c>
      <c r="E26" s="57"/>
      <c r="F26" s="23">
        <f>SUM(F23:F25)</f>
        <v>1998.5587500000001</v>
      </c>
    </row>
    <row r="27" spans="1:6" ht="13.5" thickBot="1" x14ac:dyDescent="0.25">
      <c r="A27" s="44"/>
      <c r="B27" s="38"/>
      <c r="C27" s="38"/>
      <c r="D27" s="38"/>
      <c r="E27" s="38"/>
      <c r="F27" s="45"/>
    </row>
    <row r="28" spans="1:6" x14ac:dyDescent="0.2">
      <c r="A28" s="189" t="s">
        <v>21</v>
      </c>
      <c r="B28" s="190"/>
      <c r="C28" s="190"/>
      <c r="D28" s="190"/>
      <c r="E28" s="191"/>
      <c r="F28" s="192"/>
    </row>
    <row r="29" spans="1:6" ht="16.5" customHeight="1" x14ac:dyDescent="0.2">
      <c r="A29" s="170" t="s">
        <v>18</v>
      </c>
      <c r="B29" s="171"/>
      <c r="C29" s="171"/>
      <c r="D29" s="171"/>
      <c r="E29" s="171"/>
      <c r="F29" s="172"/>
    </row>
    <row r="30" spans="1:6" x14ac:dyDescent="0.2">
      <c r="A30" s="3"/>
      <c r="B30" s="8" t="s">
        <v>19</v>
      </c>
      <c r="C30" s="9" t="s">
        <v>5</v>
      </c>
      <c r="D30" s="6">
        <v>399</v>
      </c>
      <c r="E30" s="55">
        <v>0</v>
      </c>
      <c r="F30" s="13">
        <f>C30*D30*(1-E30)</f>
        <v>399</v>
      </c>
    </row>
    <row r="31" spans="1:6" ht="13.5" thickBot="1" x14ac:dyDescent="0.25">
      <c r="A31" s="43"/>
      <c r="B31" s="15" t="s">
        <v>28</v>
      </c>
      <c r="C31" s="16" t="s">
        <v>2</v>
      </c>
      <c r="D31" s="42">
        <v>150</v>
      </c>
      <c r="E31" s="53">
        <v>0</v>
      </c>
      <c r="F31" s="13">
        <f>C31*D31*(1-E31)</f>
        <v>300</v>
      </c>
    </row>
    <row r="32" spans="1:6" ht="13.5" thickBot="1" x14ac:dyDescent="0.25">
      <c r="A32" s="19"/>
      <c r="B32" s="20"/>
      <c r="C32" s="21"/>
      <c r="D32" s="22" t="s">
        <v>1</v>
      </c>
      <c r="E32" s="57"/>
      <c r="F32" s="23">
        <f>SUM(F30:F31)</f>
        <v>699</v>
      </c>
    </row>
    <row r="33" spans="1:6" ht="13.5" thickBot="1" x14ac:dyDescent="0.25">
      <c r="A33" s="44"/>
      <c r="B33" s="38"/>
      <c r="C33" s="38"/>
      <c r="D33" s="38"/>
      <c r="E33" s="38"/>
      <c r="F33" s="45"/>
    </row>
    <row r="34" spans="1:6" ht="17.25" customHeight="1" x14ac:dyDescent="0.25">
      <c r="A34" s="177" t="s">
        <v>164</v>
      </c>
      <c r="B34" s="178"/>
      <c r="C34" s="178"/>
      <c r="D34" s="178"/>
      <c r="E34" s="184"/>
      <c r="F34" s="179"/>
    </row>
    <row r="35" spans="1:6" ht="17.25" customHeight="1" x14ac:dyDescent="0.2">
      <c r="A35" s="170"/>
      <c r="B35" s="171"/>
      <c r="C35" s="171"/>
      <c r="D35" s="171"/>
      <c r="E35" s="171"/>
      <c r="F35" s="172"/>
    </row>
    <row r="36" spans="1:6" x14ac:dyDescent="0.2">
      <c r="A36" s="1" t="s">
        <v>8</v>
      </c>
      <c r="B36" s="4" t="s">
        <v>0</v>
      </c>
      <c r="C36" s="4" t="s">
        <v>3</v>
      </c>
      <c r="D36" s="4" t="s">
        <v>4</v>
      </c>
      <c r="E36" s="56" t="s">
        <v>48</v>
      </c>
      <c r="F36" s="10" t="s">
        <v>7</v>
      </c>
    </row>
    <row r="37" spans="1:6" x14ac:dyDescent="0.2">
      <c r="A37" s="185" t="s">
        <v>169</v>
      </c>
      <c r="B37" s="186"/>
      <c r="C37" s="186"/>
      <c r="D37" s="186"/>
      <c r="E37" s="187"/>
      <c r="F37" s="188"/>
    </row>
    <row r="38" spans="1:6" x14ac:dyDescent="0.2">
      <c r="A38" s="14" t="s">
        <v>24</v>
      </c>
      <c r="B38" s="15" t="s">
        <v>165</v>
      </c>
      <c r="C38" s="38">
        <v>1</v>
      </c>
      <c r="D38" s="17">
        <v>95000</v>
      </c>
      <c r="E38" s="55">
        <v>0</v>
      </c>
      <c r="F38" s="18">
        <f>C38*D38*(1-E38)</f>
        <v>95000</v>
      </c>
    </row>
    <row r="39" spans="1:6" x14ac:dyDescent="0.2">
      <c r="A39" s="3" t="s">
        <v>24</v>
      </c>
      <c r="B39" s="8"/>
      <c r="C39" s="9"/>
      <c r="D39" s="28" t="s">
        <v>1</v>
      </c>
      <c r="E39" s="53">
        <v>0</v>
      </c>
      <c r="F39" s="18">
        <f>SUM(F38:F38)</f>
        <v>95000</v>
      </c>
    </row>
    <row r="40" spans="1:6" x14ac:dyDescent="0.2">
      <c r="A40" s="24"/>
      <c r="B40" s="25"/>
      <c r="C40" s="26"/>
      <c r="D40" s="28" t="s">
        <v>166</v>
      </c>
      <c r="E40" s="61"/>
      <c r="F40" s="30">
        <v>64</v>
      </c>
    </row>
    <row r="41" spans="1:6" x14ac:dyDescent="0.2">
      <c r="A41" s="11"/>
      <c r="B41" s="8"/>
      <c r="C41" s="9"/>
      <c r="D41" s="28" t="s">
        <v>167</v>
      </c>
      <c r="E41" s="58"/>
      <c r="F41" s="49">
        <v>0</v>
      </c>
    </row>
    <row r="42" spans="1:6" ht="13.5" thickBot="1" x14ac:dyDescent="0.25">
      <c r="A42" s="31"/>
      <c r="B42" s="32"/>
      <c r="C42" s="33"/>
      <c r="D42" s="34" t="s">
        <v>168</v>
      </c>
      <c r="E42" s="60"/>
      <c r="F42" s="35">
        <f>F39/F40*(1-F41)</f>
        <v>1484.375</v>
      </c>
    </row>
    <row r="43" spans="1:6" x14ac:dyDescent="0.2">
      <c r="A43" s="44"/>
      <c r="B43" s="38"/>
      <c r="C43" s="38"/>
      <c r="D43" s="38"/>
      <c r="E43" s="38"/>
      <c r="F43" s="45"/>
    </row>
    <row r="44" spans="1:6" x14ac:dyDescent="0.2">
      <c r="A44" s="185" t="s">
        <v>170</v>
      </c>
      <c r="B44" s="186"/>
      <c r="C44" s="186"/>
      <c r="D44" s="186"/>
      <c r="E44" s="187"/>
      <c r="F44" s="188"/>
    </row>
    <row r="45" spans="1:6" x14ac:dyDescent="0.2">
      <c r="A45" s="14" t="s">
        <v>24</v>
      </c>
      <c r="B45" s="15" t="s">
        <v>171</v>
      </c>
      <c r="C45" s="38">
        <v>1</v>
      </c>
      <c r="D45" s="17">
        <v>125000</v>
      </c>
      <c r="E45" s="55">
        <v>0</v>
      </c>
      <c r="F45" s="18">
        <f>C45*D45*(1-E45)</f>
        <v>125000</v>
      </c>
    </row>
    <row r="46" spans="1:6" x14ac:dyDescent="0.2">
      <c r="A46" s="3" t="s">
        <v>24</v>
      </c>
      <c r="B46" s="8"/>
      <c r="C46" s="9"/>
      <c r="D46" s="28" t="s">
        <v>1</v>
      </c>
      <c r="E46" s="53">
        <v>0</v>
      </c>
      <c r="F46" s="18">
        <f>SUM(F45:F45)</f>
        <v>125000</v>
      </c>
    </row>
    <row r="47" spans="1:6" x14ac:dyDescent="0.2">
      <c r="A47" s="24"/>
      <c r="B47" s="25"/>
      <c r="C47" s="26"/>
      <c r="D47" s="28" t="s">
        <v>166</v>
      </c>
      <c r="E47" s="61"/>
      <c r="F47" s="30">
        <v>64</v>
      </c>
    </row>
    <row r="48" spans="1:6" x14ac:dyDescent="0.2">
      <c r="A48" s="11"/>
      <c r="B48" s="8"/>
      <c r="C48" s="9"/>
      <c r="D48" s="28" t="s">
        <v>167</v>
      </c>
      <c r="E48" s="58"/>
      <c r="F48" s="49">
        <v>0</v>
      </c>
    </row>
    <row r="49" spans="1:6" ht="13.5" thickBot="1" x14ac:dyDescent="0.25">
      <c r="A49" s="31"/>
      <c r="B49" s="32"/>
      <c r="C49" s="33"/>
      <c r="D49" s="34" t="s">
        <v>168</v>
      </c>
      <c r="E49" s="60"/>
      <c r="F49" s="35">
        <f>F46/F47*(1-F48)</f>
        <v>1953.125</v>
      </c>
    </row>
    <row r="50" spans="1:6" x14ac:dyDescent="0.2">
      <c r="A50" s="44"/>
      <c r="B50" s="38"/>
      <c r="C50" s="38"/>
      <c r="D50" s="38"/>
      <c r="E50" s="38"/>
      <c r="F50" s="45"/>
    </row>
    <row r="51" spans="1:6" x14ac:dyDescent="0.2">
      <c r="A51" s="185" t="s">
        <v>172</v>
      </c>
      <c r="B51" s="186"/>
      <c r="C51" s="186"/>
      <c r="D51" s="186"/>
      <c r="E51" s="187"/>
      <c r="F51" s="188"/>
    </row>
    <row r="52" spans="1:6" x14ac:dyDescent="0.2">
      <c r="A52" s="14" t="s">
        <v>24</v>
      </c>
      <c r="B52" s="15" t="s">
        <v>173</v>
      </c>
      <c r="C52" s="38">
        <v>1</v>
      </c>
      <c r="D52" s="17">
        <v>18661</v>
      </c>
      <c r="E52" s="55">
        <v>0</v>
      </c>
      <c r="F52" s="18">
        <f>C52*D52*(1-E52)</f>
        <v>18661</v>
      </c>
    </row>
    <row r="53" spans="1:6" x14ac:dyDescent="0.2">
      <c r="A53" s="3" t="s">
        <v>24</v>
      </c>
      <c r="B53" s="8"/>
      <c r="C53" s="9"/>
      <c r="D53" s="28" t="s">
        <v>1</v>
      </c>
      <c r="E53" s="53">
        <v>0</v>
      </c>
      <c r="F53" s="18">
        <f>SUM(F52:F52)</f>
        <v>18661</v>
      </c>
    </row>
    <row r="54" spans="1:6" x14ac:dyDescent="0.2">
      <c r="A54" s="24"/>
      <c r="B54" s="25"/>
      <c r="C54" s="26"/>
      <c r="D54" s="28" t="s">
        <v>166</v>
      </c>
      <c r="E54" s="61"/>
      <c r="F54" s="30">
        <v>32</v>
      </c>
    </row>
    <row r="55" spans="1:6" x14ac:dyDescent="0.2">
      <c r="A55" s="11"/>
      <c r="B55" s="8"/>
      <c r="C55" s="9"/>
      <c r="D55" s="28" t="s">
        <v>167</v>
      </c>
      <c r="E55" s="58"/>
      <c r="F55" s="49">
        <f>4/32</f>
        <v>0.125</v>
      </c>
    </row>
    <row r="56" spans="1:6" ht="13.5" thickBot="1" x14ac:dyDescent="0.25">
      <c r="A56" s="31"/>
      <c r="B56" s="32"/>
      <c r="C56" s="33"/>
      <c r="D56" s="34" t="s">
        <v>168</v>
      </c>
      <c r="E56" s="60"/>
      <c r="F56" s="35">
        <f>F53/F54*(1-F55)</f>
        <v>510.26171875</v>
      </c>
    </row>
    <row r="57" spans="1:6" x14ac:dyDescent="0.2">
      <c r="A57" s="44"/>
      <c r="B57" s="38"/>
      <c r="C57" s="38"/>
      <c r="D57" s="38"/>
      <c r="E57" s="38"/>
      <c r="F57" s="45"/>
    </row>
    <row r="58" spans="1:6" x14ac:dyDescent="0.2">
      <c r="A58" s="185" t="s">
        <v>172</v>
      </c>
      <c r="B58" s="186"/>
      <c r="C58" s="186"/>
      <c r="D58" s="186"/>
      <c r="E58" s="187"/>
      <c r="F58" s="188"/>
    </row>
    <row r="59" spans="1:6" x14ac:dyDescent="0.2">
      <c r="A59" s="14" t="s">
        <v>24</v>
      </c>
      <c r="B59" s="15" t="s">
        <v>193</v>
      </c>
      <c r="C59" s="38">
        <v>2</v>
      </c>
      <c r="D59" s="17">
        <v>16450</v>
      </c>
      <c r="E59" s="55">
        <v>0</v>
      </c>
      <c r="F59" s="18">
        <f>C59*D59*(1-E59)</f>
        <v>32900</v>
      </c>
    </row>
    <row r="60" spans="1:6" x14ac:dyDescent="0.2">
      <c r="A60" s="3" t="s">
        <v>24</v>
      </c>
      <c r="B60" s="8" t="s">
        <v>194</v>
      </c>
      <c r="C60" s="9" t="s">
        <v>2</v>
      </c>
      <c r="D60" s="99">
        <v>4708.72</v>
      </c>
      <c r="E60" s="53">
        <v>0</v>
      </c>
      <c r="F60" s="18">
        <f>C60*D60*(1-E60)</f>
        <v>9417.44</v>
      </c>
    </row>
    <row r="61" spans="1:6" x14ac:dyDescent="0.2">
      <c r="A61" s="3" t="s">
        <v>24</v>
      </c>
      <c r="B61" s="8"/>
      <c r="C61" s="9"/>
      <c r="D61" s="28" t="s">
        <v>1</v>
      </c>
      <c r="E61" s="53">
        <v>0</v>
      </c>
      <c r="F61" s="18">
        <f>SUM(F59:F60)</f>
        <v>42317.440000000002</v>
      </c>
    </row>
    <row r="62" spans="1:6" x14ac:dyDescent="0.2">
      <c r="A62" s="24"/>
      <c r="B62" s="25"/>
      <c r="C62" s="26"/>
      <c r="D62" s="28" t="s">
        <v>166</v>
      </c>
      <c r="E62" s="61"/>
      <c r="F62" s="30">
        <v>64</v>
      </c>
    </row>
    <row r="63" spans="1:6" x14ac:dyDescent="0.2">
      <c r="A63" s="11"/>
      <c r="B63" s="8"/>
      <c r="C63" s="9"/>
      <c r="D63" s="28" t="s">
        <v>167</v>
      </c>
      <c r="E63" s="58"/>
      <c r="F63" s="49">
        <f>4/32</f>
        <v>0.125</v>
      </c>
    </row>
    <row r="64" spans="1:6" ht="13.5" thickBot="1" x14ac:dyDescent="0.25">
      <c r="A64" s="31"/>
      <c r="B64" s="32"/>
      <c r="C64" s="33"/>
      <c r="D64" s="34" t="s">
        <v>168</v>
      </c>
      <c r="E64" s="60"/>
      <c r="F64" s="35">
        <f>F61/F62*(1-F63)</f>
        <v>578.55875000000003</v>
      </c>
    </row>
    <row r="65" spans="1:6" ht="13.5" thickBot="1" x14ac:dyDescent="0.25">
      <c r="A65" s="44"/>
      <c r="B65" s="38"/>
      <c r="C65" s="38"/>
      <c r="D65" s="38"/>
      <c r="E65" s="38"/>
      <c r="F65" s="45"/>
    </row>
    <row r="66" spans="1:6" ht="17.25" customHeight="1" x14ac:dyDescent="0.25">
      <c r="A66" s="177" t="s">
        <v>98</v>
      </c>
      <c r="B66" s="178"/>
      <c r="C66" s="178"/>
      <c r="D66" s="178"/>
      <c r="E66" s="184"/>
      <c r="F66" s="179"/>
    </row>
    <row r="67" spans="1:6" ht="17.25" customHeight="1" thickBot="1" x14ac:dyDescent="0.25">
      <c r="A67" s="170" t="s">
        <v>25</v>
      </c>
      <c r="B67" s="171"/>
      <c r="C67" s="171"/>
      <c r="D67" s="171"/>
      <c r="E67" s="171"/>
      <c r="F67" s="172"/>
    </row>
    <row r="68" spans="1:6" x14ac:dyDescent="0.2">
      <c r="A68" s="173" t="s">
        <v>61</v>
      </c>
      <c r="B68" s="174"/>
      <c r="C68" s="174"/>
      <c r="D68" s="174"/>
      <c r="E68" s="175"/>
      <c r="F68" s="176"/>
    </row>
    <row r="69" spans="1:6" ht="16.5" customHeight="1" x14ac:dyDescent="0.2">
      <c r="A69" s="170" t="s">
        <v>20</v>
      </c>
      <c r="B69" s="171"/>
      <c r="C69" s="171"/>
      <c r="D69" s="171"/>
      <c r="E69" s="171"/>
      <c r="F69" s="172"/>
    </row>
    <row r="70" spans="1:6" x14ac:dyDescent="0.2">
      <c r="A70" s="11"/>
      <c r="B70" s="5" t="s">
        <v>23</v>
      </c>
      <c r="C70" s="9" t="s">
        <v>5</v>
      </c>
      <c r="D70" s="12">
        <v>42480</v>
      </c>
      <c r="E70" s="55">
        <v>0</v>
      </c>
      <c r="F70" s="13">
        <f>C70*D70*(1-E70)</f>
        <v>42480</v>
      </c>
    </row>
    <row r="71" spans="1:6" x14ac:dyDescent="0.2">
      <c r="A71" s="11"/>
      <c r="B71" s="7" t="s">
        <v>9</v>
      </c>
      <c r="C71" s="9" t="s">
        <v>5</v>
      </c>
      <c r="D71" s="12">
        <v>0</v>
      </c>
      <c r="E71" s="53">
        <v>0</v>
      </c>
      <c r="F71" s="13">
        <f>C71*D71*(1-E71)</f>
        <v>0</v>
      </c>
    </row>
    <row r="72" spans="1:6" x14ac:dyDescent="0.2">
      <c r="A72" s="11"/>
      <c r="B72" s="7" t="s">
        <v>10</v>
      </c>
      <c r="C72" s="9" t="s">
        <v>5</v>
      </c>
      <c r="D72" s="12">
        <v>0</v>
      </c>
      <c r="E72" s="55">
        <v>0</v>
      </c>
      <c r="F72" s="13">
        <f>C72*D72*(1-E72)</f>
        <v>0</v>
      </c>
    </row>
    <row r="73" spans="1:6" x14ac:dyDescent="0.2">
      <c r="A73" s="11"/>
      <c r="B73" s="8" t="s">
        <v>6</v>
      </c>
      <c r="C73" s="9" t="s">
        <v>5</v>
      </c>
      <c r="D73" s="12">
        <v>100</v>
      </c>
      <c r="E73" s="53">
        <v>0</v>
      </c>
      <c r="F73" s="13">
        <f>C73*D73*(1-E73)</f>
        <v>100</v>
      </c>
    </row>
    <row r="74" spans="1:6" x14ac:dyDescent="0.2">
      <c r="A74" s="11"/>
      <c r="B74" s="8" t="s">
        <v>67</v>
      </c>
      <c r="C74" s="9" t="s">
        <v>65</v>
      </c>
      <c r="D74" s="12">
        <v>216.83</v>
      </c>
      <c r="E74" s="55">
        <v>0</v>
      </c>
      <c r="F74" s="13">
        <f>C74*D74*(1-E74)</f>
        <v>6938.56</v>
      </c>
    </row>
    <row r="75" spans="1:6" x14ac:dyDescent="0.2">
      <c r="A75" s="11"/>
      <c r="B75" s="8"/>
      <c r="C75" s="9"/>
      <c r="D75" s="28" t="s">
        <v>1</v>
      </c>
      <c r="E75" s="58"/>
      <c r="F75" s="29">
        <f>SUM(F70:F74)</f>
        <v>49518.559999999998</v>
      </c>
    </row>
    <row r="76" spans="1:6" x14ac:dyDescent="0.2">
      <c r="A76" s="11"/>
      <c r="B76" s="8"/>
      <c r="C76" s="9"/>
      <c r="D76" s="28" t="s">
        <v>45</v>
      </c>
      <c r="E76" s="58"/>
      <c r="F76" s="30">
        <v>300</v>
      </c>
    </row>
    <row r="77" spans="1:6" x14ac:dyDescent="0.2">
      <c r="A77" s="11"/>
      <c r="B77" s="8"/>
      <c r="C77" s="9"/>
      <c r="D77" s="28" t="s">
        <v>44</v>
      </c>
      <c r="E77" s="58"/>
      <c r="F77" s="30">
        <f>272000/1024</f>
        <v>265.625</v>
      </c>
    </row>
    <row r="78" spans="1:6" x14ac:dyDescent="0.2">
      <c r="A78" s="11"/>
      <c r="B78" s="8"/>
      <c r="C78" s="9"/>
      <c r="D78" s="28" t="s">
        <v>40</v>
      </c>
      <c r="E78" s="58"/>
      <c r="F78" s="30">
        <v>14</v>
      </c>
    </row>
    <row r="79" spans="1:6" x14ac:dyDescent="0.2">
      <c r="A79" s="11"/>
      <c r="B79" s="8"/>
      <c r="C79" s="9"/>
      <c r="D79" s="28" t="s">
        <v>41</v>
      </c>
      <c r="E79" s="58"/>
      <c r="F79" s="30">
        <f>F77*F78</f>
        <v>3718.75</v>
      </c>
    </row>
    <row r="80" spans="1:6" x14ac:dyDescent="0.2">
      <c r="A80" s="11"/>
      <c r="B80" s="8"/>
      <c r="C80" s="9"/>
      <c r="D80" s="28" t="s">
        <v>11</v>
      </c>
      <c r="E80" s="58"/>
      <c r="F80" s="30">
        <f>2*F77</f>
        <v>531.25</v>
      </c>
    </row>
    <row r="81" spans="1:7" x14ac:dyDescent="0.2">
      <c r="A81" s="11"/>
      <c r="B81" s="8"/>
      <c r="C81" s="9"/>
      <c r="D81" s="28" t="s">
        <v>37</v>
      </c>
      <c r="E81" s="58"/>
      <c r="F81" s="30">
        <v>0</v>
      </c>
    </row>
    <row r="82" spans="1:7" x14ac:dyDescent="0.2">
      <c r="A82" s="14"/>
      <c r="B82" s="15"/>
      <c r="C82" s="16"/>
      <c r="D82" s="36" t="s">
        <v>42</v>
      </c>
      <c r="E82" s="59"/>
      <c r="F82" s="37">
        <f>F79-F80-F81</f>
        <v>3187.5</v>
      </c>
    </row>
    <row r="83" spans="1:7" x14ac:dyDescent="0.2">
      <c r="A83" s="14"/>
      <c r="B83" s="15"/>
      <c r="C83" s="16"/>
      <c r="D83" s="36" t="s">
        <v>38</v>
      </c>
      <c r="E83" s="59"/>
      <c r="F83" s="37">
        <f>0.1*F82</f>
        <v>318.75</v>
      </c>
    </row>
    <row r="84" spans="1:7" x14ac:dyDescent="0.2">
      <c r="A84" s="14"/>
      <c r="B84" s="15"/>
      <c r="C84" s="16"/>
      <c r="D84" s="36" t="s">
        <v>39</v>
      </c>
      <c r="E84" s="59"/>
      <c r="F84" s="37">
        <f>F82-F83</f>
        <v>2868.75</v>
      </c>
    </row>
    <row r="85" spans="1:7" ht="25.5" x14ac:dyDescent="0.2">
      <c r="A85" s="14"/>
      <c r="B85" s="15"/>
      <c r="C85" s="16"/>
      <c r="D85" s="36" t="s">
        <v>43</v>
      </c>
      <c r="E85" s="59"/>
      <c r="F85" s="49">
        <f>(F79-F84)/F79</f>
        <v>0.22857142857142856</v>
      </c>
      <c r="G85" s="50"/>
    </row>
    <row r="86" spans="1:7" ht="25.5" x14ac:dyDescent="0.2">
      <c r="A86" s="14"/>
      <c r="B86" s="15"/>
      <c r="C86" s="16"/>
      <c r="D86" s="36" t="s">
        <v>47</v>
      </c>
      <c r="E86" s="59"/>
      <c r="F86" s="49">
        <f>(F79-F84+F78*(F76-F77))/(F76*F78)</f>
        <v>0.3169642857142857</v>
      </c>
      <c r="G86" s="50"/>
    </row>
    <row r="87" spans="1:7" ht="26.25" thickBot="1" x14ac:dyDescent="0.25">
      <c r="A87" s="31"/>
      <c r="B87" s="32"/>
      <c r="C87" s="33"/>
      <c r="D87" s="34" t="s">
        <v>12</v>
      </c>
      <c r="E87" s="60"/>
      <c r="F87" s="35">
        <f>F75/(F84/100)</f>
        <v>1726.1371677559912</v>
      </c>
    </row>
    <row r="88" spans="1:7" ht="13.5" thickBot="1" x14ac:dyDescent="0.25">
      <c r="A88" s="44"/>
      <c r="B88" s="38"/>
      <c r="C88" s="38"/>
      <c r="D88" s="38"/>
      <c r="E88" s="38"/>
      <c r="F88" s="45"/>
    </row>
    <row r="89" spans="1:7" ht="12.75" customHeight="1" x14ac:dyDescent="0.2">
      <c r="A89" s="173" t="s">
        <v>13</v>
      </c>
      <c r="B89" s="174"/>
      <c r="C89" s="174"/>
      <c r="D89" s="174"/>
      <c r="E89" s="175"/>
      <c r="F89" s="176"/>
    </row>
    <row r="90" spans="1:7" ht="16.5" customHeight="1" x14ac:dyDescent="0.2">
      <c r="A90" s="170" t="s">
        <v>20</v>
      </c>
      <c r="B90" s="171"/>
      <c r="C90" s="171"/>
      <c r="D90" s="171"/>
      <c r="E90" s="171"/>
      <c r="F90" s="172"/>
    </row>
    <row r="91" spans="1:7" x14ac:dyDescent="0.2">
      <c r="A91" s="11"/>
      <c r="B91" s="5" t="s">
        <v>23</v>
      </c>
      <c r="C91" s="9" t="s">
        <v>5</v>
      </c>
      <c r="D91" s="12">
        <v>31590</v>
      </c>
      <c r="E91" s="55">
        <v>0</v>
      </c>
      <c r="F91" s="13">
        <f>C91*D91*(1-E91)</f>
        <v>31590</v>
      </c>
    </row>
    <row r="92" spans="1:7" x14ac:dyDescent="0.2">
      <c r="A92" s="11"/>
      <c r="B92" s="7" t="s">
        <v>9</v>
      </c>
      <c r="C92" s="9" t="s">
        <v>5</v>
      </c>
      <c r="D92" s="12">
        <v>0</v>
      </c>
      <c r="E92" s="53">
        <v>0</v>
      </c>
      <c r="F92" s="13">
        <f>C92*D92*(1-E92)</f>
        <v>0</v>
      </c>
    </row>
    <row r="93" spans="1:7" x14ac:dyDescent="0.2">
      <c r="A93" s="11"/>
      <c r="B93" s="7" t="s">
        <v>10</v>
      </c>
      <c r="C93" s="9" t="s">
        <v>5</v>
      </c>
      <c r="D93" s="12">
        <v>0</v>
      </c>
      <c r="E93" s="55">
        <v>0</v>
      </c>
      <c r="F93" s="13">
        <f>C93*D93*(1-E93)</f>
        <v>0</v>
      </c>
    </row>
    <row r="94" spans="1:7" x14ac:dyDescent="0.2">
      <c r="A94" s="11"/>
      <c r="B94" s="8" t="s">
        <v>6</v>
      </c>
      <c r="C94" s="9" t="s">
        <v>5</v>
      </c>
      <c r="D94" s="12">
        <v>100</v>
      </c>
      <c r="E94" s="53">
        <v>0</v>
      </c>
      <c r="F94" s="13">
        <f>C94*D94*(1-E94)</f>
        <v>100</v>
      </c>
    </row>
    <row r="95" spans="1:7" x14ac:dyDescent="0.2">
      <c r="A95" s="11"/>
      <c r="B95" s="8" t="s">
        <v>67</v>
      </c>
      <c r="C95" s="9" t="s">
        <v>65</v>
      </c>
      <c r="D95" s="12">
        <v>210.6</v>
      </c>
      <c r="E95" s="55">
        <v>0</v>
      </c>
      <c r="F95" s="13">
        <f>C95*D95*(1-E95)</f>
        <v>6739.2</v>
      </c>
    </row>
    <row r="96" spans="1:7" x14ac:dyDescent="0.2">
      <c r="A96" s="11"/>
      <c r="B96" s="8"/>
      <c r="C96" s="9"/>
      <c r="D96" s="28" t="s">
        <v>1</v>
      </c>
      <c r="E96" s="58"/>
      <c r="F96" s="29">
        <f>SUM(F91:F95)</f>
        <v>38429.199999999997</v>
      </c>
    </row>
    <row r="97" spans="1:7" x14ac:dyDescent="0.2">
      <c r="A97" s="11"/>
      <c r="B97" s="8"/>
      <c r="C97" s="9"/>
      <c r="D97" s="28" t="s">
        <v>45</v>
      </c>
      <c r="E97" s="58"/>
      <c r="F97" s="30">
        <v>144</v>
      </c>
    </row>
    <row r="98" spans="1:7" x14ac:dyDescent="0.2">
      <c r="A98" s="11"/>
      <c r="B98" s="8"/>
      <c r="C98" s="9"/>
      <c r="D98" s="28" t="s">
        <v>44</v>
      </c>
      <c r="E98" s="58"/>
      <c r="F98" s="30">
        <v>132.8125</v>
      </c>
    </row>
    <row r="99" spans="1:7" x14ac:dyDescent="0.2">
      <c r="A99" s="11"/>
      <c r="B99" s="8"/>
      <c r="C99" s="9"/>
      <c r="D99" s="28" t="s">
        <v>40</v>
      </c>
      <c r="E99" s="58"/>
      <c r="F99" s="30">
        <v>14</v>
      </c>
    </row>
    <row r="100" spans="1:7" x14ac:dyDescent="0.2">
      <c r="A100" s="11"/>
      <c r="B100" s="8"/>
      <c r="C100" s="9"/>
      <c r="D100" s="28" t="s">
        <v>41</v>
      </c>
      <c r="E100" s="58"/>
      <c r="F100" s="30">
        <f>F98*F99</f>
        <v>1859.375</v>
      </c>
    </row>
    <row r="101" spans="1:7" x14ac:dyDescent="0.2">
      <c r="A101" s="11"/>
      <c r="B101" s="8"/>
      <c r="C101" s="9"/>
      <c r="D101" s="28" t="s">
        <v>11</v>
      </c>
      <c r="E101" s="58"/>
      <c r="F101" s="30">
        <f>2*F98</f>
        <v>265.625</v>
      </c>
    </row>
    <row r="102" spans="1:7" x14ac:dyDescent="0.2">
      <c r="A102" s="11"/>
      <c r="B102" s="8"/>
      <c r="C102" s="9"/>
      <c r="D102" s="28" t="s">
        <v>37</v>
      </c>
      <c r="E102" s="58"/>
      <c r="F102" s="30">
        <v>0</v>
      </c>
    </row>
    <row r="103" spans="1:7" x14ac:dyDescent="0.2">
      <c r="A103" s="14"/>
      <c r="B103" s="15"/>
      <c r="C103" s="16"/>
      <c r="D103" s="36" t="s">
        <v>42</v>
      </c>
      <c r="E103" s="59"/>
      <c r="F103" s="37">
        <f>F100-F101-F102</f>
        <v>1593.75</v>
      </c>
    </row>
    <row r="104" spans="1:7" x14ac:dyDescent="0.2">
      <c r="A104" s="14"/>
      <c r="B104" s="15"/>
      <c r="C104" s="16"/>
      <c r="D104" s="36" t="s">
        <v>38</v>
      </c>
      <c r="E104" s="59"/>
      <c r="F104" s="37">
        <f>0.1*F103</f>
        <v>159.375</v>
      </c>
    </row>
    <row r="105" spans="1:7" x14ac:dyDescent="0.2">
      <c r="A105" s="14"/>
      <c r="B105" s="15"/>
      <c r="C105" s="16"/>
      <c r="D105" s="36" t="s">
        <v>39</v>
      </c>
      <c r="E105" s="59"/>
      <c r="F105" s="37">
        <f>F103-F104</f>
        <v>1434.375</v>
      </c>
    </row>
    <row r="106" spans="1:7" ht="25.5" x14ac:dyDescent="0.2">
      <c r="A106" s="14"/>
      <c r="B106" s="15"/>
      <c r="C106" s="16"/>
      <c r="D106" s="36" t="s">
        <v>43</v>
      </c>
      <c r="E106" s="59"/>
      <c r="F106" s="49">
        <f>(F100-F105)/F100</f>
        <v>0.22857142857142856</v>
      </c>
      <c r="G106" s="50"/>
    </row>
    <row r="107" spans="1:7" ht="25.5" x14ac:dyDescent="0.2">
      <c r="A107" s="14"/>
      <c r="B107" s="15"/>
      <c r="C107" s="16"/>
      <c r="D107" s="36" t="s">
        <v>47</v>
      </c>
      <c r="E107" s="59"/>
      <c r="F107" s="49">
        <f>(F100-F105+F99*(F97-F98))/(F97*F99)</f>
        <v>0.2885044642857143</v>
      </c>
      <c r="G107" s="50"/>
    </row>
    <row r="108" spans="1:7" ht="26.25" thickBot="1" x14ac:dyDescent="0.25">
      <c r="A108" s="31"/>
      <c r="B108" s="32"/>
      <c r="C108" s="33"/>
      <c r="D108" s="34" t="s">
        <v>12</v>
      </c>
      <c r="E108" s="60"/>
      <c r="F108" s="35">
        <f>F96/(F105/100)</f>
        <v>2679.1599128540302</v>
      </c>
    </row>
    <row r="109" spans="1:7" ht="13.5" thickBot="1" x14ac:dyDescent="0.25">
      <c r="A109" s="44"/>
      <c r="B109" s="38"/>
      <c r="C109" s="38"/>
      <c r="D109" s="38"/>
      <c r="E109" s="38"/>
      <c r="F109" s="45"/>
    </row>
    <row r="110" spans="1:7" x14ac:dyDescent="0.2">
      <c r="A110" s="173" t="s">
        <v>14</v>
      </c>
      <c r="B110" s="174"/>
      <c r="C110" s="174"/>
      <c r="D110" s="174"/>
      <c r="E110" s="175"/>
      <c r="F110" s="176"/>
    </row>
    <row r="111" spans="1:7" ht="16.5" customHeight="1" x14ac:dyDescent="0.2">
      <c r="A111" s="180" t="s">
        <v>20</v>
      </c>
      <c r="B111" s="181"/>
      <c r="C111" s="181"/>
      <c r="D111" s="181"/>
      <c r="E111" s="182"/>
      <c r="F111" s="183"/>
    </row>
    <row r="112" spans="1:7" x14ac:dyDescent="0.2">
      <c r="A112" s="11"/>
      <c r="B112" s="5" t="s">
        <v>15</v>
      </c>
      <c r="C112" s="9" t="s">
        <v>5</v>
      </c>
      <c r="D112" s="12">
        <v>39990</v>
      </c>
      <c r="E112" s="55">
        <v>0</v>
      </c>
      <c r="F112" s="13">
        <f>C112*D112*(1-E112)</f>
        <v>39990</v>
      </c>
    </row>
    <row r="113" spans="1:6" x14ac:dyDescent="0.2">
      <c r="A113" s="11"/>
      <c r="B113" s="7" t="s">
        <v>16</v>
      </c>
      <c r="C113" s="9" t="s">
        <v>5</v>
      </c>
      <c r="D113" s="12">
        <v>125</v>
      </c>
      <c r="E113" s="53">
        <v>0</v>
      </c>
      <c r="F113" s="13">
        <f>C113*D113*(1-E113)</f>
        <v>125</v>
      </c>
    </row>
    <row r="114" spans="1:6" x14ac:dyDescent="0.2">
      <c r="A114" s="11"/>
      <c r="B114" s="7" t="s">
        <v>10</v>
      </c>
      <c r="C114" s="9" t="s">
        <v>5</v>
      </c>
      <c r="D114" s="12">
        <v>0</v>
      </c>
      <c r="E114" s="55">
        <v>0</v>
      </c>
      <c r="F114" s="13">
        <f>C114*D114*(1-E114)</f>
        <v>0</v>
      </c>
    </row>
    <row r="115" spans="1:6" x14ac:dyDescent="0.2">
      <c r="A115" s="11"/>
      <c r="B115" s="8" t="s">
        <v>6</v>
      </c>
      <c r="C115" s="9" t="s">
        <v>5</v>
      </c>
      <c r="D115" s="12">
        <v>100</v>
      </c>
      <c r="E115" s="53">
        <v>0</v>
      </c>
      <c r="F115" s="13">
        <f>C115*D115*(1-E115)</f>
        <v>100</v>
      </c>
    </row>
    <row r="116" spans="1:6" x14ac:dyDescent="0.2">
      <c r="A116" s="11"/>
      <c r="B116" s="8" t="s">
        <v>66</v>
      </c>
      <c r="C116" s="9" t="s">
        <v>65</v>
      </c>
      <c r="D116" s="12">
        <v>266.60000000000002</v>
      </c>
      <c r="E116" s="55">
        <v>0</v>
      </c>
      <c r="F116" s="13">
        <f>C116*D116*(1-E116)</f>
        <v>8531.2000000000007</v>
      </c>
    </row>
    <row r="117" spans="1:6" x14ac:dyDescent="0.2">
      <c r="A117" s="11"/>
      <c r="B117" s="8"/>
      <c r="C117" s="9"/>
      <c r="D117" s="28" t="s">
        <v>1</v>
      </c>
      <c r="E117" s="58"/>
      <c r="F117" s="29">
        <f>SUM(F112:F116)</f>
        <v>48746.2</v>
      </c>
    </row>
    <row r="118" spans="1:6" x14ac:dyDescent="0.2">
      <c r="A118" s="11"/>
      <c r="B118" s="8"/>
      <c r="C118" s="9"/>
      <c r="D118" s="28" t="s">
        <v>45</v>
      </c>
      <c r="E118" s="58"/>
      <c r="F118" s="30">
        <v>500</v>
      </c>
    </row>
    <row r="119" spans="1:6" x14ac:dyDescent="0.2">
      <c r="A119" s="11"/>
      <c r="B119" s="8"/>
      <c r="C119" s="9"/>
      <c r="D119" s="28" t="s">
        <v>44</v>
      </c>
      <c r="E119" s="58"/>
      <c r="F119" s="30">
        <v>413.1943359</v>
      </c>
    </row>
    <row r="120" spans="1:6" x14ac:dyDescent="0.2">
      <c r="A120" s="11"/>
      <c r="B120" s="8"/>
      <c r="C120" s="9"/>
      <c r="D120" s="28" t="s">
        <v>40</v>
      </c>
      <c r="E120" s="58"/>
      <c r="F120" s="30">
        <v>14</v>
      </c>
    </row>
    <row r="121" spans="1:6" x14ac:dyDescent="0.2">
      <c r="A121" s="11"/>
      <c r="B121" s="8"/>
      <c r="C121" s="9"/>
      <c r="D121" s="28" t="s">
        <v>41</v>
      </c>
      <c r="E121" s="58"/>
      <c r="F121" s="30">
        <f>F119*F120</f>
        <v>5784.7207025999996</v>
      </c>
    </row>
    <row r="122" spans="1:6" x14ac:dyDescent="0.2">
      <c r="A122" s="11"/>
      <c r="B122" s="8"/>
      <c r="C122" s="9"/>
      <c r="D122" s="28" t="s">
        <v>11</v>
      </c>
      <c r="E122" s="58"/>
      <c r="F122" s="30">
        <f>2*F119</f>
        <v>826.3886718</v>
      </c>
    </row>
    <row r="123" spans="1:6" x14ac:dyDescent="0.2">
      <c r="A123" s="11"/>
      <c r="B123" s="8"/>
      <c r="C123" s="9"/>
      <c r="D123" s="28" t="s">
        <v>37</v>
      </c>
      <c r="E123" s="58"/>
      <c r="F123" s="30">
        <v>0</v>
      </c>
    </row>
    <row r="124" spans="1:6" x14ac:dyDescent="0.2">
      <c r="A124" s="11"/>
      <c r="B124" s="8"/>
      <c r="C124" s="9"/>
      <c r="D124" s="28" t="s">
        <v>42</v>
      </c>
      <c r="E124" s="58"/>
      <c r="F124" s="30">
        <f>F121-F122-F123</f>
        <v>4958.3320307999993</v>
      </c>
    </row>
    <row r="125" spans="1:6" x14ac:dyDescent="0.2">
      <c r="A125" s="11"/>
      <c r="B125" s="8"/>
      <c r="C125" s="9"/>
      <c r="D125" s="28" t="s">
        <v>38</v>
      </c>
      <c r="E125" s="58"/>
      <c r="F125" s="30">
        <f>0.1*F124</f>
        <v>495.83320307999998</v>
      </c>
    </row>
    <row r="126" spans="1:6" x14ac:dyDescent="0.2">
      <c r="A126" s="11"/>
      <c r="B126" s="8"/>
      <c r="C126" s="9"/>
      <c r="D126" s="28" t="s">
        <v>39</v>
      </c>
      <c r="E126" s="58"/>
      <c r="F126" s="30">
        <f>F124-F125</f>
        <v>4462.4988277199991</v>
      </c>
    </row>
    <row r="127" spans="1:6" ht="25.5" x14ac:dyDescent="0.2">
      <c r="A127" s="11"/>
      <c r="B127" s="8"/>
      <c r="C127" s="9"/>
      <c r="D127" s="28" t="s">
        <v>43</v>
      </c>
      <c r="E127" s="58"/>
      <c r="F127" s="52">
        <f>(F121-F126)/F121</f>
        <v>0.22857142857142868</v>
      </c>
    </row>
    <row r="128" spans="1:6" ht="25.5" x14ac:dyDescent="0.2">
      <c r="A128" s="11"/>
      <c r="B128" s="8"/>
      <c r="C128" s="9"/>
      <c r="D128" s="28" t="s">
        <v>47</v>
      </c>
      <c r="E128" s="58"/>
      <c r="F128" s="52">
        <f>(F121-F126+F120*(F118-F119))/(F120*F118)</f>
        <v>0.3625001674685715</v>
      </c>
    </row>
    <row r="129" spans="1:6" ht="26.25" thickBot="1" x14ac:dyDescent="0.25">
      <c r="A129" s="31"/>
      <c r="B129" s="32"/>
      <c r="C129" s="33"/>
      <c r="D129" s="34" t="s">
        <v>12</v>
      </c>
      <c r="E129" s="60"/>
      <c r="F129" s="35">
        <f>F117/(F126/100)</f>
        <v>1092.3521076846005</v>
      </c>
    </row>
    <row r="130" spans="1:6" ht="13.5" thickBot="1" x14ac:dyDescent="0.25"/>
    <row r="131" spans="1:6" x14ac:dyDescent="0.2">
      <c r="A131" s="173" t="s">
        <v>99</v>
      </c>
      <c r="B131" s="174"/>
      <c r="C131" s="174"/>
      <c r="D131" s="174"/>
      <c r="E131" s="175"/>
      <c r="F131" s="176"/>
    </row>
    <row r="132" spans="1:6" x14ac:dyDescent="0.2">
      <c r="A132" s="170" t="s">
        <v>33</v>
      </c>
      <c r="B132" s="171"/>
      <c r="C132" s="171"/>
      <c r="D132" s="171"/>
      <c r="E132" s="171"/>
      <c r="F132" s="172"/>
    </row>
    <row r="133" spans="1:6" x14ac:dyDescent="0.2">
      <c r="A133" s="11"/>
      <c r="B133" s="5" t="s">
        <v>64</v>
      </c>
      <c r="C133" s="48">
        <v>1</v>
      </c>
      <c r="D133" s="12">
        <v>168000</v>
      </c>
      <c r="E133" s="62">
        <v>0</v>
      </c>
      <c r="F133" s="13">
        <f>C133*D133*(1-E133)</f>
        <v>168000</v>
      </c>
    </row>
    <row r="134" spans="1:6" x14ac:dyDescent="0.2">
      <c r="A134" s="11"/>
      <c r="B134" s="8"/>
      <c r="C134" s="9"/>
      <c r="D134" s="28" t="s">
        <v>1</v>
      </c>
      <c r="E134" s="58"/>
      <c r="F134" s="29">
        <f>SUM(F133:F133)</f>
        <v>168000</v>
      </c>
    </row>
    <row r="135" spans="1:6" ht="25.5" x14ac:dyDescent="0.2">
      <c r="A135" s="11"/>
      <c r="B135" s="8"/>
      <c r="C135" s="9"/>
      <c r="D135" s="28" t="s">
        <v>46</v>
      </c>
      <c r="E135" s="58"/>
      <c r="F135" s="30">
        <v>50000</v>
      </c>
    </row>
    <row r="136" spans="1:6" ht="25.5" x14ac:dyDescent="0.2">
      <c r="A136" s="14"/>
      <c r="B136" s="15"/>
      <c r="C136" s="16"/>
      <c r="D136" s="36" t="s">
        <v>35</v>
      </c>
      <c r="E136" s="59"/>
      <c r="F136" s="37">
        <v>2682</v>
      </c>
    </row>
    <row r="137" spans="1:6" x14ac:dyDescent="0.2">
      <c r="A137" s="14"/>
      <c r="B137" s="15"/>
      <c r="C137" s="16"/>
      <c r="D137" s="36" t="s">
        <v>36</v>
      </c>
      <c r="E137" s="59"/>
      <c r="F137" s="37">
        <f>F135-F136</f>
        <v>47318</v>
      </c>
    </row>
    <row r="138" spans="1:6" ht="26.25" thickBot="1" x14ac:dyDescent="0.25">
      <c r="A138" s="31"/>
      <c r="B138" s="32"/>
      <c r="C138" s="33"/>
      <c r="D138" s="34" t="s">
        <v>34</v>
      </c>
      <c r="E138" s="60"/>
      <c r="F138" s="35">
        <f>F134/(F137/100)</f>
        <v>355.04459191005537</v>
      </c>
    </row>
    <row r="139" spans="1:6" ht="13.5" thickBot="1" x14ac:dyDescent="0.25"/>
    <row r="140" spans="1:6" ht="17.25" customHeight="1" x14ac:dyDescent="0.25">
      <c r="A140" s="177" t="s">
        <v>158</v>
      </c>
      <c r="B140" s="178"/>
      <c r="C140" s="178"/>
      <c r="D140" s="178"/>
      <c r="E140" s="184"/>
      <c r="F140" s="179"/>
    </row>
    <row r="141" spans="1:6" ht="17.25" customHeight="1" x14ac:dyDescent="0.2">
      <c r="A141" s="170" t="s">
        <v>25</v>
      </c>
      <c r="B141" s="171"/>
      <c r="C141" s="171"/>
      <c r="D141" s="171"/>
      <c r="E141" s="171"/>
      <c r="F141" s="172"/>
    </row>
    <row r="142" spans="1:6" ht="13.5" thickBot="1" x14ac:dyDescent="0.25"/>
    <row r="143" spans="1:6" x14ac:dyDescent="0.2">
      <c r="A143" s="173" t="s">
        <v>161</v>
      </c>
      <c r="B143" s="174"/>
      <c r="C143" s="174"/>
      <c r="D143" s="174"/>
      <c r="E143" s="175"/>
      <c r="F143" s="176"/>
    </row>
    <row r="144" spans="1:6" x14ac:dyDescent="0.2">
      <c r="A144" s="170" t="s">
        <v>20</v>
      </c>
      <c r="B144" s="171"/>
      <c r="C144" s="171"/>
      <c r="D144" s="171"/>
      <c r="E144" s="171"/>
      <c r="F144" s="172"/>
    </row>
    <row r="145" spans="1:6" x14ac:dyDescent="0.2">
      <c r="A145" s="11"/>
      <c r="B145" s="5" t="s">
        <v>69</v>
      </c>
      <c r="C145" s="9" t="s">
        <v>5</v>
      </c>
      <c r="D145" s="12">
        <v>15495</v>
      </c>
      <c r="E145" s="55">
        <v>0</v>
      </c>
      <c r="F145" s="13">
        <f>C145*D145</f>
        <v>15495</v>
      </c>
    </row>
    <row r="146" spans="1:6" x14ac:dyDescent="0.2">
      <c r="A146" s="11"/>
      <c r="B146" s="7" t="s">
        <v>70</v>
      </c>
      <c r="C146" s="9" t="s">
        <v>71</v>
      </c>
      <c r="D146" s="12">
        <v>1895</v>
      </c>
      <c r="E146" s="53">
        <v>0</v>
      </c>
      <c r="F146" s="13">
        <f>C146*D146</f>
        <v>17055</v>
      </c>
    </row>
    <row r="147" spans="1:6" x14ac:dyDescent="0.2">
      <c r="A147" s="11"/>
      <c r="B147" s="7" t="s">
        <v>10</v>
      </c>
      <c r="C147" s="9" t="s">
        <v>5</v>
      </c>
      <c r="D147" s="12">
        <v>0</v>
      </c>
      <c r="E147" s="55">
        <v>0</v>
      </c>
      <c r="F147" s="13">
        <f>C147*D147</f>
        <v>0</v>
      </c>
    </row>
    <row r="148" spans="1:6" x14ac:dyDescent="0.2">
      <c r="A148" s="11"/>
      <c r="B148" s="8" t="s">
        <v>6</v>
      </c>
      <c r="C148" s="9" t="s">
        <v>5</v>
      </c>
      <c r="D148" s="12">
        <v>100</v>
      </c>
      <c r="E148" s="53">
        <v>0</v>
      </c>
      <c r="F148" s="13">
        <f>C148*D148</f>
        <v>100</v>
      </c>
    </row>
    <row r="149" spans="1:6" x14ac:dyDescent="0.2">
      <c r="A149" s="11"/>
      <c r="B149" s="8" t="s">
        <v>67</v>
      </c>
      <c r="C149" s="9" t="s">
        <v>65</v>
      </c>
      <c r="D149" s="12">
        <f>0.2*SUM(F145:F146)/36</f>
        <v>180.83333333333334</v>
      </c>
      <c r="E149" s="55">
        <v>0</v>
      </c>
      <c r="F149" s="13">
        <f>C149*D149</f>
        <v>5786.666666666667</v>
      </c>
    </row>
    <row r="150" spans="1:6" x14ac:dyDescent="0.2">
      <c r="A150" s="11"/>
      <c r="B150" s="8"/>
      <c r="C150" s="9"/>
      <c r="D150" s="28" t="s">
        <v>1</v>
      </c>
      <c r="E150" s="58"/>
      <c r="F150" s="29">
        <f>SUM(F145:F149)</f>
        <v>38436.666666666664</v>
      </c>
    </row>
    <row r="151" spans="1:6" x14ac:dyDescent="0.2">
      <c r="A151" s="11"/>
      <c r="B151" s="8"/>
      <c r="C151" s="9"/>
      <c r="D151" s="28" t="s">
        <v>45</v>
      </c>
      <c r="E151" s="58"/>
      <c r="F151" s="30">
        <v>146</v>
      </c>
    </row>
    <row r="152" spans="1:6" x14ac:dyDescent="0.2">
      <c r="A152" s="11"/>
      <c r="B152" s="8"/>
      <c r="C152" s="9"/>
      <c r="D152" s="28" t="s">
        <v>44</v>
      </c>
      <c r="E152" s="58"/>
      <c r="F152" s="30">
        <v>136</v>
      </c>
    </row>
    <row r="153" spans="1:6" x14ac:dyDescent="0.2">
      <c r="A153" s="11"/>
      <c r="B153" s="8"/>
      <c r="C153" s="9"/>
      <c r="D153" s="28" t="s">
        <v>40</v>
      </c>
      <c r="E153" s="58"/>
      <c r="F153" s="30">
        <v>14</v>
      </c>
    </row>
    <row r="154" spans="1:6" x14ac:dyDescent="0.2">
      <c r="A154" s="11"/>
      <c r="B154" s="8"/>
      <c r="C154" s="9"/>
      <c r="D154" s="28" t="s">
        <v>41</v>
      </c>
      <c r="E154" s="58"/>
      <c r="F154" s="30">
        <f>F152*F153</f>
        <v>1904</v>
      </c>
    </row>
    <row r="155" spans="1:6" x14ac:dyDescent="0.2">
      <c r="A155" s="11"/>
      <c r="B155" s="8"/>
      <c r="C155" s="9"/>
      <c r="D155" s="28" t="s">
        <v>11</v>
      </c>
      <c r="E155" s="58"/>
      <c r="F155" s="30">
        <f>7*F152</f>
        <v>952</v>
      </c>
    </row>
    <row r="156" spans="1:6" x14ac:dyDescent="0.2">
      <c r="A156" s="11"/>
      <c r="B156" s="8"/>
      <c r="C156" s="9"/>
      <c r="D156" s="28" t="s">
        <v>37</v>
      </c>
      <c r="E156" s="58"/>
      <c r="F156" s="30">
        <v>0</v>
      </c>
    </row>
    <row r="157" spans="1:6" x14ac:dyDescent="0.2">
      <c r="A157" s="14"/>
      <c r="B157" s="15"/>
      <c r="C157" s="16"/>
      <c r="D157" s="36" t="s">
        <v>42</v>
      </c>
      <c r="E157" s="59"/>
      <c r="F157" s="37">
        <f>F154-F155-F156</f>
        <v>952</v>
      </c>
    </row>
    <row r="158" spans="1:6" x14ac:dyDescent="0.2">
      <c r="A158" s="14"/>
      <c r="B158" s="15"/>
      <c r="C158" s="16"/>
      <c r="D158" s="36" t="s">
        <v>38</v>
      </c>
      <c r="E158" s="59"/>
      <c r="F158" s="37">
        <v>0</v>
      </c>
    </row>
    <row r="159" spans="1:6" x14ac:dyDescent="0.2">
      <c r="A159" s="14"/>
      <c r="B159" s="15"/>
      <c r="C159" s="16"/>
      <c r="D159" s="36" t="s">
        <v>39</v>
      </c>
      <c r="E159" s="59"/>
      <c r="F159" s="37">
        <f>F157-F158</f>
        <v>952</v>
      </c>
    </row>
    <row r="160" spans="1:6" ht="25.5" x14ac:dyDescent="0.2">
      <c r="A160" s="14"/>
      <c r="B160" s="15"/>
      <c r="C160" s="16"/>
      <c r="D160" s="36" t="s">
        <v>43</v>
      </c>
      <c r="E160" s="59"/>
      <c r="F160" s="49">
        <f>(F154-F159)/F154</f>
        <v>0.5</v>
      </c>
    </row>
    <row r="161" spans="1:6" ht="25.5" x14ac:dyDescent="0.2">
      <c r="A161" s="14"/>
      <c r="B161" s="15"/>
      <c r="C161" s="16"/>
      <c r="D161" s="36" t="s">
        <v>47</v>
      </c>
      <c r="E161" s="59"/>
      <c r="F161" s="49">
        <f>(F154-F159+F153*(F151-F152))/(F151*F153)</f>
        <v>0.53424657534246578</v>
      </c>
    </row>
    <row r="162" spans="1:6" ht="26.25" thickBot="1" x14ac:dyDescent="0.25">
      <c r="A162" s="31"/>
      <c r="B162" s="32"/>
      <c r="C162" s="33"/>
      <c r="D162" s="34" t="s">
        <v>12</v>
      </c>
      <c r="E162" s="60"/>
      <c r="F162" s="35">
        <f>F150/(F159/100)</f>
        <v>4037.4649859943975</v>
      </c>
    </row>
    <row r="163" spans="1:6" ht="13.5" thickBot="1" x14ac:dyDescent="0.25"/>
    <row r="164" spans="1:6" x14ac:dyDescent="0.2">
      <c r="A164" s="173" t="s">
        <v>160</v>
      </c>
      <c r="B164" s="174"/>
      <c r="C164" s="174"/>
      <c r="D164" s="174"/>
      <c r="E164" s="175"/>
      <c r="F164" s="176"/>
    </row>
    <row r="165" spans="1:6" x14ac:dyDescent="0.2">
      <c r="A165" s="170" t="s">
        <v>20</v>
      </c>
      <c r="B165" s="171"/>
      <c r="C165" s="171"/>
      <c r="D165" s="171"/>
      <c r="E165" s="171"/>
      <c r="F165" s="172"/>
    </row>
    <row r="166" spans="1:6" x14ac:dyDescent="0.2">
      <c r="A166" s="11"/>
      <c r="B166" s="5" t="s">
        <v>69</v>
      </c>
      <c r="C166" s="9" t="s">
        <v>5</v>
      </c>
      <c r="D166" s="12">
        <v>15495</v>
      </c>
      <c r="E166" s="55">
        <v>0</v>
      </c>
      <c r="F166" s="13">
        <f>C166*D166</f>
        <v>15495</v>
      </c>
    </row>
    <row r="167" spans="1:6" x14ac:dyDescent="0.2">
      <c r="A167" s="11"/>
      <c r="B167" s="7" t="s">
        <v>70</v>
      </c>
      <c r="C167" s="9" t="s">
        <v>71</v>
      </c>
      <c r="D167" s="12">
        <v>1895</v>
      </c>
      <c r="E167" s="53">
        <v>0</v>
      </c>
      <c r="F167" s="13">
        <f>C167*D167</f>
        <v>17055</v>
      </c>
    </row>
    <row r="168" spans="1:6" x14ac:dyDescent="0.2">
      <c r="A168" s="11"/>
      <c r="B168" s="7" t="s">
        <v>10</v>
      </c>
      <c r="C168" s="9" t="s">
        <v>5</v>
      </c>
      <c r="D168" s="12">
        <v>0</v>
      </c>
      <c r="E168" s="55">
        <v>0</v>
      </c>
      <c r="F168" s="13">
        <f>C168*D168</f>
        <v>0</v>
      </c>
    </row>
    <row r="169" spans="1:6" x14ac:dyDescent="0.2">
      <c r="A169" s="11"/>
      <c r="B169" s="8" t="s">
        <v>6</v>
      </c>
      <c r="C169" s="9" t="s">
        <v>5</v>
      </c>
      <c r="D169" s="12">
        <v>100</v>
      </c>
      <c r="E169" s="53">
        <v>0</v>
      </c>
      <c r="F169" s="13">
        <f>C169*D169</f>
        <v>100</v>
      </c>
    </row>
    <row r="170" spans="1:6" x14ac:dyDescent="0.2">
      <c r="A170" s="11"/>
      <c r="B170" s="8" t="s">
        <v>67</v>
      </c>
      <c r="C170" s="9" t="s">
        <v>65</v>
      </c>
      <c r="D170" s="12">
        <f>0.2*SUM(F166:F167)/36</f>
        <v>180.83333333333334</v>
      </c>
      <c r="E170" s="55">
        <v>0</v>
      </c>
      <c r="F170" s="13">
        <f>C170*D170</f>
        <v>5786.666666666667</v>
      </c>
    </row>
    <row r="171" spans="1:6" x14ac:dyDescent="0.2">
      <c r="A171" s="11"/>
      <c r="B171" s="8"/>
      <c r="C171" s="9"/>
      <c r="D171" s="28" t="s">
        <v>1</v>
      </c>
      <c r="E171" s="58"/>
      <c r="F171" s="29">
        <f>SUM(F166:F170)</f>
        <v>38436.666666666664</v>
      </c>
    </row>
    <row r="172" spans="1:6" x14ac:dyDescent="0.2">
      <c r="A172" s="11"/>
      <c r="B172" s="8"/>
      <c r="C172" s="9"/>
      <c r="D172" s="28" t="s">
        <v>45</v>
      </c>
      <c r="E172" s="58"/>
      <c r="F172" s="30">
        <v>146</v>
      </c>
    </row>
    <row r="173" spans="1:6" x14ac:dyDescent="0.2">
      <c r="A173" s="11"/>
      <c r="B173" s="8"/>
      <c r="C173" s="9"/>
      <c r="D173" s="28" t="s">
        <v>44</v>
      </c>
      <c r="E173" s="58"/>
      <c r="F173" s="30">
        <v>136</v>
      </c>
    </row>
    <row r="174" spans="1:6" x14ac:dyDescent="0.2">
      <c r="A174" s="11"/>
      <c r="B174" s="8"/>
      <c r="C174" s="9"/>
      <c r="D174" s="28" t="s">
        <v>40</v>
      </c>
      <c r="E174" s="58"/>
      <c r="F174" s="30">
        <v>14</v>
      </c>
    </row>
    <row r="175" spans="1:6" x14ac:dyDescent="0.2">
      <c r="A175" s="11"/>
      <c r="B175" s="8"/>
      <c r="C175" s="9"/>
      <c r="D175" s="28" t="s">
        <v>41</v>
      </c>
      <c r="E175" s="58"/>
      <c r="F175" s="30">
        <f>F173*F174</f>
        <v>1904</v>
      </c>
    </row>
    <row r="176" spans="1:6" x14ac:dyDescent="0.2">
      <c r="A176" s="11"/>
      <c r="B176" s="8"/>
      <c r="C176" s="9"/>
      <c r="D176" s="28" t="s">
        <v>11</v>
      </c>
      <c r="E176" s="58"/>
      <c r="F176" s="30">
        <f>7*F173</f>
        <v>952</v>
      </c>
    </row>
    <row r="177" spans="1:6" x14ac:dyDescent="0.2">
      <c r="A177" s="11"/>
      <c r="B177" s="8"/>
      <c r="C177" s="9"/>
      <c r="D177" s="28" t="s">
        <v>37</v>
      </c>
      <c r="E177" s="58"/>
      <c r="F177" s="30">
        <v>0</v>
      </c>
    </row>
    <row r="178" spans="1:6" x14ac:dyDescent="0.2">
      <c r="A178" s="14"/>
      <c r="B178" s="15"/>
      <c r="C178" s="16"/>
      <c r="D178" s="36" t="s">
        <v>42</v>
      </c>
      <c r="E178" s="59"/>
      <c r="F178" s="37">
        <f>F175-F176-F177</f>
        <v>952</v>
      </c>
    </row>
    <row r="179" spans="1:6" x14ac:dyDescent="0.2">
      <c r="A179" s="14"/>
      <c r="B179" s="15"/>
      <c r="C179" s="16"/>
      <c r="D179" s="36" t="s">
        <v>38</v>
      </c>
      <c r="E179" s="59"/>
      <c r="F179" s="37">
        <v>0</v>
      </c>
    </row>
    <row r="180" spans="1:6" x14ac:dyDescent="0.2">
      <c r="A180" s="14"/>
      <c r="B180" s="15"/>
      <c r="C180" s="16"/>
      <c r="D180" s="36" t="s">
        <v>39</v>
      </c>
      <c r="E180" s="59"/>
      <c r="F180" s="37">
        <f>F178-F179</f>
        <v>952</v>
      </c>
    </row>
    <row r="181" spans="1:6" ht="25.5" x14ac:dyDescent="0.2">
      <c r="A181" s="14"/>
      <c r="B181" s="15"/>
      <c r="C181" s="16"/>
      <c r="D181" s="36" t="s">
        <v>43</v>
      </c>
      <c r="E181" s="59"/>
      <c r="F181" s="49">
        <f>(F175-F180)/F175</f>
        <v>0.5</v>
      </c>
    </row>
    <row r="182" spans="1:6" ht="25.5" x14ac:dyDescent="0.2">
      <c r="A182" s="14"/>
      <c r="B182" s="15"/>
      <c r="C182" s="16"/>
      <c r="D182" s="36" t="s">
        <v>47</v>
      </c>
      <c r="E182" s="59"/>
      <c r="F182" s="49">
        <f>(F175-F180+F174*(F172-F173))/(F172*F174)</f>
        <v>0.53424657534246578</v>
      </c>
    </row>
    <row r="183" spans="1:6" ht="26.25" thickBot="1" x14ac:dyDescent="0.25">
      <c r="A183" s="31"/>
      <c r="B183" s="32"/>
      <c r="C183" s="33"/>
      <c r="D183" s="34" t="s">
        <v>12</v>
      </c>
      <c r="E183" s="60"/>
      <c r="F183" s="35">
        <f>F171/(F180/100)</f>
        <v>4037.4649859943975</v>
      </c>
    </row>
    <row r="184" spans="1:6" ht="13.5" thickBot="1" x14ac:dyDescent="0.25"/>
    <row r="185" spans="1:6" x14ac:dyDescent="0.2">
      <c r="A185" s="173" t="s">
        <v>159</v>
      </c>
      <c r="B185" s="174"/>
      <c r="C185" s="174"/>
      <c r="D185" s="174"/>
      <c r="E185" s="175"/>
      <c r="F185" s="176"/>
    </row>
    <row r="186" spans="1:6" x14ac:dyDescent="0.2">
      <c r="A186" s="170" t="s">
        <v>20</v>
      </c>
      <c r="B186" s="171"/>
      <c r="C186" s="171"/>
      <c r="D186" s="171"/>
      <c r="E186" s="171"/>
      <c r="F186" s="172"/>
    </row>
    <row r="187" spans="1:6" x14ac:dyDescent="0.2">
      <c r="A187" s="11"/>
      <c r="B187" s="5" t="s">
        <v>69</v>
      </c>
      <c r="C187" s="9" t="s">
        <v>5</v>
      </c>
      <c r="D187" s="12">
        <v>15495</v>
      </c>
      <c r="E187" s="55">
        <v>0</v>
      </c>
      <c r="F187" s="13">
        <f>C187*D187</f>
        <v>15495</v>
      </c>
    </row>
    <row r="188" spans="1:6" x14ac:dyDescent="0.2">
      <c r="A188" s="11"/>
      <c r="B188" s="7" t="s">
        <v>70</v>
      </c>
      <c r="C188" s="9" t="s">
        <v>71</v>
      </c>
      <c r="D188" s="12">
        <v>1895</v>
      </c>
      <c r="E188" s="53">
        <v>0</v>
      </c>
      <c r="F188" s="13">
        <f>C188*D188</f>
        <v>17055</v>
      </c>
    </row>
    <row r="189" spans="1:6" x14ac:dyDescent="0.2">
      <c r="A189" s="11"/>
      <c r="B189" s="7" t="s">
        <v>10</v>
      </c>
      <c r="C189" s="9" t="s">
        <v>5</v>
      </c>
      <c r="D189" s="12">
        <v>0</v>
      </c>
      <c r="E189" s="55">
        <v>0</v>
      </c>
      <c r="F189" s="13">
        <f>C189*D189</f>
        <v>0</v>
      </c>
    </row>
    <row r="190" spans="1:6" x14ac:dyDescent="0.2">
      <c r="A190" s="11"/>
      <c r="B190" s="8" t="s">
        <v>6</v>
      </c>
      <c r="C190" s="9" t="s">
        <v>5</v>
      </c>
      <c r="D190" s="12">
        <v>100</v>
      </c>
      <c r="E190" s="53">
        <v>0</v>
      </c>
      <c r="F190" s="13">
        <f>C190*D190</f>
        <v>100</v>
      </c>
    </row>
    <row r="191" spans="1:6" x14ac:dyDescent="0.2">
      <c r="A191" s="11"/>
      <c r="B191" s="8" t="s">
        <v>67</v>
      </c>
      <c r="C191" s="9" t="s">
        <v>65</v>
      </c>
      <c r="D191" s="12">
        <f>0.2*SUM(F187:F188)/36</f>
        <v>180.83333333333334</v>
      </c>
      <c r="E191" s="55">
        <v>0</v>
      </c>
      <c r="F191" s="13">
        <f>C191*D191</f>
        <v>5786.666666666667</v>
      </c>
    </row>
    <row r="192" spans="1:6" x14ac:dyDescent="0.2">
      <c r="A192" s="11"/>
      <c r="B192" s="8"/>
      <c r="C192" s="9"/>
      <c r="D192" s="28" t="s">
        <v>1</v>
      </c>
      <c r="E192" s="58"/>
      <c r="F192" s="29">
        <f>SUM(F187:F191)</f>
        <v>38436.666666666664</v>
      </c>
    </row>
    <row r="193" spans="1:6" x14ac:dyDescent="0.2">
      <c r="A193" s="11"/>
      <c r="B193" s="8"/>
      <c r="C193" s="9"/>
      <c r="D193" s="28" t="s">
        <v>45</v>
      </c>
      <c r="E193" s="58"/>
      <c r="F193" s="30">
        <v>146</v>
      </c>
    </row>
    <row r="194" spans="1:6" x14ac:dyDescent="0.2">
      <c r="A194" s="11"/>
      <c r="B194" s="8"/>
      <c r="C194" s="9"/>
      <c r="D194" s="28" t="s">
        <v>44</v>
      </c>
      <c r="E194" s="58"/>
      <c r="F194" s="30">
        <v>136</v>
      </c>
    </row>
    <row r="195" spans="1:6" x14ac:dyDescent="0.2">
      <c r="A195" s="11"/>
      <c r="B195" s="8"/>
      <c r="C195" s="9"/>
      <c r="D195" s="28" t="s">
        <v>40</v>
      </c>
      <c r="E195" s="58"/>
      <c r="F195" s="30">
        <v>14</v>
      </c>
    </row>
    <row r="196" spans="1:6" x14ac:dyDescent="0.2">
      <c r="A196" s="11"/>
      <c r="B196" s="8"/>
      <c r="C196" s="9"/>
      <c r="D196" s="28" t="s">
        <v>41</v>
      </c>
      <c r="E196" s="58"/>
      <c r="F196" s="30">
        <f>F194*F195</f>
        <v>1904</v>
      </c>
    </row>
    <row r="197" spans="1:6" x14ac:dyDescent="0.2">
      <c r="A197" s="11"/>
      <c r="B197" s="8"/>
      <c r="C197" s="9"/>
      <c r="D197" s="28" t="s">
        <v>11</v>
      </c>
      <c r="E197" s="58"/>
      <c r="F197" s="30">
        <f>1*F194</f>
        <v>136</v>
      </c>
    </row>
    <row r="198" spans="1:6" x14ac:dyDescent="0.2">
      <c r="A198" s="11"/>
      <c r="B198" s="8"/>
      <c r="C198" s="9"/>
      <c r="D198" s="28" t="s">
        <v>37</v>
      </c>
      <c r="E198" s="58"/>
      <c r="F198" s="30">
        <v>0</v>
      </c>
    </row>
    <row r="199" spans="1:6" x14ac:dyDescent="0.2">
      <c r="A199" s="14"/>
      <c r="B199" s="15"/>
      <c r="C199" s="16"/>
      <c r="D199" s="36" t="s">
        <v>42</v>
      </c>
      <c r="E199" s="59"/>
      <c r="F199" s="37">
        <f>F196-F197-F198</f>
        <v>1768</v>
      </c>
    </row>
    <row r="200" spans="1:6" x14ac:dyDescent="0.2">
      <c r="A200" s="14"/>
      <c r="B200" s="15"/>
      <c r="C200" s="16"/>
      <c r="D200" s="36" t="s">
        <v>38</v>
      </c>
      <c r="E200" s="59"/>
      <c r="F200" s="37">
        <v>0</v>
      </c>
    </row>
    <row r="201" spans="1:6" x14ac:dyDescent="0.2">
      <c r="A201" s="14"/>
      <c r="B201" s="15"/>
      <c r="C201" s="16"/>
      <c r="D201" s="36" t="s">
        <v>39</v>
      </c>
      <c r="E201" s="59"/>
      <c r="F201" s="37">
        <f>F199-F200</f>
        <v>1768</v>
      </c>
    </row>
    <row r="202" spans="1:6" ht="25.5" x14ac:dyDescent="0.2">
      <c r="A202" s="14"/>
      <c r="B202" s="15"/>
      <c r="C202" s="16"/>
      <c r="D202" s="36" t="s">
        <v>43</v>
      </c>
      <c r="E202" s="59"/>
      <c r="F202" s="49">
        <f>(F196-F201)/F196</f>
        <v>7.1428571428571425E-2</v>
      </c>
    </row>
    <row r="203" spans="1:6" ht="25.5" x14ac:dyDescent="0.2">
      <c r="A203" s="14"/>
      <c r="B203" s="15"/>
      <c r="C203" s="16"/>
      <c r="D203" s="36" t="s">
        <v>47</v>
      </c>
      <c r="E203" s="59"/>
      <c r="F203" s="49">
        <f>(F196-F201+F195*(F193-F194))/(F193*F195)</f>
        <v>0.13502935420743639</v>
      </c>
    </row>
    <row r="204" spans="1:6" ht="26.25" thickBot="1" x14ac:dyDescent="0.25">
      <c r="A204" s="31"/>
      <c r="B204" s="32"/>
      <c r="C204" s="33"/>
      <c r="D204" s="34" t="s">
        <v>12</v>
      </c>
      <c r="E204" s="60"/>
      <c r="F204" s="35">
        <f>F192/(F201/100)</f>
        <v>2174.0196078431372</v>
      </c>
    </row>
    <row r="205" spans="1:6" x14ac:dyDescent="0.2">
      <c r="F205" s="95"/>
    </row>
    <row r="206" spans="1:6" ht="13.5" thickBot="1" x14ac:dyDescent="0.25">
      <c r="F206" s="95"/>
    </row>
    <row r="207" spans="1:6" ht="17.25" customHeight="1" x14ac:dyDescent="0.25">
      <c r="A207" s="177" t="s">
        <v>174</v>
      </c>
      <c r="B207" s="178"/>
      <c r="C207" s="178"/>
      <c r="D207" s="178"/>
      <c r="E207" s="184"/>
      <c r="F207" s="179"/>
    </row>
    <row r="208" spans="1:6" ht="17.25" customHeight="1" x14ac:dyDescent="0.2">
      <c r="A208" s="170" t="s">
        <v>25</v>
      </c>
      <c r="B208" s="171"/>
      <c r="C208" s="171"/>
      <c r="D208" s="171"/>
      <c r="E208" s="171"/>
      <c r="F208" s="172"/>
    </row>
    <row r="209" spans="1:6" ht="13.5" thickBot="1" x14ac:dyDescent="0.25"/>
    <row r="210" spans="1:6" x14ac:dyDescent="0.2">
      <c r="A210" s="173" t="s">
        <v>176</v>
      </c>
      <c r="B210" s="174"/>
      <c r="C210" s="174"/>
      <c r="D210" s="174"/>
      <c r="E210" s="175"/>
      <c r="F210" s="176"/>
    </row>
    <row r="211" spans="1:6" x14ac:dyDescent="0.2">
      <c r="A211" s="170" t="s">
        <v>20</v>
      </c>
      <c r="B211" s="171"/>
      <c r="C211" s="171"/>
      <c r="D211" s="171"/>
      <c r="E211" s="171"/>
      <c r="F211" s="172"/>
    </row>
    <row r="212" spans="1:6" ht="25.5" x14ac:dyDescent="0.2">
      <c r="A212" s="11"/>
      <c r="B212" s="5" t="s">
        <v>178</v>
      </c>
      <c r="C212" s="9" t="s">
        <v>5</v>
      </c>
      <c r="D212" s="12">
        <v>10974</v>
      </c>
      <c r="E212" s="55">
        <v>0</v>
      </c>
      <c r="F212" s="13">
        <f>C212*D212</f>
        <v>10974</v>
      </c>
    </row>
    <row r="213" spans="1:6" x14ac:dyDescent="0.2">
      <c r="A213" s="11"/>
      <c r="B213" s="7" t="s">
        <v>177</v>
      </c>
      <c r="C213" s="9" t="s">
        <v>181</v>
      </c>
      <c r="D213" s="12">
        <v>839</v>
      </c>
      <c r="E213" s="53">
        <v>0</v>
      </c>
      <c r="F213" s="13">
        <f>C213*D213</f>
        <v>46984</v>
      </c>
    </row>
    <row r="214" spans="1:6" x14ac:dyDescent="0.2">
      <c r="A214" s="11"/>
      <c r="B214" s="7" t="s">
        <v>179</v>
      </c>
      <c r="C214" s="9" t="s">
        <v>180</v>
      </c>
      <c r="D214" s="12">
        <v>3049</v>
      </c>
      <c r="E214" s="53">
        <v>0</v>
      </c>
      <c r="F214" s="13">
        <f>C214*D214</f>
        <v>9147</v>
      </c>
    </row>
    <row r="215" spans="1:6" x14ac:dyDescent="0.2">
      <c r="A215" s="11"/>
      <c r="B215" s="8" t="s">
        <v>67</v>
      </c>
      <c r="C215" s="9" t="s">
        <v>175</v>
      </c>
      <c r="D215" s="12">
        <v>89.5</v>
      </c>
      <c r="E215" s="55">
        <v>0</v>
      </c>
      <c r="F215" s="13">
        <f>C215*D215</f>
        <v>3222</v>
      </c>
    </row>
    <row r="216" spans="1:6" x14ac:dyDescent="0.2">
      <c r="A216" s="11"/>
      <c r="B216" s="8"/>
      <c r="C216" s="9"/>
      <c r="D216" s="28" t="s">
        <v>1</v>
      </c>
      <c r="E216" s="58"/>
      <c r="F216" s="29">
        <f>SUM(F212:F215)</f>
        <v>70327</v>
      </c>
    </row>
    <row r="217" spans="1:6" x14ac:dyDescent="0.2">
      <c r="A217" s="11"/>
      <c r="B217" s="8"/>
      <c r="C217" s="9"/>
      <c r="D217" s="28" t="s">
        <v>45</v>
      </c>
      <c r="E217" s="58"/>
      <c r="F217" s="30">
        <v>300</v>
      </c>
    </row>
    <row r="218" spans="1:6" x14ac:dyDescent="0.2">
      <c r="A218" s="11"/>
      <c r="B218" s="8"/>
      <c r="C218" s="9"/>
      <c r="D218" s="28" t="s">
        <v>44</v>
      </c>
      <c r="E218" s="58"/>
      <c r="F218" s="30">
        <v>300</v>
      </c>
    </row>
    <row r="219" spans="1:6" x14ac:dyDescent="0.2">
      <c r="A219" s="11"/>
      <c r="B219" s="8"/>
      <c r="C219" s="9"/>
      <c r="D219" s="28" t="s">
        <v>183</v>
      </c>
      <c r="E219" s="58"/>
      <c r="F219" s="30">
        <v>56</v>
      </c>
    </row>
    <row r="220" spans="1:6" x14ac:dyDescent="0.2">
      <c r="A220" s="11"/>
      <c r="B220" s="8"/>
      <c r="C220" s="9"/>
      <c r="D220" s="28" t="s">
        <v>41</v>
      </c>
      <c r="E220" s="58"/>
      <c r="F220" s="30">
        <f>F218*F219</f>
        <v>16800</v>
      </c>
    </row>
    <row r="221" spans="1:6" x14ac:dyDescent="0.2">
      <c r="A221" s="11"/>
      <c r="B221" s="8"/>
      <c r="C221" s="9"/>
      <c r="D221" s="28" t="s">
        <v>11</v>
      </c>
      <c r="E221" s="58"/>
      <c r="F221" s="30">
        <f>516*4</f>
        <v>2064</v>
      </c>
    </row>
    <row r="222" spans="1:6" x14ac:dyDescent="0.2">
      <c r="A222" s="11"/>
      <c r="B222" s="8"/>
      <c r="C222" s="9"/>
      <c r="D222" s="28" t="s">
        <v>37</v>
      </c>
      <c r="E222" s="58"/>
      <c r="F222" s="30">
        <v>0</v>
      </c>
    </row>
    <row r="223" spans="1:6" x14ac:dyDescent="0.2">
      <c r="A223" s="14"/>
      <c r="B223" s="15"/>
      <c r="C223" s="16"/>
      <c r="D223" s="36" t="s">
        <v>42</v>
      </c>
      <c r="E223" s="59"/>
      <c r="F223" s="37">
        <f>F220-F221-F222</f>
        <v>14736</v>
      </c>
    </row>
    <row r="224" spans="1:6" x14ac:dyDescent="0.2">
      <c r="A224" s="14"/>
      <c r="B224" s="15"/>
      <c r="C224" s="16"/>
      <c r="D224" s="36" t="s">
        <v>182</v>
      </c>
      <c r="E224" s="59"/>
      <c r="F224" s="37">
        <f>42*4</f>
        <v>168</v>
      </c>
    </row>
    <row r="225" spans="1:6" x14ac:dyDescent="0.2">
      <c r="A225" s="14"/>
      <c r="B225" s="15"/>
      <c r="C225" s="16"/>
      <c r="D225" s="36" t="s">
        <v>39</v>
      </c>
      <c r="E225" s="59"/>
      <c r="F225" s="37">
        <f>F223-F224</f>
        <v>14568</v>
      </c>
    </row>
    <row r="226" spans="1:6" ht="25.5" x14ac:dyDescent="0.2">
      <c r="A226" s="14"/>
      <c r="B226" s="15"/>
      <c r="C226" s="16"/>
      <c r="D226" s="36" t="s">
        <v>43</v>
      </c>
      <c r="E226" s="59"/>
      <c r="F226" s="49">
        <f>(F220-F225)/F220</f>
        <v>0.13285714285714287</v>
      </c>
    </row>
    <row r="227" spans="1:6" ht="25.5" x14ac:dyDescent="0.2">
      <c r="A227" s="14"/>
      <c r="B227" s="15"/>
      <c r="C227" s="16"/>
      <c r="D227" s="36" t="s">
        <v>47</v>
      </c>
      <c r="E227" s="59"/>
      <c r="F227" s="49">
        <f>(F220-F225+F219*(F217-F218))/(F217*F219)</f>
        <v>0.13285714285714287</v>
      </c>
    </row>
    <row r="228" spans="1:6" ht="26.25" thickBot="1" x14ac:dyDescent="0.25">
      <c r="A228" s="31"/>
      <c r="B228" s="32"/>
      <c r="C228" s="33"/>
      <c r="D228" s="34" t="s">
        <v>12</v>
      </c>
      <c r="E228" s="60"/>
      <c r="F228" s="35">
        <f>F216/(F225/100)</f>
        <v>482.74986271279516</v>
      </c>
    </row>
    <row r="229" spans="1:6" ht="13.5" thickBot="1" x14ac:dyDescent="0.25"/>
    <row r="230" spans="1:6" ht="15.75" x14ac:dyDescent="0.25">
      <c r="A230" s="177" t="s">
        <v>49</v>
      </c>
      <c r="B230" s="178"/>
      <c r="C230" s="179"/>
    </row>
    <row r="231" spans="1:6" ht="51" x14ac:dyDescent="0.2">
      <c r="A231" s="40" t="s">
        <v>30</v>
      </c>
      <c r="B231" s="39" t="s">
        <v>29</v>
      </c>
      <c r="C231" s="70">
        <v>0.3</v>
      </c>
    </row>
    <row r="232" spans="1:6" ht="64.5" thickBot="1" x14ac:dyDescent="0.25">
      <c r="A232" s="71" t="s">
        <v>58</v>
      </c>
      <c r="B232" s="72" t="s">
        <v>57</v>
      </c>
      <c r="C232" s="73">
        <v>1000</v>
      </c>
    </row>
  </sheetData>
  <mergeCells count="37">
    <mergeCell ref="A143:F143"/>
    <mergeCell ref="A90:F90"/>
    <mergeCell ref="A140:F140"/>
    <mergeCell ref="A141:F141"/>
    <mergeCell ref="A29:F29"/>
    <mergeCell ref="A66:F66"/>
    <mergeCell ref="A51:F51"/>
    <mergeCell ref="A1:F1"/>
    <mergeCell ref="A4:F4"/>
    <mergeCell ref="A68:F68"/>
    <mergeCell ref="A2:F2"/>
    <mergeCell ref="A28:F28"/>
    <mergeCell ref="A37:F37"/>
    <mergeCell ref="A44:F44"/>
    <mergeCell ref="A10:F10"/>
    <mergeCell ref="A67:F67"/>
    <mergeCell ref="A16:F16"/>
    <mergeCell ref="A58:F58"/>
    <mergeCell ref="A22:F22"/>
    <mergeCell ref="A34:F34"/>
    <mergeCell ref="A35:F35"/>
    <mergeCell ref="A211:F211"/>
    <mergeCell ref="A185:F185"/>
    <mergeCell ref="A186:F186"/>
    <mergeCell ref="A230:C230"/>
    <mergeCell ref="A69:F69"/>
    <mergeCell ref="A111:F111"/>
    <mergeCell ref="A110:F110"/>
    <mergeCell ref="A131:F131"/>
    <mergeCell ref="A132:F132"/>
    <mergeCell ref="A89:F89"/>
    <mergeCell ref="A207:F207"/>
    <mergeCell ref="A208:F208"/>
    <mergeCell ref="A210:F210"/>
    <mergeCell ref="A164:F164"/>
    <mergeCell ref="A144:F144"/>
    <mergeCell ref="A165:F165"/>
  </mergeCells>
  <phoneticPr fontId="1" type="noConversion"/>
  <pageMargins left="0.75" right="0.75" top="1" bottom="1" header="0.5" footer="0.5"/>
  <pageSetup scale="14"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14"/>
  <sheetViews>
    <sheetView showGridLines="0" workbookViewId="0">
      <selection activeCell="A14" sqref="A14"/>
    </sheetView>
  </sheetViews>
  <sheetFormatPr defaultColWidth="9.140625" defaultRowHeight="12.75" x14ac:dyDescent="0.2"/>
  <cols>
    <col min="1" max="1" width="43.85546875" style="47" customWidth="1"/>
    <col min="2" max="2" width="9.7109375" style="47" customWidth="1"/>
    <col min="3" max="3" width="11.5703125" style="47" customWidth="1"/>
    <col min="4" max="4" width="10.5703125" style="47" customWidth="1"/>
    <col min="5" max="5" width="11.5703125" style="47" customWidth="1"/>
    <col min="6" max="6" width="14" style="47" customWidth="1"/>
    <col min="7" max="16384" width="9.140625" style="47"/>
  </cols>
  <sheetData>
    <row r="1" spans="1:7" ht="23.25" x14ac:dyDescent="0.35">
      <c r="A1" s="193" t="s">
        <v>192</v>
      </c>
      <c r="B1" s="194"/>
      <c r="C1" s="195"/>
      <c r="D1" s="195"/>
      <c r="E1" s="196"/>
    </row>
    <row r="2" spans="1:7" ht="15.75" x14ac:dyDescent="0.25">
      <c r="A2" s="199" t="s">
        <v>162</v>
      </c>
      <c r="B2" s="200"/>
      <c r="C2" s="200"/>
      <c r="D2" s="200"/>
      <c r="E2" s="201"/>
    </row>
    <row r="3" spans="1:7" ht="30.75" customHeight="1" x14ac:dyDescent="0.25">
      <c r="A3" s="97"/>
      <c r="B3" s="94" t="s">
        <v>163</v>
      </c>
      <c r="C3" s="94" t="s">
        <v>188</v>
      </c>
      <c r="D3" s="94" t="s">
        <v>188</v>
      </c>
      <c r="E3" s="94" t="s">
        <v>184</v>
      </c>
      <c r="F3" s="90"/>
      <c r="G3" s="90"/>
    </row>
    <row r="4" spans="1:7" ht="16.5" customHeight="1" x14ac:dyDescent="0.25">
      <c r="A4" s="97"/>
      <c r="B4" s="94" t="s">
        <v>185</v>
      </c>
      <c r="C4" s="94" t="s">
        <v>186</v>
      </c>
      <c r="D4" s="94" t="s">
        <v>187</v>
      </c>
      <c r="E4" s="94" t="s">
        <v>187</v>
      </c>
      <c r="F4" s="90"/>
      <c r="G4" s="90"/>
    </row>
    <row r="5" spans="1:7" ht="15" customHeight="1" x14ac:dyDescent="0.2">
      <c r="A5" s="98" t="s">
        <v>191</v>
      </c>
      <c r="B5" s="6">
        <f>Components!F87*B13/100+Components!F138/100*2</f>
        <v>55.432732535368864</v>
      </c>
      <c r="C5" s="6">
        <f>Components!F162*B13/100</f>
        <v>113.04901960784314</v>
      </c>
      <c r="D5" s="202"/>
      <c r="E5" s="202"/>
      <c r="F5" s="90"/>
      <c r="G5" s="90"/>
    </row>
    <row r="6" spans="1:7" x14ac:dyDescent="0.2">
      <c r="A6" s="98" t="s">
        <v>190</v>
      </c>
      <c r="B6" s="6">
        <f>Components!F129*B13/100+Components!F138/100*2</f>
        <v>37.686750853369915</v>
      </c>
      <c r="C6" s="101"/>
      <c r="D6" s="203"/>
      <c r="E6" s="203"/>
      <c r="F6" s="90"/>
      <c r="G6" s="90"/>
    </row>
    <row r="7" spans="1:7" ht="15.75" x14ac:dyDescent="0.25">
      <c r="A7" s="199" t="s">
        <v>68</v>
      </c>
      <c r="B7" s="200"/>
      <c r="C7" s="200"/>
      <c r="D7" s="200"/>
      <c r="E7" s="201"/>
      <c r="F7" s="90"/>
      <c r="G7" s="90"/>
    </row>
    <row r="8" spans="1:7" x14ac:dyDescent="0.2">
      <c r="A8" s="98" t="s">
        <v>191</v>
      </c>
      <c r="B8" s="6">
        <f>Components!F87/100+Components!F138/100</f>
        <v>20.811817596660465</v>
      </c>
      <c r="C8" s="6">
        <f>Components!F162/100</f>
        <v>40.374649859943972</v>
      </c>
      <c r="D8" s="6">
        <f>Components!F204/100</f>
        <v>21.740196078431371</v>
      </c>
      <c r="E8" s="102">
        <f>Components!F228/100</f>
        <v>4.8274986271279516</v>
      </c>
      <c r="F8" s="90"/>
      <c r="G8" s="90"/>
    </row>
    <row r="9" spans="1:7" x14ac:dyDescent="0.2">
      <c r="A9" s="98" t="s">
        <v>190</v>
      </c>
      <c r="B9" s="102">
        <f>Components!F129/100+Components!F138/100</f>
        <v>14.473966995946558</v>
      </c>
      <c r="C9" s="100"/>
      <c r="D9" s="100"/>
      <c r="E9" s="100"/>
      <c r="F9" s="90"/>
      <c r="G9" s="90"/>
    </row>
    <row r="10" spans="1:7" x14ac:dyDescent="0.2">
      <c r="A10" s="103"/>
      <c r="B10" s="90"/>
      <c r="C10" s="90"/>
      <c r="D10" s="90"/>
      <c r="E10" s="90"/>
      <c r="F10" s="90"/>
      <c r="G10" s="90"/>
    </row>
    <row r="11" spans="1:7" ht="13.5" thickBot="1" x14ac:dyDescent="0.25">
      <c r="A11" s="91"/>
      <c r="B11" s="90"/>
      <c r="C11" s="90"/>
      <c r="D11" s="90"/>
      <c r="E11" s="90"/>
    </row>
    <row r="12" spans="1:7" ht="15.75" x14ac:dyDescent="0.25">
      <c r="A12" s="197" t="s">
        <v>189</v>
      </c>
      <c r="B12" s="198"/>
      <c r="C12" s="89"/>
      <c r="D12" s="89"/>
      <c r="E12" s="89"/>
    </row>
    <row r="13" spans="1:7" ht="26.25" customHeight="1" x14ac:dyDescent="0.2">
      <c r="A13" s="96" t="s">
        <v>195</v>
      </c>
      <c r="B13" s="74">
        <v>2.8</v>
      </c>
      <c r="C13" s="90"/>
      <c r="D13" s="90"/>
      <c r="E13" s="90"/>
    </row>
    <row r="14" spans="1:7" x14ac:dyDescent="0.2">
      <c r="A14" s="91"/>
      <c r="C14" s="90"/>
      <c r="D14" s="90"/>
      <c r="E14" s="90"/>
    </row>
  </sheetData>
  <sheetProtection scenarios="1" selectLockedCells="1"/>
  <mergeCells count="6">
    <mergeCell ref="A1:E1"/>
    <mergeCell ref="A12:B12"/>
    <mergeCell ref="A2:E2"/>
    <mergeCell ref="A7:E7"/>
    <mergeCell ref="E5:E6"/>
    <mergeCell ref="D5:D6"/>
  </mergeCells>
  <phoneticPr fontId="1" type="noConversion"/>
  <pageMargins left="0.75" right="0.75" top="1" bottom="1"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R37"/>
  <sheetViews>
    <sheetView showGridLines="0" topLeftCell="A13" workbookViewId="0">
      <selection activeCell="B29" sqref="B29"/>
    </sheetView>
  </sheetViews>
  <sheetFormatPr defaultColWidth="9.140625" defaultRowHeight="12.75" x14ac:dyDescent="0.2"/>
  <cols>
    <col min="1" max="1" width="39.7109375" style="2" customWidth="1"/>
    <col min="2" max="2" width="13" style="2" customWidth="1"/>
    <col min="3" max="3" width="17.5703125" style="2" customWidth="1"/>
    <col min="4" max="4" width="16.5703125" style="2" customWidth="1"/>
    <col min="5" max="5" width="14.5703125" style="2" customWidth="1"/>
    <col min="6" max="6" width="10.5703125" style="2" customWidth="1"/>
    <col min="7" max="7" width="11.5703125" customWidth="1"/>
    <col min="8" max="8" width="8.5703125" customWidth="1"/>
    <col min="9" max="9" width="7.7109375" hidden="1" customWidth="1"/>
    <col min="10" max="10" width="5.85546875" customWidth="1"/>
    <col min="11" max="11" width="5.7109375" bestFit="1" customWidth="1"/>
    <col min="12" max="12" width="7.140625" hidden="1" customWidth="1"/>
    <col min="13" max="13" width="5.140625" customWidth="1"/>
    <col min="14" max="14" width="6.85546875" customWidth="1"/>
    <col min="15" max="15" width="6.85546875" hidden="1" customWidth="1"/>
    <col min="16" max="16" width="4.5703125" customWidth="1"/>
    <col min="17" max="17" width="5.7109375" customWidth="1"/>
    <col min="18" max="18" width="5.7109375" hidden="1" customWidth="1"/>
    <col min="19" max="20" width="3.28515625" bestFit="1" customWidth="1"/>
    <col min="21" max="21" width="12.85546875" customWidth="1"/>
    <col min="22" max="25" width="3.28515625" bestFit="1" customWidth="1"/>
    <col min="26" max="26" width="3.140625" customWidth="1"/>
    <col min="27" max="28" width="12.7109375" customWidth="1"/>
  </cols>
  <sheetData>
    <row r="1" spans="1:7" ht="13.5" thickBot="1" x14ac:dyDescent="0.25"/>
    <row r="2" spans="1:7" ht="15.75" x14ac:dyDescent="0.25">
      <c r="A2" s="204" t="s">
        <v>59</v>
      </c>
      <c r="B2" s="205"/>
      <c r="C2" s="205"/>
      <c r="D2" s="205"/>
      <c r="E2" s="205"/>
      <c r="F2" s="205"/>
      <c r="G2" s="206"/>
    </row>
    <row r="3" spans="1:7" ht="30" customHeight="1" x14ac:dyDescent="0.2">
      <c r="A3" s="170" t="s">
        <v>60</v>
      </c>
      <c r="B3" s="171"/>
      <c r="C3" s="171"/>
      <c r="D3" s="171"/>
      <c r="E3" s="171"/>
      <c r="F3" s="171"/>
      <c r="G3" s="172"/>
    </row>
    <row r="4" spans="1:7" ht="25.5" x14ac:dyDescent="0.2">
      <c r="A4" s="65" t="s">
        <v>50</v>
      </c>
      <c r="B4" s="66" t="s">
        <v>95</v>
      </c>
      <c r="C4" s="66" t="s">
        <v>89</v>
      </c>
      <c r="D4" s="66" t="s">
        <v>52</v>
      </c>
      <c r="E4" s="82" t="s">
        <v>93</v>
      </c>
      <c r="F4" s="82" t="s">
        <v>88</v>
      </c>
      <c r="G4" s="67" t="s">
        <v>90</v>
      </c>
    </row>
    <row r="5" spans="1:7" x14ac:dyDescent="0.2">
      <c r="A5" s="68" t="s">
        <v>53</v>
      </c>
      <c r="B5" s="51">
        <f>14*144</f>
        <v>2016</v>
      </c>
      <c r="C5" s="51">
        <v>1859</v>
      </c>
      <c r="D5" s="51">
        <v>265</v>
      </c>
      <c r="E5" s="83">
        <f t="shared" ref="E5:E10" si="0">(C5-D5)*0.1</f>
        <v>159.4</v>
      </c>
      <c r="F5" s="85">
        <f t="shared" ref="F5:F10" si="1">1-G5/B5</f>
        <v>0.28839285714285723</v>
      </c>
      <c r="G5" s="93">
        <f t="shared" ref="G5:G10" si="2">C5-D5-E5</f>
        <v>1434.6</v>
      </c>
    </row>
    <row r="6" spans="1:7" x14ac:dyDescent="0.2">
      <c r="A6" s="68" t="s">
        <v>62</v>
      </c>
      <c r="B6" s="92">
        <f>14*300</f>
        <v>4200</v>
      </c>
      <c r="C6" s="51">
        <f>14*266</f>
        <v>3724</v>
      </c>
      <c r="D6" s="51">
        <f>2*266</f>
        <v>532</v>
      </c>
      <c r="E6" s="83">
        <f t="shared" si="0"/>
        <v>319.20000000000005</v>
      </c>
      <c r="F6" s="85">
        <f t="shared" si="1"/>
        <v>0.31599999999999995</v>
      </c>
      <c r="G6" s="93">
        <f t="shared" si="2"/>
        <v>2872.8</v>
      </c>
    </row>
    <row r="7" spans="1:7" x14ac:dyDescent="0.2">
      <c r="A7" s="68" t="s">
        <v>54</v>
      </c>
      <c r="B7" s="51">
        <f>14*500</f>
        <v>7000</v>
      </c>
      <c r="C7" s="51">
        <v>5785</v>
      </c>
      <c r="D7" s="51">
        <v>827</v>
      </c>
      <c r="E7" s="83">
        <f t="shared" si="0"/>
        <v>495.8</v>
      </c>
      <c r="F7" s="85">
        <f t="shared" si="1"/>
        <v>0.36254285714285717</v>
      </c>
      <c r="G7" s="93">
        <f t="shared" si="2"/>
        <v>4462.2</v>
      </c>
    </row>
    <row r="8" spans="1:7" x14ac:dyDescent="0.2">
      <c r="A8" s="68" t="s">
        <v>55</v>
      </c>
      <c r="B8" s="51">
        <f t="shared" ref="B8:C10" si="3">12*B5</f>
        <v>24192</v>
      </c>
      <c r="C8" s="51">
        <f t="shared" si="3"/>
        <v>22308</v>
      </c>
      <c r="D8" s="51">
        <v>3180</v>
      </c>
      <c r="E8" s="83">
        <f t="shared" si="0"/>
        <v>1912.8000000000002</v>
      </c>
      <c r="F8" s="85">
        <f t="shared" si="1"/>
        <v>0.28839285714285712</v>
      </c>
      <c r="G8" s="93">
        <f t="shared" si="2"/>
        <v>17215.2</v>
      </c>
    </row>
    <row r="9" spans="1:7" x14ac:dyDescent="0.2">
      <c r="A9" s="68" t="s">
        <v>63</v>
      </c>
      <c r="B9" s="87">
        <f t="shared" si="3"/>
        <v>50400</v>
      </c>
      <c r="C9" s="87">
        <f t="shared" si="3"/>
        <v>44688</v>
      </c>
      <c r="D9" s="87">
        <f>12*D6</f>
        <v>6384</v>
      </c>
      <c r="E9" s="83">
        <f t="shared" si="0"/>
        <v>3830.4</v>
      </c>
      <c r="F9" s="85">
        <f t="shared" si="1"/>
        <v>0.31600000000000006</v>
      </c>
      <c r="G9" s="93">
        <f t="shared" si="2"/>
        <v>34473.599999999999</v>
      </c>
    </row>
    <row r="10" spans="1:7" ht="13.5" thickBot="1" x14ac:dyDescent="0.25">
      <c r="A10" s="69" t="s">
        <v>56</v>
      </c>
      <c r="B10" s="64">
        <f t="shared" si="3"/>
        <v>84000</v>
      </c>
      <c r="C10" s="64">
        <f t="shared" si="3"/>
        <v>69420</v>
      </c>
      <c r="D10" s="64">
        <v>9924</v>
      </c>
      <c r="E10" s="84">
        <f t="shared" si="0"/>
        <v>5949.6</v>
      </c>
      <c r="F10" s="86">
        <f t="shared" si="1"/>
        <v>0.36254285714285717</v>
      </c>
      <c r="G10" s="93">
        <f t="shared" si="2"/>
        <v>53546.400000000001</v>
      </c>
    </row>
    <row r="11" spans="1:7" ht="13.5" thickBot="1" x14ac:dyDescent="0.25"/>
    <row r="12" spans="1:7" ht="15.75" x14ac:dyDescent="0.25">
      <c r="A12" s="204" t="s">
        <v>72</v>
      </c>
      <c r="B12" s="205"/>
      <c r="C12" s="205"/>
      <c r="D12" s="205"/>
      <c r="E12" s="205"/>
      <c r="F12" s="205"/>
      <c r="G12" s="206"/>
    </row>
    <row r="13" spans="1:7" ht="25.5" customHeight="1" x14ac:dyDescent="0.2">
      <c r="A13" s="170" t="s">
        <v>94</v>
      </c>
      <c r="B13" s="171"/>
      <c r="C13" s="171"/>
      <c r="D13" s="171"/>
      <c r="E13" s="171"/>
      <c r="F13" s="171"/>
      <c r="G13" s="172"/>
    </row>
    <row r="14" spans="1:7" x14ac:dyDescent="0.2">
      <c r="A14" s="65" t="s">
        <v>50</v>
      </c>
      <c r="B14" s="66" t="s">
        <v>95</v>
      </c>
      <c r="C14" s="66" t="s">
        <v>51</v>
      </c>
      <c r="D14" s="66" t="s">
        <v>91</v>
      </c>
      <c r="E14" s="82" t="s">
        <v>92</v>
      </c>
      <c r="F14" s="82" t="s">
        <v>88</v>
      </c>
      <c r="G14" s="67" t="s">
        <v>90</v>
      </c>
    </row>
    <row r="15" spans="1:7" x14ac:dyDescent="0.2">
      <c r="A15" s="68" t="s">
        <v>73</v>
      </c>
      <c r="B15" s="51">
        <f>14*146</f>
        <v>2044</v>
      </c>
      <c r="C15" s="51">
        <f>B15*D$25/C$25</f>
        <v>1903.6233425140381</v>
      </c>
      <c r="D15" s="51">
        <f>0.5*C15</f>
        <v>951.81167125701904</v>
      </c>
      <c r="E15" s="83">
        <v>0</v>
      </c>
      <c r="F15" s="85">
        <f>1-G15/B15</f>
        <v>0.53433871269226074</v>
      </c>
      <c r="G15" s="80">
        <f>C15-D15</f>
        <v>951.81167125701904</v>
      </c>
    </row>
    <row r="16" spans="1:7" x14ac:dyDescent="0.2">
      <c r="A16" s="68" t="s">
        <v>74</v>
      </c>
      <c r="B16" s="51">
        <f>14*400</f>
        <v>5600</v>
      </c>
      <c r="C16" s="51">
        <f>B16*D$25/C$25</f>
        <v>5215.4064178466797</v>
      </c>
      <c r="D16" s="51">
        <f>0.5*C16</f>
        <v>2607.7032089233398</v>
      </c>
      <c r="E16" s="83">
        <v>0</v>
      </c>
      <c r="F16" s="85">
        <f>1-G16/B16</f>
        <v>0.53433871269226074</v>
      </c>
      <c r="G16" s="80">
        <f>C16-D16</f>
        <v>2607.7032089233398</v>
      </c>
    </row>
    <row r="17" spans="1:7" x14ac:dyDescent="0.2">
      <c r="A17" s="68" t="s">
        <v>87</v>
      </c>
      <c r="B17" s="51">
        <f>8*B15</f>
        <v>16352</v>
      </c>
      <c r="C17" s="51">
        <f>B17*D$25/C$25</f>
        <v>15228.986740112305</v>
      </c>
      <c r="D17" s="51">
        <f>0.5*C17</f>
        <v>7614.4933700561523</v>
      </c>
      <c r="E17" s="83">
        <v>0</v>
      </c>
      <c r="F17" s="85">
        <f>1-G17/B17</f>
        <v>0.53433871269226074</v>
      </c>
      <c r="G17" s="80">
        <f>C17-D17</f>
        <v>7614.4933700561523</v>
      </c>
    </row>
    <row r="18" spans="1:7" ht="13.5" thickBot="1" x14ac:dyDescent="0.25">
      <c r="A18" s="69" t="s">
        <v>75</v>
      </c>
      <c r="B18" s="64">
        <f>8*B16</f>
        <v>44800</v>
      </c>
      <c r="C18" s="64">
        <f>B18*D$25/C$25</f>
        <v>41723.251342773438</v>
      </c>
      <c r="D18" s="64">
        <f>0.5*C18</f>
        <v>20861.625671386719</v>
      </c>
      <c r="E18" s="84">
        <v>0</v>
      </c>
      <c r="F18" s="86">
        <f>1-G18/B18</f>
        <v>0.53433871269226074</v>
      </c>
      <c r="G18" s="81">
        <f>C18-D18</f>
        <v>20861.625671386719</v>
      </c>
    </row>
    <row r="19" spans="1:7" ht="13.5" thickBot="1" x14ac:dyDescent="0.25"/>
    <row r="20" spans="1:7" ht="15.75" x14ac:dyDescent="0.25">
      <c r="A20" s="204" t="s">
        <v>80</v>
      </c>
      <c r="B20" s="205"/>
      <c r="C20" s="205"/>
      <c r="D20" s="205"/>
      <c r="E20" s="205"/>
      <c r="F20" s="205"/>
      <c r="G20" s="206"/>
    </row>
    <row r="21" spans="1:7" ht="39.75" customHeight="1" x14ac:dyDescent="0.2">
      <c r="A21" s="170" t="s">
        <v>82</v>
      </c>
      <c r="B21" s="171"/>
      <c r="C21" s="171"/>
      <c r="D21" s="171"/>
      <c r="E21" s="171"/>
      <c r="F21" s="171"/>
      <c r="G21" s="172"/>
    </row>
    <row r="22" spans="1:7" ht="38.25" x14ac:dyDescent="0.2">
      <c r="A22" s="79" t="s">
        <v>85</v>
      </c>
      <c r="B22" s="66" t="s">
        <v>81</v>
      </c>
      <c r="C22" s="66" t="s">
        <v>83</v>
      </c>
      <c r="D22" s="66" t="s">
        <v>84</v>
      </c>
      <c r="E22" s="66"/>
      <c r="F22" s="66"/>
      <c r="G22" s="67" t="s">
        <v>86</v>
      </c>
    </row>
    <row r="23" spans="1:7" x14ac:dyDescent="0.2">
      <c r="A23" s="75">
        <v>400</v>
      </c>
      <c r="B23" s="54" t="s">
        <v>76</v>
      </c>
      <c r="C23" s="54">
        <v>1024</v>
      </c>
      <c r="D23" s="54">
        <v>1000</v>
      </c>
      <c r="E23" s="54"/>
      <c r="F23" s="54"/>
      <c r="G23" s="76">
        <f>A23*D23/C23</f>
        <v>390.625</v>
      </c>
    </row>
    <row r="24" spans="1:7" x14ac:dyDescent="0.2">
      <c r="A24" s="75">
        <v>400</v>
      </c>
      <c r="B24" s="54" t="s">
        <v>77</v>
      </c>
      <c r="C24" s="54">
        <v>1048576</v>
      </c>
      <c r="D24" s="54">
        <v>1000000</v>
      </c>
      <c r="E24" s="54"/>
      <c r="F24" s="54"/>
      <c r="G24" s="76">
        <f>A24*D24/C24</f>
        <v>381.4697265625</v>
      </c>
    </row>
    <row r="25" spans="1:7" x14ac:dyDescent="0.2">
      <c r="A25" s="75">
        <v>2044</v>
      </c>
      <c r="B25" s="54" t="s">
        <v>78</v>
      </c>
      <c r="C25" s="54">
        <v>1073741824</v>
      </c>
      <c r="D25" s="54">
        <v>1000000000</v>
      </c>
      <c r="E25" s="54"/>
      <c r="F25" s="54"/>
      <c r="G25" s="76">
        <f>A25*D25/C25</f>
        <v>1903.6233425140381</v>
      </c>
    </row>
    <row r="26" spans="1:7" ht="13.5" thickBot="1" x14ac:dyDescent="0.25">
      <c r="A26" s="77">
        <v>400</v>
      </c>
      <c r="B26" s="63" t="s">
        <v>79</v>
      </c>
      <c r="C26" s="63">
        <v>1099511627776</v>
      </c>
      <c r="D26" s="63">
        <v>1000000000000</v>
      </c>
      <c r="E26" s="63"/>
      <c r="F26" s="63"/>
      <c r="G26" s="78">
        <f>A26*D26/C26</f>
        <v>363.7978807091713</v>
      </c>
    </row>
    <row r="35" spans="1:3" x14ac:dyDescent="0.2">
      <c r="A35" s="207" t="s">
        <v>102</v>
      </c>
      <c r="B35" s="208"/>
      <c r="C35" s="209"/>
    </row>
    <row r="36" spans="1:3" x14ac:dyDescent="0.2">
      <c r="A36" s="88" t="s">
        <v>101</v>
      </c>
      <c r="B36" s="88" t="s">
        <v>100</v>
      </c>
      <c r="C36" s="88" t="s">
        <v>103</v>
      </c>
    </row>
    <row r="37" spans="1:3" x14ac:dyDescent="0.2">
      <c r="A37" s="88"/>
      <c r="B37" s="88"/>
      <c r="C37" s="88"/>
    </row>
  </sheetData>
  <mergeCells count="7">
    <mergeCell ref="A2:G2"/>
    <mergeCell ref="A35:C35"/>
    <mergeCell ref="A12:G12"/>
    <mergeCell ref="A13:G13"/>
    <mergeCell ref="A20:G20"/>
    <mergeCell ref="A21:G21"/>
    <mergeCell ref="A3:G3"/>
  </mergeCells>
  <phoneticPr fontId="1" type="noConversion"/>
  <pageMargins left="0.75" right="0.75" top="1" bottom="1" header="0.5" footer="0.5"/>
  <pageSetup scale="8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T43"/>
  <sheetViews>
    <sheetView showGridLines="0" workbookViewId="0">
      <selection activeCell="S12" sqref="S12"/>
    </sheetView>
  </sheetViews>
  <sheetFormatPr defaultColWidth="9.140625" defaultRowHeight="12.75" x14ac:dyDescent="0.2"/>
  <cols>
    <col min="1" max="1" width="11.28515625" style="104" customWidth="1"/>
    <col min="2" max="2" width="26.140625" style="104" customWidth="1"/>
    <col min="3" max="3" width="6.140625" style="104" customWidth="1"/>
    <col min="4" max="7" width="5.42578125" style="104" customWidth="1"/>
    <col min="8" max="8" width="15.7109375" style="104" customWidth="1"/>
    <col min="9" max="9" width="11.28515625" style="104" customWidth="1"/>
    <col min="10" max="16" width="10.5703125" style="104" customWidth="1"/>
    <col min="17" max="17" width="15.140625" style="104" customWidth="1"/>
    <col min="18" max="18" width="10.5703125" style="104" customWidth="1"/>
    <col min="19" max="19" width="11.5703125" style="104" customWidth="1"/>
    <col min="20" max="20" width="10.140625" style="104" customWidth="1"/>
    <col min="21" max="21" width="14" style="104" customWidth="1"/>
    <col min="22" max="16384" width="9.140625" style="104"/>
  </cols>
  <sheetData>
    <row r="1" spans="1:20" ht="26.25" customHeight="1" x14ac:dyDescent="0.4">
      <c r="A1" s="211" t="s">
        <v>134</v>
      </c>
      <c r="B1" s="212"/>
      <c r="C1" s="212"/>
      <c r="D1" s="212"/>
      <c r="E1" s="212"/>
      <c r="F1" s="212"/>
      <c r="G1" s="212"/>
      <c r="H1" s="212"/>
      <c r="I1" s="212"/>
      <c r="J1" s="212"/>
      <c r="K1" s="212"/>
      <c r="L1" s="212"/>
      <c r="M1" s="212"/>
      <c r="N1" s="212"/>
      <c r="O1" s="212"/>
      <c r="P1" s="212"/>
      <c r="Q1" s="212"/>
      <c r="R1" s="212"/>
      <c r="S1" s="212"/>
      <c r="T1" s="213"/>
    </row>
    <row r="2" spans="1:20" ht="15" customHeight="1" x14ac:dyDescent="0.2">
      <c r="A2" s="214" t="s">
        <v>141</v>
      </c>
      <c r="B2" s="215"/>
      <c r="C2" s="215"/>
      <c r="D2" s="215"/>
      <c r="E2" s="215"/>
      <c r="F2" s="215"/>
      <c r="G2" s="215"/>
      <c r="H2" s="215"/>
      <c r="I2" s="215"/>
      <c r="J2" s="215"/>
      <c r="K2" s="215"/>
      <c r="L2" s="215"/>
      <c r="M2" s="215"/>
      <c r="N2" s="215"/>
      <c r="O2" s="215"/>
      <c r="P2" s="215"/>
      <c r="Q2" s="215"/>
      <c r="R2" s="215"/>
      <c r="S2" s="215"/>
      <c r="T2" s="216"/>
    </row>
    <row r="3" spans="1:20" ht="24" x14ac:dyDescent="0.2">
      <c r="A3" s="105" t="s">
        <v>118</v>
      </c>
      <c r="B3" s="105" t="s">
        <v>96</v>
      </c>
      <c r="C3" s="105" t="s">
        <v>138</v>
      </c>
      <c r="D3" s="105" t="s">
        <v>137</v>
      </c>
      <c r="E3" s="105" t="s">
        <v>132</v>
      </c>
      <c r="F3" s="105" t="s">
        <v>136</v>
      </c>
      <c r="G3" s="105"/>
      <c r="H3" s="105" t="s">
        <v>117</v>
      </c>
      <c r="I3" s="105" t="s">
        <v>109</v>
      </c>
      <c r="J3" s="105" t="s">
        <v>130</v>
      </c>
      <c r="K3" s="105" t="s">
        <v>113</v>
      </c>
      <c r="L3" s="105"/>
      <c r="M3" s="105" t="s">
        <v>114</v>
      </c>
      <c r="N3" s="105" t="s">
        <v>110</v>
      </c>
      <c r="O3" s="105" t="s">
        <v>115</v>
      </c>
      <c r="P3" s="105" t="s">
        <v>151</v>
      </c>
      <c r="Q3" s="105" t="s">
        <v>1</v>
      </c>
      <c r="R3" s="105" t="s">
        <v>135</v>
      </c>
      <c r="S3" s="105" t="s">
        <v>119</v>
      </c>
      <c r="T3" s="105" t="s">
        <v>139</v>
      </c>
    </row>
    <row r="4" spans="1:20" ht="15.75" customHeight="1" x14ac:dyDescent="0.2">
      <c r="A4" s="106" t="s">
        <v>116</v>
      </c>
      <c r="B4" s="106" t="s">
        <v>112</v>
      </c>
      <c r="C4" s="107">
        <v>4</v>
      </c>
      <c r="D4" s="108">
        <v>2.4</v>
      </c>
      <c r="E4" s="108">
        <f t="shared" ref="E4:E13" si="0">D4*C4</f>
        <v>9.6</v>
      </c>
      <c r="F4" s="107">
        <v>32</v>
      </c>
      <c r="G4" s="107"/>
      <c r="H4" s="109" t="s">
        <v>111</v>
      </c>
      <c r="I4" s="110">
        <v>8129</v>
      </c>
      <c r="J4" s="110">
        <f>4*353</f>
        <v>1412</v>
      </c>
      <c r="K4" s="110">
        <v>256</v>
      </c>
      <c r="L4" s="110"/>
      <c r="M4" s="110">
        <f>150+240+1267</f>
        <v>1657</v>
      </c>
      <c r="N4" s="110">
        <v>4827</v>
      </c>
      <c r="O4" s="110">
        <v>1172</v>
      </c>
      <c r="P4" s="110"/>
      <c r="Q4" s="110">
        <f t="shared" ref="Q4:Q13" si="1">SUM(I4:O4)</f>
        <v>17453</v>
      </c>
      <c r="R4" s="110">
        <f t="shared" ref="R4:R13" si="2">Q4/(D4*C4)</f>
        <v>1818.0208333333335</v>
      </c>
      <c r="S4" s="110">
        <f>1338*8</f>
        <v>10704</v>
      </c>
      <c r="T4" s="110">
        <f t="shared" ref="T4:T14" si="3">S4/F4</f>
        <v>334.5</v>
      </c>
    </row>
    <row r="5" spans="1:20" ht="15.75" customHeight="1" x14ac:dyDescent="0.2">
      <c r="A5" s="106" t="s">
        <v>120</v>
      </c>
      <c r="B5" s="106" t="s">
        <v>112</v>
      </c>
      <c r="C5" s="107">
        <v>4</v>
      </c>
      <c r="D5" s="108">
        <v>2.4</v>
      </c>
      <c r="E5" s="108">
        <f t="shared" si="0"/>
        <v>9.6</v>
      </c>
      <c r="F5" s="107">
        <v>32</v>
      </c>
      <c r="G5" s="107"/>
      <c r="H5" s="109" t="s">
        <v>111</v>
      </c>
      <c r="I5" s="110">
        <v>8129</v>
      </c>
      <c r="J5" s="110">
        <f>4*353</f>
        <v>1412</v>
      </c>
      <c r="K5" s="110">
        <v>256</v>
      </c>
      <c r="L5" s="110"/>
      <c r="M5" s="110">
        <f>150+240+1267</f>
        <v>1657</v>
      </c>
      <c r="N5" s="110">
        <v>4827</v>
      </c>
      <c r="O5" s="110">
        <v>1172</v>
      </c>
      <c r="P5" s="110"/>
      <c r="Q5" s="110">
        <f t="shared" si="1"/>
        <v>17453</v>
      </c>
      <c r="R5" s="110">
        <f t="shared" si="2"/>
        <v>1818.0208333333335</v>
      </c>
      <c r="S5" s="110">
        <f>1338*8</f>
        <v>10704</v>
      </c>
      <c r="T5" s="110">
        <f t="shared" si="3"/>
        <v>334.5</v>
      </c>
    </row>
    <row r="6" spans="1:20" ht="15.75" customHeight="1" x14ac:dyDescent="0.2">
      <c r="A6" s="106" t="s">
        <v>121</v>
      </c>
      <c r="B6" s="106" t="s">
        <v>122</v>
      </c>
      <c r="C6" s="107">
        <v>4</v>
      </c>
      <c r="D6" s="108">
        <v>2</v>
      </c>
      <c r="E6" s="108">
        <f t="shared" si="0"/>
        <v>8</v>
      </c>
      <c r="F6" s="107">
        <v>16</v>
      </c>
      <c r="G6" s="107"/>
      <c r="H6" s="109" t="s">
        <v>123</v>
      </c>
      <c r="I6" s="110">
        <v>3356</v>
      </c>
      <c r="J6" s="110">
        <v>1140</v>
      </c>
      <c r="K6" s="110">
        <v>550</v>
      </c>
      <c r="L6" s="110"/>
      <c r="M6" s="110">
        <v>905</v>
      </c>
      <c r="N6" s="110">
        <v>5470.3</v>
      </c>
      <c r="O6" s="110">
        <v>1198.96</v>
      </c>
      <c r="P6" s="110"/>
      <c r="Q6" s="110">
        <f t="shared" si="1"/>
        <v>12620.259999999998</v>
      </c>
      <c r="R6" s="110">
        <f t="shared" si="2"/>
        <v>1577.5324999999998</v>
      </c>
      <c r="S6" s="110">
        <v>4376</v>
      </c>
      <c r="T6" s="110">
        <f t="shared" si="3"/>
        <v>273.5</v>
      </c>
    </row>
    <row r="7" spans="1:20" ht="15.75" customHeight="1" x14ac:dyDescent="0.2">
      <c r="A7" s="106" t="s">
        <v>124</v>
      </c>
      <c r="B7" s="106" t="s">
        <v>122</v>
      </c>
      <c r="C7" s="107">
        <v>4</v>
      </c>
      <c r="D7" s="108">
        <v>2</v>
      </c>
      <c r="E7" s="108">
        <f t="shared" si="0"/>
        <v>8</v>
      </c>
      <c r="F7" s="107">
        <v>16</v>
      </c>
      <c r="G7" s="107"/>
      <c r="H7" s="109" t="s">
        <v>123</v>
      </c>
      <c r="I7" s="110">
        <v>3356</v>
      </c>
      <c r="J7" s="110">
        <v>1140</v>
      </c>
      <c r="K7" s="110">
        <v>550</v>
      </c>
      <c r="L7" s="110"/>
      <c r="M7" s="110">
        <v>905</v>
      </c>
      <c r="N7" s="110">
        <v>5470.3</v>
      </c>
      <c r="O7" s="110">
        <v>1198.96</v>
      </c>
      <c r="P7" s="110"/>
      <c r="Q7" s="110">
        <f t="shared" si="1"/>
        <v>12620.259999999998</v>
      </c>
      <c r="R7" s="110">
        <f t="shared" si="2"/>
        <v>1577.5324999999998</v>
      </c>
      <c r="S7" s="110">
        <v>4376</v>
      </c>
      <c r="T7" s="110">
        <f t="shared" si="3"/>
        <v>273.5</v>
      </c>
    </row>
    <row r="8" spans="1:20" ht="15.75" customHeight="1" x14ac:dyDescent="0.2">
      <c r="A8" s="106" t="s">
        <v>125</v>
      </c>
      <c r="B8" s="106" t="s">
        <v>122</v>
      </c>
      <c r="C8" s="107">
        <v>4</v>
      </c>
      <c r="D8" s="108">
        <v>2</v>
      </c>
      <c r="E8" s="108">
        <f t="shared" si="0"/>
        <v>8</v>
      </c>
      <c r="F8" s="107">
        <v>16</v>
      </c>
      <c r="G8" s="107"/>
      <c r="H8" s="109" t="s">
        <v>123</v>
      </c>
      <c r="I8" s="110">
        <v>3356</v>
      </c>
      <c r="J8" s="110">
        <v>1140</v>
      </c>
      <c r="K8" s="110">
        <v>550</v>
      </c>
      <c r="L8" s="110"/>
      <c r="M8" s="110">
        <v>905</v>
      </c>
      <c r="N8" s="110">
        <v>5470.3</v>
      </c>
      <c r="O8" s="110">
        <v>1198.96</v>
      </c>
      <c r="P8" s="110"/>
      <c r="Q8" s="110">
        <f t="shared" si="1"/>
        <v>12620.259999999998</v>
      </c>
      <c r="R8" s="110">
        <f t="shared" si="2"/>
        <v>1577.5324999999998</v>
      </c>
      <c r="S8" s="110">
        <v>4376</v>
      </c>
      <c r="T8" s="110">
        <f t="shared" si="3"/>
        <v>273.5</v>
      </c>
    </row>
    <row r="9" spans="1:20" ht="15.75" customHeight="1" x14ac:dyDescent="0.2">
      <c r="A9" s="106" t="s">
        <v>126</v>
      </c>
      <c r="B9" s="106" t="s">
        <v>122</v>
      </c>
      <c r="C9" s="107">
        <v>4</v>
      </c>
      <c r="D9" s="108">
        <v>2</v>
      </c>
      <c r="E9" s="108">
        <f t="shared" si="0"/>
        <v>8</v>
      </c>
      <c r="F9" s="107">
        <v>16</v>
      </c>
      <c r="G9" s="107"/>
      <c r="H9" s="109" t="s">
        <v>123</v>
      </c>
      <c r="I9" s="110">
        <v>3356</v>
      </c>
      <c r="J9" s="110">
        <v>1140</v>
      </c>
      <c r="K9" s="110">
        <v>550</v>
      </c>
      <c r="L9" s="110"/>
      <c r="M9" s="110">
        <v>905</v>
      </c>
      <c r="N9" s="110">
        <v>5470.3</v>
      </c>
      <c r="O9" s="110">
        <v>1198.96</v>
      </c>
      <c r="P9" s="110"/>
      <c r="Q9" s="110">
        <f t="shared" si="1"/>
        <v>12620.259999999998</v>
      </c>
      <c r="R9" s="110">
        <f t="shared" si="2"/>
        <v>1577.5324999999998</v>
      </c>
      <c r="S9" s="110">
        <v>4376</v>
      </c>
      <c r="T9" s="110">
        <f t="shared" si="3"/>
        <v>273.5</v>
      </c>
    </row>
    <row r="10" spans="1:20" ht="15.75" customHeight="1" x14ac:dyDescent="0.2">
      <c r="A10" s="106" t="s">
        <v>127</v>
      </c>
      <c r="B10" s="106" t="s">
        <v>122</v>
      </c>
      <c r="C10" s="107">
        <v>4</v>
      </c>
      <c r="D10" s="108">
        <v>2</v>
      </c>
      <c r="E10" s="108">
        <f t="shared" si="0"/>
        <v>8</v>
      </c>
      <c r="F10" s="107">
        <v>16</v>
      </c>
      <c r="G10" s="107"/>
      <c r="H10" s="109" t="s">
        <v>123</v>
      </c>
      <c r="I10" s="110">
        <v>3356</v>
      </c>
      <c r="J10" s="110">
        <v>1140</v>
      </c>
      <c r="K10" s="110">
        <v>550</v>
      </c>
      <c r="L10" s="110"/>
      <c r="M10" s="110">
        <v>905</v>
      </c>
      <c r="N10" s="110">
        <v>5050.32</v>
      </c>
      <c r="O10" s="110">
        <v>1198.96</v>
      </c>
      <c r="P10" s="110"/>
      <c r="Q10" s="110">
        <f t="shared" si="1"/>
        <v>12200.279999999999</v>
      </c>
      <c r="R10" s="110">
        <f t="shared" si="2"/>
        <v>1525.0349999999999</v>
      </c>
      <c r="S10" s="110">
        <v>4376</v>
      </c>
      <c r="T10" s="110">
        <f t="shared" si="3"/>
        <v>273.5</v>
      </c>
    </row>
    <row r="11" spans="1:20" ht="15.75" customHeight="1" x14ac:dyDescent="0.2">
      <c r="A11" s="106" t="s">
        <v>140</v>
      </c>
      <c r="B11" s="106" t="s">
        <v>122</v>
      </c>
      <c r="C11" s="107">
        <v>2</v>
      </c>
      <c r="D11" s="108">
        <v>2</v>
      </c>
      <c r="E11" s="108">
        <f t="shared" si="0"/>
        <v>4</v>
      </c>
      <c r="F11" s="107">
        <v>4</v>
      </c>
      <c r="G11" s="107"/>
      <c r="H11" s="109" t="s">
        <v>123</v>
      </c>
      <c r="I11" s="110">
        <v>3356</v>
      </c>
      <c r="J11" s="110">
        <v>1140</v>
      </c>
      <c r="K11" s="110">
        <v>550</v>
      </c>
      <c r="L11" s="110"/>
      <c r="M11" s="110">
        <v>905</v>
      </c>
      <c r="N11" s="110">
        <v>5050.32</v>
      </c>
      <c r="O11" s="110">
        <v>1198.96</v>
      </c>
      <c r="P11" s="110"/>
      <c r="Q11" s="110">
        <f t="shared" si="1"/>
        <v>12200.279999999999</v>
      </c>
      <c r="R11" s="110">
        <f t="shared" si="2"/>
        <v>3050.0699999999997</v>
      </c>
      <c r="S11" s="110">
        <f>4376/4</f>
        <v>1094</v>
      </c>
      <c r="T11" s="110">
        <f t="shared" si="3"/>
        <v>273.5</v>
      </c>
    </row>
    <row r="12" spans="1:20" ht="15.75" customHeight="1" x14ac:dyDescent="0.2">
      <c r="A12" s="106" t="s">
        <v>128</v>
      </c>
      <c r="B12" s="106" t="s">
        <v>108</v>
      </c>
      <c r="C12" s="107">
        <v>4</v>
      </c>
      <c r="D12" s="108">
        <v>2.4</v>
      </c>
      <c r="E12" s="108">
        <f t="shared" si="0"/>
        <v>9.6</v>
      </c>
      <c r="F12" s="107">
        <v>8</v>
      </c>
      <c r="G12" s="107"/>
      <c r="H12" s="109" t="s">
        <v>131</v>
      </c>
      <c r="I12" s="110">
        <v>2862</v>
      </c>
      <c r="J12" s="110">
        <v>482</v>
      </c>
      <c r="K12" s="110">
        <v>550</v>
      </c>
      <c r="L12" s="110"/>
      <c r="M12" s="110">
        <v>1490</v>
      </c>
      <c r="N12" s="110">
        <v>5050.32</v>
      </c>
      <c r="O12" s="110">
        <v>1198.96</v>
      </c>
      <c r="P12" s="110"/>
      <c r="Q12" s="110">
        <f t="shared" si="1"/>
        <v>11633.279999999999</v>
      </c>
      <c r="R12" s="110">
        <f t="shared" si="2"/>
        <v>1211.8</v>
      </c>
      <c r="S12" s="110">
        <v>1700</v>
      </c>
      <c r="T12" s="110">
        <f t="shared" si="3"/>
        <v>212.5</v>
      </c>
    </row>
    <row r="13" spans="1:20" ht="15.75" customHeight="1" thickBot="1" x14ac:dyDescent="0.25">
      <c r="A13" s="111" t="s">
        <v>129</v>
      </c>
      <c r="B13" s="111" t="s">
        <v>108</v>
      </c>
      <c r="C13" s="112">
        <v>4</v>
      </c>
      <c r="D13" s="113">
        <v>2.4</v>
      </c>
      <c r="E13" s="113">
        <f t="shared" si="0"/>
        <v>9.6</v>
      </c>
      <c r="F13" s="112">
        <v>8</v>
      </c>
      <c r="G13" s="112"/>
      <c r="H13" s="114" t="s">
        <v>131</v>
      </c>
      <c r="I13" s="115">
        <v>2862</v>
      </c>
      <c r="J13" s="115">
        <v>482</v>
      </c>
      <c r="K13" s="115">
        <v>550</v>
      </c>
      <c r="L13" s="115"/>
      <c r="M13" s="115">
        <v>1490</v>
      </c>
      <c r="N13" s="115">
        <v>4827</v>
      </c>
      <c r="O13" s="115">
        <v>1172</v>
      </c>
      <c r="P13" s="115"/>
      <c r="Q13" s="115">
        <f t="shared" si="1"/>
        <v>11383</v>
      </c>
      <c r="R13" s="110">
        <f t="shared" si="2"/>
        <v>1185.7291666666667</v>
      </c>
      <c r="S13" s="115">
        <v>1700</v>
      </c>
      <c r="T13" s="115">
        <f t="shared" si="3"/>
        <v>212.5</v>
      </c>
    </row>
    <row r="14" spans="1:20" ht="15.75" customHeight="1" thickBot="1" x14ac:dyDescent="0.25">
      <c r="A14" s="116" t="s">
        <v>133</v>
      </c>
      <c r="B14" s="117"/>
      <c r="C14" s="118"/>
      <c r="D14" s="119">
        <f>AVERAGE(D4:D13)</f>
        <v>2.1599999999999997</v>
      </c>
      <c r="E14" s="119">
        <f>SUM(E4:E13)</f>
        <v>82.399999999999991</v>
      </c>
      <c r="F14" s="120">
        <f>SUM(F4:F13)</f>
        <v>164</v>
      </c>
      <c r="G14" s="120"/>
      <c r="H14" s="121"/>
      <c r="I14" s="122"/>
      <c r="J14" s="122"/>
      <c r="K14" s="122"/>
      <c r="L14" s="122"/>
      <c r="M14" s="122"/>
      <c r="N14" s="122"/>
      <c r="O14" s="122"/>
      <c r="P14" s="122"/>
      <c r="Q14" s="123">
        <f>SUM(Q4:Q13)</f>
        <v>132803.87999999998</v>
      </c>
      <c r="R14" s="123">
        <f>Q14/E14</f>
        <v>1611.6975728155339</v>
      </c>
      <c r="S14" s="123">
        <f>SUM(S4:S13)</f>
        <v>47782</v>
      </c>
      <c r="T14" s="124">
        <f t="shared" si="3"/>
        <v>291.35365853658539</v>
      </c>
    </row>
    <row r="16" spans="1:20" ht="15" customHeight="1" x14ac:dyDescent="0.2">
      <c r="A16" s="214" t="s">
        <v>155</v>
      </c>
      <c r="B16" s="215"/>
      <c r="C16" s="215"/>
      <c r="D16" s="215"/>
      <c r="E16" s="215"/>
      <c r="F16" s="215"/>
      <c r="G16" s="215"/>
      <c r="H16" s="215"/>
      <c r="I16" s="215"/>
      <c r="J16" s="215"/>
      <c r="K16" s="215"/>
      <c r="L16" s="215"/>
      <c r="M16" s="215"/>
      <c r="N16" s="215"/>
      <c r="O16" s="215"/>
      <c r="P16" s="215"/>
      <c r="Q16" s="215"/>
      <c r="R16" s="215"/>
      <c r="S16" s="215"/>
      <c r="T16" s="216"/>
    </row>
    <row r="17" spans="1:20" ht="24" x14ac:dyDescent="0.2">
      <c r="A17" s="105" t="s">
        <v>3</v>
      </c>
      <c r="B17" s="105" t="s">
        <v>96</v>
      </c>
      <c r="C17" s="105" t="s">
        <v>138</v>
      </c>
      <c r="D17" s="105" t="s">
        <v>137</v>
      </c>
      <c r="E17" s="105" t="s">
        <v>132</v>
      </c>
      <c r="F17" s="105" t="s">
        <v>136</v>
      </c>
      <c r="G17" s="105" t="s">
        <v>144</v>
      </c>
      <c r="H17" s="105" t="s">
        <v>117</v>
      </c>
      <c r="I17" s="105" t="s">
        <v>109</v>
      </c>
      <c r="J17" s="105" t="s">
        <v>130</v>
      </c>
      <c r="K17" s="105" t="s">
        <v>113</v>
      </c>
      <c r="L17" s="105" t="s">
        <v>149</v>
      </c>
      <c r="M17" s="105" t="s">
        <v>150</v>
      </c>
      <c r="N17" s="105" t="s">
        <v>110</v>
      </c>
      <c r="O17" s="105" t="s">
        <v>115</v>
      </c>
      <c r="P17" s="105" t="s">
        <v>151</v>
      </c>
      <c r="Q17" s="105" t="s">
        <v>1</v>
      </c>
      <c r="R17" s="105" t="s">
        <v>135</v>
      </c>
      <c r="S17" s="105" t="s">
        <v>119</v>
      </c>
      <c r="T17" s="105" t="s">
        <v>139</v>
      </c>
    </row>
    <row r="18" spans="1:20" ht="15.75" customHeight="1" x14ac:dyDescent="0.2">
      <c r="A18" s="106">
        <v>7</v>
      </c>
      <c r="B18" s="106" t="s">
        <v>142</v>
      </c>
      <c r="C18" s="107">
        <v>4</v>
      </c>
      <c r="D18" s="108">
        <v>2</v>
      </c>
      <c r="E18" s="108">
        <f>D18*C18*A18</f>
        <v>56</v>
      </c>
      <c r="F18" s="107">
        <v>16</v>
      </c>
      <c r="G18" s="107">
        <f>A18*F18</f>
        <v>112</v>
      </c>
      <c r="H18" s="109" t="s">
        <v>123</v>
      </c>
      <c r="I18" s="110">
        <f>3356-750</f>
        <v>2606</v>
      </c>
      <c r="J18" s="110">
        <v>1140</v>
      </c>
      <c r="K18" s="110">
        <v>550</v>
      </c>
      <c r="L18" s="110">
        <v>905</v>
      </c>
      <c r="M18" s="110">
        <v>919</v>
      </c>
      <c r="N18" s="110"/>
      <c r="O18" s="110"/>
      <c r="P18" s="110">
        <f>SUM(I18:O18)</f>
        <v>6120</v>
      </c>
      <c r="Q18" s="110">
        <f>SUM(I18:O18)*A18</f>
        <v>42840</v>
      </c>
      <c r="R18" s="110">
        <f>Q18/(D18*C18*A18)</f>
        <v>765</v>
      </c>
      <c r="S18" s="110">
        <f>A18*4376</f>
        <v>30632</v>
      </c>
      <c r="T18" s="110">
        <f>S18/G18</f>
        <v>273.5</v>
      </c>
    </row>
    <row r="19" spans="1:20" ht="15.75" customHeight="1" x14ac:dyDescent="0.2">
      <c r="A19" s="106">
        <v>1</v>
      </c>
      <c r="B19" s="106" t="s">
        <v>147</v>
      </c>
      <c r="C19" s="107">
        <v>4</v>
      </c>
      <c r="D19" s="108">
        <v>2.4</v>
      </c>
      <c r="E19" s="108">
        <f>D19*C19*A19</f>
        <v>9.6</v>
      </c>
      <c r="F19" s="107">
        <v>14</v>
      </c>
      <c r="G19" s="107">
        <f>A19*F19</f>
        <v>14</v>
      </c>
      <c r="H19" s="109" t="s">
        <v>148</v>
      </c>
      <c r="I19" s="110">
        <f>2561-750</f>
        <v>1811</v>
      </c>
      <c r="J19" s="110">
        <v>648</v>
      </c>
      <c r="K19" s="110">
        <v>256</v>
      </c>
      <c r="L19" s="110">
        <v>508</v>
      </c>
      <c r="M19" s="110">
        <v>919</v>
      </c>
      <c r="N19" s="110"/>
      <c r="O19" s="110"/>
      <c r="P19" s="110">
        <f>SUM(I19:O19)</f>
        <v>4142</v>
      </c>
      <c r="Q19" s="110">
        <f>SUM(I19:O19)*A19</f>
        <v>4142</v>
      </c>
      <c r="R19" s="110"/>
      <c r="S19" s="110">
        <v>2890</v>
      </c>
      <c r="T19" s="110">
        <f>S19/G19</f>
        <v>206.42857142857142</v>
      </c>
    </row>
    <row r="20" spans="1:20" ht="15.75" customHeight="1" thickBot="1" x14ac:dyDescent="0.25">
      <c r="A20" s="106">
        <v>26</v>
      </c>
      <c r="B20" s="125" t="s">
        <v>143</v>
      </c>
      <c r="C20" s="107">
        <v>4</v>
      </c>
      <c r="D20" s="108">
        <v>2.4</v>
      </c>
      <c r="E20" s="108">
        <f>D20*C20*A20</f>
        <v>249.6</v>
      </c>
      <c r="F20" s="107">
        <v>8</v>
      </c>
      <c r="G20" s="107">
        <f>A20*F20</f>
        <v>208</v>
      </c>
      <c r="H20" s="109" t="s">
        <v>131</v>
      </c>
      <c r="I20" s="110">
        <f>2862-750</f>
        <v>2112</v>
      </c>
      <c r="J20" s="110">
        <v>482</v>
      </c>
      <c r="K20" s="110">
        <v>550</v>
      </c>
      <c r="L20" s="110">
        <v>1490</v>
      </c>
      <c r="M20" s="110">
        <v>919</v>
      </c>
      <c r="N20" s="110"/>
      <c r="O20" s="110"/>
      <c r="P20" s="110">
        <f>SUM(I20:O20)</f>
        <v>5553</v>
      </c>
      <c r="Q20" s="110">
        <f>SUM(I20:O20)*A20</f>
        <v>144378</v>
      </c>
      <c r="R20" s="110">
        <f>Q20/(D20*C20*A20)</f>
        <v>578.4375</v>
      </c>
      <c r="S20" s="110">
        <f>1700*A20</f>
        <v>44200</v>
      </c>
      <c r="T20" s="110">
        <f>S20/G20</f>
        <v>212.5</v>
      </c>
    </row>
    <row r="21" spans="1:20" ht="15.75" customHeight="1" thickBot="1" x14ac:dyDescent="0.25">
      <c r="A21" s="116" t="s">
        <v>133</v>
      </c>
      <c r="B21" s="117"/>
      <c r="C21" s="118"/>
      <c r="D21" s="119"/>
      <c r="E21" s="119">
        <f>SUM(E18:E20)</f>
        <v>315.2</v>
      </c>
      <c r="F21" s="120">
        <f>SUM(G18:G20)</f>
        <v>334</v>
      </c>
      <c r="G21" s="120">
        <f>SUM(G18:G20)</f>
        <v>334</v>
      </c>
      <c r="H21" s="121"/>
      <c r="I21" s="122"/>
      <c r="J21" s="122"/>
      <c r="K21" s="122"/>
      <c r="L21" s="122"/>
      <c r="M21" s="122"/>
      <c r="N21" s="122"/>
      <c r="O21" s="122"/>
      <c r="P21" s="122"/>
      <c r="Q21" s="123">
        <f>SUM(Q18:Q20)</f>
        <v>191360</v>
      </c>
      <c r="R21" s="123">
        <f>Q21/(E21)</f>
        <v>607.10659898477161</v>
      </c>
      <c r="S21" s="123">
        <f>SUM(S18:S20)</f>
        <v>77722</v>
      </c>
      <c r="T21" s="124">
        <f>S21/G21</f>
        <v>232.70059880239521</v>
      </c>
    </row>
    <row r="23" spans="1:20" ht="15" customHeight="1" x14ac:dyDescent="0.2">
      <c r="A23" s="214" t="s">
        <v>145</v>
      </c>
      <c r="B23" s="215"/>
      <c r="C23" s="215"/>
      <c r="D23" s="215"/>
      <c r="E23" s="215"/>
      <c r="F23" s="215"/>
      <c r="G23" s="215"/>
      <c r="H23" s="215"/>
      <c r="I23" s="215"/>
      <c r="J23" s="215"/>
      <c r="K23" s="215"/>
      <c r="L23" s="215"/>
      <c r="M23" s="215"/>
      <c r="N23" s="215"/>
      <c r="O23" s="215"/>
      <c r="P23" s="215"/>
      <c r="Q23" s="215"/>
      <c r="R23" s="215"/>
      <c r="S23" s="215"/>
      <c r="T23" s="216"/>
    </row>
    <row r="24" spans="1:20" ht="24" x14ac:dyDescent="0.2">
      <c r="A24" s="105" t="s">
        <v>3</v>
      </c>
      <c r="B24" s="105" t="s">
        <v>96</v>
      </c>
      <c r="C24" s="105" t="s">
        <v>138</v>
      </c>
      <c r="D24" s="105" t="s">
        <v>137</v>
      </c>
      <c r="E24" s="105" t="s">
        <v>132</v>
      </c>
      <c r="F24" s="105" t="s">
        <v>136</v>
      </c>
      <c r="G24" s="105" t="s">
        <v>144</v>
      </c>
      <c r="H24" s="105" t="s">
        <v>117</v>
      </c>
      <c r="I24" s="105" t="s">
        <v>109</v>
      </c>
      <c r="J24" s="105" t="s">
        <v>130</v>
      </c>
      <c r="K24" s="105" t="s">
        <v>113</v>
      </c>
      <c r="L24" s="105" t="s">
        <v>149</v>
      </c>
      <c r="M24" s="105" t="s">
        <v>150</v>
      </c>
      <c r="N24" s="105" t="s">
        <v>110</v>
      </c>
      <c r="O24" s="105" t="s">
        <v>115</v>
      </c>
      <c r="P24" s="105" t="s">
        <v>151</v>
      </c>
      <c r="Q24" s="105" t="s">
        <v>1</v>
      </c>
      <c r="R24" s="105" t="s">
        <v>135</v>
      </c>
      <c r="S24" s="105" t="s">
        <v>119</v>
      </c>
      <c r="T24" s="105" t="s">
        <v>139</v>
      </c>
    </row>
    <row r="25" spans="1:20" ht="15.75" customHeight="1" x14ac:dyDescent="0.2">
      <c r="A25" s="106">
        <v>7</v>
      </c>
      <c r="B25" s="106" t="s">
        <v>142</v>
      </c>
      <c r="C25" s="107">
        <v>4</v>
      </c>
      <c r="D25" s="108">
        <v>2</v>
      </c>
      <c r="E25" s="108">
        <f>D25*C25*A25</f>
        <v>56</v>
      </c>
      <c r="F25" s="107">
        <v>16</v>
      </c>
      <c r="G25" s="107">
        <f>A25*F25</f>
        <v>112</v>
      </c>
      <c r="H25" s="109" t="s">
        <v>123</v>
      </c>
      <c r="I25" s="126">
        <f>3356</f>
        <v>3356</v>
      </c>
      <c r="J25" s="110">
        <v>1140</v>
      </c>
      <c r="K25" s="110">
        <v>550</v>
      </c>
      <c r="L25" s="110">
        <v>905</v>
      </c>
      <c r="M25" s="110">
        <v>919</v>
      </c>
      <c r="N25" s="110"/>
      <c r="O25" s="110"/>
      <c r="P25" s="110">
        <f>SUM(I25:O25)</f>
        <v>6870</v>
      </c>
      <c r="Q25" s="110">
        <f>SUM(I25:O25)*A25</f>
        <v>48090</v>
      </c>
      <c r="R25" s="110">
        <f>Q25/(D25*C25*A25)</f>
        <v>858.75</v>
      </c>
      <c r="S25" s="110">
        <f>A25*4376</f>
        <v>30632</v>
      </c>
      <c r="T25" s="110">
        <f>S25/G25</f>
        <v>273.5</v>
      </c>
    </row>
    <row r="26" spans="1:20" ht="15.75" customHeight="1" x14ac:dyDescent="0.2">
      <c r="A26" s="106">
        <v>1</v>
      </c>
      <c r="B26" s="106" t="s">
        <v>147</v>
      </c>
      <c r="C26" s="107">
        <v>4</v>
      </c>
      <c r="D26" s="108">
        <v>2.4</v>
      </c>
      <c r="E26" s="108">
        <f>D26*C26*A26</f>
        <v>9.6</v>
      </c>
      <c r="F26" s="107">
        <v>14</v>
      </c>
      <c r="G26" s="107">
        <f>A26*F26</f>
        <v>14</v>
      </c>
      <c r="H26" s="109" t="s">
        <v>148</v>
      </c>
      <c r="I26" s="110">
        <f>2561</f>
        <v>2561</v>
      </c>
      <c r="J26" s="110">
        <v>648</v>
      </c>
      <c r="K26" s="110">
        <v>256</v>
      </c>
      <c r="L26" s="110">
        <v>508</v>
      </c>
      <c r="M26" s="110">
        <v>919</v>
      </c>
      <c r="N26" s="110"/>
      <c r="O26" s="110"/>
      <c r="P26" s="110">
        <f>SUM(I26:O26)</f>
        <v>4892</v>
      </c>
      <c r="Q26" s="110">
        <f>SUM(I26:O26)*A26</f>
        <v>4892</v>
      </c>
      <c r="R26" s="110"/>
      <c r="S26" s="110">
        <v>2890</v>
      </c>
      <c r="T26" s="110">
        <f>S26/G26</f>
        <v>206.42857142857142</v>
      </c>
    </row>
    <row r="27" spans="1:20" ht="15.75" customHeight="1" thickBot="1" x14ac:dyDescent="0.25">
      <c r="A27" s="106">
        <v>26</v>
      </c>
      <c r="B27" s="125" t="s">
        <v>143</v>
      </c>
      <c r="C27" s="107">
        <v>4</v>
      </c>
      <c r="D27" s="108">
        <v>2.4</v>
      </c>
      <c r="E27" s="108">
        <f>D27*C27*A27</f>
        <v>249.6</v>
      </c>
      <c r="F27" s="107">
        <v>8</v>
      </c>
      <c r="G27" s="107">
        <f>A27*F27</f>
        <v>208</v>
      </c>
      <c r="H27" s="109" t="s">
        <v>131</v>
      </c>
      <c r="I27" s="110">
        <f>2862</f>
        <v>2862</v>
      </c>
      <c r="J27" s="110">
        <v>482</v>
      </c>
      <c r="K27" s="110">
        <v>550</v>
      </c>
      <c r="L27" s="110">
        <v>1490</v>
      </c>
      <c r="M27" s="110">
        <v>919</v>
      </c>
      <c r="N27" s="110"/>
      <c r="O27" s="110"/>
      <c r="P27" s="110">
        <f>SUM(I27:O27)</f>
        <v>6303</v>
      </c>
      <c r="Q27" s="110">
        <f>SUM(I27:O27)*A27</f>
        <v>163878</v>
      </c>
      <c r="R27" s="110">
        <f>Q27/(D27*C27*A27)</f>
        <v>656.5625</v>
      </c>
      <c r="S27" s="110">
        <f>1700*A27</f>
        <v>44200</v>
      </c>
      <c r="T27" s="110">
        <f>S27/G27</f>
        <v>212.5</v>
      </c>
    </row>
    <row r="28" spans="1:20" ht="15.75" customHeight="1" thickBot="1" x14ac:dyDescent="0.25">
      <c r="A28" s="116" t="s">
        <v>133</v>
      </c>
      <c r="B28" s="117"/>
      <c r="C28" s="118"/>
      <c r="D28" s="119"/>
      <c r="E28" s="119">
        <f>SUM(E25:E27)</f>
        <v>315.2</v>
      </c>
      <c r="F28" s="120">
        <f>SUM(G25:G27)</f>
        <v>334</v>
      </c>
      <c r="G28" s="120">
        <f>SUM(G25:G27)</f>
        <v>334</v>
      </c>
      <c r="H28" s="121"/>
      <c r="I28" s="122"/>
      <c r="J28" s="122"/>
      <c r="K28" s="122"/>
      <c r="L28" s="122"/>
      <c r="M28" s="122"/>
      <c r="N28" s="122"/>
      <c r="O28" s="122"/>
      <c r="P28" s="122"/>
      <c r="Q28" s="123">
        <f>SUM(Q25:Q27)</f>
        <v>216860</v>
      </c>
      <c r="R28" s="123">
        <f>Q28/(E28)</f>
        <v>688.00761421319794</v>
      </c>
      <c r="S28" s="123">
        <f>SUM(S25:S27)</f>
        <v>77722</v>
      </c>
      <c r="T28" s="124">
        <f>S28/G28</f>
        <v>232.70059880239521</v>
      </c>
    </row>
    <row r="30" spans="1:20" ht="15" customHeight="1" x14ac:dyDescent="0.2">
      <c r="A30" s="214" t="s">
        <v>146</v>
      </c>
      <c r="B30" s="215"/>
      <c r="C30" s="215"/>
      <c r="D30" s="215"/>
      <c r="E30" s="215"/>
      <c r="F30" s="215"/>
      <c r="G30" s="215"/>
      <c r="H30" s="215"/>
      <c r="I30" s="215"/>
      <c r="J30" s="215"/>
      <c r="K30" s="215"/>
      <c r="L30" s="215"/>
      <c r="M30" s="215"/>
      <c r="N30" s="215"/>
      <c r="O30" s="215"/>
      <c r="P30" s="215"/>
      <c r="Q30" s="215"/>
      <c r="R30" s="215"/>
      <c r="S30" s="215"/>
      <c r="T30" s="216"/>
    </row>
    <row r="31" spans="1:20" ht="24" x14ac:dyDescent="0.2">
      <c r="A31" s="105" t="s">
        <v>3</v>
      </c>
      <c r="B31" s="105" t="s">
        <v>96</v>
      </c>
      <c r="C31" s="105" t="s">
        <v>138</v>
      </c>
      <c r="D31" s="105" t="s">
        <v>137</v>
      </c>
      <c r="E31" s="105" t="s">
        <v>132</v>
      </c>
      <c r="F31" s="105" t="s">
        <v>136</v>
      </c>
      <c r="G31" s="105" t="s">
        <v>144</v>
      </c>
      <c r="H31" s="105" t="s">
        <v>117</v>
      </c>
      <c r="I31" s="105" t="s">
        <v>109</v>
      </c>
      <c r="J31" s="105" t="s">
        <v>130</v>
      </c>
      <c r="K31" s="105" t="s">
        <v>113</v>
      </c>
      <c r="L31" s="105" t="s">
        <v>149</v>
      </c>
      <c r="M31" s="105" t="s">
        <v>150</v>
      </c>
      <c r="N31" s="105" t="s">
        <v>110</v>
      </c>
      <c r="O31" s="105" t="s">
        <v>115</v>
      </c>
      <c r="P31" s="105" t="s">
        <v>151</v>
      </c>
      <c r="Q31" s="105" t="s">
        <v>1</v>
      </c>
      <c r="R31" s="105" t="s">
        <v>135</v>
      </c>
      <c r="S31" s="105" t="s">
        <v>119</v>
      </c>
      <c r="T31" s="105" t="s">
        <v>139</v>
      </c>
    </row>
    <row r="32" spans="1:20" ht="15.75" customHeight="1" x14ac:dyDescent="0.2">
      <c r="A32" s="106">
        <v>2</v>
      </c>
      <c r="B32" s="106" t="s">
        <v>154</v>
      </c>
      <c r="C32" s="107">
        <v>8</v>
      </c>
      <c r="D32" s="108">
        <v>2.4</v>
      </c>
      <c r="E32" s="108">
        <f>D32*C32*A32</f>
        <v>38.4</v>
      </c>
      <c r="F32" s="107">
        <v>32</v>
      </c>
      <c r="G32" s="107">
        <f>F32*A32</f>
        <v>64</v>
      </c>
      <c r="H32" s="109" t="s">
        <v>111</v>
      </c>
      <c r="I32" s="110">
        <f>8129+3049</f>
        <v>11178</v>
      </c>
      <c r="J32" s="110">
        <v>1059</v>
      </c>
      <c r="K32" s="110">
        <v>256</v>
      </c>
      <c r="L32" s="110">
        <v>390</v>
      </c>
      <c r="M32" s="110">
        <v>1267</v>
      </c>
      <c r="N32" s="110"/>
      <c r="O32" s="110"/>
      <c r="P32" s="110">
        <f>SUM(I32:O32)</f>
        <v>14150</v>
      </c>
      <c r="Q32" s="110">
        <f>SUM(I32:O32)*A32</f>
        <v>28300</v>
      </c>
      <c r="R32" s="110">
        <f>Q32/(D32*C32*A32)</f>
        <v>736.97916666666674</v>
      </c>
      <c r="S32" s="110">
        <f>1338*8*A32</f>
        <v>21408</v>
      </c>
      <c r="T32" s="110">
        <f>S32/(F32*A32)</f>
        <v>334.5</v>
      </c>
    </row>
    <row r="33" spans="1:20" ht="15.75" customHeight="1" thickBot="1" x14ac:dyDescent="0.25">
      <c r="A33" s="106">
        <v>1</v>
      </c>
      <c r="B33" s="106" t="s">
        <v>152</v>
      </c>
      <c r="C33" s="107">
        <v>8</v>
      </c>
      <c r="D33" s="108">
        <v>2.4</v>
      </c>
      <c r="E33" s="108">
        <f>D33*C33*A33</f>
        <v>19.2</v>
      </c>
      <c r="F33" s="107">
        <v>28</v>
      </c>
      <c r="G33" s="107">
        <f>F33*A33</f>
        <v>28</v>
      </c>
      <c r="H33" s="109" t="s">
        <v>153</v>
      </c>
      <c r="I33" s="110">
        <v>9134</v>
      </c>
      <c r="J33" s="110">
        <v>648</v>
      </c>
      <c r="K33" s="110">
        <v>256</v>
      </c>
      <c r="L33" s="110">
        <v>274</v>
      </c>
      <c r="M33" s="110">
        <v>1267</v>
      </c>
      <c r="N33" s="110"/>
      <c r="O33" s="110"/>
      <c r="P33" s="110">
        <f>SUM(I33:O33)</f>
        <v>11579</v>
      </c>
      <c r="Q33" s="110">
        <f>SUM(I33:O33)*A33</f>
        <v>11579</v>
      </c>
      <c r="R33" s="110">
        <f>Q33/(D33*C33*A33)</f>
        <v>603.07291666666674</v>
      </c>
      <c r="S33" s="110">
        <v>6230</v>
      </c>
      <c r="T33" s="110">
        <f>S33/(F33*A33)</f>
        <v>222.5</v>
      </c>
    </row>
    <row r="34" spans="1:20" ht="15.75" customHeight="1" thickBot="1" x14ac:dyDescent="0.25">
      <c r="A34" s="116" t="s">
        <v>133</v>
      </c>
      <c r="B34" s="117"/>
      <c r="C34" s="118"/>
      <c r="D34" s="119"/>
      <c r="E34" s="119">
        <f>SUM(E32:E33)</f>
        <v>57.599999999999994</v>
      </c>
      <c r="F34" s="120">
        <f>SUM(G32:G32)</f>
        <v>64</v>
      </c>
      <c r="G34" s="120">
        <f>SUM(G32:G33)</f>
        <v>92</v>
      </c>
      <c r="H34" s="121"/>
      <c r="I34" s="122"/>
      <c r="J34" s="122"/>
      <c r="K34" s="122"/>
      <c r="L34" s="122"/>
      <c r="M34" s="122"/>
      <c r="N34" s="122"/>
      <c r="O34" s="122"/>
      <c r="P34" s="122"/>
      <c r="Q34" s="123">
        <f>SUM(Q32:Q33)</f>
        <v>39879</v>
      </c>
      <c r="R34" s="123">
        <f>Q34/(E34)</f>
        <v>692.34375000000011</v>
      </c>
      <c r="S34" s="123">
        <f>SUM(S32:S33)</f>
        <v>27638</v>
      </c>
      <c r="T34" s="124">
        <f>S34/G34</f>
        <v>300.41304347826087</v>
      </c>
    </row>
    <row r="36" spans="1:20" ht="37.5" customHeight="1" x14ac:dyDescent="0.2">
      <c r="G36" s="214" t="s">
        <v>156</v>
      </c>
      <c r="H36" s="215"/>
    </row>
    <row r="37" spans="1:20" x14ac:dyDescent="0.2">
      <c r="B37" s="127"/>
      <c r="G37" s="128">
        <v>1</v>
      </c>
      <c r="H37" s="110">
        <f>Q21/SUM(A18:A20)</f>
        <v>5628.2352941176468</v>
      </c>
    </row>
    <row r="38" spans="1:20" x14ac:dyDescent="0.2">
      <c r="B38" s="127"/>
      <c r="G38" s="128">
        <v>2</v>
      </c>
      <c r="H38" s="110">
        <f>Q21/SUM(A18:A20)</f>
        <v>5628.2352941176468</v>
      </c>
    </row>
    <row r="39" spans="1:20" x14ac:dyDescent="0.2">
      <c r="G39" s="128">
        <v>4</v>
      </c>
      <c r="H39" s="110">
        <f>Q28/SUM(A25:A27)</f>
        <v>6378.2352941176468</v>
      </c>
    </row>
    <row r="40" spans="1:20" x14ac:dyDescent="0.2">
      <c r="G40" s="128">
        <v>8</v>
      </c>
      <c r="H40" s="110">
        <f>Q34/SUM(A32:A33)</f>
        <v>13293</v>
      </c>
    </row>
    <row r="42" spans="1:20" ht="49.5" customHeight="1" x14ac:dyDescent="0.2">
      <c r="G42" s="210" t="s">
        <v>157</v>
      </c>
      <c r="H42" s="210"/>
    </row>
    <row r="43" spans="1:20" x14ac:dyDescent="0.2">
      <c r="G43" s="128"/>
      <c r="H43" s="129">
        <v>18174</v>
      </c>
    </row>
  </sheetData>
  <sheetProtection scenarios="1" selectLockedCells="1"/>
  <mergeCells count="7">
    <mergeCell ref="G42:H42"/>
    <mergeCell ref="A1:T1"/>
    <mergeCell ref="A2:T2"/>
    <mergeCell ref="A16:T16"/>
    <mergeCell ref="A23:T23"/>
    <mergeCell ref="A30:T30"/>
    <mergeCell ref="G36:H36"/>
  </mergeCells>
  <phoneticPr fontId="30" type="noConversion"/>
  <pageMargins left="0.75" right="0.75" top="1" bottom="1" header="0.5" footer="0.5"/>
  <pageSetup scale="5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M6:M42"/>
  <sheetViews>
    <sheetView showGridLines="0" tabSelected="1" workbookViewId="0"/>
  </sheetViews>
  <sheetFormatPr defaultColWidth="9.140625" defaultRowHeight="12.75" x14ac:dyDescent="0.2"/>
  <sheetData>
    <row r="6" spans="13:13" x14ac:dyDescent="0.2">
      <c r="M6" s="156"/>
    </row>
    <row r="11" spans="13:13" x14ac:dyDescent="0.2">
      <c r="M11" s="156"/>
    </row>
    <row r="18" spans="13:13" x14ac:dyDescent="0.2">
      <c r="M18" s="158"/>
    </row>
    <row r="33" spans="13:13" x14ac:dyDescent="0.2">
      <c r="M33" s="156"/>
    </row>
    <row r="42" spans="13:13" x14ac:dyDescent="0.2">
      <c r="M42" s="156"/>
    </row>
  </sheetData>
  <phoneticPr fontId="0" type="noConversion"/>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B1:E16"/>
  <sheetViews>
    <sheetView showGridLines="0" workbookViewId="0">
      <selection activeCell="B15" sqref="B15:E15"/>
    </sheetView>
  </sheetViews>
  <sheetFormatPr defaultColWidth="10" defaultRowHeight="11.25" x14ac:dyDescent="0.15"/>
  <cols>
    <col min="1" max="1" width="0.7109375" style="137" customWidth="1"/>
    <col min="2" max="2" width="10.7109375" style="137" customWidth="1"/>
    <col min="3" max="3" width="23.7109375" style="137" customWidth="1"/>
    <col min="4" max="4" width="69" style="137" customWidth="1"/>
    <col min="5" max="5" width="10.7109375" style="137" customWidth="1"/>
    <col min="6" max="16384" width="10" style="137"/>
  </cols>
  <sheetData>
    <row r="1" spans="2:5" ht="26.25" customHeight="1" x14ac:dyDescent="0.15"/>
    <row r="2" spans="2:5" ht="36" customHeight="1" thickBot="1" x14ac:dyDescent="0.25">
      <c r="B2" s="217" t="s">
        <v>257</v>
      </c>
      <c r="C2" s="218"/>
      <c r="D2" s="218"/>
      <c r="E2" s="219"/>
    </row>
    <row r="3" spans="2:5" ht="10.5" customHeight="1" thickTop="1" x14ac:dyDescent="0.15">
      <c r="B3" s="142"/>
      <c r="C3" s="143"/>
      <c r="D3" s="143"/>
      <c r="E3" s="144"/>
    </row>
    <row r="4" spans="2:5" ht="15.95" customHeight="1" x14ac:dyDescent="0.2">
      <c r="B4" s="220"/>
      <c r="C4" s="221"/>
      <c r="D4" s="221"/>
      <c r="E4" s="222"/>
    </row>
    <row r="5" spans="2:5" ht="9" customHeight="1" x14ac:dyDescent="0.15">
      <c r="B5" s="145"/>
      <c r="C5" s="146"/>
      <c r="D5" s="146"/>
      <c r="E5" s="147"/>
    </row>
    <row r="6" spans="2:5" ht="18.95" customHeight="1" x14ac:dyDescent="0.15">
      <c r="B6" s="145"/>
      <c r="C6" s="160" t="s">
        <v>258</v>
      </c>
      <c r="D6" s="153"/>
      <c r="E6" s="147"/>
    </row>
    <row r="7" spans="2:5" ht="18.95" customHeight="1" x14ac:dyDescent="0.15">
      <c r="B7" s="145"/>
      <c r="C7" s="161" t="s">
        <v>259</v>
      </c>
      <c r="D7" s="154"/>
      <c r="E7" s="147"/>
    </row>
    <row r="8" spans="2:5" ht="18.95" customHeight="1" x14ac:dyDescent="0.15">
      <c r="B8" s="145"/>
      <c r="C8" s="161" t="s">
        <v>260</v>
      </c>
      <c r="D8" s="154"/>
      <c r="E8" s="147"/>
    </row>
    <row r="9" spans="2:5" ht="18.95" customHeight="1" x14ac:dyDescent="0.15">
      <c r="B9" s="145"/>
      <c r="C9" s="161" t="s">
        <v>255</v>
      </c>
      <c r="D9" s="154"/>
      <c r="E9" s="147"/>
    </row>
    <row r="10" spans="2:5" ht="18.95" customHeight="1" x14ac:dyDescent="0.15">
      <c r="B10" s="145"/>
      <c r="C10" s="161" t="s">
        <v>256</v>
      </c>
      <c r="D10" s="154"/>
      <c r="E10" s="147"/>
    </row>
    <row r="11" spans="2:5" ht="18.95" customHeight="1" x14ac:dyDescent="0.15">
      <c r="B11" s="145"/>
      <c r="C11" s="162" t="s">
        <v>261</v>
      </c>
      <c r="D11" s="159"/>
      <c r="E11" s="147"/>
    </row>
    <row r="12" spans="2:5" ht="15.95" customHeight="1" x14ac:dyDescent="0.2">
      <c r="B12" s="145"/>
      <c r="C12" s="163"/>
      <c r="D12" s="148"/>
      <c r="E12" s="147"/>
    </row>
    <row r="13" spans="2:5" ht="18.95" customHeight="1" x14ac:dyDescent="0.15">
      <c r="B13" s="145"/>
      <c r="C13" s="164" t="s">
        <v>262</v>
      </c>
      <c r="D13" s="155"/>
      <c r="E13" s="147"/>
    </row>
    <row r="14" spans="2:5" ht="12" customHeight="1" x14ac:dyDescent="0.15">
      <c r="B14" s="145"/>
      <c r="C14" s="146"/>
      <c r="D14" s="146"/>
      <c r="E14" s="149"/>
    </row>
    <row r="15" spans="2:5" ht="15.95" customHeight="1" x14ac:dyDescent="0.25">
      <c r="B15" s="223" t="s">
        <v>274</v>
      </c>
      <c r="C15" s="224"/>
      <c r="D15" s="224"/>
      <c r="E15" s="225"/>
    </row>
    <row r="16" spans="2:5" ht="7.5" customHeight="1" x14ac:dyDescent="0.15">
      <c r="B16" s="150"/>
      <c r="C16" s="151"/>
      <c r="D16" s="151"/>
      <c r="E16" s="152"/>
    </row>
  </sheetData>
  <mergeCells count="3">
    <mergeCell ref="B2:E2"/>
    <mergeCell ref="B4:E4"/>
    <mergeCell ref="B15:E15"/>
  </mergeCells>
  <phoneticPr fontId="0" type="noConversion"/>
  <dataValidations count="1">
    <dataValidation type="list" allowBlank="1" showInputMessage="1" showErrorMessage="1" sqref="D13">
      <formula1>"NSO, Ministry, Academic Institution, NGO, Private Sector,other"</formula1>
    </dataValidation>
  </dataValidations>
  <printOptions horizontalCentered="1" gridLinesSet="0"/>
  <pageMargins left="0.74803149606299202" right="0.74803149606299202" top="0.74803149606299202" bottom="0.74803149606299202" header="0.511811023622047" footer="0.74803149606299202"/>
  <pageSetup orientation="landscape" horizontalDpi="4294967293"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J66"/>
  <sheetViews>
    <sheetView showGridLines="0" zoomScaleNormal="100" zoomScaleSheetLayoutView="62" workbookViewId="0">
      <pane ySplit="3" topLeftCell="A7" activePane="bottomLeft" state="frozen"/>
      <selection pane="bottomLeft" activeCell="H3" sqref="H3"/>
    </sheetView>
  </sheetViews>
  <sheetFormatPr defaultColWidth="9.140625" defaultRowHeight="12.75" x14ac:dyDescent="0.2"/>
  <cols>
    <col min="1" max="1" width="66.85546875" style="2" customWidth="1"/>
    <col min="2" max="4" width="10.7109375" style="2" hidden="1" customWidth="1"/>
    <col min="5" max="5" width="19.7109375" style="2" customWidth="1"/>
    <col min="6" max="6" width="21.7109375" style="2" customWidth="1"/>
    <col min="7" max="7" width="38.5703125" style="2" customWidth="1"/>
    <col min="8" max="8" width="34.7109375" style="2" customWidth="1"/>
  </cols>
  <sheetData>
    <row r="1" spans="1:10" ht="96" customHeight="1" x14ac:dyDescent="0.2">
      <c r="A1" s="232" t="s">
        <v>268</v>
      </c>
      <c r="B1" s="233"/>
      <c r="C1" s="233"/>
      <c r="D1" s="233"/>
      <c r="E1" s="233"/>
      <c r="F1" s="233"/>
      <c r="G1" s="233"/>
      <c r="H1" s="233"/>
      <c r="J1" s="157"/>
    </row>
    <row r="2" spans="1:10" ht="39" customHeight="1" x14ac:dyDescent="0.2">
      <c r="A2" s="229" t="s">
        <v>273</v>
      </c>
      <c r="B2" s="230"/>
      <c r="C2" s="230"/>
      <c r="D2" s="230"/>
      <c r="E2" s="230"/>
      <c r="F2" s="230"/>
      <c r="G2" s="230"/>
      <c r="H2" s="231"/>
    </row>
    <row r="3" spans="1:10" ht="83.25" customHeight="1" x14ac:dyDescent="0.2">
      <c r="A3" s="138" t="s">
        <v>246</v>
      </c>
      <c r="B3" s="139"/>
      <c r="C3" s="139"/>
      <c r="D3" s="139"/>
      <c r="E3" s="140" t="s">
        <v>269</v>
      </c>
      <c r="F3" s="141" t="s">
        <v>270</v>
      </c>
      <c r="G3" s="141" t="s">
        <v>271</v>
      </c>
      <c r="H3" s="140" t="s">
        <v>272</v>
      </c>
    </row>
    <row r="4" spans="1:10" ht="36" customHeight="1" thickBot="1" x14ac:dyDescent="0.25">
      <c r="A4" s="226" t="s">
        <v>254</v>
      </c>
      <c r="B4" s="227"/>
      <c r="C4" s="227"/>
      <c r="D4" s="227"/>
      <c r="E4" s="227"/>
      <c r="F4" s="227"/>
      <c r="G4" s="227"/>
      <c r="H4" s="228"/>
    </row>
    <row r="5" spans="1:10" ht="29.25" customHeight="1" thickBot="1" x14ac:dyDescent="0.25">
      <c r="A5" s="135" t="s">
        <v>198</v>
      </c>
      <c r="B5" s="130" t="e">
        <f>FIND(".",#REF!)+1</f>
        <v>#REF!</v>
      </c>
      <c r="C5" s="131" t="e">
        <f>FIND(".",#REF!,B5)+1</f>
        <v>#REF!</v>
      </c>
      <c r="D5" s="133" t="e">
        <f>FIND(".",#REF!,C5)+1</f>
        <v>#REF!</v>
      </c>
      <c r="E5" s="132"/>
      <c r="F5" s="134"/>
      <c r="G5" s="134"/>
      <c r="H5" s="134"/>
    </row>
    <row r="6" spans="1:10" ht="29.25" customHeight="1" thickBot="1" x14ac:dyDescent="0.25">
      <c r="A6" s="135" t="s">
        <v>199</v>
      </c>
      <c r="B6" s="130" t="e">
        <f>FIND(".",#REF!)+1</f>
        <v>#REF!</v>
      </c>
      <c r="C6" s="131" t="e">
        <f>FIND(".",#REF!,B6)+1</f>
        <v>#REF!</v>
      </c>
      <c r="D6" s="133" t="e">
        <f>FIND(".",#REF!,C6)+1</f>
        <v>#REF!</v>
      </c>
      <c r="E6" s="132"/>
      <c r="F6" s="134"/>
      <c r="G6" s="134"/>
      <c r="H6" s="134"/>
    </row>
    <row r="7" spans="1:10" ht="29.25" customHeight="1" thickBot="1" x14ac:dyDescent="0.25">
      <c r="A7" s="135" t="s">
        <v>200</v>
      </c>
      <c r="B7" s="130" t="e">
        <f>FIND(".",#REF!)+1</f>
        <v>#REF!</v>
      </c>
      <c r="C7" s="131" t="e">
        <f>FIND(".",#REF!,B7)+1</f>
        <v>#REF!</v>
      </c>
      <c r="D7" s="133" t="e">
        <f>FIND(".",#REF!,C7)+1</f>
        <v>#REF!</v>
      </c>
      <c r="E7" s="132"/>
      <c r="F7" s="134"/>
      <c r="G7" s="134"/>
      <c r="H7" s="134"/>
    </row>
    <row r="8" spans="1:10" ht="29.25" customHeight="1" x14ac:dyDescent="0.2">
      <c r="A8" s="135" t="s">
        <v>201</v>
      </c>
      <c r="B8" s="130" t="e">
        <f>FIND(".",#REF!)+1</f>
        <v>#REF!</v>
      </c>
      <c r="C8" s="131" t="e">
        <f>FIND(".",#REF!,B8)+1</f>
        <v>#REF!</v>
      </c>
      <c r="D8" s="133" t="e">
        <f>FIND(".",#REF!,C8)+1</f>
        <v>#REF!</v>
      </c>
      <c r="E8" s="132"/>
      <c r="F8" s="134"/>
      <c r="G8" s="134"/>
      <c r="H8" s="134"/>
    </row>
    <row r="9" spans="1:10" ht="34.5" customHeight="1" thickBot="1" x14ac:dyDescent="0.25">
      <c r="A9" s="226" t="s">
        <v>247</v>
      </c>
      <c r="B9" s="227"/>
      <c r="C9" s="227"/>
      <c r="D9" s="227"/>
      <c r="E9" s="227"/>
      <c r="F9" s="227"/>
      <c r="G9" s="227"/>
      <c r="H9" s="228"/>
    </row>
    <row r="10" spans="1:10" ht="29.25" customHeight="1" thickBot="1" x14ac:dyDescent="0.25">
      <c r="A10" s="135" t="s">
        <v>202</v>
      </c>
      <c r="B10" s="130" t="e">
        <f>FIND(".",#REF!)+1</f>
        <v>#REF!</v>
      </c>
      <c r="C10" s="131" t="e">
        <f>FIND(".",#REF!,B10)+1</f>
        <v>#REF!</v>
      </c>
      <c r="D10" s="133" t="e">
        <f>FIND(".",#REF!,C10)+1</f>
        <v>#REF!</v>
      </c>
      <c r="E10" s="132"/>
      <c r="F10" s="134"/>
      <c r="G10" s="134"/>
      <c r="H10" s="134"/>
    </row>
    <row r="11" spans="1:10" ht="29.25" customHeight="1" thickBot="1" x14ac:dyDescent="0.25">
      <c r="A11" s="135" t="s">
        <v>203</v>
      </c>
      <c r="B11" s="130" t="e">
        <f>FIND(".",#REF!)+1</f>
        <v>#REF!</v>
      </c>
      <c r="C11" s="131" t="e">
        <f>FIND(".",#REF!,B11)+1</f>
        <v>#REF!</v>
      </c>
      <c r="D11" s="133" t="e">
        <f>FIND(".",#REF!,C11)+1</f>
        <v>#REF!</v>
      </c>
      <c r="E11" s="132"/>
      <c r="F11" s="134"/>
      <c r="G11" s="134"/>
      <c r="H11" s="134"/>
    </row>
    <row r="12" spans="1:10" ht="29.25" customHeight="1" thickBot="1" x14ac:dyDescent="0.25">
      <c r="A12" s="135" t="s">
        <v>204</v>
      </c>
      <c r="B12" s="130" t="e">
        <f>FIND(".",#REF!)+1</f>
        <v>#REF!</v>
      </c>
      <c r="C12" s="131" t="e">
        <f>FIND(".",#REF!,B12)+1</f>
        <v>#REF!</v>
      </c>
      <c r="D12" s="133" t="e">
        <f>FIND(".",#REF!,C12)+1</f>
        <v>#REF!</v>
      </c>
      <c r="E12" s="132"/>
      <c r="F12" s="134"/>
      <c r="G12" s="134"/>
      <c r="H12" s="134"/>
    </row>
    <row r="13" spans="1:10" ht="29.25" customHeight="1" x14ac:dyDescent="0.2">
      <c r="A13" s="135" t="s">
        <v>205</v>
      </c>
      <c r="B13" s="130" t="e">
        <f>FIND(".",#REF!)+1</f>
        <v>#REF!</v>
      </c>
      <c r="C13" s="131" t="e">
        <f>FIND(".",#REF!,B13)+1</f>
        <v>#REF!</v>
      </c>
      <c r="D13" s="133" t="e">
        <f>FIND(".",#REF!,C13)+1</f>
        <v>#REF!</v>
      </c>
      <c r="E13" s="132"/>
      <c r="F13" s="134"/>
      <c r="G13" s="134"/>
      <c r="H13" s="134"/>
    </row>
    <row r="14" spans="1:10" ht="32.25" customHeight="1" thickBot="1" x14ac:dyDescent="0.25">
      <c r="A14" s="226" t="s">
        <v>248</v>
      </c>
      <c r="B14" s="227"/>
      <c r="C14" s="227"/>
      <c r="D14" s="227"/>
      <c r="E14" s="227"/>
      <c r="F14" s="227"/>
      <c r="G14" s="227"/>
      <c r="H14" s="228"/>
    </row>
    <row r="15" spans="1:10" ht="29.25" customHeight="1" thickBot="1" x14ac:dyDescent="0.25">
      <c r="A15" s="135" t="s">
        <v>206</v>
      </c>
      <c r="B15" s="130" t="e">
        <f>FIND(".",#REF!)+1</f>
        <v>#REF!</v>
      </c>
      <c r="C15" s="131" t="e">
        <f>FIND(".",#REF!,B15)+1</f>
        <v>#REF!</v>
      </c>
      <c r="D15" s="133" t="e">
        <f>FIND(".",#REF!,C15)+1</f>
        <v>#REF!</v>
      </c>
      <c r="E15" s="132"/>
      <c r="F15" s="134"/>
      <c r="G15" s="134"/>
      <c r="H15" s="134"/>
    </row>
    <row r="16" spans="1:10" ht="29.25" customHeight="1" thickBot="1" x14ac:dyDescent="0.25">
      <c r="A16" s="135" t="s">
        <v>207</v>
      </c>
      <c r="B16" s="130" t="e">
        <f>FIND(".",#REF!)+1</f>
        <v>#REF!</v>
      </c>
      <c r="C16" s="131" t="e">
        <f>FIND(".",#REF!,B16)+1</f>
        <v>#REF!</v>
      </c>
      <c r="D16" s="133" t="e">
        <f>FIND(".",#REF!,C16)+1</f>
        <v>#REF!</v>
      </c>
      <c r="E16" s="132"/>
      <c r="F16" s="134"/>
      <c r="G16" s="134"/>
      <c r="H16" s="134"/>
    </row>
    <row r="17" spans="1:8" ht="29.25" customHeight="1" x14ac:dyDescent="0.2">
      <c r="A17" s="135" t="s">
        <v>208</v>
      </c>
      <c r="B17" s="130" t="e">
        <f>FIND(".",#REF!)+1</f>
        <v>#REF!</v>
      </c>
      <c r="C17" s="131" t="e">
        <f>FIND(".",#REF!,B17)+1</f>
        <v>#REF!</v>
      </c>
      <c r="D17" s="133" t="e">
        <f>FIND(".",#REF!,C17)+1</f>
        <v>#REF!</v>
      </c>
      <c r="E17" s="132"/>
      <c r="F17" s="134"/>
      <c r="G17" s="134"/>
      <c r="H17" s="134"/>
    </row>
    <row r="18" spans="1:8" ht="33" customHeight="1" thickBot="1" x14ac:dyDescent="0.25">
      <c r="A18" s="226" t="s">
        <v>263</v>
      </c>
      <c r="B18" s="227"/>
      <c r="C18" s="227"/>
      <c r="D18" s="227"/>
      <c r="E18" s="227"/>
      <c r="F18" s="227"/>
      <c r="G18" s="227"/>
      <c r="H18" s="228"/>
    </row>
    <row r="19" spans="1:8" ht="29.25" customHeight="1" thickBot="1" x14ac:dyDescent="0.25">
      <c r="A19" s="135" t="s">
        <v>209</v>
      </c>
      <c r="B19" s="130" t="e">
        <f>FIND(".",#REF!)+1</f>
        <v>#REF!</v>
      </c>
      <c r="C19" s="131" t="e">
        <f>FIND(".",#REF!,B19)+1</f>
        <v>#REF!</v>
      </c>
      <c r="D19" s="133" t="e">
        <f>FIND(".",#REF!,C19)+1</f>
        <v>#REF!</v>
      </c>
      <c r="E19" s="132"/>
      <c r="F19" s="134"/>
      <c r="G19" s="134"/>
      <c r="H19" s="134"/>
    </row>
    <row r="20" spans="1:8" ht="29.25" customHeight="1" thickBot="1" x14ac:dyDescent="0.25">
      <c r="A20" s="135" t="s">
        <v>210</v>
      </c>
      <c r="B20" s="130" t="e">
        <f>FIND(".",#REF!)+1</f>
        <v>#REF!</v>
      </c>
      <c r="C20" s="131" t="e">
        <f>FIND(".",#REF!,B20)+1</f>
        <v>#REF!</v>
      </c>
      <c r="D20" s="133" t="e">
        <f>FIND(".",#REF!,C20)+1</f>
        <v>#REF!</v>
      </c>
      <c r="E20" s="132"/>
      <c r="F20" s="134"/>
      <c r="G20" s="134"/>
      <c r="H20" s="134"/>
    </row>
    <row r="21" spans="1:8" ht="29.25" customHeight="1" thickBot="1" x14ac:dyDescent="0.25">
      <c r="A21" s="135" t="s">
        <v>211</v>
      </c>
      <c r="B21" s="130" t="e">
        <f>FIND(".",#REF!)+1</f>
        <v>#REF!</v>
      </c>
      <c r="C21" s="131" t="e">
        <f>FIND(".",#REF!,B21)+1</f>
        <v>#REF!</v>
      </c>
      <c r="D21" s="133" t="e">
        <f>FIND(".",#REF!,C21)+1</f>
        <v>#REF!</v>
      </c>
      <c r="E21" s="132"/>
      <c r="F21" s="134"/>
      <c r="G21" s="134"/>
      <c r="H21" s="134"/>
    </row>
    <row r="22" spans="1:8" ht="29.25" customHeight="1" thickBot="1" x14ac:dyDescent="0.25">
      <c r="A22" s="135" t="s">
        <v>212</v>
      </c>
      <c r="B22" s="130" t="e">
        <f>FIND(".",#REF!)+1</f>
        <v>#REF!</v>
      </c>
      <c r="C22" s="131" t="e">
        <f>FIND(".",#REF!,B22)+1</f>
        <v>#REF!</v>
      </c>
      <c r="D22" s="133" t="e">
        <f>FIND(".",#REF!,C22)+1</f>
        <v>#REF!</v>
      </c>
      <c r="E22" s="132"/>
      <c r="F22" s="134"/>
      <c r="G22" s="134"/>
      <c r="H22" s="134"/>
    </row>
    <row r="23" spans="1:8" ht="29.25" customHeight="1" thickBot="1" x14ac:dyDescent="0.25">
      <c r="A23" s="135" t="s">
        <v>213</v>
      </c>
      <c r="B23" s="130" t="e">
        <f>FIND(".",#REF!)+1</f>
        <v>#REF!</v>
      </c>
      <c r="C23" s="131" t="e">
        <f>FIND(".",#REF!,B23)+1</f>
        <v>#REF!</v>
      </c>
      <c r="D23" s="133" t="e">
        <f>FIND(".",#REF!,C23)+1</f>
        <v>#REF!</v>
      </c>
      <c r="E23" s="132"/>
      <c r="F23" s="134"/>
      <c r="G23" s="134"/>
      <c r="H23" s="134"/>
    </row>
    <row r="24" spans="1:8" ht="29.25" customHeight="1" thickBot="1" x14ac:dyDescent="0.25">
      <c r="A24" s="135" t="s">
        <v>214</v>
      </c>
      <c r="B24" s="130" t="e">
        <f>FIND(".",#REF!)+1</f>
        <v>#REF!</v>
      </c>
      <c r="C24" s="131" t="e">
        <f>FIND(".",#REF!,B24)+1</f>
        <v>#REF!</v>
      </c>
      <c r="D24" s="133" t="e">
        <f>FIND(".",#REF!,C24)+1</f>
        <v>#REF!</v>
      </c>
      <c r="E24" s="132"/>
      <c r="F24" s="134"/>
      <c r="G24" s="134"/>
      <c r="H24" s="134"/>
    </row>
    <row r="25" spans="1:8" ht="29.25" customHeight="1" thickBot="1" x14ac:dyDescent="0.25">
      <c r="A25" s="135" t="s">
        <v>215</v>
      </c>
      <c r="B25" s="130" t="e">
        <f>FIND(".",#REF!)+1</f>
        <v>#REF!</v>
      </c>
      <c r="C25" s="131" t="e">
        <f>FIND(".",#REF!,B25)+1</f>
        <v>#REF!</v>
      </c>
      <c r="D25" s="133" t="e">
        <f>FIND(".",#REF!,C25)+1</f>
        <v>#REF!</v>
      </c>
      <c r="E25" s="132"/>
      <c r="F25" s="134"/>
      <c r="G25" s="134"/>
      <c r="H25" s="134"/>
    </row>
    <row r="26" spans="1:8" ht="29.25" customHeight="1" thickBot="1" x14ac:dyDescent="0.25">
      <c r="A26" s="135" t="s">
        <v>216</v>
      </c>
      <c r="B26" s="130" t="e">
        <f>FIND(".",#REF!)+1</f>
        <v>#REF!</v>
      </c>
      <c r="C26" s="131" t="e">
        <f>FIND(".",#REF!,B26)+1</f>
        <v>#REF!</v>
      </c>
      <c r="D26" s="133" t="e">
        <f>FIND(".",#REF!,C26)+1</f>
        <v>#REF!</v>
      </c>
      <c r="E26" s="132"/>
      <c r="F26" s="134"/>
      <c r="G26" s="134"/>
      <c r="H26" s="134"/>
    </row>
    <row r="27" spans="1:8" ht="29.25" customHeight="1" thickBot="1" x14ac:dyDescent="0.25">
      <c r="A27" s="135" t="s">
        <v>217</v>
      </c>
      <c r="B27" s="130" t="e">
        <f>FIND(".",#REF!)+1</f>
        <v>#REF!</v>
      </c>
      <c r="C27" s="131" t="e">
        <f>FIND(".",#REF!,B27)+1</f>
        <v>#REF!</v>
      </c>
      <c r="D27" s="133" t="e">
        <f>FIND(".",#REF!,C27)+1</f>
        <v>#REF!</v>
      </c>
      <c r="E27" s="132"/>
      <c r="F27" s="134"/>
      <c r="G27" s="134"/>
      <c r="H27" s="134"/>
    </row>
    <row r="28" spans="1:8" ht="29.25" customHeight="1" thickBot="1" x14ac:dyDescent="0.25">
      <c r="A28" s="135" t="s">
        <v>218</v>
      </c>
      <c r="B28" s="130" t="e">
        <f>FIND(".",#REF!)+1</f>
        <v>#REF!</v>
      </c>
      <c r="C28" s="131" t="e">
        <f>FIND(".",#REF!,B28)+1</f>
        <v>#REF!</v>
      </c>
      <c r="D28" s="133" t="e">
        <f>FIND(".",#REF!,C28)+1</f>
        <v>#REF!</v>
      </c>
      <c r="E28" s="132"/>
      <c r="F28" s="134"/>
      <c r="G28" s="134"/>
      <c r="H28" s="134"/>
    </row>
    <row r="29" spans="1:8" ht="29.25" customHeight="1" x14ac:dyDescent="0.2">
      <c r="A29" s="135" t="s">
        <v>219</v>
      </c>
      <c r="B29" s="130" t="e">
        <f>FIND(".",#REF!)+1</f>
        <v>#REF!</v>
      </c>
      <c r="C29" s="131" t="e">
        <f>FIND(".",#REF!,B29)+1</f>
        <v>#REF!</v>
      </c>
      <c r="D29" s="133" t="e">
        <f>FIND(".",#REF!,C29)+1</f>
        <v>#REF!</v>
      </c>
      <c r="E29" s="132"/>
      <c r="F29" s="134"/>
      <c r="G29" s="134"/>
      <c r="H29" s="134"/>
    </row>
    <row r="30" spans="1:8" ht="31.5" customHeight="1" thickBot="1" x14ac:dyDescent="0.25">
      <c r="A30" s="226" t="s">
        <v>249</v>
      </c>
      <c r="B30" s="227"/>
      <c r="C30" s="227"/>
      <c r="D30" s="227"/>
      <c r="E30" s="227"/>
      <c r="F30" s="227"/>
      <c r="G30" s="227"/>
      <c r="H30" s="228"/>
    </row>
    <row r="31" spans="1:8" ht="29.25" customHeight="1" thickBot="1" x14ac:dyDescent="0.25">
      <c r="A31" s="135" t="s">
        <v>220</v>
      </c>
      <c r="B31" s="130" t="e">
        <f>FIND(".",#REF!)+1</f>
        <v>#REF!</v>
      </c>
      <c r="C31" s="131" t="e">
        <f>FIND(".",#REF!,B31)+1</f>
        <v>#REF!</v>
      </c>
      <c r="D31" s="133" t="e">
        <f>FIND(".",#REF!,C31)+1</f>
        <v>#REF!</v>
      </c>
      <c r="E31" s="132"/>
      <c r="F31" s="134"/>
      <c r="G31" s="134"/>
      <c r="H31" s="134"/>
    </row>
    <row r="32" spans="1:8" ht="29.25" customHeight="1" thickBot="1" x14ac:dyDescent="0.25">
      <c r="A32" s="135" t="s">
        <v>221</v>
      </c>
      <c r="B32" s="130" t="e">
        <f>FIND(".",#REF!)+1</f>
        <v>#REF!</v>
      </c>
      <c r="C32" s="131" t="e">
        <f>FIND(".",#REF!,B32)+1</f>
        <v>#REF!</v>
      </c>
      <c r="D32" s="133" t="e">
        <f>FIND(".",#REF!,C32)+1</f>
        <v>#REF!</v>
      </c>
      <c r="E32" s="132"/>
      <c r="F32" s="134"/>
      <c r="G32" s="134"/>
      <c r="H32" s="134"/>
    </row>
    <row r="33" spans="1:8" ht="29.25" customHeight="1" x14ac:dyDescent="0.2">
      <c r="A33" s="135" t="s">
        <v>222</v>
      </c>
      <c r="B33" s="130" t="e">
        <f>FIND(".",#REF!)+1</f>
        <v>#REF!</v>
      </c>
      <c r="C33" s="131" t="e">
        <f>FIND(".",#REF!,B33)+1</f>
        <v>#REF!</v>
      </c>
      <c r="D33" s="133" t="e">
        <f>FIND(".",#REF!,C33)+1</f>
        <v>#REF!</v>
      </c>
      <c r="E33" s="132"/>
      <c r="F33" s="134"/>
      <c r="G33" s="134"/>
      <c r="H33" s="134"/>
    </row>
    <row r="34" spans="1:8" ht="35.25" customHeight="1" thickBot="1" x14ac:dyDescent="0.25">
      <c r="A34" s="226" t="s">
        <v>250</v>
      </c>
      <c r="B34" s="227"/>
      <c r="C34" s="227"/>
      <c r="D34" s="227"/>
      <c r="E34" s="227"/>
      <c r="F34" s="227"/>
      <c r="G34" s="227"/>
      <c r="H34" s="228"/>
    </row>
    <row r="35" spans="1:8" ht="29.25" customHeight="1" thickBot="1" x14ac:dyDescent="0.25">
      <c r="A35" s="135" t="s">
        <v>223</v>
      </c>
      <c r="B35" s="130" t="e">
        <f>FIND(".",#REF!)+1</f>
        <v>#REF!</v>
      </c>
      <c r="C35" s="131" t="e">
        <f>FIND(".",#REF!,B35)+1</f>
        <v>#REF!</v>
      </c>
      <c r="D35" s="133" t="e">
        <f>FIND(".",#REF!,C35)+1</f>
        <v>#REF!</v>
      </c>
      <c r="E35" s="132"/>
      <c r="F35" s="134"/>
      <c r="G35" s="134"/>
      <c r="H35" s="134"/>
    </row>
    <row r="36" spans="1:8" ht="29.25" customHeight="1" thickBot="1" x14ac:dyDescent="0.25">
      <c r="A36" s="135" t="s">
        <v>224</v>
      </c>
      <c r="B36" s="130" t="e">
        <f>FIND(".",#REF!)+1</f>
        <v>#REF!</v>
      </c>
      <c r="C36" s="131" t="e">
        <f>FIND(".",#REF!,B36)+1</f>
        <v>#REF!</v>
      </c>
      <c r="D36" s="133" t="e">
        <f>FIND(".",#REF!,C36)+1</f>
        <v>#REF!</v>
      </c>
      <c r="E36" s="132"/>
      <c r="F36" s="134"/>
      <c r="G36" s="134"/>
      <c r="H36" s="134"/>
    </row>
    <row r="37" spans="1:8" ht="29.25" customHeight="1" thickBot="1" x14ac:dyDescent="0.25">
      <c r="A37" s="135" t="s">
        <v>225</v>
      </c>
      <c r="B37" s="130" t="e">
        <f>FIND(".",#REF!)+1</f>
        <v>#REF!</v>
      </c>
      <c r="C37" s="131" t="e">
        <f>FIND(".",#REF!,B37)+1</f>
        <v>#REF!</v>
      </c>
      <c r="D37" s="133" t="e">
        <f>FIND(".",#REF!,C37)+1</f>
        <v>#REF!</v>
      </c>
      <c r="E37" s="132"/>
      <c r="F37" s="134"/>
      <c r="G37" s="134"/>
      <c r="H37" s="134"/>
    </row>
    <row r="38" spans="1:8" ht="29.25" customHeight="1" thickBot="1" x14ac:dyDescent="0.25">
      <c r="A38" s="135" t="s">
        <v>226</v>
      </c>
      <c r="B38" s="130" t="e">
        <f>FIND(".",#REF!)+1</f>
        <v>#REF!</v>
      </c>
      <c r="C38" s="131" t="e">
        <f>FIND(".",#REF!,B38)+1</f>
        <v>#REF!</v>
      </c>
      <c r="D38" s="133" t="e">
        <f>FIND(".",#REF!,C38)+1</f>
        <v>#REF!</v>
      </c>
      <c r="E38" s="132"/>
      <c r="F38" s="134"/>
      <c r="G38" s="134"/>
      <c r="H38" s="134"/>
    </row>
    <row r="39" spans="1:8" ht="29.25" customHeight="1" thickBot="1" x14ac:dyDescent="0.25">
      <c r="A39" s="135" t="s">
        <v>227</v>
      </c>
      <c r="B39" s="130" t="e">
        <f>FIND(".",#REF!)+1</f>
        <v>#REF!</v>
      </c>
      <c r="C39" s="131" t="e">
        <f>FIND(".",#REF!,B39)+1</f>
        <v>#REF!</v>
      </c>
      <c r="D39" s="133" t="e">
        <f>FIND(".",#REF!,C39)+1</f>
        <v>#REF!</v>
      </c>
      <c r="E39" s="132"/>
      <c r="F39" s="134"/>
      <c r="G39" s="134"/>
      <c r="H39" s="134"/>
    </row>
    <row r="40" spans="1:8" ht="29.25" customHeight="1" thickBot="1" x14ac:dyDescent="0.25">
      <c r="A40" s="135" t="s">
        <v>228</v>
      </c>
      <c r="B40" s="130" t="e">
        <f>FIND(".",#REF!)+1</f>
        <v>#REF!</v>
      </c>
      <c r="C40" s="131" t="e">
        <f>FIND(".",#REF!,B40)+1</f>
        <v>#REF!</v>
      </c>
      <c r="D40" s="133" t="e">
        <f>FIND(".",#REF!,C40)+1</f>
        <v>#REF!</v>
      </c>
      <c r="E40" s="132"/>
      <c r="F40" s="134"/>
      <c r="G40" s="134"/>
      <c r="H40" s="134"/>
    </row>
    <row r="41" spans="1:8" ht="31.5" customHeight="1" x14ac:dyDescent="0.2">
      <c r="A41" s="165" t="s">
        <v>275</v>
      </c>
      <c r="B41" s="166" t="e">
        <f>FIND(".",#REF!)+1</f>
        <v>#REF!</v>
      </c>
      <c r="C41" s="167" t="e">
        <f>FIND(".",#REF!,B41)+1</f>
        <v>#REF!</v>
      </c>
      <c r="D41" s="168" t="e">
        <f>FIND(".",#REF!,C41)+1</f>
        <v>#REF!</v>
      </c>
      <c r="E41" s="236" t="s">
        <v>277</v>
      </c>
      <c r="F41" s="237"/>
      <c r="G41" s="237"/>
      <c r="H41" s="238"/>
    </row>
    <row r="42" spans="1:8" ht="39.75" customHeight="1" thickBot="1" x14ac:dyDescent="0.25">
      <c r="A42" s="226" t="s">
        <v>253</v>
      </c>
      <c r="B42" s="227"/>
      <c r="C42" s="227"/>
      <c r="D42" s="227"/>
      <c r="E42" s="227"/>
      <c r="F42" s="227"/>
      <c r="G42" s="227"/>
      <c r="H42" s="228"/>
    </row>
    <row r="43" spans="1:8" ht="29.25" customHeight="1" thickBot="1" x14ac:dyDescent="0.25">
      <c r="A43" s="135" t="s">
        <v>229</v>
      </c>
      <c r="B43" s="130" t="e">
        <f>FIND(".",#REF!)+1</f>
        <v>#REF!</v>
      </c>
      <c r="C43" s="131" t="e">
        <f>FIND(".",#REF!,B43)+1</f>
        <v>#REF!</v>
      </c>
      <c r="D43" s="133" t="e">
        <f>FIND(".",#REF!,C43)+1</f>
        <v>#REF!</v>
      </c>
      <c r="E43" s="132"/>
      <c r="F43" s="134"/>
      <c r="G43" s="134"/>
      <c r="H43" s="134"/>
    </row>
    <row r="44" spans="1:8" ht="29.25" customHeight="1" thickBot="1" x14ac:dyDescent="0.25">
      <c r="A44" s="135" t="s">
        <v>230</v>
      </c>
      <c r="B44" s="130" t="e">
        <f>FIND(".",#REF!)+1</f>
        <v>#REF!</v>
      </c>
      <c r="C44" s="131" t="e">
        <f>FIND(".",#REF!,B44)+1</f>
        <v>#REF!</v>
      </c>
      <c r="D44" s="133" t="e">
        <f>FIND(".",#REF!,C44)+1</f>
        <v>#REF!</v>
      </c>
      <c r="E44" s="132"/>
      <c r="F44" s="134"/>
      <c r="G44" s="134"/>
      <c r="H44" s="134"/>
    </row>
    <row r="45" spans="1:8" ht="29.25" customHeight="1" thickBot="1" x14ac:dyDescent="0.25">
      <c r="A45" s="136" t="s">
        <v>231</v>
      </c>
      <c r="B45" s="130" t="e">
        <f>FIND(".",#REF!)+1</f>
        <v>#REF!</v>
      </c>
      <c r="C45" s="131" t="e">
        <f>FIND(".",#REF!,B45)+1</f>
        <v>#REF!</v>
      </c>
      <c r="D45" s="133" t="e">
        <f>FIND(".",#REF!,C45)+1</f>
        <v>#REF!</v>
      </c>
      <c r="E45" s="132"/>
      <c r="F45" s="134"/>
      <c r="G45" s="134"/>
      <c r="H45" s="134"/>
    </row>
    <row r="46" spans="1:8" ht="29.25" customHeight="1" x14ac:dyDescent="0.2">
      <c r="A46" s="136" t="s">
        <v>232</v>
      </c>
      <c r="B46" s="130" t="e">
        <f>FIND(".",#REF!)+1</f>
        <v>#REF!</v>
      </c>
      <c r="C46" s="131" t="e">
        <f>FIND(".",#REF!,B46)+1</f>
        <v>#REF!</v>
      </c>
      <c r="D46" s="133" t="e">
        <f>FIND(".",#REF!,C46)+1</f>
        <v>#REF!</v>
      </c>
      <c r="E46" s="132"/>
      <c r="F46" s="134"/>
      <c r="G46" s="134"/>
      <c r="H46" s="134"/>
    </row>
    <row r="47" spans="1:8" ht="36" customHeight="1" thickBot="1" x14ac:dyDescent="0.25">
      <c r="A47" s="226" t="s">
        <v>276</v>
      </c>
      <c r="B47" s="227"/>
      <c r="C47" s="227"/>
      <c r="D47" s="227"/>
      <c r="E47" s="227"/>
      <c r="F47" s="227"/>
      <c r="G47" s="227"/>
      <c r="H47" s="228"/>
    </row>
    <row r="48" spans="1:8" ht="29.25" customHeight="1" thickBot="1" x14ac:dyDescent="0.25">
      <c r="A48" s="136" t="s">
        <v>233</v>
      </c>
      <c r="B48" s="130" t="e">
        <f>FIND(".",#REF!)+1</f>
        <v>#REF!</v>
      </c>
      <c r="C48" s="131" t="e">
        <f>FIND(".",#REF!,B48)+1</f>
        <v>#REF!</v>
      </c>
      <c r="D48" s="133" t="e">
        <f>FIND(".",#REF!,C48)+1</f>
        <v>#REF!</v>
      </c>
      <c r="E48" s="132"/>
      <c r="F48" s="134"/>
      <c r="G48" s="134"/>
      <c r="H48" s="134"/>
    </row>
    <row r="49" spans="1:8" ht="29.25" customHeight="1" thickBot="1" x14ac:dyDescent="0.25">
      <c r="A49" s="136" t="s">
        <v>234</v>
      </c>
      <c r="B49" s="130" t="e">
        <f>FIND(".",#REF!)+1</f>
        <v>#REF!</v>
      </c>
      <c r="C49" s="131" t="e">
        <f>FIND(".",#REF!,B49)+1</f>
        <v>#REF!</v>
      </c>
      <c r="D49" s="133" t="e">
        <f>FIND(".",#REF!,C49)+1</f>
        <v>#REF!</v>
      </c>
      <c r="E49" s="132"/>
      <c r="F49" s="134"/>
      <c r="G49" s="134"/>
      <c r="H49" s="134"/>
    </row>
    <row r="50" spans="1:8" ht="29.25" customHeight="1" x14ac:dyDescent="0.2">
      <c r="A50" s="136" t="s">
        <v>235</v>
      </c>
      <c r="B50" s="130" t="e">
        <f>FIND(".",#REF!)+1</f>
        <v>#REF!</v>
      </c>
      <c r="C50" s="131" t="e">
        <f>FIND(".",#REF!,B50)+1</f>
        <v>#REF!</v>
      </c>
      <c r="D50" s="133" t="e">
        <f>FIND(".",#REF!,C50)+1</f>
        <v>#REF!</v>
      </c>
      <c r="E50" s="132"/>
      <c r="F50" s="134"/>
      <c r="G50" s="134"/>
      <c r="H50" s="134"/>
    </row>
    <row r="51" spans="1:8" ht="42" customHeight="1" thickBot="1" x14ac:dyDescent="0.25">
      <c r="A51" s="226" t="s">
        <v>251</v>
      </c>
      <c r="B51" s="234"/>
      <c r="C51" s="234"/>
      <c r="D51" s="234"/>
      <c r="E51" s="234"/>
      <c r="F51" s="234"/>
      <c r="G51" s="234"/>
      <c r="H51" s="235"/>
    </row>
    <row r="52" spans="1:8" ht="29.25" customHeight="1" thickBot="1" x14ac:dyDescent="0.25">
      <c r="A52" s="136" t="s">
        <v>236</v>
      </c>
      <c r="B52" s="130" t="e">
        <f>FIND(".",#REF!)+1</f>
        <v>#REF!</v>
      </c>
      <c r="C52" s="131" t="e">
        <f>FIND(".",#REF!,B52)+1</f>
        <v>#REF!</v>
      </c>
      <c r="D52" s="133" t="e">
        <f>FIND(".",#REF!,C52)+1</f>
        <v>#REF!</v>
      </c>
      <c r="E52" s="132"/>
      <c r="F52" s="134"/>
      <c r="G52" s="134"/>
      <c r="H52" s="134"/>
    </row>
    <row r="53" spans="1:8" ht="29.25" customHeight="1" thickBot="1" x14ac:dyDescent="0.25">
      <c r="A53" s="169" t="s">
        <v>237</v>
      </c>
      <c r="B53" s="166" t="e">
        <f>FIND(".",#REF!)+1</f>
        <v>#REF!</v>
      </c>
      <c r="C53" s="167" t="e">
        <f>FIND(".",#REF!,B53)+1</f>
        <v>#REF!</v>
      </c>
      <c r="D53" s="168" t="e">
        <f>FIND(".",#REF!,C53)+1</f>
        <v>#REF!</v>
      </c>
      <c r="E53" s="236" t="s">
        <v>278</v>
      </c>
      <c r="F53" s="237"/>
      <c r="G53" s="237"/>
      <c r="H53" s="238"/>
    </row>
    <row r="54" spans="1:8" ht="29.25" customHeight="1" thickBot="1" x14ac:dyDescent="0.25">
      <c r="A54" s="169" t="s">
        <v>238</v>
      </c>
      <c r="B54" s="166" t="e">
        <f>FIND(".",#REF!)+1</f>
        <v>#REF!</v>
      </c>
      <c r="C54" s="167" t="e">
        <f>FIND(".",#REF!,B54)+1</f>
        <v>#REF!</v>
      </c>
      <c r="D54" s="168" t="e">
        <f>FIND(".",#REF!,C54)+1</f>
        <v>#REF!</v>
      </c>
      <c r="E54" s="236" t="s">
        <v>279</v>
      </c>
      <c r="F54" s="237"/>
      <c r="G54" s="237"/>
      <c r="H54" s="238"/>
    </row>
    <row r="55" spans="1:8" ht="29.25" customHeight="1" thickBot="1" x14ac:dyDescent="0.25">
      <c r="A55" s="169" t="s">
        <v>239</v>
      </c>
      <c r="B55" s="166" t="e">
        <f>FIND(".",#REF!)+1</f>
        <v>#REF!</v>
      </c>
      <c r="C55" s="167" t="e">
        <f>FIND(".",#REF!,B55)+1</f>
        <v>#REF!</v>
      </c>
      <c r="D55" s="168" t="e">
        <f>FIND(".",#REF!,C55)+1</f>
        <v>#REF!</v>
      </c>
      <c r="E55" s="236" t="s">
        <v>280</v>
      </c>
      <c r="F55" s="237"/>
      <c r="G55" s="237"/>
      <c r="H55" s="238"/>
    </row>
    <row r="56" spans="1:8" ht="29.25" customHeight="1" x14ac:dyDescent="0.2">
      <c r="A56" s="169" t="s">
        <v>240</v>
      </c>
      <c r="B56" s="130" t="e">
        <f>FIND(".",#REF!)+1</f>
        <v>#REF!</v>
      </c>
      <c r="C56" s="131" t="e">
        <f>FIND(".",#REF!,B56)+1</f>
        <v>#REF!</v>
      </c>
      <c r="D56" s="133" t="e">
        <f>FIND(".",#REF!,C56)+1</f>
        <v>#REF!</v>
      </c>
      <c r="E56" s="236" t="s">
        <v>281</v>
      </c>
      <c r="F56" s="237"/>
      <c r="G56" s="237"/>
      <c r="H56" s="238"/>
    </row>
    <row r="57" spans="1:8" ht="36" customHeight="1" thickBot="1" x14ac:dyDescent="0.25">
      <c r="A57" s="226" t="s">
        <v>252</v>
      </c>
      <c r="B57" s="234"/>
      <c r="C57" s="234"/>
      <c r="D57" s="234"/>
      <c r="E57" s="234"/>
      <c r="F57" s="234"/>
      <c r="G57" s="234"/>
      <c r="H57" s="235"/>
    </row>
    <row r="58" spans="1:8" ht="29.25" customHeight="1" thickBot="1" x14ac:dyDescent="0.25">
      <c r="A58" s="136" t="s">
        <v>241</v>
      </c>
      <c r="B58" s="130" t="e">
        <f>FIND(".",#REF!)+1</f>
        <v>#REF!</v>
      </c>
      <c r="C58" s="131" t="e">
        <f>FIND(".",#REF!,B58)+1</f>
        <v>#REF!</v>
      </c>
      <c r="D58" s="133" t="e">
        <f>FIND(".",#REF!,C58)+1</f>
        <v>#REF!</v>
      </c>
      <c r="E58" s="132"/>
      <c r="F58" s="134"/>
      <c r="G58" s="134"/>
      <c r="H58" s="134"/>
    </row>
    <row r="59" spans="1:8" ht="29.25" customHeight="1" thickBot="1" x14ac:dyDescent="0.25">
      <c r="A59" s="136" t="s">
        <v>242</v>
      </c>
      <c r="B59" s="130" t="e">
        <f>FIND(".",#REF!)+1</f>
        <v>#REF!</v>
      </c>
      <c r="C59" s="131" t="e">
        <f>FIND(".",#REF!,B59)+1</f>
        <v>#REF!</v>
      </c>
      <c r="D59" s="133" t="e">
        <f>FIND(".",#REF!,C59)+1</f>
        <v>#REF!</v>
      </c>
      <c r="E59" s="132"/>
      <c r="F59" s="134"/>
      <c r="G59" s="134"/>
      <c r="H59" s="134"/>
    </row>
    <row r="60" spans="1:8" ht="29.25" customHeight="1" thickBot="1" x14ac:dyDescent="0.25">
      <c r="A60" s="136" t="s">
        <v>243</v>
      </c>
      <c r="B60" s="130" t="e">
        <f>FIND(".",#REF!)+1</f>
        <v>#REF!</v>
      </c>
      <c r="C60" s="131" t="e">
        <f>FIND(".",#REF!,B60)+1</f>
        <v>#REF!</v>
      </c>
      <c r="D60" s="133" t="e">
        <f>FIND(".",#REF!,C60)+1</f>
        <v>#REF!</v>
      </c>
      <c r="E60" s="132"/>
      <c r="F60" s="134"/>
      <c r="G60" s="134"/>
      <c r="H60" s="134"/>
    </row>
    <row r="61" spans="1:8" ht="29.25" customHeight="1" thickBot="1" x14ac:dyDescent="0.25">
      <c r="A61" s="136" t="s">
        <v>244</v>
      </c>
      <c r="B61" s="130" t="e">
        <f>FIND(".",#REF!)+1</f>
        <v>#REF!</v>
      </c>
      <c r="C61" s="131" t="e">
        <f>FIND(".",#REF!,B61)+1</f>
        <v>#REF!</v>
      </c>
      <c r="D61" s="133" t="e">
        <f>FIND(".",#REF!,C61)+1</f>
        <v>#REF!</v>
      </c>
      <c r="E61" s="132"/>
      <c r="F61" s="134"/>
      <c r="G61" s="134"/>
      <c r="H61" s="134"/>
    </row>
    <row r="62" spans="1:8" ht="29.25" customHeight="1" x14ac:dyDescent="0.2">
      <c r="A62" s="136" t="s">
        <v>245</v>
      </c>
      <c r="B62" s="130" t="e">
        <f>FIND(".",#REF!)+1</f>
        <v>#REF!</v>
      </c>
      <c r="C62" s="131" t="e">
        <f>FIND(".",#REF!,B62)+1</f>
        <v>#REF!</v>
      </c>
      <c r="D62" s="133" t="e">
        <f>FIND(".",#REF!,C62)+1</f>
        <v>#REF!</v>
      </c>
      <c r="E62" s="132"/>
      <c r="F62" s="134"/>
      <c r="G62" s="134"/>
      <c r="H62" s="134"/>
    </row>
    <row r="63" spans="1:8" ht="29.25" customHeight="1" thickBot="1" x14ac:dyDescent="0.25">
      <c r="A63" s="226" t="s">
        <v>264</v>
      </c>
      <c r="B63" s="234"/>
      <c r="C63" s="234"/>
      <c r="D63" s="234"/>
      <c r="E63" s="234"/>
      <c r="F63" s="234"/>
      <c r="G63" s="234"/>
      <c r="H63" s="235"/>
    </row>
    <row r="64" spans="1:8" ht="29.25" customHeight="1" thickBot="1" x14ac:dyDescent="0.25">
      <c r="A64" s="136" t="s">
        <v>265</v>
      </c>
      <c r="B64" s="130" t="e">
        <f>FIND(".",#REF!)+1</f>
        <v>#REF!</v>
      </c>
      <c r="C64" s="131" t="e">
        <f>FIND(".",#REF!,B64)+1</f>
        <v>#REF!</v>
      </c>
      <c r="D64" s="133" t="e">
        <f>FIND(".",#REF!,C64)+1</f>
        <v>#REF!</v>
      </c>
      <c r="E64" s="132"/>
      <c r="F64" s="134"/>
      <c r="G64" s="134"/>
      <c r="H64" s="134"/>
    </row>
    <row r="65" spans="1:8" ht="29.25" customHeight="1" thickBot="1" x14ac:dyDescent="0.25">
      <c r="A65" s="136" t="s">
        <v>266</v>
      </c>
      <c r="B65" s="130"/>
      <c r="C65" s="131"/>
      <c r="D65" s="133"/>
      <c r="E65" s="132"/>
      <c r="F65" s="134"/>
      <c r="G65" s="134"/>
      <c r="H65" s="134"/>
    </row>
    <row r="66" spans="1:8" ht="29.25" customHeight="1" x14ac:dyDescent="0.2">
      <c r="A66" s="136" t="s">
        <v>267</v>
      </c>
      <c r="B66" s="130" t="e">
        <f>FIND(".",#REF!)+1</f>
        <v>#REF!</v>
      </c>
      <c r="C66" s="131" t="e">
        <f>FIND(".",#REF!,B66)+1</f>
        <v>#REF!</v>
      </c>
      <c r="D66" s="133" t="e">
        <f>FIND(".",#REF!,C66)+1</f>
        <v>#REF!</v>
      </c>
      <c r="E66" s="132"/>
      <c r="F66" s="134"/>
      <c r="G66" s="134"/>
      <c r="H66" s="134"/>
    </row>
  </sheetData>
  <sheetProtection selectLockedCells="1"/>
  <mergeCells count="18">
    <mergeCell ref="A63:H63"/>
    <mergeCell ref="A51:H51"/>
    <mergeCell ref="A57:H57"/>
    <mergeCell ref="A18:H18"/>
    <mergeCell ref="A30:H30"/>
    <mergeCell ref="A34:H34"/>
    <mergeCell ref="A42:H42"/>
    <mergeCell ref="A47:H47"/>
    <mergeCell ref="E41:H41"/>
    <mergeCell ref="E53:H53"/>
    <mergeCell ref="E54:H54"/>
    <mergeCell ref="E55:H55"/>
    <mergeCell ref="E56:H56"/>
    <mergeCell ref="A14:H14"/>
    <mergeCell ref="A2:H2"/>
    <mergeCell ref="A1:H1"/>
    <mergeCell ref="A4:H4"/>
    <mergeCell ref="A9:H9"/>
  </mergeCells>
  <phoneticPr fontId="28" type="noConversion"/>
  <dataValidations xWindow="201" yWindow="345" count="7">
    <dataValidation allowBlank="1" showErrorMessage="1" promptTitle="Server Description" prompt="Fill in the description for the server" sqref="B58:D62 A63 B64:D66 A57 A47 A31:A41 A43:A45 A5:A8 A19:A29 A15:A17 A10:A13 B5:D50 B52:D56 A51"/>
    <dataValidation allowBlank="1" promptTitle="OS" prompt="Select server OS" sqref="F5:H8 F64:H66 F15:H17 F19:H29 F31:H33 F35:H41 F43:H46 F48:H50 F58:H62 F10:H13 E41 F52:H56 E53:E56"/>
    <dataValidation type="list" allowBlank="1" showErrorMessage="1" errorTitle="Select data from the list" promptTitle="OS" prompt="Select server OS" sqref="E58:E62 E64:E66 E5:E8 E10:E13 E15:E17 E19:E29 E31:E33 E35:E40 E43:E46 E48:E50 E52">
      <formula1>"Yes, No"</formula1>
    </dataValidation>
    <dataValidation type="list" allowBlank="1" promptTitle="OS" prompt="Select server OS" sqref="H9 H14 H18 H30 H34 H42 H47">
      <formula1>"dc01.contoso.com, dc02.contoso.com, dc03.contoso.com"</formula1>
    </dataValidation>
    <dataValidation type="list" allowBlank="1" promptTitle="OS" prompt="Select server OS" sqref="E42 E47 E9 E14 E18 E30 E34">
      <formula1>"Yes, No"</formula1>
    </dataValidation>
    <dataValidation type="list" allowBlank="1" promptTitle="OS" prompt="Select server OS" sqref="F42 F47 F9 F14 F18 F30 F34">
      <formula1>"2003, 2004, 2005, 2006, 2007, 2008, 2009, 2010, 2011, 2012"</formula1>
    </dataValidation>
    <dataValidation type="list" allowBlank="1" promptTitle="OS" prompt="Select server OS" sqref="G42 G47 G9 G14 G18 G30 G34">
      <formula1>"NSO, Ministry, Academic Institution, NGO, other"</formula1>
    </dataValidation>
  </dataValidations>
  <pageMargins left="0.75" right="0.75" top="1" bottom="1" header="0.5" footer="0.5"/>
  <pageSetup scale="34"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12828ED20E4CF4C87A479821B407446" ma:contentTypeVersion="2" ma:contentTypeDescription="Create a new document." ma:contentTypeScope="" ma:versionID="2a9d116d46e7c4d1d9a32a0a22e8f4e1">
  <xsd:schema xmlns:xsd="http://www.w3.org/2001/XMLSchema" xmlns:xs="http://www.w3.org/2001/XMLSchema" xmlns:p="http://schemas.microsoft.com/office/2006/metadata/properties" xmlns:ns1="http://schemas.microsoft.com/sharepoint/v3" xmlns:ns2="1aaea1ea-72e4-4374-b05e-72e2f16fb7ae" targetNamespace="http://schemas.microsoft.com/office/2006/metadata/properties" ma:root="true" ma:fieldsID="5f03cfa57e716973114bdf2422329f5c" ns1:_="" ns2:_="">
    <xsd:import namespace="http://schemas.microsoft.com/sharepoint/v3"/>
    <xsd:import namespace="1aaea1ea-72e4-4374-b05e-72e2f16fb7ae"/>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aaea1ea-72e4-4374-b05e-72e2f16fb7ae"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98350A-17F7-4969-986B-525BC616F453}"/>
</file>

<file path=customXml/itemProps2.xml><?xml version="1.0" encoding="utf-8"?>
<ds:datastoreItem xmlns:ds="http://schemas.openxmlformats.org/officeDocument/2006/customXml" ds:itemID="{CF99EFC4-F0D9-4D32-8316-28363CA5C39F}"/>
</file>

<file path=customXml/itemProps3.xml><?xml version="1.0" encoding="utf-8"?>
<ds:datastoreItem xmlns:ds="http://schemas.openxmlformats.org/officeDocument/2006/customXml" ds:itemID="{4879240B-3DCC-4483-AF2A-DC3379B76A7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Components</vt:lpstr>
      <vt:lpstr>Cost per GB</vt:lpstr>
      <vt:lpstr>Usable Storage</vt:lpstr>
      <vt:lpstr>Virtual Costing</vt:lpstr>
      <vt:lpstr>Instructions</vt:lpstr>
      <vt:lpstr>General info</vt:lpstr>
      <vt:lpstr>Questionnaire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PATINO</dc:creator>
  <cp:lastModifiedBy>Delmas, Nathalie</cp:lastModifiedBy>
  <cp:lastPrinted>2007-09-06T14:18:48Z</cp:lastPrinted>
  <dcterms:created xsi:type="dcterms:W3CDTF">2012-09-06T15:48:16Z</dcterms:created>
  <dcterms:modified xsi:type="dcterms:W3CDTF">2013-02-04T14:41:42Z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TC023920319991</vt:lpwstr>
  </property>
  <property fmtid="{D5CDD505-2E9C-101B-9397-08002B2CF9AE}" pid="3" name="ContentTypeId">
    <vt:lpwstr>0x010100012828ED20E4CF4C87A479821B407446</vt:lpwstr>
  </property>
</Properties>
</file>