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0" yWindow="0" windowWidth="19440" windowHeight="12240" tabRatio="500" activeTab="2"/>
  </bookViews>
  <sheets>
    <sheet name="CLS Demand" sheetId="1" r:id="rId1"/>
    <sheet name="CLS Costs" sheetId="2" r:id="rId2"/>
    <sheet name="Quad play costs and prices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4" i="1" l="1"/>
  <c r="C115" i="1"/>
  <c r="C116" i="1"/>
  <c r="C117" i="1"/>
  <c r="C118" i="1"/>
  <c r="C119" i="1"/>
  <c r="C120" i="1"/>
  <c r="C121" i="1"/>
  <c r="C122" i="1"/>
  <c r="C123" i="1"/>
  <c r="C150" i="1"/>
  <c r="C47" i="2"/>
  <c r="C88" i="1"/>
  <c r="C127" i="1"/>
  <c r="C89" i="1"/>
  <c r="C128" i="1"/>
  <c r="C90" i="1"/>
  <c r="C129" i="1"/>
  <c r="C91" i="1"/>
  <c r="C130" i="1"/>
  <c r="C92" i="1"/>
  <c r="C131" i="1"/>
  <c r="C93" i="1"/>
  <c r="C132" i="1"/>
  <c r="C94" i="1"/>
  <c r="C133" i="1"/>
  <c r="C95" i="1"/>
  <c r="C134" i="1"/>
  <c r="C96" i="1"/>
  <c r="C135" i="1"/>
  <c r="C136" i="1"/>
  <c r="C151" i="1"/>
  <c r="C48" i="2"/>
  <c r="C49" i="2"/>
  <c r="C53" i="2"/>
  <c r="C54" i="2"/>
  <c r="C57" i="2"/>
  <c r="C55" i="2"/>
  <c r="C58" i="2"/>
  <c r="C59" i="2"/>
  <c r="C60" i="2"/>
  <c r="C61" i="2"/>
  <c r="F15" i="3"/>
  <c r="F77" i="3"/>
  <c r="D122" i="3"/>
  <c r="D121" i="3"/>
  <c r="D120" i="3"/>
  <c r="D119" i="3"/>
  <c r="F79" i="3"/>
  <c r="E114" i="1"/>
  <c r="E115" i="1"/>
  <c r="E116" i="1"/>
  <c r="E117" i="1"/>
  <c r="E118" i="1"/>
  <c r="E119" i="1"/>
  <c r="E120" i="1"/>
  <c r="E121" i="1"/>
  <c r="E122" i="1"/>
  <c r="E123" i="1"/>
  <c r="E150" i="1"/>
  <c r="E47" i="2"/>
  <c r="E88" i="1"/>
  <c r="E127" i="1"/>
  <c r="E89" i="1"/>
  <c r="E128" i="1"/>
  <c r="E90" i="1"/>
  <c r="E129" i="1"/>
  <c r="E91" i="1"/>
  <c r="E130" i="1"/>
  <c r="E92" i="1"/>
  <c r="E131" i="1"/>
  <c r="E93" i="1"/>
  <c r="E132" i="1"/>
  <c r="E94" i="1"/>
  <c r="E133" i="1"/>
  <c r="E95" i="1"/>
  <c r="E134" i="1"/>
  <c r="E96" i="1"/>
  <c r="E135" i="1"/>
  <c r="E136" i="1"/>
  <c r="E151" i="1"/>
  <c r="E48" i="2"/>
  <c r="E49" i="2"/>
  <c r="E53" i="2"/>
  <c r="E54" i="2"/>
  <c r="E57" i="2"/>
  <c r="D114" i="1"/>
  <c r="D115" i="1"/>
  <c r="D116" i="1"/>
  <c r="D117" i="1"/>
  <c r="D118" i="1"/>
  <c r="D119" i="1"/>
  <c r="D120" i="1"/>
  <c r="D121" i="1"/>
  <c r="D122" i="1"/>
  <c r="D123" i="1"/>
  <c r="D150" i="1"/>
  <c r="D47" i="2"/>
  <c r="D88" i="1"/>
  <c r="D127" i="1"/>
  <c r="D89" i="1"/>
  <c r="D128" i="1"/>
  <c r="D90" i="1"/>
  <c r="D129" i="1"/>
  <c r="D91" i="1"/>
  <c r="D130" i="1"/>
  <c r="D92" i="1"/>
  <c r="D131" i="1"/>
  <c r="D93" i="1"/>
  <c r="D132" i="1"/>
  <c r="D94" i="1"/>
  <c r="D133" i="1"/>
  <c r="D95" i="1"/>
  <c r="D134" i="1"/>
  <c r="D96" i="1"/>
  <c r="D135" i="1"/>
  <c r="D136" i="1"/>
  <c r="D151" i="1"/>
  <c r="D48" i="2"/>
  <c r="D49" i="2"/>
  <c r="D53" i="2"/>
  <c r="D54" i="2"/>
  <c r="D55" i="2"/>
  <c r="D58" i="2"/>
  <c r="E55" i="2"/>
  <c r="E58" i="2"/>
  <c r="E59" i="2"/>
  <c r="E60" i="2"/>
  <c r="E61" i="2"/>
  <c r="G15" i="3"/>
  <c r="G77" i="3"/>
  <c r="D129" i="3"/>
  <c r="D130" i="3"/>
  <c r="D131" i="3"/>
  <c r="D128" i="3"/>
  <c r="D57" i="3"/>
  <c r="D58" i="3"/>
  <c r="D59" i="3"/>
  <c r="D56" i="3"/>
  <c r="D49" i="3"/>
  <c r="D50" i="3"/>
  <c r="D48" i="3"/>
  <c r="D47" i="3"/>
  <c r="C113" i="3"/>
  <c r="B131" i="3"/>
  <c r="C131" i="3"/>
  <c r="E131" i="3"/>
  <c r="C139" i="3"/>
  <c r="B113" i="3"/>
  <c r="B122" i="3"/>
  <c r="C122" i="3"/>
  <c r="E122" i="3"/>
  <c r="B139" i="3"/>
  <c r="C112" i="3"/>
  <c r="B130" i="3"/>
  <c r="C130" i="3"/>
  <c r="E130" i="3"/>
  <c r="C138" i="3"/>
  <c r="B112" i="3"/>
  <c r="B121" i="3"/>
  <c r="C121" i="3"/>
  <c r="E121" i="3"/>
  <c r="B138" i="3"/>
  <c r="C111" i="3"/>
  <c r="B129" i="3"/>
  <c r="C129" i="3"/>
  <c r="E129" i="3"/>
  <c r="C137" i="3"/>
  <c r="B111" i="3"/>
  <c r="B120" i="3"/>
  <c r="C120" i="3"/>
  <c r="E120" i="3"/>
  <c r="B137" i="3"/>
  <c r="C110" i="3"/>
  <c r="B128" i="3"/>
  <c r="C128" i="3"/>
  <c r="E128" i="3"/>
  <c r="C136" i="3"/>
  <c r="B110" i="3"/>
  <c r="B119" i="3"/>
  <c r="C119" i="3"/>
  <c r="E119" i="3"/>
  <c r="B136" i="3"/>
  <c r="E132" i="3"/>
  <c r="D132" i="3"/>
  <c r="C132" i="3"/>
  <c r="B132" i="3"/>
  <c r="E123" i="3"/>
  <c r="D123" i="3"/>
  <c r="C123" i="3"/>
  <c r="B123" i="3"/>
  <c r="C106" i="3"/>
  <c r="B106" i="3"/>
  <c r="G79" i="3"/>
  <c r="B59" i="3"/>
  <c r="C59" i="3"/>
  <c r="E59" i="3"/>
  <c r="C67" i="3"/>
  <c r="B50" i="3"/>
  <c r="C50" i="3"/>
  <c r="E50" i="3"/>
  <c r="B67" i="3"/>
  <c r="B58" i="3"/>
  <c r="C58" i="3"/>
  <c r="E58" i="3"/>
  <c r="C66" i="3"/>
  <c r="B49" i="3"/>
  <c r="C49" i="3"/>
  <c r="E49" i="3"/>
  <c r="B66" i="3"/>
  <c r="B57" i="3"/>
  <c r="C57" i="3"/>
  <c r="E57" i="3"/>
  <c r="C65" i="3"/>
  <c r="B48" i="3"/>
  <c r="C48" i="3"/>
  <c r="E48" i="3"/>
  <c r="B65" i="3"/>
  <c r="B56" i="3"/>
  <c r="C56" i="3"/>
  <c r="E56" i="3"/>
  <c r="C64" i="3"/>
  <c r="B47" i="3"/>
  <c r="C47" i="3"/>
  <c r="E47" i="3"/>
  <c r="B64" i="3"/>
  <c r="C38" i="3"/>
  <c r="C39" i="3"/>
  <c r="C40" i="3"/>
  <c r="C41" i="3"/>
  <c r="C42" i="3"/>
  <c r="B38" i="3"/>
  <c r="B39" i="3"/>
  <c r="B40" i="3"/>
  <c r="B41" i="3"/>
  <c r="B42" i="3"/>
  <c r="C34" i="3"/>
  <c r="B34" i="3"/>
  <c r="C53" i="1"/>
  <c r="C54" i="1"/>
  <c r="C55" i="1"/>
  <c r="C56" i="1"/>
  <c r="C57" i="1"/>
  <c r="C58" i="1"/>
  <c r="C149" i="1"/>
  <c r="C46" i="2"/>
  <c r="C62" i="1"/>
  <c r="C63" i="1"/>
  <c r="C64" i="1"/>
  <c r="C65" i="1"/>
  <c r="C66" i="1"/>
  <c r="C67" i="1"/>
  <c r="C56" i="2"/>
  <c r="E53" i="1"/>
  <c r="E54" i="1"/>
  <c r="G11" i="1"/>
  <c r="H11" i="1"/>
  <c r="E55" i="1"/>
  <c r="E56" i="1"/>
  <c r="G12" i="1"/>
  <c r="H12" i="1"/>
  <c r="E57" i="1"/>
  <c r="E58" i="1"/>
  <c r="E149" i="1"/>
  <c r="E46" i="2"/>
  <c r="G14" i="1"/>
  <c r="H14" i="1"/>
  <c r="G15" i="1"/>
  <c r="H15" i="1"/>
  <c r="G16" i="1"/>
  <c r="H16" i="1"/>
  <c r="G13" i="1"/>
  <c r="H13" i="1"/>
  <c r="E62" i="1"/>
  <c r="E63" i="1"/>
  <c r="E64" i="1"/>
  <c r="E65" i="1"/>
  <c r="E66" i="1"/>
  <c r="E67" i="1"/>
  <c r="G17" i="1"/>
  <c r="H17" i="1"/>
  <c r="E56" i="2"/>
  <c r="D53" i="1"/>
  <c r="D54" i="1"/>
  <c r="D55" i="1"/>
  <c r="D56" i="1"/>
  <c r="D57" i="1"/>
  <c r="D58" i="1"/>
  <c r="D149" i="1"/>
  <c r="D46" i="2"/>
  <c r="D62" i="1"/>
  <c r="D63" i="1"/>
  <c r="D64" i="1"/>
  <c r="D65" i="1"/>
  <c r="D66" i="1"/>
  <c r="D67" i="1"/>
  <c r="C35" i="1"/>
  <c r="C36" i="1"/>
  <c r="C37" i="1"/>
  <c r="C38" i="1"/>
  <c r="C39" i="1"/>
  <c r="C40" i="1"/>
  <c r="C142" i="1"/>
  <c r="C24" i="2"/>
  <c r="C97" i="1"/>
  <c r="C143" i="1"/>
  <c r="C25" i="2"/>
  <c r="C144" i="1"/>
  <c r="C26" i="2"/>
  <c r="C27" i="2"/>
  <c r="D35" i="1"/>
  <c r="D36" i="1"/>
  <c r="D37" i="1"/>
  <c r="D38" i="1"/>
  <c r="D39" i="1"/>
  <c r="D40" i="1"/>
  <c r="D142" i="1"/>
  <c r="D24" i="2"/>
  <c r="D97" i="1"/>
  <c r="D143" i="1"/>
  <c r="D25" i="2"/>
  <c r="D144" i="1"/>
  <c r="D26" i="2"/>
  <c r="D27" i="2"/>
  <c r="E35" i="1"/>
  <c r="E36" i="1"/>
  <c r="E37" i="1"/>
  <c r="E38" i="1"/>
  <c r="E39" i="1"/>
  <c r="E40" i="1"/>
  <c r="E142" i="1"/>
  <c r="E24" i="2"/>
  <c r="E97" i="1"/>
  <c r="E143" i="1"/>
  <c r="E25" i="2"/>
  <c r="E144" i="1"/>
  <c r="E26" i="2"/>
  <c r="E27" i="2"/>
  <c r="F35" i="1"/>
  <c r="F36" i="1"/>
  <c r="I11" i="1"/>
  <c r="F37" i="1"/>
  <c r="F38" i="1"/>
  <c r="I12" i="1"/>
  <c r="F39" i="1"/>
  <c r="F40" i="1"/>
  <c r="F142" i="1"/>
  <c r="F24" i="2"/>
  <c r="F88" i="1"/>
  <c r="F89" i="1"/>
  <c r="F90" i="1"/>
  <c r="F91" i="1"/>
  <c r="I14" i="1"/>
  <c r="F92" i="1"/>
  <c r="I15" i="1"/>
  <c r="F93" i="1"/>
  <c r="F94" i="1"/>
  <c r="F95" i="1"/>
  <c r="F96" i="1"/>
  <c r="F97" i="1"/>
  <c r="F143" i="1"/>
  <c r="F25" i="2"/>
  <c r="I13" i="1"/>
  <c r="F62" i="1"/>
  <c r="F63" i="1"/>
  <c r="F64" i="1"/>
  <c r="F65" i="1"/>
  <c r="F66" i="1"/>
  <c r="F67" i="1"/>
  <c r="F114" i="1"/>
  <c r="I16" i="1"/>
  <c r="F127" i="1"/>
  <c r="F115" i="1"/>
  <c r="F128" i="1"/>
  <c r="F116" i="1"/>
  <c r="F129" i="1"/>
  <c r="F117" i="1"/>
  <c r="F130" i="1"/>
  <c r="F118" i="1"/>
  <c r="F131" i="1"/>
  <c r="F119" i="1"/>
  <c r="F132" i="1"/>
  <c r="F120" i="1"/>
  <c r="F133" i="1"/>
  <c r="F121" i="1"/>
  <c r="F134" i="1"/>
  <c r="F122" i="1"/>
  <c r="F135" i="1"/>
  <c r="F136" i="1"/>
  <c r="I17" i="1"/>
  <c r="F144" i="1"/>
  <c r="F26" i="2"/>
  <c r="F27" i="2"/>
  <c r="G35" i="1"/>
  <c r="G36" i="1"/>
  <c r="G37" i="1"/>
  <c r="G38" i="1"/>
  <c r="G39" i="1"/>
  <c r="G40" i="1"/>
  <c r="G142" i="1"/>
  <c r="G24" i="2"/>
  <c r="G88" i="1"/>
  <c r="G89" i="1"/>
  <c r="G90" i="1"/>
  <c r="G91" i="1"/>
  <c r="G92" i="1"/>
  <c r="G93" i="1"/>
  <c r="G94" i="1"/>
  <c r="G95" i="1"/>
  <c r="G96" i="1"/>
  <c r="G97" i="1"/>
  <c r="G143" i="1"/>
  <c r="G25" i="2"/>
  <c r="G62" i="1"/>
  <c r="G63" i="1"/>
  <c r="G64" i="1"/>
  <c r="G65" i="1"/>
  <c r="G66" i="1"/>
  <c r="G67" i="1"/>
  <c r="G114" i="1"/>
  <c r="G127" i="1"/>
  <c r="G115" i="1"/>
  <c r="G128" i="1"/>
  <c r="G116" i="1"/>
  <c r="G129" i="1"/>
  <c r="G117" i="1"/>
  <c r="G130" i="1"/>
  <c r="G118" i="1"/>
  <c r="G131" i="1"/>
  <c r="G119" i="1"/>
  <c r="G132" i="1"/>
  <c r="G120" i="1"/>
  <c r="G133" i="1"/>
  <c r="G121" i="1"/>
  <c r="G134" i="1"/>
  <c r="G122" i="1"/>
  <c r="G135" i="1"/>
  <c r="G136" i="1"/>
  <c r="G144" i="1"/>
  <c r="G26" i="2"/>
  <c r="G27" i="2"/>
  <c r="E49" i="1"/>
  <c r="D56" i="2"/>
  <c r="D57" i="2"/>
  <c r="D59" i="2"/>
  <c r="D60" i="2"/>
  <c r="D61" i="2"/>
  <c r="D69" i="2"/>
  <c r="D34" i="2"/>
  <c r="D31" i="2"/>
  <c r="D32" i="2"/>
  <c r="D35" i="2"/>
  <c r="D33" i="2"/>
  <c r="C31" i="2"/>
  <c r="C32" i="2"/>
  <c r="C33" i="2"/>
  <c r="C36" i="2"/>
  <c r="D36" i="2"/>
  <c r="D37" i="2"/>
  <c r="D38" i="2"/>
  <c r="D39" i="2"/>
  <c r="D70" i="2"/>
  <c r="D71" i="2"/>
  <c r="E69" i="2"/>
  <c r="E34" i="2"/>
  <c r="E31" i="2"/>
  <c r="E32" i="2"/>
  <c r="E35" i="2"/>
  <c r="E33" i="2"/>
  <c r="E36" i="2"/>
  <c r="E37" i="2"/>
  <c r="E38" i="2"/>
  <c r="E39" i="2"/>
  <c r="E70" i="2"/>
  <c r="E71" i="2"/>
  <c r="F56" i="2"/>
  <c r="F151" i="1"/>
  <c r="F48" i="2"/>
  <c r="F53" i="1"/>
  <c r="F54" i="1"/>
  <c r="F55" i="1"/>
  <c r="F56" i="1"/>
  <c r="F57" i="1"/>
  <c r="F58" i="1"/>
  <c r="F149" i="1"/>
  <c r="F46" i="2"/>
  <c r="F123" i="1"/>
  <c r="F150" i="1"/>
  <c r="F47" i="2"/>
  <c r="F49" i="2"/>
  <c r="F53" i="2"/>
  <c r="F54" i="2"/>
  <c r="F57" i="2"/>
  <c r="F55" i="2"/>
  <c r="F58" i="2"/>
  <c r="F59" i="2"/>
  <c r="F60" i="2"/>
  <c r="F61" i="2"/>
  <c r="F69" i="2"/>
  <c r="F34" i="2"/>
  <c r="F31" i="2"/>
  <c r="F32" i="2"/>
  <c r="F35" i="2"/>
  <c r="F33" i="2"/>
  <c r="F36" i="2"/>
  <c r="F37" i="2"/>
  <c r="F38" i="2"/>
  <c r="F39" i="2"/>
  <c r="F70" i="2"/>
  <c r="F71" i="2"/>
  <c r="G56" i="2"/>
  <c r="G151" i="1"/>
  <c r="G48" i="2"/>
  <c r="G53" i="1"/>
  <c r="G54" i="1"/>
  <c r="G55" i="1"/>
  <c r="G56" i="1"/>
  <c r="G57" i="1"/>
  <c r="G58" i="1"/>
  <c r="G149" i="1"/>
  <c r="G46" i="2"/>
  <c r="G123" i="1"/>
  <c r="G150" i="1"/>
  <c r="G47" i="2"/>
  <c r="G49" i="2"/>
  <c r="G53" i="2"/>
  <c r="G54" i="2"/>
  <c r="G57" i="2"/>
  <c r="G55" i="2"/>
  <c r="G58" i="2"/>
  <c r="G59" i="2"/>
  <c r="G60" i="2"/>
  <c r="G61" i="2"/>
  <c r="G69" i="2"/>
  <c r="G34" i="2"/>
  <c r="G31" i="2"/>
  <c r="G32" i="2"/>
  <c r="G35" i="2"/>
  <c r="G33" i="2"/>
  <c r="G36" i="2"/>
  <c r="G37" i="2"/>
  <c r="G38" i="2"/>
  <c r="G39" i="2"/>
  <c r="G70" i="2"/>
  <c r="G71" i="2"/>
  <c r="C69" i="2"/>
  <c r="C34" i="2"/>
  <c r="C35" i="2"/>
  <c r="C37" i="2"/>
  <c r="C38" i="2"/>
  <c r="C39" i="2"/>
  <c r="C70" i="2"/>
  <c r="C71" i="2"/>
  <c r="D68" i="2"/>
  <c r="E68" i="2"/>
  <c r="F68" i="2"/>
  <c r="G68" i="2"/>
  <c r="C49" i="1"/>
  <c r="D52" i="2"/>
  <c r="E52" i="2"/>
  <c r="F52" i="2"/>
  <c r="G52" i="2"/>
  <c r="D30" i="2"/>
  <c r="E30" i="2"/>
  <c r="F30" i="2"/>
  <c r="G30" i="2"/>
  <c r="D45" i="2"/>
  <c r="E45" i="2"/>
  <c r="F45" i="2"/>
  <c r="G45" i="2"/>
  <c r="D23" i="2"/>
  <c r="E23" i="2"/>
  <c r="F23" i="2"/>
  <c r="G23" i="2"/>
  <c r="D113" i="1"/>
  <c r="E113" i="1"/>
  <c r="F113" i="1"/>
  <c r="G113" i="1"/>
  <c r="G49" i="1"/>
  <c r="D141" i="1"/>
  <c r="E141" i="1"/>
  <c r="F141" i="1"/>
  <c r="G141" i="1"/>
  <c r="G152" i="1"/>
  <c r="F49" i="1"/>
  <c r="F152" i="1"/>
  <c r="E152" i="1"/>
  <c r="D49" i="1"/>
  <c r="D152" i="1"/>
  <c r="C152" i="1"/>
  <c r="D148" i="1"/>
  <c r="E148" i="1"/>
  <c r="F148" i="1"/>
  <c r="G148" i="1"/>
  <c r="D145" i="1"/>
  <c r="E145" i="1"/>
  <c r="F145" i="1"/>
  <c r="G145" i="1"/>
  <c r="C145" i="1"/>
  <c r="D126" i="1"/>
  <c r="E126" i="1"/>
  <c r="F126" i="1"/>
  <c r="G126" i="1"/>
  <c r="D87" i="1"/>
  <c r="E87" i="1"/>
  <c r="F87" i="1"/>
  <c r="G87" i="1"/>
  <c r="D52" i="1"/>
  <c r="E52" i="1"/>
  <c r="F52" i="1"/>
  <c r="G52" i="1"/>
  <c r="D34" i="1"/>
  <c r="E34" i="1"/>
  <c r="F34" i="1"/>
  <c r="G34" i="1"/>
  <c r="D100" i="1"/>
  <c r="E100" i="1"/>
  <c r="F100" i="1"/>
  <c r="G100" i="1"/>
  <c r="G84" i="1"/>
  <c r="F84" i="1"/>
  <c r="E84" i="1"/>
  <c r="D84" i="1"/>
  <c r="C84" i="1"/>
  <c r="D74" i="1"/>
  <c r="E74" i="1"/>
  <c r="F74" i="1"/>
  <c r="G74" i="1"/>
  <c r="G10" i="1"/>
  <c r="H10" i="1"/>
  <c r="I10" i="1"/>
  <c r="J10" i="1"/>
  <c r="D61" i="1"/>
  <c r="E61" i="1"/>
  <c r="F61" i="1"/>
  <c r="G61" i="1"/>
  <c r="D43" i="1"/>
  <c r="E43" i="1"/>
  <c r="F43" i="1"/>
  <c r="G43" i="1"/>
  <c r="E31" i="1"/>
  <c r="F31" i="1"/>
  <c r="G31" i="1"/>
  <c r="D25" i="1"/>
  <c r="E25" i="1"/>
  <c r="F25" i="1"/>
  <c r="G25" i="1"/>
  <c r="D31" i="1"/>
  <c r="C31" i="1"/>
  <c r="C110" i="1"/>
  <c r="D110" i="1"/>
  <c r="E110" i="1"/>
  <c r="F110" i="1"/>
  <c r="G110" i="1"/>
  <c r="B68" i="3"/>
  <c r="C68" i="3"/>
  <c r="B114" i="3"/>
  <c r="B140" i="3"/>
  <c r="C114" i="3"/>
  <c r="C140" i="3"/>
</calcChain>
</file>

<file path=xl/sharedStrings.xml><?xml version="1.0" encoding="utf-8"?>
<sst xmlns="http://schemas.openxmlformats.org/spreadsheetml/2006/main" count="346" uniqueCount="143">
  <si>
    <t>TOTAL</t>
  </si>
  <si>
    <t>STEP 1</t>
  </si>
  <si>
    <t>Fill in the Assumptions shaded green</t>
  </si>
  <si>
    <t>STEP 2</t>
  </si>
  <si>
    <t>Review the calculations shaded blue (no need to change these cells)</t>
  </si>
  <si>
    <t>STEP 3</t>
  </si>
  <si>
    <t>STEP 4</t>
  </si>
  <si>
    <t>Transfer data to/from the cost models</t>
  </si>
  <si>
    <t>Check the revenue and cost outcomes to make your case to TRAN</t>
  </si>
  <si>
    <t>Internet</t>
  </si>
  <si>
    <t>International leased lines</t>
  </si>
  <si>
    <t>IPTV</t>
  </si>
  <si>
    <t>International calls - outbound</t>
  </si>
  <si>
    <t>International calls - inbound</t>
  </si>
  <si>
    <t>BH Mbps</t>
  </si>
  <si>
    <t>from NGN training cost model, table 6.04</t>
  </si>
  <si>
    <t>Assumptions</t>
  </si>
  <si>
    <t xml:space="preserve">Proportion of fixed broadband traffic carried by other ISPs </t>
  </si>
  <si>
    <t>Demand analysis - Fixed network</t>
  </si>
  <si>
    <t>Demand analysis - Mobile network</t>
  </si>
  <si>
    <t>BH MB</t>
  </si>
  <si>
    <t>Outgoing calls to international</t>
  </si>
  <si>
    <t>Incoming calls from international</t>
  </si>
  <si>
    <t>Outbound roaming calls</t>
  </si>
  <si>
    <t>Incoming roaming calls</t>
  </si>
  <si>
    <t>Videocall</t>
  </si>
  <si>
    <t>WEB (3G internet)</t>
  </si>
  <si>
    <t>Email</t>
  </si>
  <si>
    <t>Games and other apps</t>
  </si>
  <si>
    <t>from mobile training cost model, table 6.02</t>
  </si>
  <si>
    <t>Normcell - Mobile network demand (with Cloud)</t>
  </si>
  <si>
    <t>Videostream</t>
  </si>
  <si>
    <t>Proportion of IPTV traffic that uses submarine cable (i.e. is not hosted locally)</t>
  </si>
  <si>
    <t>Proportion of mobile videostream that uses submarine cable (i.e.is not hosted locally)</t>
  </si>
  <si>
    <t xml:space="preserve">Proportion of mobile data traffic that uses submarine cable </t>
  </si>
  <si>
    <t>Newtel - Fixed subscribers service demand (includes Cloud)</t>
  </si>
  <si>
    <t>Telecom - Fixed subscribers service demand</t>
  </si>
  <si>
    <t>Proportion of mobile broadband traffic carried by other service providers (e.g. OTT)</t>
  </si>
  <si>
    <t>Telecom - Fixed subscribers submarine cable demand</t>
  </si>
  <si>
    <t>Newtel - Fixed subscribers submarine cable demand</t>
  </si>
  <si>
    <t>Telecom - Mobile subscribers service demand (without Cloud)</t>
  </si>
  <si>
    <t>Conversion factor MB to Mbps</t>
  </si>
  <si>
    <t>Total service demand - ABC</t>
  </si>
  <si>
    <t>Telecom (fixed subscribers)</t>
  </si>
  <si>
    <t>Newtel (fixed subscribers)</t>
  </si>
  <si>
    <t>Other service providers</t>
  </si>
  <si>
    <t>Other SPs - Fixed subscribers submarine cable demand</t>
  </si>
  <si>
    <t xml:space="preserve">Other SPs - Mobile subscribers submarine cable demand </t>
  </si>
  <si>
    <t>Proportion of Internet traffic that uses submarine cable (i.e. is not hosted locally)</t>
  </si>
  <si>
    <t>Telecom (mobile subscribers)</t>
  </si>
  <si>
    <t>Newtel (mobile subscribers)</t>
  </si>
  <si>
    <t>Total service demand - JKL</t>
  </si>
  <si>
    <t>Telecom - Mobile subscribers submarine cable demand (without Cloud)</t>
  </si>
  <si>
    <t>Normcell - Mobile subscribers submarine cable demand (without Cloud)</t>
  </si>
  <si>
    <t>SUBMARINE CABLE - DEMAND ESTIMATES</t>
  </si>
  <si>
    <t xml:space="preserve"> </t>
  </si>
  <si>
    <t>SUBMARINE CABLE - COST ESTIMATES</t>
  </si>
  <si>
    <t>Cost ($m) for first 10Gbps</t>
  </si>
  <si>
    <t>Discount each per additional 10Gbps</t>
  </si>
  <si>
    <t>Lifetime of the submarine cable (depereciation period) - years</t>
  </si>
  <si>
    <t>Operations and maintenance costs (% of initial capex )</t>
  </si>
  <si>
    <t>Annual change in O&amp;M costs</t>
  </si>
  <si>
    <t>Effective cable utilisation rate</t>
  </si>
  <si>
    <t>Cost analysis - ABC</t>
  </si>
  <si>
    <t>Required number of 10G</t>
  </si>
  <si>
    <t>Capital cost per average 10G ($m)</t>
  </si>
  <si>
    <t>Annual capex per 10G ($k)</t>
  </si>
  <si>
    <t>Annual capital charge (%)</t>
  </si>
  <si>
    <t>WACC</t>
  </si>
  <si>
    <t>Total capital cost ($m)</t>
  </si>
  <si>
    <t>Total O&amp;M ($m)</t>
  </si>
  <si>
    <t>Annual Opex per 10G ($k)</t>
  </si>
  <si>
    <t>Total annual cost per 10G ($k)</t>
  </si>
  <si>
    <t>Cost analysis - JKL</t>
  </si>
  <si>
    <t>Costs of cable capacity - ABC</t>
  </si>
  <si>
    <t>Costs of cable capacity - JKL</t>
  </si>
  <si>
    <t>QUAD-PLAY - COSTS AND PRICES</t>
  </si>
  <si>
    <t>Newtel - cost of fibre access - $ per subscriber p.a.</t>
  </si>
  <si>
    <t>Newtel - cost of core network - $ per Mbps p.a.</t>
  </si>
  <si>
    <t>Normcell - cost of access to JKL cable - $ per Mbps p.m.</t>
  </si>
  <si>
    <t>Normcell - cost of mobile access - $ per Mbyte</t>
  </si>
  <si>
    <t>Service</t>
  </si>
  <si>
    <t>Vitesse 2</t>
  </si>
  <si>
    <t>Vitesse 10</t>
  </si>
  <si>
    <t>Vitesse 25</t>
  </si>
  <si>
    <t>Vitesse 100</t>
  </si>
  <si>
    <t>Submarine cable</t>
  </si>
  <si>
    <t>Core Network</t>
  </si>
  <si>
    <t>Access network</t>
  </si>
  <si>
    <t>Maximum bandwidth (Mbps)</t>
  </si>
  <si>
    <t>TOTAL cost</t>
  </si>
  <si>
    <t>Newtel costs  2014</t>
  </si>
  <si>
    <t xml:space="preserve">Newtel services and prices </t>
  </si>
  <si>
    <t>Tariff 2014 ($p.m.)</t>
  </si>
  <si>
    <t>Tariff 2016 ($p.m.)</t>
  </si>
  <si>
    <t>Newtel quad-play business case</t>
  </si>
  <si>
    <t>Newtel costs  2016</t>
  </si>
  <si>
    <t xml:space="preserve">Contention ratio for broadband </t>
  </si>
  <si>
    <t>Cost of sale</t>
  </si>
  <si>
    <t>Newtel profit margin by service</t>
  </si>
  <si>
    <t>Newtel revenues ($m)</t>
  </si>
  <si>
    <t>Normcell quad-play business case</t>
  </si>
  <si>
    <t>Mobile network</t>
  </si>
  <si>
    <t>Normcell costs  2014</t>
  </si>
  <si>
    <t>Cost ($ per subscriber per month)</t>
  </si>
  <si>
    <t>JKL cable</t>
  </si>
  <si>
    <t>Normcell profit margin by service</t>
  </si>
  <si>
    <t>Normcell - cost of core network - $ per Mbyte</t>
  </si>
  <si>
    <t xml:space="preserve"> Core Network</t>
  </si>
  <si>
    <t>Normcell costs  2016</t>
  </si>
  <si>
    <t xml:space="preserve">Normcell tariffs </t>
  </si>
  <si>
    <t>Fixed fee</t>
  </si>
  <si>
    <t>Expected annual growth in broadband usage within each data package</t>
  </si>
  <si>
    <t>as for Newtel above</t>
  </si>
  <si>
    <t>Revenue per MB (at 2014 tariffs)</t>
  </si>
  <si>
    <t>AVERAGE</t>
  </si>
  <si>
    <t>Cost ($ per MB)</t>
  </si>
  <si>
    <t>Subscribers (2016)</t>
  </si>
  <si>
    <t>Subscribers (2014)</t>
  </si>
  <si>
    <t>Revenue per MB (at forecast tariffs)</t>
  </si>
  <si>
    <t>Cost analysis - Normalia total market</t>
  </si>
  <si>
    <t>Cost per Mbps per month</t>
  </si>
  <si>
    <t>Cost per Mbps per month - ABC</t>
  </si>
  <si>
    <t>Cost per Mbps per month - JKL</t>
  </si>
  <si>
    <t>Average cost per Mbps per month</t>
  </si>
  <si>
    <t>Costs of cable capacity - Normalia</t>
  </si>
  <si>
    <t>USD</t>
  </si>
  <si>
    <t>Transfer data from the demand model</t>
  </si>
  <si>
    <t>from NGA training cost model (sites connected)</t>
  </si>
  <si>
    <t>from NGN training cost model</t>
  </si>
  <si>
    <t xml:space="preserve">Average Newtel subscribers (with Cloud) </t>
  </si>
  <si>
    <t>Check the cost outcomes to make your case to TRAN</t>
  </si>
  <si>
    <t>Check the demand outcomes to make your case to TRAN</t>
  </si>
  <si>
    <t>Proportion of ISP traffic on ABC submarine cable (rather than JKL)</t>
  </si>
  <si>
    <t>Basic</t>
  </si>
  <si>
    <t>Enhanced</t>
  </si>
  <si>
    <t>Maxi</t>
  </si>
  <si>
    <t>Unlimited</t>
  </si>
  <si>
    <t>see workings for Practical Exercise 4</t>
  </si>
  <si>
    <t xml:space="preserve">see workings for Practical Exercise 3 </t>
  </si>
  <si>
    <t>see workings for Practical Exercise 4 for 2014 data</t>
  </si>
  <si>
    <t>Normcell subscribers</t>
  </si>
  <si>
    <t>see workings for Practical Exercise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</si>
</sst>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"/>
    <numFmt numFmtId="166" formatCode="0.0%"/>
    <numFmt numFmtId="167" formatCode="0.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6"/>
      <color rgb="FF000000"/>
      <name val="Calibri"/>
      <scheme val="minor"/>
    </font>
    <font>
      <b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000000"/>
      </patternFill>
    </fill>
  </fills>
  <borders count="1">
    <border>
      <left/>
      <right/>
      <top/>
      <bottom/>
      <diagonal/>
    </border>
  </borders>
  <cellStyleXfs count="38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Fill="1"/>
    <xf numFmtId="0" fontId="0" fillId="5" borderId="0" xfId="0" applyFill="1" applyAlignment="1">
      <alignment horizontal="left"/>
    </xf>
    <xf numFmtId="0" fontId="0" fillId="5" borderId="0" xfId="0" applyFill="1" applyAlignment="1">
      <alignment horizontal="center"/>
    </xf>
    <xf numFmtId="0" fontId="0" fillId="5" borderId="0" xfId="0" applyFill="1"/>
    <xf numFmtId="0" fontId="6" fillId="0" borderId="0" xfId="0" applyFont="1"/>
    <xf numFmtId="0" fontId="0" fillId="6" borderId="0" xfId="0" applyFill="1" applyAlignment="1">
      <alignment horizontal="left"/>
    </xf>
    <xf numFmtId="0" fontId="0" fillId="6" borderId="0" xfId="0" applyFill="1" applyAlignment="1">
      <alignment horizontal="center"/>
    </xf>
    <xf numFmtId="0" fontId="0" fillId="6" borderId="0" xfId="0" applyFill="1"/>
    <xf numFmtId="3" fontId="3" fillId="2" borderId="0" xfId="0" applyNumberFormat="1" applyFont="1" applyFill="1" applyAlignment="1">
      <alignment horizontal="center"/>
    </xf>
    <xf numFmtId="0" fontId="7" fillId="0" borderId="0" xfId="0" applyFont="1"/>
    <xf numFmtId="9" fontId="0" fillId="3" borderId="0" xfId="195" applyFont="1" applyFill="1" applyAlignment="1">
      <alignment horizontal="center" vertical="center"/>
    </xf>
    <xf numFmtId="9" fontId="0" fillId="4" borderId="0" xfId="0" applyNumberFormat="1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/>
    </xf>
    <xf numFmtId="9" fontId="0" fillId="3" borderId="0" xfId="195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" fontId="0" fillId="3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66" fontId="0" fillId="3" borderId="0" xfId="195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9" fontId="0" fillId="4" borderId="0" xfId="195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3" fillId="2" borderId="0" xfId="0" applyNumberFormat="1" applyFont="1" applyFill="1" applyAlignment="1">
      <alignment horizontal="center"/>
    </xf>
    <xf numFmtId="2" fontId="0" fillId="3" borderId="0" xfId="195" applyNumberFormat="1" applyFon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5" fontId="0" fillId="3" borderId="0" xfId="195" applyNumberFormat="1" applyFont="1" applyFill="1" applyAlignment="1">
      <alignment horizontal="center" vertical="center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" fontId="0" fillId="4" borderId="0" xfId="0" applyNumberFormat="1" applyFill="1" applyAlignment="1">
      <alignment horizontal="center" vertical="center"/>
    </xf>
    <xf numFmtId="9" fontId="0" fillId="4" borderId="0" xfId="195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9" fontId="3" fillId="5" borderId="0" xfId="195" applyFont="1" applyFill="1" applyAlignment="1">
      <alignment horizontal="center"/>
    </xf>
    <xf numFmtId="167" fontId="0" fillId="3" borderId="0" xfId="195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9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7" fontId="3" fillId="2" borderId="0" xfId="0" applyNumberFormat="1" applyFont="1" applyFill="1" applyAlignment="1">
      <alignment horizontal="center"/>
    </xf>
    <xf numFmtId="167" fontId="0" fillId="4" borderId="0" xfId="0" applyNumberFormat="1" applyFill="1" applyAlignment="1">
      <alignment horizontal="center" vertical="center"/>
    </xf>
    <xf numFmtId="165" fontId="3" fillId="5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8" fillId="7" borderId="0" xfId="0" applyFont="1" applyFill="1" applyAlignment="1">
      <alignment horizontal="center" wrapText="1"/>
    </xf>
    <xf numFmtId="164" fontId="0" fillId="3" borderId="0" xfId="0" applyNumberFormat="1" applyFill="1" applyAlignment="1">
      <alignment horizontal="center"/>
    </xf>
  </cellXfs>
  <cellStyles count="38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Normal" xfId="0" builtinId="0"/>
    <cellStyle name="Percent" xfId="195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'CLS Costs'!$A$71</c:f>
              <c:strCache>
                <c:ptCount val="1"/>
                <c:pt idx="0">
                  <c:v>Average cost per Mbps per month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solidFill>
                <a:srgbClr val="FF0000"/>
              </a:solidFill>
            </c:spPr>
          </c:dPt>
          <c:cat>
            <c:numRef>
              <c:f>'CLS Costs'!$C$68:$G$68</c:f>
              <c:numCache>
                <c:formatCode>General</c:formatCode>
                <c:ptCount val="5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  <c:pt idx="3">
                  <c:v>2017.0</c:v>
                </c:pt>
                <c:pt idx="4">
                  <c:v>2018.0</c:v>
                </c:pt>
              </c:numCache>
            </c:numRef>
          </c:cat>
          <c:val>
            <c:numRef>
              <c:f>'CLS Costs'!$C$71:$G$71</c:f>
              <c:numCache>
                <c:formatCode>0.0</c:formatCode>
                <c:ptCount val="5"/>
                <c:pt idx="0">
                  <c:v>1.537354573233035</c:v>
                </c:pt>
                <c:pt idx="1">
                  <c:v>1.152712388539844</c:v>
                </c:pt>
                <c:pt idx="2">
                  <c:v>0.871234661870879</c:v>
                </c:pt>
                <c:pt idx="3">
                  <c:v>0.634293458481707</c:v>
                </c:pt>
                <c:pt idx="4">
                  <c:v>0.451054532136923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2141476728"/>
        <c:axId val="2125314344"/>
      </c:barChart>
      <c:catAx>
        <c:axId val="-21414767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2125314344"/>
        <c:crosses val="autoZero"/>
        <c:auto val="1"/>
        <c:lblAlgn val="ctr"/>
        <c:lblOffset val="100"/>
        <c:noMultiLvlLbl val="0"/>
      </c:catAx>
      <c:valAx>
        <c:axId val="2125314344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-2141476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927100</xdr:colOff>
      <xdr:row>74</xdr:row>
      <xdr:rowOff>95250</xdr:rowOff>
    </xdr:from>
    <xdr:to>
      <xdr:col>5</xdr:col>
      <xdr:colOff>101600</xdr:colOff>
      <xdr:row>88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showGridLines="0" workbookViewId="0">
      <selection activeCell="L22" sqref="L22"/>
    </sheetView>
  </sheetViews>
  <sheetFormatPr baseColWidth="10" defaultColWidth="11" defaultRowHeight="15" x14ac:dyDescent="0"/>
  <cols>
    <col min="1" max="6" width="14.1640625" customWidth="1"/>
    <col min="7" max="7" width="13" bestFit="1" customWidth="1"/>
  </cols>
  <sheetData>
    <row r="1" spans="1:10" ht="21">
      <c r="A1" s="14" t="s">
        <v>54</v>
      </c>
      <c r="B1" s="2"/>
      <c r="C1" s="2"/>
    </row>
    <row r="2" spans="1:10">
      <c r="B2" s="2"/>
      <c r="C2" s="2"/>
    </row>
    <row r="3" spans="1:10">
      <c r="A3" s="1" t="s">
        <v>1</v>
      </c>
      <c r="B3" s="8" t="s">
        <v>2</v>
      </c>
      <c r="C3" s="6"/>
      <c r="D3" s="8"/>
      <c r="E3" s="8"/>
      <c r="F3" s="8"/>
      <c r="G3" s="8"/>
    </row>
    <row r="4" spans="1:10">
      <c r="A4" s="1" t="s">
        <v>3</v>
      </c>
      <c r="B4" s="9" t="s">
        <v>4</v>
      </c>
      <c r="C4" s="7"/>
      <c r="D4" s="10"/>
      <c r="E4" s="10"/>
      <c r="F4" s="10"/>
      <c r="G4" s="10"/>
    </row>
    <row r="5" spans="1:10">
      <c r="A5" s="1" t="s">
        <v>5</v>
      </c>
      <c r="B5" s="15" t="s">
        <v>7</v>
      </c>
      <c r="C5" s="16"/>
      <c r="D5" s="17"/>
      <c r="E5" s="17"/>
      <c r="F5" s="17"/>
      <c r="G5" s="17"/>
    </row>
    <row r="6" spans="1:10">
      <c r="A6" s="1" t="s">
        <v>6</v>
      </c>
      <c r="B6" s="11" t="s">
        <v>132</v>
      </c>
      <c r="C6" s="12"/>
      <c r="D6" s="13"/>
      <c r="E6" s="13"/>
      <c r="F6" s="13"/>
      <c r="G6" s="13"/>
    </row>
    <row r="7" spans="1:10">
      <c r="B7" s="2"/>
      <c r="C7" s="2"/>
    </row>
    <row r="8" spans="1:10">
      <c r="B8" s="2"/>
      <c r="C8" s="2"/>
    </row>
    <row r="9" spans="1:10" ht="21">
      <c r="A9" s="19" t="s">
        <v>16</v>
      </c>
      <c r="B9" s="2"/>
      <c r="C9" s="2"/>
    </row>
    <row r="10" spans="1:10">
      <c r="B10" s="2"/>
      <c r="F10" s="4">
        <v>2014</v>
      </c>
      <c r="G10" s="4">
        <f>F10+1</f>
        <v>2015</v>
      </c>
      <c r="H10" s="4">
        <f t="shared" ref="H10:J10" si="0">G10+1</f>
        <v>2016</v>
      </c>
      <c r="I10" s="4">
        <f t="shared" si="0"/>
        <v>2017</v>
      </c>
      <c r="J10" s="4">
        <f t="shared" si="0"/>
        <v>2018</v>
      </c>
    </row>
    <row r="11" spans="1:10" ht="15" customHeight="1">
      <c r="A11" s="57" t="s">
        <v>48</v>
      </c>
      <c r="B11" s="57"/>
      <c r="C11" s="57"/>
      <c r="D11" s="57"/>
      <c r="E11" s="57"/>
      <c r="F11" s="20">
        <v>0.8</v>
      </c>
      <c r="G11" s="21">
        <f t="shared" ref="G11:I17" si="1">F11+($J11-$F11)/4</f>
        <v>0.75</v>
      </c>
      <c r="H11" s="21">
        <f t="shared" si="1"/>
        <v>0.7</v>
      </c>
      <c r="I11" s="21">
        <f t="shared" si="1"/>
        <v>0.64999999999999991</v>
      </c>
      <c r="J11" s="22">
        <v>0.6</v>
      </c>
    </row>
    <row r="12" spans="1:10" ht="15" customHeight="1">
      <c r="A12" s="57" t="s">
        <v>32</v>
      </c>
      <c r="B12" s="57"/>
      <c r="C12" s="57"/>
      <c r="D12" s="57"/>
      <c r="E12" s="57"/>
      <c r="F12" s="20">
        <v>0.9</v>
      </c>
      <c r="G12" s="21">
        <f t="shared" si="1"/>
        <v>0.8</v>
      </c>
      <c r="H12" s="21">
        <f t="shared" si="1"/>
        <v>0.70000000000000007</v>
      </c>
      <c r="I12" s="21">
        <f t="shared" si="1"/>
        <v>0.60000000000000009</v>
      </c>
      <c r="J12" s="22">
        <v>0.5</v>
      </c>
    </row>
    <row r="13" spans="1:10" ht="15" customHeight="1">
      <c r="A13" s="57" t="s">
        <v>17</v>
      </c>
      <c r="B13" s="57"/>
      <c r="C13" s="57"/>
      <c r="D13" s="57"/>
      <c r="E13" s="57"/>
      <c r="F13" s="20">
        <v>0.15</v>
      </c>
      <c r="G13" s="21">
        <f t="shared" si="1"/>
        <v>0.19999999999999998</v>
      </c>
      <c r="H13" s="21">
        <f t="shared" si="1"/>
        <v>0.24999999999999997</v>
      </c>
      <c r="I13" s="21">
        <f t="shared" si="1"/>
        <v>0.3</v>
      </c>
      <c r="J13" s="22">
        <v>0.35</v>
      </c>
    </row>
    <row r="14" spans="1:10" ht="15" customHeight="1">
      <c r="A14" s="57" t="s">
        <v>33</v>
      </c>
      <c r="B14" s="57"/>
      <c r="C14" s="57"/>
      <c r="D14" s="57"/>
      <c r="E14" s="57"/>
      <c r="F14" s="20">
        <v>0.4</v>
      </c>
      <c r="G14" s="21">
        <f t="shared" si="1"/>
        <v>0.4</v>
      </c>
      <c r="H14" s="21">
        <f t="shared" si="1"/>
        <v>0.4</v>
      </c>
      <c r="I14" s="21">
        <f t="shared" si="1"/>
        <v>0.4</v>
      </c>
      <c r="J14" s="22">
        <v>0.4</v>
      </c>
    </row>
    <row r="15" spans="1:10" ht="15" customHeight="1">
      <c r="A15" s="57" t="s">
        <v>34</v>
      </c>
      <c r="B15" s="57"/>
      <c r="C15" s="57"/>
      <c r="D15" s="57"/>
      <c r="E15" s="57"/>
      <c r="F15" s="20">
        <v>0.15</v>
      </c>
      <c r="G15" s="21">
        <f t="shared" si="1"/>
        <v>0.17499999999999999</v>
      </c>
      <c r="H15" s="21">
        <f t="shared" si="1"/>
        <v>0.19999999999999998</v>
      </c>
      <c r="I15" s="21">
        <f t="shared" si="1"/>
        <v>0.22499999999999998</v>
      </c>
      <c r="J15" s="22">
        <v>0.25</v>
      </c>
    </row>
    <row r="16" spans="1:10" ht="15" customHeight="1">
      <c r="A16" s="57" t="s">
        <v>37</v>
      </c>
      <c r="B16" s="57"/>
      <c r="C16" s="57"/>
      <c r="D16" s="57"/>
      <c r="E16" s="57"/>
      <c r="F16" s="20">
        <v>0.15</v>
      </c>
      <c r="G16" s="21">
        <f t="shared" si="1"/>
        <v>0.19999999999999998</v>
      </c>
      <c r="H16" s="21">
        <f t="shared" si="1"/>
        <v>0.24999999999999997</v>
      </c>
      <c r="I16" s="21">
        <f t="shared" si="1"/>
        <v>0.3</v>
      </c>
      <c r="J16" s="22">
        <v>0.35</v>
      </c>
    </row>
    <row r="17" spans="1:10" ht="15" customHeight="1">
      <c r="A17" s="57" t="s">
        <v>133</v>
      </c>
      <c r="B17" s="57"/>
      <c r="C17" s="57"/>
      <c r="D17" s="57"/>
      <c r="E17" s="57"/>
      <c r="F17" s="20">
        <v>1</v>
      </c>
      <c r="G17" s="21">
        <f t="shared" si="1"/>
        <v>0.875</v>
      </c>
      <c r="H17" s="21">
        <f t="shared" si="1"/>
        <v>0.75</v>
      </c>
      <c r="I17" s="21">
        <f t="shared" si="1"/>
        <v>0.625</v>
      </c>
      <c r="J17" s="22">
        <v>0.5</v>
      </c>
    </row>
    <row r="18" spans="1:10">
      <c r="B18" s="2"/>
      <c r="C18" s="2"/>
    </row>
    <row r="19" spans="1:10">
      <c r="A19" t="s">
        <v>41</v>
      </c>
      <c r="B19" s="2"/>
      <c r="C19" s="61">
        <v>0.08</v>
      </c>
    </row>
    <row r="20" spans="1:10">
      <c r="B20" s="2"/>
      <c r="C20" s="2"/>
      <c r="D20" t="s">
        <v>55</v>
      </c>
    </row>
    <row r="21" spans="1:10">
      <c r="B21" s="2"/>
      <c r="C21" s="2"/>
    </row>
    <row r="22" spans="1:10" ht="21">
      <c r="A22" s="19" t="s">
        <v>18</v>
      </c>
    </row>
    <row r="24" spans="1:10">
      <c r="A24" s="1" t="s">
        <v>36</v>
      </c>
    </row>
    <row r="25" spans="1:10">
      <c r="A25" s="3" t="s">
        <v>14</v>
      </c>
      <c r="B25" s="3"/>
      <c r="C25" s="4">
        <v>2014</v>
      </c>
      <c r="D25" s="4">
        <f>C25+1</f>
        <v>2015</v>
      </c>
      <c r="E25" s="4">
        <f t="shared" ref="E25:G25" si="2">D25+1</f>
        <v>2016</v>
      </c>
      <c r="F25" s="4">
        <f t="shared" si="2"/>
        <v>2017</v>
      </c>
      <c r="G25" s="4">
        <f t="shared" si="2"/>
        <v>2018</v>
      </c>
      <c r="H25" s="5" t="s">
        <v>15</v>
      </c>
    </row>
    <row r="26" spans="1:10">
      <c r="A26" t="s">
        <v>13</v>
      </c>
      <c r="C26" s="28">
        <v>187.72575051112489</v>
      </c>
      <c r="D26" s="28">
        <v>227.64536641955848</v>
      </c>
      <c r="E26" s="28">
        <v>244.41526782113536</v>
      </c>
      <c r="F26" s="28">
        <v>251.11216460235531</v>
      </c>
      <c r="G26" s="28">
        <v>254.78405837395752</v>
      </c>
    </row>
    <row r="27" spans="1:10">
      <c r="A27" t="s">
        <v>12</v>
      </c>
      <c r="C27" s="28">
        <v>519.20328183293725</v>
      </c>
      <c r="D27" s="28">
        <v>559.91681499201388</v>
      </c>
      <c r="E27" s="28">
        <v>474.09143772200184</v>
      </c>
      <c r="F27" s="28">
        <v>444.91161330229062</v>
      </c>
      <c r="G27" s="28">
        <v>420.82024888240448</v>
      </c>
    </row>
    <row r="28" spans="1:10">
      <c r="A28" t="s">
        <v>9</v>
      </c>
      <c r="C28" s="28">
        <v>20615.000000000004</v>
      </c>
      <c r="D28" s="28">
        <v>26346.320000000007</v>
      </c>
      <c r="E28" s="28">
        <v>33331.477760000009</v>
      </c>
      <c r="F28" s="28">
        <v>41796.165447680018</v>
      </c>
      <c r="G28" s="28">
        <v>51994.85683073027</v>
      </c>
    </row>
    <row r="29" spans="1:10">
      <c r="A29" t="s">
        <v>10</v>
      </c>
      <c r="C29" s="28">
        <v>2.8800000000000006E-2</v>
      </c>
      <c r="D29" s="28">
        <v>2.4336000000000003E-2</v>
      </c>
      <c r="E29" s="28">
        <v>2.0563920000000003E-2</v>
      </c>
      <c r="F29" s="28">
        <v>1.7376512400000002E-2</v>
      </c>
      <c r="G29" s="28">
        <v>1.4683152978000004E-2</v>
      </c>
    </row>
    <row r="30" spans="1:10">
      <c r="A30" t="s">
        <v>11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</row>
    <row r="31" spans="1:10">
      <c r="A31" s="3" t="s">
        <v>0</v>
      </c>
      <c r="B31" s="3"/>
      <c r="C31" s="18">
        <f t="shared" ref="C31:G31" si="3">SUM(C26:C30)</f>
        <v>21321.957832344066</v>
      </c>
      <c r="D31" s="18">
        <f t="shared" si="3"/>
        <v>27133.906517411579</v>
      </c>
      <c r="E31" s="18">
        <f t="shared" si="3"/>
        <v>34050.005029463144</v>
      </c>
      <c r="F31" s="18">
        <f t="shared" si="3"/>
        <v>42492.20660209706</v>
      </c>
      <c r="G31" s="18">
        <f t="shared" si="3"/>
        <v>52670.475821139611</v>
      </c>
    </row>
    <row r="32" spans="1:10">
      <c r="B32" s="2"/>
      <c r="C32" s="2"/>
      <c r="D32" s="2"/>
    </row>
    <row r="33" spans="1:8">
      <c r="A33" s="1" t="s">
        <v>38</v>
      </c>
    </row>
    <row r="34" spans="1:8">
      <c r="A34" s="3" t="s">
        <v>14</v>
      </c>
      <c r="B34" s="3"/>
      <c r="C34" s="4">
        <v>2014</v>
      </c>
      <c r="D34" s="4">
        <f>C34+1</f>
        <v>2015</v>
      </c>
      <c r="E34" s="4">
        <f t="shared" ref="E34" si="4">D34+1</f>
        <v>2016</v>
      </c>
      <c r="F34" s="4">
        <f t="shared" ref="F34" si="5">E34+1</f>
        <v>2017</v>
      </c>
      <c r="G34" s="4">
        <f t="shared" ref="G34" si="6">F34+1</f>
        <v>2018</v>
      </c>
    </row>
    <row r="35" spans="1:8">
      <c r="A35" t="s">
        <v>13</v>
      </c>
      <c r="C35" s="23">
        <f>C26</f>
        <v>187.72575051112489</v>
      </c>
      <c r="D35" s="23">
        <f t="shared" ref="D35:G35" si="7">D26</f>
        <v>227.64536641955848</v>
      </c>
      <c r="E35" s="23">
        <f t="shared" si="7"/>
        <v>244.41526782113536</v>
      </c>
      <c r="F35" s="23">
        <f t="shared" si="7"/>
        <v>251.11216460235531</v>
      </c>
      <c r="G35" s="23">
        <f t="shared" si="7"/>
        <v>254.78405837395752</v>
      </c>
    </row>
    <row r="36" spans="1:8">
      <c r="A36" t="s">
        <v>12</v>
      </c>
      <c r="C36" s="23">
        <f>C27</f>
        <v>519.20328183293725</v>
      </c>
      <c r="D36" s="23">
        <f t="shared" ref="D36:G36" si="8">D27</f>
        <v>559.91681499201388</v>
      </c>
      <c r="E36" s="23">
        <f t="shared" si="8"/>
        <v>474.09143772200184</v>
      </c>
      <c r="F36" s="23">
        <f t="shared" si="8"/>
        <v>444.91161330229062</v>
      </c>
      <c r="G36" s="23">
        <f t="shared" si="8"/>
        <v>420.82024888240448</v>
      </c>
    </row>
    <row r="37" spans="1:8">
      <c r="A37" t="s">
        <v>9</v>
      </c>
      <c r="C37" s="23">
        <f>C28*F$11</f>
        <v>16492.000000000004</v>
      </c>
      <c r="D37" s="23">
        <f>D28*G$11</f>
        <v>19759.740000000005</v>
      </c>
      <c r="E37" s="23">
        <f>E28*H$11</f>
        <v>23332.034432000004</v>
      </c>
      <c r="F37" s="23">
        <f>F28*I$11</f>
        <v>27167.507540992006</v>
      </c>
      <c r="G37" s="23">
        <f>G28*J$11</f>
        <v>31196.914098438159</v>
      </c>
    </row>
    <row r="38" spans="1:8">
      <c r="A38" t="s">
        <v>10</v>
      </c>
      <c r="C38" s="23">
        <f>C29</f>
        <v>2.8800000000000006E-2</v>
      </c>
      <c r="D38" s="23">
        <f t="shared" ref="D38:G38" si="9">D29</f>
        <v>2.4336000000000003E-2</v>
      </c>
      <c r="E38" s="23">
        <f t="shared" si="9"/>
        <v>2.0563920000000003E-2</v>
      </c>
      <c r="F38" s="23">
        <f t="shared" si="9"/>
        <v>1.7376512400000002E-2</v>
      </c>
      <c r="G38" s="23">
        <f t="shared" si="9"/>
        <v>1.4683152978000004E-2</v>
      </c>
    </row>
    <row r="39" spans="1:8">
      <c r="A39" t="s">
        <v>11</v>
      </c>
      <c r="C39" s="23">
        <f>C30*F$12</f>
        <v>0</v>
      </c>
      <c r="D39" s="23">
        <f>D30*G$12</f>
        <v>0</v>
      </c>
      <c r="E39" s="23">
        <f>E30*H$12</f>
        <v>0</v>
      </c>
      <c r="F39" s="23">
        <f>F30*I$12</f>
        <v>0</v>
      </c>
      <c r="G39" s="23">
        <f>G30*J$12</f>
        <v>0</v>
      </c>
    </row>
    <row r="40" spans="1:8">
      <c r="A40" s="3" t="s">
        <v>0</v>
      </c>
      <c r="B40" s="3"/>
      <c r="C40" s="18">
        <f t="shared" ref="C40:G40" si="10">SUM(C35:C39)</f>
        <v>17198.957832344066</v>
      </c>
      <c r="D40" s="18">
        <f t="shared" si="10"/>
        <v>20547.326517411577</v>
      </c>
      <c r="E40" s="18">
        <f t="shared" si="10"/>
        <v>24050.561701463139</v>
      </c>
      <c r="F40" s="18">
        <f t="shared" si="10"/>
        <v>27863.548695409052</v>
      </c>
      <c r="G40" s="18">
        <f t="shared" si="10"/>
        <v>31872.5330888475</v>
      </c>
    </row>
    <row r="41" spans="1:8">
      <c r="B41" s="2"/>
      <c r="C41" s="2"/>
      <c r="D41" s="2"/>
    </row>
    <row r="42" spans="1:8">
      <c r="A42" s="1" t="s">
        <v>35</v>
      </c>
    </row>
    <row r="43" spans="1:8">
      <c r="A43" s="3" t="s">
        <v>14</v>
      </c>
      <c r="B43" s="3"/>
      <c r="C43" s="4">
        <v>2014</v>
      </c>
      <c r="D43" s="4">
        <f>C43+1</f>
        <v>2015</v>
      </c>
      <c r="E43" s="4">
        <f t="shared" ref="E43:G43" si="11">D43+1</f>
        <v>2016</v>
      </c>
      <c r="F43" s="4">
        <f t="shared" si="11"/>
        <v>2017</v>
      </c>
      <c r="G43" s="4">
        <f t="shared" si="11"/>
        <v>2018</v>
      </c>
      <c r="H43" s="5" t="s">
        <v>15</v>
      </c>
    </row>
    <row r="44" spans="1:8">
      <c r="A44" t="s">
        <v>13</v>
      </c>
      <c r="C44" s="28">
        <v>104.2920836172916</v>
      </c>
      <c r="D44" s="28">
        <v>126.46964801086584</v>
      </c>
      <c r="E44" s="28">
        <v>135.78625990063074</v>
      </c>
      <c r="F44" s="28">
        <v>139.50675811241962</v>
      </c>
      <c r="G44" s="28">
        <v>141.54669909664307</v>
      </c>
    </row>
    <row r="45" spans="1:8">
      <c r="A45" t="s">
        <v>12</v>
      </c>
      <c r="C45" s="28">
        <v>288.44626768496505</v>
      </c>
      <c r="D45" s="28">
        <v>311.06489721778547</v>
      </c>
      <c r="E45" s="28">
        <v>263.38413206777881</v>
      </c>
      <c r="F45" s="28">
        <v>247.17311850127254</v>
      </c>
      <c r="G45" s="28">
        <v>233.78902715689139</v>
      </c>
    </row>
    <row r="46" spans="1:8">
      <c r="A46" t="s">
        <v>9</v>
      </c>
      <c r="C46" s="28">
        <v>6596.8</v>
      </c>
      <c r="D46" s="28">
        <v>8430.8224000000009</v>
      </c>
      <c r="E46" s="28">
        <v>10666.0728832</v>
      </c>
      <c r="F46" s="28">
        <v>13374.772943257603</v>
      </c>
      <c r="G46" s="28">
        <v>16638.354185833687</v>
      </c>
    </row>
    <row r="47" spans="1:8">
      <c r="A47" t="s">
        <v>10</v>
      </c>
      <c r="C47" s="28">
        <v>9.6000000000000009E-3</v>
      </c>
      <c r="D47" s="28">
        <v>8.1120000000000012E-3</v>
      </c>
      <c r="E47" s="28">
        <v>6.8546400000000013E-3</v>
      </c>
      <c r="F47" s="28">
        <v>5.7921708000000004E-3</v>
      </c>
      <c r="G47" s="28">
        <v>4.8943843260000003E-3</v>
      </c>
    </row>
    <row r="48" spans="1:8">
      <c r="A48" t="s">
        <v>11</v>
      </c>
      <c r="C48" s="28">
        <v>2011.9099999999996</v>
      </c>
      <c r="D48" s="28">
        <v>5349.0335449999984</v>
      </c>
      <c r="E48" s="28">
        <v>9753.2217537724973</v>
      </c>
      <c r="F48" s="28">
        <v>15492.679409256016</v>
      </c>
      <c r="G48" s="28">
        <v>22877.099549314651</v>
      </c>
    </row>
    <row r="49" spans="1:7">
      <c r="A49" s="3" t="s">
        <v>0</v>
      </c>
      <c r="B49" s="3"/>
      <c r="C49" s="18">
        <f t="shared" ref="C49:G49" si="12">SUM(C44:C48)</f>
        <v>9001.4579513022563</v>
      </c>
      <c r="D49" s="18">
        <f t="shared" si="12"/>
        <v>14217.39860222865</v>
      </c>
      <c r="E49" s="18">
        <f t="shared" si="12"/>
        <v>20818.471883580907</v>
      </c>
      <c r="F49" s="18">
        <f t="shared" si="12"/>
        <v>29254.138021298109</v>
      </c>
      <c r="G49" s="18">
        <f t="shared" si="12"/>
        <v>39890.794355786202</v>
      </c>
    </row>
    <row r="51" spans="1:7">
      <c r="A51" s="1" t="s">
        <v>39</v>
      </c>
    </row>
    <row r="52" spans="1:7">
      <c r="A52" s="3" t="s">
        <v>14</v>
      </c>
      <c r="B52" s="3"/>
      <c r="C52" s="4">
        <v>2014</v>
      </c>
      <c r="D52" s="4">
        <f>C52+1</f>
        <v>2015</v>
      </c>
      <c r="E52" s="4">
        <f t="shared" ref="E52" si="13">D52+1</f>
        <v>2016</v>
      </c>
      <c r="F52" s="4">
        <f t="shared" ref="F52" si="14">E52+1</f>
        <v>2017</v>
      </c>
      <c r="G52" s="4">
        <f t="shared" ref="G52" si="15">F52+1</f>
        <v>2018</v>
      </c>
    </row>
    <row r="53" spans="1:7">
      <c r="A53" t="s">
        <v>13</v>
      </c>
      <c r="C53" s="23">
        <f>C44</f>
        <v>104.2920836172916</v>
      </c>
      <c r="D53" s="23">
        <f t="shared" ref="D53:G53" si="16">D44</f>
        <v>126.46964801086584</v>
      </c>
      <c r="E53" s="23">
        <f t="shared" si="16"/>
        <v>135.78625990063074</v>
      </c>
      <c r="F53" s="23">
        <f t="shared" si="16"/>
        <v>139.50675811241962</v>
      </c>
      <c r="G53" s="23">
        <f t="shared" si="16"/>
        <v>141.54669909664307</v>
      </c>
    </row>
    <row r="54" spans="1:7">
      <c r="A54" t="s">
        <v>12</v>
      </c>
      <c r="C54" s="23">
        <f>C45</f>
        <v>288.44626768496505</v>
      </c>
      <c r="D54" s="23">
        <f t="shared" ref="D54:G54" si="17">D45</f>
        <v>311.06489721778547</v>
      </c>
      <c r="E54" s="23">
        <f t="shared" si="17"/>
        <v>263.38413206777881</v>
      </c>
      <c r="F54" s="23">
        <f t="shared" si="17"/>
        <v>247.17311850127254</v>
      </c>
      <c r="G54" s="23">
        <f t="shared" si="17"/>
        <v>233.78902715689139</v>
      </c>
    </row>
    <row r="55" spans="1:7">
      <c r="A55" t="s">
        <v>9</v>
      </c>
      <c r="C55" s="23">
        <f>C46*F$11</f>
        <v>5277.4400000000005</v>
      </c>
      <c r="D55" s="23">
        <f>D46*G$11</f>
        <v>6323.1168000000007</v>
      </c>
      <c r="E55" s="23">
        <f>E46*H$11</f>
        <v>7466.2510182400001</v>
      </c>
      <c r="F55" s="23">
        <f>F46*I$11</f>
        <v>8693.6024131174418</v>
      </c>
      <c r="G55" s="23">
        <f>G46*J$11</f>
        <v>9983.012511500212</v>
      </c>
    </row>
    <row r="56" spans="1:7">
      <c r="A56" t="s">
        <v>10</v>
      </c>
      <c r="C56" s="23">
        <f>C47</f>
        <v>9.6000000000000009E-3</v>
      </c>
      <c r="D56" s="23">
        <f t="shared" ref="D56:G56" si="18">D47</f>
        <v>8.1120000000000012E-3</v>
      </c>
      <c r="E56" s="23">
        <f t="shared" si="18"/>
        <v>6.8546400000000013E-3</v>
      </c>
      <c r="F56" s="23">
        <f t="shared" si="18"/>
        <v>5.7921708000000004E-3</v>
      </c>
      <c r="G56" s="23">
        <f t="shared" si="18"/>
        <v>4.8943843260000003E-3</v>
      </c>
    </row>
    <row r="57" spans="1:7">
      <c r="A57" t="s">
        <v>11</v>
      </c>
      <c r="C57" s="23">
        <f>C48*F$12</f>
        <v>1810.7189999999996</v>
      </c>
      <c r="D57" s="23">
        <f>D48*G$12</f>
        <v>4279.2268359999989</v>
      </c>
      <c r="E57" s="23">
        <f>E48*H$12</f>
        <v>6827.2552276407487</v>
      </c>
      <c r="F57" s="23">
        <f>F48*I$12</f>
        <v>9295.6076455536113</v>
      </c>
      <c r="G57" s="23">
        <f>G48*J$12</f>
        <v>11438.549774657326</v>
      </c>
    </row>
    <row r="58" spans="1:7">
      <c r="A58" s="3" t="s">
        <v>0</v>
      </c>
      <c r="B58" s="3"/>
      <c r="C58" s="18">
        <f t="shared" ref="C58:G58" si="19">SUM(C53:C57)</f>
        <v>7480.9069513022569</v>
      </c>
      <c r="D58" s="18">
        <f t="shared" si="19"/>
        <v>11039.88629322865</v>
      </c>
      <c r="E58" s="18">
        <f t="shared" si="19"/>
        <v>14692.683492489159</v>
      </c>
      <c r="F58" s="18">
        <f t="shared" si="19"/>
        <v>18375.895727455543</v>
      </c>
      <c r="G58" s="18">
        <f t="shared" si="19"/>
        <v>21796.902906795396</v>
      </c>
    </row>
    <row r="60" spans="1:7">
      <c r="A60" s="1" t="s">
        <v>46</v>
      </c>
    </row>
    <row r="61" spans="1:7">
      <c r="A61" s="3" t="s">
        <v>14</v>
      </c>
      <c r="B61" s="3"/>
      <c r="C61" s="4">
        <v>2014</v>
      </c>
      <c r="D61" s="4">
        <f>C61+1</f>
        <v>2015</v>
      </c>
      <c r="E61" s="4">
        <f t="shared" ref="E61:G61" si="20">D61+1</f>
        <v>2016</v>
      </c>
      <c r="F61" s="4">
        <f t="shared" si="20"/>
        <v>2017</v>
      </c>
      <c r="G61" s="4">
        <f t="shared" si="20"/>
        <v>2018</v>
      </c>
    </row>
    <row r="62" spans="1:7">
      <c r="A62" t="s">
        <v>13</v>
      </c>
      <c r="C62" s="23">
        <f t="shared" ref="C62:G66" si="21">(C26+C44)*F$13/(1-F$13)</f>
        <v>51.532558963838206</v>
      </c>
      <c r="D62" s="23">
        <f t="shared" si="21"/>
        <v>88.528753607606063</v>
      </c>
      <c r="E62" s="23">
        <f t="shared" si="21"/>
        <v>126.733842573922</v>
      </c>
      <c r="F62" s="23">
        <f t="shared" si="21"/>
        <v>167.40810973490355</v>
      </c>
      <c r="G62" s="23">
        <f t="shared" si="21"/>
        <v>213.40886940724644</v>
      </c>
    </row>
    <row r="63" spans="1:7">
      <c r="A63" t="s">
        <v>12</v>
      </c>
      <c r="C63" s="23">
        <f t="shared" si="21"/>
        <v>142.52639109139452</v>
      </c>
      <c r="D63" s="23">
        <f t="shared" si="21"/>
        <v>217.7454280524498</v>
      </c>
      <c r="E63" s="23">
        <f t="shared" si="21"/>
        <v>245.82518992992684</v>
      </c>
      <c r="F63" s="23">
        <f t="shared" si="21"/>
        <v>296.60774220152706</v>
      </c>
      <c r="G63" s="23">
        <f t="shared" si="21"/>
        <v>352.48191786731314</v>
      </c>
    </row>
    <row r="64" spans="1:7">
      <c r="A64" t="s">
        <v>9</v>
      </c>
      <c r="C64" s="23">
        <f t="shared" si="21"/>
        <v>4802.0823529411773</v>
      </c>
      <c r="D64" s="23">
        <f t="shared" si="21"/>
        <v>8694.2856000000011</v>
      </c>
      <c r="E64" s="23">
        <f t="shared" si="21"/>
        <v>14665.850214400001</v>
      </c>
      <c r="F64" s="23">
        <f t="shared" si="21"/>
        <v>23644.687881830407</v>
      </c>
      <c r="G64" s="23">
        <f t="shared" si="21"/>
        <v>36956.34439353444</v>
      </c>
    </row>
    <row r="65" spans="1:8">
      <c r="A65" t="s">
        <v>10</v>
      </c>
      <c r="C65" s="23">
        <f t="shared" si="21"/>
        <v>6.7764705882352944E-3</v>
      </c>
      <c r="D65" s="23">
        <f t="shared" si="21"/>
        <v>8.1120000000000012E-3</v>
      </c>
      <c r="E65" s="23">
        <f t="shared" si="21"/>
        <v>9.1395199999999999E-3</v>
      </c>
      <c r="F65" s="23">
        <f t="shared" si="21"/>
        <v>9.9294356571428578E-3</v>
      </c>
      <c r="G65" s="23">
        <f t="shared" si="21"/>
        <v>1.0541750856000001E-2</v>
      </c>
    </row>
    <row r="66" spans="1:8">
      <c r="A66" t="s">
        <v>11</v>
      </c>
      <c r="C66" s="23">
        <f t="shared" si="21"/>
        <v>355.04294117647049</v>
      </c>
      <c r="D66" s="23">
        <f t="shared" si="21"/>
        <v>1337.2583862499994</v>
      </c>
      <c r="E66" s="23">
        <f t="shared" si="21"/>
        <v>3251.073917924165</v>
      </c>
      <c r="F66" s="23">
        <f t="shared" si="21"/>
        <v>6639.7197468240074</v>
      </c>
      <c r="G66" s="23">
        <f t="shared" si="21"/>
        <v>12318.438218861733</v>
      </c>
    </row>
    <row r="67" spans="1:8">
      <c r="A67" s="3" t="s">
        <v>0</v>
      </c>
      <c r="B67" s="3"/>
      <c r="C67" s="18">
        <f t="shared" ref="C67:G67" si="22">SUM(C62:C66)</f>
        <v>5351.1910206434686</v>
      </c>
      <c r="D67" s="18">
        <f t="shared" si="22"/>
        <v>10337.826279910056</v>
      </c>
      <c r="E67" s="18">
        <f t="shared" si="22"/>
        <v>18289.492304348016</v>
      </c>
      <c r="F67" s="18">
        <f t="shared" si="22"/>
        <v>30748.433410026504</v>
      </c>
      <c r="G67" s="18">
        <f t="shared" si="22"/>
        <v>49840.683941421586</v>
      </c>
    </row>
    <row r="71" spans="1:8" ht="21">
      <c r="A71" s="19" t="s">
        <v>19</v>
      </c>
    </row>
    <row r="73" spans="1:8">
      <c r="A73" s="1" t="s">
        <v>40</v>
      </c>
    </row>
    <row r="74" spans="1:8">
      <c r="A74" s="3" t="s">
        <v>20</v>
      </c>
      <c r="B74" s="3"/>
      <c r="C74" s="4">
        <v>2014</v>
      </c>
      <c r="D74" s="4">
        <f>C74+1</f>
        <v>2015</v>
      </c>
      <c r="E74" s="4">
        <f t="shared" ref="E74:G74" si="23">D74+1</f>
        <v>2016</v>
      </c>
      <c r="F74" s="4">
        <f t="shared" si="23"/>
        <v>2017</v>
      </c>
      <c r="G74" s="4">
        <f t="shared" si="23"/>
        <v>2018</v>
      </c>
      <c r="H74" s="5" t="s">
        <v>29</v>
      </c>
    </row>
    <row r="75" spans="1:8">
      <c r="A75" t="s">
        <v>21</v>
      </c>
      <c r="C75" s="28">
        <v>92229.428571428565</v>
      </c>
      <c r="D75" s="28">
        <v>96840.9</v>
      </c>
      <c r="E75" s="28">
        <v>101682.94499999999</v>
      </c>
      <c r="F75" s="28">
        <v>106767.09225000002</v>
      </c>
      <c r="G75" s="28">
        <v>112105.44686250002</v>
      </c>
    </row>
    <row r="76" spans="1:8">
      <c r="A76" t="s">
        <v>22</v>
      </c>
      <c r="C76" s="28">
        <v>82969.714285714304</v>
      </c>
      <c r="D76" s="28">
        <v>87118.2</v>
      </c>
      <c r="E76" s="28">
        <v>91474.11000000003</v>
      </c>
      <c r="F76" s="28">
        <v>96047.815500000026</v>
      </c>
      <c r="G76" s="28">
        <v>100850.20627500003</v>
      </c>
    </row>
    <row r="77" spans="1:8">
      <c r="A77" t="s">
        <v>23</v>
      </c>
      <c r="C77" s="28">
        <v>2072.5714285714284</v>
      </c>
      <c r="D77" s="28">
        <v>2176.1999999999998</v>
      </c>
      <c r="E77" s="28">
        <v>2285.0099999999998</v>
      </c>
      <c r="F77" s="28">
        <v>2399.2604999999999</v>
      </c>
      <c r="G77" s="28">
        <v>2519.2235250000008</v>
      </c>
    </row>
    <row r="78" spans="1:8">
      <c r="A78" t="s">
        <v>24</v>
      </c>
      <c r="C78" s="28">
        <v>1849.714285714286</v>
      </c>
      <c r="D78" s="28">
        <v>1942.2</v>
      </c>
      <c r="E78" s="28">
        <v>2039.31</v>
      </c>
      <c r="F78" s="28">
        <v>2141.2755000000002</v>
      </c>
      <c r="G78" s="28">
        <v>2248.3392750000003</v>
      </c>
    </row>
    <row r="79" spans="1:8">
      <c r="A79" t="s">
        <v>31</v>
      </c>
      <c r="C79" s="28">
        <v>252000</v>
      </c>
      <c r="D79" s="28">
        <v>324000</v>
      </c>
      <c r="E79" s="28">
        <v>395999.99999999994</v>
      </c>
      <c r="F79" s="28">
        <v>468000</v>
      </c>
      <c r="G79" s="28">
        <v>539999.99999999988</v>
      </c>
    </row>
    <row r="80" spans="1:8">
      <c r="A80" t="s">
        <v>25</v>
      </c>
      <c r="C80" s="28">
        <v>107999.99999999999</v>
      </c>
      <c r="D80" s="28">
        <v>126000</v>
      </c>
      <c r="E80" s="28">
        <v>147599.99999999997</v>
      </c>
      <c r="F80" s="28">
        <v>165600</v>
      </c>
      <c r="G80" s="28">
        <v>187199.99999999997</v>
      </c>
    </row>
    <row r="81" spans="1:7">
      <c r="A81" t="s">
        <v>26</v>
      </c>
      <c r="C81" s="28">
        <v>131039.99999999996</v>
      </c>
      <c r="D81" s="28">
        <v>157248</v>
      </c>
      <c r="E81" s="28">
        <v>183455.99999999997</v>
      </c>
      <c r="F81" s="28">
        <v>232128</v>
      </c>
      <c r="G81" s="28">
        <v>280800</v>
      </c>
    </row>
    <row r="82" spans="1:7">
      <c r="A82" t="s">
        <v>27</v>
      </c>
      <c r="C82" s="28">
        <v>93599.999999999985</v>
      </c>
      <c r="D82" s="28">
        <v>98279.999999999985</v>
      </c>
      <c r="E82" s="28">
        <v>103193.99999999999</v>
      </c>
      <c r="F82" s="28">
        <v>108353.7</v>
      </c>
      <c r="G82" s="28">
        <v>113771.38500000001</v>
      </c>
    </row>
    <row r="83" spans="1:7">
      <c r="A83" t="s">
        <v>28</v>
      </c>
      <c r="C83" s="28">
        <v>168480.00000000003</v>
      </c>
      <c r="D83" s="28">
        <v>191520</v>
      </c>
      <c r="E83" s="28">
        <v>222839.99999999997</v>
      </c>
      <c r="F83" s="28">
        <v>253440</v>
      </c>
      <c r="G83" s="28">
        <v>292319.99999999994</v>
      </c>
    </row>
    <row r="84" spans="1:7">
      <c r="A84" s="3" t="s">
        <v>0</v>
      </c>
      <c r="B84" s="3"/>
      <c r="C84" s="18">
        <f t="shared" ref="C84:G84" si="24">SUM(C75:C83)</f>
        <v>932241.42857142852</v>
      </c>
      <c r="D84" s="18">
        <f t="shared" si="24"/>
        <v>1085125.5</v>
      </c>
      <c r="E84" s="18">
        <f t="shared" si="24"/>
        <v>1250571.375</v>
      </c>
      <c r="F84" s="18">
        <f t="shared" si="24"/>
        <v>1434877.14375</v>
      </c>
      <c r="G84" s="18">
        <f t="shared" si="24"/>
        <v>1631814.6009374999</v>
      </c>
    </row>
    <row r="86" spans="1:7">
      <c r="A86" s="1" t="s">
        <v>52</v>
      </c>
    </row>
    <row r="87" spans="1:7">
      <c r="A87" s="3" t="s">
        <v>20</v>
      </c>
      <c r="B87" s="3"/>
      <c r="C87" s="4">
        <v>2014</v>
      </c>
      <c r="D87" s="4">
        <f>C87+1</f>
        <v>2015</v>
      </c>
      <c r="E87" s="4">
        <f t="shared" ref="E87" si="25">D87+1</f>
        <v>2016</v>
      </c>
      <c r="F87" s="4">
        <f t="shared" ref="F87" si="26">E87+1</f>
        <v>2017</v>
      </c>
      <c r="G87" s="4">
        <f t="shared" ref="G87" si="27">F87+1</f>
        <v>2018</v>
      </c>
    </row>
    <row r="88" spans="1:7">
      <c r="A88" t="s">
        <v>21</v>
      </c>
      <c r="C88" s="23">
        <f>C75*$C$19</f>
        <v>7378.3542857142857</v>
      </c>
      <c r="D88" s="23">
        <f t="shared" ref="D88:G88" si="28">D75*$C$19</f>
        <v>7747.2719999999999</v>
      </c>
      <c r="E88" s="23">
        <f t="shared" si="28"/>
        <v>8134.6355999999996</v>
      </c>
      <c r="F88" s="23">
        <f t="shared" si="28"/>
        <v>8541.3673800000015</v>
      </c>
      <c r="G88" s="23">
        <f t="shared" si="28"/>
        <v>8968.435749000002</v>
      </c>
    </row>
    <row r="89" spans="1:7">
      <c r="A89" t="s">
        <v>22</v>
      </c>
      <c r="C89" s="23">
        <f t="shared" ref="C89:G91" si="29">C76*$C$19</f>
        <v>6637.5771428571443</v>
      </c>
      <c r="D89" s="23">
        <f t="shared" si="29"/>
        <v>6969.4560000000001</v>
      </c>
      <c r="E89" s="23">
        <f t="shared" si="29"/>
        <v>7317.9288000000024</v>
      </c>
      <c r="F89" s="23">
        <f t="shared" si="29"/>
        <v>7683.8252400000019</v>
      </c>
      <c r="G89" s="23">
        <f t="shared" si="29"/>
        <v>8068.0165020000031</v>
      </c>
    </row>
    <row r="90" spans="1:7">
      <c r="A90" t="s">
        <v>23</v>
      </c>
      <c r="C90" s="23">
        <f t="shared" si="29"/>
        <v>165.80571428571429</v>
      </c>
      <c r="D90" s="23">
        <f t="shared" si="29"/>
        <v>174.09599999999998</v>
      </c>
      <c r="E90" s="23">
        <f t="shared" si="29"/>
        <v>182.80079999999998</v>
      </c>
      <c r="F90" s="23">
        <f t="shared" si="29"/>
        <v>191.94083999999998</v>
      </c>
      <c r="G90" s="23">
        <f t="shared" si="29"/>
        <v>201.53788200000008</v>
      </c>
    </row>
    <row r="91" spans="1:7">
      <c r="A91" t="s">
        <v>24</v>
      </c>
      <c r="C91" s="23">
        <f t="shared" si="29"/>
        <v>147.97714285714289</v>
      </c>
      <c r="D91" s="23">
        <f t="shared" si="29"/>
        <v>155.376</v>
      </c>
      <c r="E91" s="23">
        <f t="shared" si="29"/>
        <v>163.1448</v>
      </c>
      <c r="F91" s="23">
        <f t="shared" si="29"/>
        <v>171.30204000000001</v>
      </c>
      <c r="G91" s="23">
        <f t="shared" si="29"/>
        <v>179.86714200000003</v>
      </c>
    </row>
    <row r="92" spans="1:7">
      <c r="A92" t="s">
        <v>31</v>
      </c>
      <c r="C92" s="23">
        <f>C79*F$14*$C$19</f>
        <v>8064</v>
      </c>
      <c r="D92" s="23">
        <f>D79*G$14*$C$19</f>
        <v>10368</v>
      </c>
      <c r="E92" s="23">
        <f>E79*H$14*$C$19</f>
        <v>12672</v>
      </c>
      <c r="F92" s="23">
        <f>F79*I$14*$C$19</f>
        <v>14976</v>
      </c>
      <c r="G92" s="23">
        <f>G79*J$14*$C$19</f>
        <v>17279.999999999996</v>
      </c>
    </row>
    <row r="93" spans="1:7">
      <c r="A93" t="s">
        <v>25</v>
      </c>
      <c r="C93" s="23">
        <f t="shared" ref="C93:G96" si="30">C80*F$15*$C$19</f>
        <v>1295.9999999999998</v>
      </c>
      <c r="D93" s="23">
        <f t="shared" si="30"/>
        <v>1764</v>
      </c>
      <c r="E93" s="23">
        <f t="shared" si="30"/>
        <v>2361.5999999999995</v>
      </c>
      <c r="F93" s="23">
        <f t="shared" si="30"/>
        <v>2980.7999999999993</v>
      </c>
      <c r="G93" s="23">
        <f t="shared" si="30"/>
        <v>3743.9999999999995</v>
      </c>
    </row>
    <row r="94" spans="1:7">
      <c r="A94" t="s">
        <v>26</v>
      </c>
      <c r="C94" s="23">
        <f t="shared" si="30"/>
        <v>1572.4799999999996</v>
      </c>
      <c r="D94" s="23">
        <f t="shared" si="30"/>
        <v>2201.4719999999998</v>
      </c>
      <c r="E94" s="23">
        <f t="shared" si="30"/>
        <v>2935.2959999999994</v>
      </c>
      <c r="F94" s="23">
        <f t="shared" si="30"/>
        <v>4178.3040000000001</v>
      </c>
      <c r="G94" s="23">
        <f t="shared" si="30"/>
        <v>5616</v>
      </c>
    </row>
    <row r="95" spans="1:7">
      <c r="A95" t="s">
        <v>27</v>
      </c>
      <c r="C95" s="23">
        <f t="shared" si="30"/>
        <v>1123.1999999999998</v>
      </c>
      <c r="D95" s="23">
        <f t="shared" si="30"/>
        <v>1375.9199999999998</v>
      </c>
      <c r="E95" s="23">
        <f t="shared" si="30"/>
        <v>1651.1039999999996</v>
      </c>
      <c r="F95" s="23">
        <f t="shared" si="30"/>
        <v>1950.3665999999998</v>
      </c>
      <c r="G95" s="23">
        <f t="shared" si="30"/>
        <v>2275.4277000000002</v>
      </c>
    </row>
    <row r="96" spans="1:7">
      <c r="A96" t="s">
        <v>28</v>
      </c>
      <c r="C96" s="23">
        <f t="shared" si="30"/>
        <v>2021.7600000000004</v>
      </c>
      <c r="D96" s="23">
        <f t="shared" si="30"/>
        <v>2681.28</v>
      </c>
      <c r="E96" s="23">
        <f t="shared" si="30"/>
        <v>3565.4399999999996</v>
      </c>
      <c r="F96" s="23">
        <f t="shared" si="30"/>
        <v>4561.9199999999992</v>
      </c>
      <c r="G96" s="23">
        <f t="shared" si="30"/>
        <v>5846.3999999999987</v>
      </c>
    </row>
    <row r="97" spans="1:8">
      <c r="A97" s="3" t="s">
        <v>0</v>
      </c>
      <c r="B97" s="3"/>
      <c r="C97" s="18">
        <f t="shared" ref="C97:G97" si="31">SUM(C88:C96)</f>
        <v>28407.154285714289</v>
      </c>
      <c r="D97" s="18">
        <f t="shared" si="31"/>
        <v>33436.871999999996</v>
      </c>
      <c r="E97" s="18">
        <f t="shared" si="31"/>
        <v>38983.950000000004</v>
      </c>
      <c r="F97" s="18">
        <f t="shared" si="31"/>
        <v>45235.826099999998</v>
      </c>
      <c r="G97" s="18">
        <f t="shared" si="31"/>
        <v>52179.684975000004</v>
      </c>
    </row>
    <row r="99" spans="1:8">
      <c r="A99" s="1" t="s">
        <v>30</v>
      </c>
    </row>
    <row r="100" spans="1:8">
      <c r="A100" s="3" t="s">
        <v>20</v>
      </c>
      <c r="B100" s="3"/>
      <c r="C100" s="4">
        <v>2014</v>
      </c>
      <c r="D100" s="4">
        <f>C100+1</f>
        <v>2015</v>
      </c>
      <c r="E100" s="4">
        <f t="shared" ref="E100" si="32">D100+1</f>
        <v>2016</v>
      </c>
      <c r="F100" s="4">
        <f t="shared" ref="F100" si="33">E100+1</f>
        <v>2017</v>
      </c>
      <c r="G100" s="4">
        <f t="shared" ref="G100" si="34">F100+1</f>
        <v>2018</v>
      </c>
      <c r="H100" s="5" t="s">
        <v>29</v>
      </c>
    </row>
    <row r="101" spans="1:8">
      <c r="A101" t="s">
        <v>21</v>
      </c>
      <c r="C101" s="28">
        <v>34053.942857142858</v>
      </c>
      <c r="D101" s="28">
        <v>39643.231304347828</v>
      </c>
      <c r="E101" s="28">
        <v>46077.306545454565</v>
      </c>
      <c r="F101" s="28">
        <v>53500.872600000017</v>
      </c>
      <c r="G101" s="28">
        <v>62089.170569999987</v>
      </c>
    </row>
    <row r="102" spans="1:8">
      <c r="A102" t="s">
        <v>22</v>
      </c>
      <c r="C102" s="28">
        <v>30634.971428571429</v>
      </c>
      <c r="D102" s="28">
        <v>35663.102608695655</v>
      </c>
      <c r="E102" s="28">
        <v>41451.205090909112</v>
      </c>
      <c r="F102" s="28">
        <v>48129.454800000036</v>
      </c>
      <c r="G102" s="28">
        <v>55855.498860000014</v>
      </c>
    </row>
    <row r="103" spans="1:8">
      <c r="A103" t="s">
        <v>23</v>
      </c>
      <c r="C103" s="28">
        <v>765.25714285714287</v>
      </c>
      <c r="D103" s="28">
        <v>890.85913043478274</v>
      </c>
      <c r="E103" s="28">
        <v>1035.4450909090908</v>
      </c>
      <c r="F103" s="28">
        <v>1202.2668000000006</v>
      </c>
      <c r="G103" s="28">
        <v>1395.2622600000004</v>
      </c>
    </row>
    <row r="104" spans="1:8">
      <c r="A104" t="s">
        <v>24</v>
      </c>
      <c r="C104" s="28">
        <v>682.97142857142853</v>
      </c>
      <c r="D104" s="28">
        <v>795.06782608695664</v>
      </c>
      <c r="E104" s="28">
        <v>924.10690909090931</v>
      </c>
      <c r="F104" s="28">
        <v>1072.9908000000003</v>
      </c>
      <c r="G104" s="28">
        <v>1245.2340600000002</v>
      </c>
    </row>
    <row r="105" spans="1:8">
      <c r="A105" t="s">
        <v>31</v>
      </c>
      <c r="C105" s="28">
        <v>328767.12328767125</v>
      </c>
      <c r="D105" s="28">
        <v>729005.36033353198</v>
      </c>
      <c r="E105" s="28">
        <v>1323437.1108343715</v>
      </c>
      <c r="F105" s="28">
        <v>2141682.9745596875</v>
      </c>
      <c r="G105" s="28">
        <v>3156164.3835616438</v>
      </c>
    </row>
    <row r="106" spans="1:8">
      <c r="A106" t="s">
        <v>25</v>
      </c>
      <c r="C106" s="28">
        <v>39452.054794520547</v>
      </c>
      <c r="D106" s="28">
        <v>51030.375223347248</v>
      </c>
      <c r="E106" s="28">
        <v>66171.855541718571</v>
      </c>
      <c r="F106" s="28">
        <v>82097.847358121347</v>
      </c>
      <c r="G106" s="28">
        <v>102575.34246575342</v>
      </c>
    </row>
    <row r="107" spans="1:8">
      <c r="A107" t="s">
        <v>26</v>
      </c>
      <c r="C107" s="28">
        <v>47868.493150684924</v>
      </c>
      <c r="D107" s="28">
        <v>63685.908278737363</v>
      </c>
      <c r="E107" s="28">
        <v>82246.774595267794</v>
      </c>
      <c r="F107" s="28">
        <v>115079.76516634057</v>
      </c>
      <c r="G107" s="28">
        <v>153863.01369863015</v>
      </c>
    </row>
    <row r="108" spans="1:8">
      <c r="A108" t="s">
        <v>27</v>
      </c>
      <c r="C108" s="28">
        <v>34191.780821917811</v>
      </c>
      <c r="D108" s="28">
        <v>39803.692674210848</v>
      </c>
      <c r="E108" s="28">
        <v>46263.810709838115</v>
      </c>
      <c r="F108" s="28">
        <v>53717.424657534269</v>
      </c>
      <c r="G108" s="28">
        <v>62340.48493150685</v>
      </c>
    </row>
    <row r="109" spans="1:8">
      <c r="A109" t="s">
        <v>28</v>
      </c>
      <c r="C109" s="28">
        <v>61545.205479452066</v>
      </c>
      <c r="D109" s="28">
        <v>77566.170339487799</v>
      </c>
      <c r="E109" s="28">
        <v>99903.362391033676</v>
      </c>
      <c r="F109" s="28">
        <v>125645.40117416836</v>
      </c>
      <c r="G109" s="28">
        <v>160175.34246575343</v>
      </c>
    </row>
    <row r="110" spans="1:8">
      <c r="A110" s="3" t="s">
        <v>0</v>
      </c>
      <c r="B110" s="3"/>
      <c r="C110" s="18">
        <f t="shared" ref="C110:G110" si="35">SUM(C101:C109)</f>
        <v>577961.80039138941</v>
      </c>
      <c r="D110" s="18">
        <f t="shared" si="35"/>
        <v>1038083.7677188804</v>
      </c>
      <c r="E110" s="18">
        <f t="shared" si="35"/>
        <v>1707510.9777085935</v>
      </c>
      <c r="F110" s="18">
        <f t="shared" si="35"/>
        <v>2622128.9979158523</v>
      </c>
      <c r="G110" s="18">
        <f t="shared" si="35"/>
        <v>3755703.7328732871</v>
      </c>
    </row>
    <row r="112" spans="1:8">
      <c r="A112" s="1" t="s">
        <v>53</v>
      </c>
    </row>
    <row r="113" spans="1:7">
      <c r="A113" s="3" t="s">
        <v>20</v>
      </c>
      <c r="B113" s="3"/>
      <c r="C113" s="4">
        <v>2014</v>
      </c>
      <c r="D113" s="4">
        <f>C113+1</f>
        <v>2015</v>
      </c>
      <c r="E113" s="4">
        <f t="shared" ref="E113" si="36">D113+1</f>
        <v>2016</v>
      </c>
      <c r="F113" s="4">
        <f t="shared" ref="F113" si="37">E113+1</f>
        <v>2017</v>
      </c>
      <c r="G113" s="4">
        <f t="shared" ref="G113" si="38">F113+1</f>
        <v>2018</v>
      </c>
    </row>
    <row r="114" spans="1:7">
      <c r="A114" t="s">
        <v>21</v>
      </c>
      <c r="C114" s="23">
        <f>C101*$C$19</f>
        <v>2724.3154285714286</v>
      </c>
      <c r="D114" s="23">
        <f t="shared" ref="D114:G114" si="39">D101*$C$19</f>
        <v>3171.4585043478264</v>
      </c>
      <c r="E114" s="23">
        <f t="shared" si="39"/>
        <v>3686.1845236363652</v>
      </c>
      <c r="F114" s="23">
        <f t="shared" si="39"/>
        <v>4280.0698080000011</v>
      </c>
      <c r="G114" s="23">
        <f t="shared" si="39"/>
        <v>4967.133645599999</v>
      </c>
    </row>
    <row r="115" spans="1:7">
      <c r="A115" t="s">
        <v>22</v>
      </c>
      <c r="C115" s="23">
        <f t="shared" ref="C115:G115" si="40">C102*$C$19</f>
        <v>2450.7977142857144</v>
      </c>
      <c r="D115" s="23">
        <f t="shared" si="40"/>
        <v>2853.0482086956526</v>
      </c>
      <c r="E115" s="23">
        <f t="shared" si="40"/>
        <v>3316.0964072727293</v>
      </c>
      <c r="F115" s="23">
        <f t="shared" si="40"/>
        <v>3850.3563840000029</v>
      </c>
      <c r="G115" s="23">
        <f t="shared" si="40"/>
        <v>4468.4399088000009</v>
      </c>
    </row>
    <row r="116" spans="1:7">
      <c r="A116" t="s">
        <v>23</v>
      </c>
      <c r="C116" s="23">
        <f t="shared" ref="C116:G116" si="41">C103*$C$19</f>
        <v>61.220571428571432</v>
      </c>
      <c r="D116" s="23">
        <f t="shared" si="41"/>
        <v>71.268730434782626</v>
      </c>
      <c r="E116" s="23">
        <f t="shared" si="41"/>
        <v>82.835607272727273</v>
      </c>
      <c r="F116" s="23">
        <f t="shared" si="41"/>
        <v>96.181344000000053</v>
      </c>
      <c r="G116" s="23">
        <f t="shared" si="41"/>
        <v>111.62098080000004</v>
      </c>
    </row>
    <row r="117" spans="1:7">
      <c r="A117" t="s">
        <v>24</v>
      </c>
      <c r="C117" s="23">
        <f t="shared" ref="C117:G117" si="42">C104*$C$19</f>
        <v>54.637714285714281</v>
      </c>
      <c r="D117" s="23">
        <f t="shared" si="42"/>
        <v>63.605426086956534</v>
      </c>
      <c r="E117" s="23">
        <f t="shared" si="42"/>
        <v>73.928552727272745</v>
      </c>
      <c r="F117" s="23">
        <f t="shared" si="42"/>
        <v>85.839264000000028</v>
      </c>
      <c r="G117" s="23">
        <f t="shared" si="42"/>
        <v>99.618724800000024</v>
      </c>
    </row>
    <row r="118" spans="1:7">
      <c r="A118" t="s">
        <v>31</v>
      </c>
      <c r="C118" s="23">
        <f>C105*F$14*$C$19</f>
        <v>10520.547945205481</v>
      </c>
      <c r="D118" s="23">
        <f>D105*G$14*$C$19</f>
        <v>23328.171530673026</v>
      </c>
      <c r="E118" s="23">
        <f>E105*H$14*$C$19</f>
        <v>42349.987546699893</v>
      </c>
      <c r="F118" s="23">
        <f>F105*I$14*$C$19</f>
        <v>68533.855185910012</v>
      </c>
      <c r="G118" s="23">
        <f>G105*J$14*$C$19</f>
        <v>100997.2602739726</v>
      </c>
    </row>
    <row r="119" spans="1:7">
      <c r="A119" t="s">
        <v>25</v>
      </c>
      <c r="C119" s="23">
        <f t="shared" ref="C119:G122" si="43">C106*F$15*$C$19</f>
        <v>473.42465753424659</v>
      </c>
      <c r="D119" s="23">
        <f t="shared" si="43"/>
        <v>714.42525312686132</v>
      </c>
      <c r="E119" s="23">
        <f t="shared" si="43"/>
        <v>1058.7496886674971</v>
      </c>
      <c r="F119" s="23">
        <f t="shared" si="43"/>
        <v>1477.7612524461842</v>
      </c>
      <c r="G119" s="23">
        <f t="shared" si="43"/>
        <v>2051.5068493150684</v>
      </c>
    </row>
    <row r="120" spans="1:7">
      <c r="A120" t="s">
        <v>26</v>
      </c>
      <c r="C120" s="23">
        <f t="shared" si="43"/>
        <v>574.42191780821906</v>
      </c>
      <c r="D120" s="23">
        <f t="shared" si="43"/>
        <v>891.60271590232298</v>
      </c>
      <c r="E120" s="23">
        <f t="shared" si="43"/>
        <v>1315.9483935242845</v>
      </c>
      <c r="F120" s="23">
        <f t="shared" si="43"/>
        <v>2071.4357729941303</v>
      </c>
      <c r="G120" s="23">
        <f t="shared" si="43"/>
        <v>3077.260273972603</v>
      </c>
    </row>
    <row r="121" spans="1:7">
      <c r="A121" t="s">
        <v>27</v>
      </c>
      <c r="C121" s="23">
        <f t="shared" si="43"/>
        <v>410.30136986301375</v>
      </c>
      <c r="D121" s="23">
        <f t="shared" si="43"/>
        <v>557.25169743895185</v>
      </c>
      <c r="E121" s="23">
        <f t="shared" si="43"/>
        <v>740.22097135740978</v>
      </c>
      <c r="F121" s="23">
        <f t="shared" si="43"/>
        <v>966.91364383561688</v>
      </c>
      <c r="G121" s="23">
        <f t="shared" si="43"/>
        <v>1246.8096986301371</v>
      </c>
    </row>
    <row r="122" spans="1:7">
      <c r="A122" t="s">
        <v>28</v>
      </c>
      <c r="C122" s="23">
        <f t="shared" si="43"/>
        <v>738.54246575342484</v>
      </c>
      <c r="D122" s="23">
        <f t="shared" si="43"/>
        <v>1085.9263847528291</v>
      </c>
      <c r="E122" s="23">
        <f t="shared" si="43"/>
        <v>1598.4537982565387</v>
      </c>
      <c r="F122" s="23">
        <f t="shared" si="43"/>
        <v>2261.6172211350304</v>
      </c>
      <c r="G122" s="23">
        <f t="shared" si="43"/>
        <v>3203.5068493150688</v>
      </c>
    </row>
    <row r="123" spans="1:7">
      <c r="A123" s="3" t="s">
        <v>0</v>
      </c>
      <c r="B123" s="3"/>
      <c r="C123" s="18">
        <f t="shared" ref="C123:G123" si="44">SUM(C114:C122)</f>
        <v>18008.209784735809</v>
      </c>
      <c r="D123" s="18">
        <f t="shared" si="44"/>
        <v>32736.758451459209</v>
      </c>
      <c r="E123" s="18">
        <f t="shared" si="44"/>
        <v>54222.405489414719</v>
      </c>
      <c r="F123" s="18">
        <f t="shared" si="44"/>
        <v>83624.029876320987</v>
      </c>
      <c r="G123" s="18">
        <f t="shared" si="44"/>
        <v>120223.15720520547</v>
      </c>
    </row>
    <row r="125" spans="1:7">
      <c r="A125" s="1" t="s">
        <v>47</v>
      </c>
    </row>
    <row r="126" spans="1:7">
      <c r="A126" s="3" t="s">
        <v>20</v>
      </c>
      <c r="B126" s="3"/>
      <c r="C126" s="4">
        <v>2014</v>
      </c>
      <c r="D126" s="4">
        <f>C126+1</f>
        <v>2015</v>
      </c>
      <c r="E126" s="4">
        <f t="shared" ref="E126" si="45">D126+1</f>
        <v>2016</v>
      </c>
      <c r="F126" s="4">
        <f t="shared" ref="F126" si="46">E126+1</f>
        <v>2017</v>
      </c>
      <c r="G126" s="4">
        <f t="shared" ref="G126" si="47">F126+1</f>
        <v>2018</v>
      </c>
    </row>
    <row r="127" spans="1:7">
      <c r="A127" t="s">
        <v>21</v>
      </c>
      <c r="C127" s="23">
        <f t="shared" ref="C127:C135" si="48">(C114+C88)*F$16/(1-F$16)</f>
        <v>1782.8240672268907</v>
      </c>
      <c r="D127" s="23">
        <f t="shared" ref="D127:D135" si="49">(D114+D88)*G$16/(1-G$16)</f>
        <v>2729.6826260869561</v>
      </c>
      <c r="E127" s="23">
        <f t="shared" ref="E127:E135" si="50">(E114+E88)*H$16/(1-H$16)</f>
        <v>3940.2733745454539</v>
      </c>
      <c r="F127" s="23">
        <f t="shared" ref="F127:F135" si="51">(F114+F88)*I$16/(1-I$16)</f>
        <v>5494.9016520000014</v>
      </c>
      <c r="G127" s="23">
        <f t="shared" ref="G127:G135" si="52">(G114+G88)*J$16/(1-J$16)</f>
        <v>7503.7681355538462</v>
      </c>
    </row>
    <row r="128" spans="1:7">
      <c r="A128" t="s">
        <v>22</v>
      </c>
      <c r="C128" s="23">
        <f t="shared" si="48"/>
        <v>1603.8308571428572</v>
      </c>
      <c r="D128" s="23">
        <f t="shared" si="49"/>
        <v>2455.6260521739127</v>
      </c>
      <c r="E128" s="23">
        <f t="shared" si="50"/>
        <v>3544.6750690909098</v>
      </c>
      <c r="F128" s="23">
        <f t="shared" si="51"/>
        <v>4943.2206960000021</v>
      </c>
      <c r="G128" s="23">
        <f t="shared" si="52"/>
        <v>6750.3996058153862</v>
      </c>
    </row>
    <row r="129" spans="1:7">
      <c r="A129" t="s">
        <v>23</v>
      </c>
      <c r="C129" s="23">
        <f t="shared" si="48"/>
        <v>40.063462184873949</v>
      </c>
      <c r="D129" s="23">
        <f t="shared" si="49"/>
        <v>61.34118260869564</v>
      </c>
      <c r="E129" s="23">
        <f t="shared" si="50"/>
        <v>88.545469090909066</v>
      </c>
      <c r="F129" s="23">
        <f t="shared" si="51"/>
        <v>123.48093600000003</v>
      </c>
      <c r="G129" s="23">
        <f t="shared" si="52"/>
        <v>168.62400304615389</v>
      </c>
    </row>
    <row r="130" spans="1:7">
      <c r="A130" t="s">
        <v>24</v>
      </c>
      <c r="C130" s="23">
        <f t="shared" si="48"/>
        <v>35.755563025210087</v>
      </c>
      <c r="D130" s="23">
        <f t="shared" si="49"/>
        <v>54.745356521739126</v>
      </c>
      <c r="E130" s="23">
        <f t="shared" si="50"/>
        <v>79.024450909090902</v>
      </c>
      <c r="F130" s="23">
        <f t="shared" si="51"/>
        <v>110.20341600000002</v>
      </c>
      <c r="G130" s="23">
        <f t="shared" si="52"/>
        <v>150.49238981538463</v>
      </c>
    </row>
    <row r="131" spans="1:7">
      <c r="A131" t="s">
        <v>31</v>
      </c>
      <c r="C131" s="23">
        <f t="shared" si="48"/>
        <v>3279.6261079774372</v>
      </c>
      <c r="D131" s="23">
        <f t="shared" si="49"/>
        <v>8424.0428826682546</v>
      </c>
      <c r="E131" s="23">
        <f t="shared" si="50"/>
        <v>18340.66251556663</v>
      </c>
      <c r="F131" s="23">
        <f t="shared" si="51"/>
        <v>35789.937936818576</v>
      </c>
      <c r="G131" s="23">
        <f t="shared" si="52"/>
        <v>63687.75553213909</v>
      </c>
    </row>
    <row r="132" spans="1:7">
      <c r="A132" t="s">
        <v>25</v>
      </c>
      <c r="C132" s="23">
        <f t="shared" si="48"/>
        <v>312.25141015310226</v>
      </c>
      <c r="D132" s="23">
        <f t="shared" si="49"/>
        <v>619.60631328171519</v>
      </c>
      <c r="E132" s="23">
        <f t="shared" si="50"/>
        <v>1140.1165628891654</v>
      </c>
      <c r="F132" s="23">
        <f t="shared" si="51"/>
        <v>1910.8119653340786</v>
      </c>
      <c r="G132" s="23">
        <f t="shared" si="52"/>
        <v>3120.6575342465753</v>
      </c>
    </row>
    <row r="133" spans="1:7">
      <c r="A133" t="s">
        <v>26</v>
      </c>
      <c r="C133" s="23">
        <f t="shared" si="48"/>
        <v>378.86504431909736</v>
      </c>
      <c r="D133" s="23">
        <f t="shared" si="49"/>
        <v>773.26867897558054</v>
      </c>
      <c r="E133" s="23">
        <f t="shared" si="50"/>
        <v>1417.0814645080943</v>
      </c>
      <c r="F133" s="23">
        <f t="shared" si="51"/>
        <v>2678.4599027117702</v>
      </c>
      <c r="G133" s="23">
        <f t="shared" si="52"/>
        <v>4680.9863013698623</v>
      </c>
    </row>
    <row r="134" spans="1:7">
      <c r="A134" t="s">
        <v>27</v>
      </c>
      <c r="C134" s="23">
        <f t="shared" si="48"/>
        <v>270.61788879935534</v>
      </c>
      <c r="D134" s="23">
        <f t="shared" si="49"/>
        <v>483.29292435973787</v>
      </c>
      <c r="E134" s="23">
        <f t="shared" si="50"/>
        <v>797.10832378580301</v>
      </c>
      <c r="F134" s="23">
        <f t="shared" si="51"/>
        <v>1250.2629616438358</v>
      </c>
      <c r="G134" s="23">
        <f t="shared" si="52"/>
        <v>1896.5893684931507</v>
      </c>
    </row>
    <row r="135" spans="1:7">
      <c r="A135" t="s">
        <v>28</v>
      </c>
      <c r="C135" s="23">
        <f t="shared" si="48"/>
        <v>487.11219983883973</v>
      </c>
      <c r="D135" s="23">
        <f t="shared" si="49"/>
        <v>941.80159618820721</v>
      </c>
      <c r="E135" s="23">
        <f t="shared" si="50"/>
        <v>1721.2979327521791</v>
      </c>
      <c r="F135" s="23">
        <f t="shared" si="51"/>
        <v>2924.3730947721556</v>
      </c>
      <c r="G135" s="23">
        <f t="shared" si="52"/>
        <v>4873.0267650158057</v>
      </c>
    </row>
    <row r="136" spans="1:7">
      <c r="A136" s="3" t="s">
        <v>0</v>
      </c>
      <c r="B136" s="3"/>
      <c r="C136" s="18">
        <f t="shared" ref="C136:G136" si="53">SUM(C127:C135)</f>
        <v>8190.9466006676639</v>
      </c>
      <c r="D136" s="18">
        <f t="shared" si="53"/>
        <v>16543.407612864798</v>
      </c>
      <c r="E136" s="18">
        <f t="shared" si="53"/>
        <v>31068.785163138233</v>
      </c>
      <c r="F136" s="18">
        <f t="shared" si="53"/>
        <v>55225.652561280418</v>
      </c>
      <c r="G136" s="18">
        <f t="shared" si="53"/>
        <v>92832.299635495263</v>
      </c>
    </row>
    <row r="140" spans="1:7">
      <c r="A140" s="1" t="s">
        <v>42</v>
      </c>
    </row>
    <row r="141" spans="1:7">
      <c r="A141" s="3" t="s">
        <v>14</v>
      </c>
      <c r="B141" s="3"/>
      <c r="C141" s="4">
        <v>2014</v>
      </c>
      <c r="D141" s="4">
        <f>C141+1</f>
        <v>2015</v>
      </c>
      <c r="E141" s="4">
        <f t="shared" ref="E141" si="54">D141+1</f>
        <v>2016</v>
      </c>
      <c r="F141" s="4">
        <f t="shared" ref="F141" si="55">E141+1</f>
        <v>2017</v>
      </c>
      <c r="G141" s="4">
        <f t="shared" ref="G141" si="56">F141+1</f>
        <v>2018</v>
      </c>
    </row>
    <row r="142" spans="1:7">
      <c r="A142" t="s">
        <v>43</v>
      </c>
      <c r="C142" s="27">
        <f>C40</f>
        <v>17198.957832344066</v>
      </c>
      <c r="D142" s="27">
        <f t="shared" ref="D142:G142" si="57">D40</f>
        <v>20547.326517411577</v>
      </c>
      <c r="E142" s="27">
        <f t="shared" si="57"/>
        <v>24050.561701463139</v>
      </c>
      <c r="F142" s="27">
        <f t="shared" si="57"/>
        <v>27863.548695409052</v>
      </c>
      <c r="G142" s="27">
        <f t="shared" si="57"/>
        <v>31872.5330888475</v>
      </c>
    </row>
    <row r="143" spans="1:7">
      <c r="A143" t="s">
        <v>49</v>
      </c>
      <c r="C143" s="27">
        <f>C97</f>
        <v>28407.154285714289</v>
      </c>
      <c r="D143" s="27">
        <f t="shared" ref="D143:G143" si="58">D97</f>
        <v>33436.871999999996</v>
      </c>
      <c r="E143" s="27">
        <f t="shared" si="58"/>
        <v>38983.950000000004</v>
      </c>
      <c r="F143" s="27">
        <f t="shared" si="58"/>
        <v>45235.826099999998</v>
      </c>
      <c r="G143" s="27">
        <f t="shared" si="58"/>
        <v>52179.684975000004</v>
      </c>
    </row>
    <row r="144" spans="1:7">
      <c r="A144" t="s">
        <v>45</v>
      </c>
      <c r="C144" s="27">
        <f>(C67+C136)*F17</f>
        <v>13542.137621311133</v>
      </c>
      <c r="D144" s="27">
        <f>(D67+D136)*G17</f>
        <v>23521.079656177997</v>
      </c>
      <c r="E144" s="27">
        <f>(E67+E136)*H17</f>
        <v>37018.708100614684</v>
      </c>
      <c r="F144" s="27">
        <f>(F67+F136)*I17</f>
        <v>53733.803732066823</v>
      </c>
      <c r="G144" s="27">
        <f>(G67+G136)*J17</f>
        <v>71336.491788458428</v>
      </c>
    </row>
    <row r="145" spans="1:7">
      <c r="A145" s="3" t="s">
        <v>0</v>
      </c>
      <c r="B145" s="3"/>
      <c r="C145" s="18">
        <f>SUM(C142:C144)</f>
        <v>59148.249739369494</v>
      </c>
      <c r="D145" s="18">
        <f>SUM(D142:D144)</f>
        <v>77505.27817358957</v>
      </c>
      <c r="E145" s="18">
        <f>SUM(E142:E144)</f>
        <v>100053.21980207783</v>
      </c>
      <c r="F145" s="18">
        <f>SUM(F142:F144)</f>
        <v>126833.17852747587</v>
      </c>
      <c r="G145" s="18">
        <f>SUM(G142:G144)</f>
        <v>155388.70985230594</v>
      </c>
    </row>
    <row r="147" spans="1:7">
      <c r="A147" s="1" t="s">
        <v>51</v>
      </c>
    </row>
    <row r="148" spans="1:7">
      <c r="A148" s="3" t="s">
        <v>14</v>
      </c>
      <c r="B148" s="3"/>
      <c r="C148" s="4">
        <v>2014</v>
      </c>
      <c r="D148" s="4">
        <f>C148+1</f>
        <v>2015</v>
      </c>
      <c r="E148" s="4">
        <f t="shared" ref="E148" si="59">D148+1</f>
        <v>2016</v>
      </c>
      <c r="F148" s="4">
        <f t="shared" ref="F148" si="60">E148+1</f>
        <v>2017</v>
      </c>
      <c r="G148" s="4">
        <f t="shared" ref="G148" si="61">F148+1</f>
        <v>2018</v>
      </c>
    </row>
    <row r="149" spans="1:7">
      <c r="A149" t="s">
        <v>44</v>
      </c>
      <c r="C149" s="27">
        <f>C58</f>
        <v>7480.9069513022569</v>
      </c>
      <c r="D149" s="27">
        <f t="shared" ref="D149:G149" si="62">D58</f>
        <v>11039.88629322865</v>
      </c>
      <c r="E149" s="27">
        <f t="shared" si="62"/>
        <v>14692.683492489159</v>
      </c>
      <c r="F149" s="27">
        <f t="shared" si="62"/>
        <v>18375.895727455543</v>
      </c>
      <c r="G149" s="27">
        <f t="shared" si="62"/>
        <v>21796.902906795396</v>
      </c>
    </row>
    <row r="150" spans="1:7">
      <c r="A150" t="s">
        <v>50</v>
      </c>
      <c r="C150" s="27">
        <f>C123</f>
        <v>18008.209784735809</v>
      </c>
      <c r="D150" s="27">
        <f t="shared" ref="D150:G150" si="63">D123</f>
        <v>32736.758451459209</v>
      </c>
      <c r="E150" s="27">
        <f t="shared" si="63"/>
        <v>54222.405489414719</v>
      </c>
      <c r="F150" s="27">
        <f t="shared" si="63"/>
        <v>83624.029876320987</v>
      </c>
      <c r="G150" s="27">
        <f t="shared" si="63"/>
        <v>120223.15720520547</v>
      </c>
    </row>
    <row r="151" spans="1:7">
      <c r="A151" t="s">
        <v>45</v>
      </c>
      <c r="C151" s="27">
        <f>(C136+C67)*(1-F17)</f>
        <v>0</v>
      </c>
      <c r="D151" s="27">
        <f>(D136+D67)*(1-G17)</f>
        <v>3360.1542365968567</v>
      </c>
      <c r="E151" s="27">
        <f>(E136+E67)*(1-H17)</f>
        <v>12339.569366871561</v>
      </c>
      <c r="F151" s="27">
        <f>(F136+F67)*(1-I17)</f>
        <v>32240.282239240096</v>
      </c>
      <c r="G151" s="27">
        <f>(G136+G67)*(1-J17)</f>
        <v>71336.491788458428</v>
      </c>
    </row>
    <row r="152" spans="1:7">
      <c r="A152" s="3" t="s">
        <v>0</v>
      </c>
      <c r="B152" s="3"/>
      <c r="C152" s="18">
        <f>SUM(C149:C151)</f>
        <v>25489.116736038064</v>
      </c>
      <c r="D152" s="18">
        <f>SUM(D149:D151)</f>
        <v>47136.798981284715</v>
      </c>
      <c r="E152" s="18">
        <f>SUM(E149:E151)</f>
        <v>81254.65834877544</v>
      </c>
      <c r="F152" s="18">
        <f>SUM(F149:F151)</f>
        <v>134240.20784301663</v>
      </c>
      <c r="G152" s="18">
        <f>SUM(G149:G151)</f>
        <v>213356.55190045928</v>
      </c>
    </row>
  </sheetData>
  <mergeCells count="7">
    <mergeCell ref="A16:E16"/>
    <mergeCell ref="A17:E17"/>
    <mergeCell ref="A11:E11"/>
    <mergeCell ref="A12:E12"/>
    <mergeCell ref="A13:E13"/>
    <mergeCell ref="A14:E14"/>
    <mergeCell ref="A15:E1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workbookViewId="0">
      <selection activeCell="C61" sqref="C61"/>
    </sheetView>
  </sheetViews>
  <sheetFormatPr baseColWidth="10" defaultColWidth="11" defaultRowHeight="15" x14ac:dyDescent="0"/>
  <cols>
    <col min="1" max="6" width="14.1640625" customWidth="1"/>
    <col min="7" max="7" width="13" bestFit="1" customWidth="1"/>
  </cols>
  <sheetData>
    <row r="1" spans="1:7" ht="21">
      <c r="A1" s="14" t="s">
        <v>56</v>
      </c>
      <c r="B1" s="2"/>
      <c r="C1" s="2"/>
    </row>
    <row r="2" spans="1:7">
      <c r="B2" s="2"/>
      <c r="C2" s="2"/>
    </row>
    <row r="3" spans="1:7">
      <c r="A3" s="1" t="s">
        <v>1</v>
      </c>
      <c r="B3" s="8" t="s">
        <v>2</v>
      </c>
      <c r="C3" s="6"/>
      <c r="D3" s="8"/>
      <c r="E3" s="8"/>
      <c r="F3" s="8"/>
      <c r="G3" s="8"/>
    </row>
    <row r="4" spans="1:7">
      <c r="A4" s="1" t="s">
        <v>3</v>
      </c>
      <c r="B4" s="9" t="s">
        <v>4</v>
      </c>
      <c r="C4" s="7"/>
      <c r="D4" s="10"/>
      <c r="E4" s="10"/>
      <c r="F4" s="10"/>
      <c r="G4" s="10"/>
    </row>
    <row r="5" spans="1:7">
      <c r="A5" s="1" t="s">
        <v>5</v>
      </c>
      <c r="B5" s="15" t="s">
        <v>127</v>
      </c>
      <c r="C5" s="16"/>
      <c r="D5" s="17"/>
      <c r="E5" s="17"/>
      <c r="F5" s="17"/>
      <c r="G5" s="17"/>
    </row>
    <row r="6" spans="1:7">
      <c r="A6" s="1" t="s">
        <v>6</v>
      </c>
      <c r="B6" s="11" t="s">
        <v>131</v>
      </c>
      <c r="C6" s="12"/>
      <c r="D6" s="13"/>
      <c r="E6" s="13"/>
      <c r="F6" s="13"/>
      <c r="G6" s="13"/>
    </row>
    <row r="7" spans="1:7">
      <c r="B7" s="2"/>
      <c r="C7" s="2"/>
    </row>
    <row r="8" spans="1:7">
      <c r="B8" s="2"/>
      <c r="C8" s="2"/>
    </row>
    <row r="9" spans="1:7" ht="21">
      <c r="A9" s="19" t="s">
        <v>16</v>
      </c>
      <c r="B9" s="2"/>
      <c r="C9" s="2"/>
    </row>
    <row r="10" spans="1:7">
      <c r="B10" s="2"/>
      <c r="C10" s="2"/>
    </row>
    <row r="11" spans="1:7">
      <c r="A11" t="s">
        <v>57</v>
      </c>
      <c r="B11" s="2"/>
      <c r="E11" s="25">
        <v>3.2</v>
      </c>
    </row>
    <row r="12" spans="1:7">
      <c r="A12" t="s">
        <v>58</v>
      </c>
      <c r="B12" s="2"/>
      <c r="E12" s="24">
        <v>0.33</v>
      </c>
    </row>
    <row r="13" spans="1:7">
      <c r="A13" t="s">
        <v>59</v>
      </c>
      <c r="B13" s="2"/>
      <c r="E13" s="26">
        <v>20</v>
      </c>
    </row>
    <row r="14" spans="1:7">
      <c r="A14" t="s">
        <v>68</v>
      </c>
      <c r="B14" s="2"/>
      <c r="E14" s="24">
        <v>0.06</v>
      </c>
    </row>
    <row r="15" spans="1:7">
      <c r="A15" t="s">
        <v>60</v>
      </c>
      <c r="B15" s="2"/>
      <c r="E15" s="29">
        <v>4.4999999999999998E-2</v>
      </c>
    </row>
    <row r="16" spans="1:7">
      <c r="A16" t="s">
        <v>61</v>
      </c>
      <c r="B16" s="2"/>
      <c r="E16" s="24">
        <v>0.04</v>
      </c>
    </row>
    <row r="17" spans="1:7">
      <c r="A17" t="s">
        <v>62</v>
      </c>
      <c r="B17" s="2"/>
      <c r="C17" s="2"/>
      <c r="D17" t="s">
        <v>55</v>
      </c>
      <c r="E17" s="24">
        <v>0.75</v>
      </c>
    </row>
    <row r="18" spans="1:7">
      <c r="B18" s="2"/>
      <c r="C18" s="2"/>
    </row>
    <row r="19" spans="1:7">
      <c r="B19" s="2"/>
      <c r="C19" s="2"/>
    </row>
    <row r="20" spans="1:7" ht="21">
      <c r="A20" s="19" t="s">
        <v>63</v>
      </c>
    </row>
    <row r="22" spans="1:7">
      <c r="A22" s="1" t="s">
        <v>42</v>
      </c>
    </row>
    <row r="23" spans="1:7">
      <c r="A23" s="3" t="s">
        <v>14</v>
      </c>
      <c r="B23" s="3"/>
      <c r="C23" s="4">
        <v>2014</v>
      </c>
      <c r="D23" s="4">
        <f>C23+1</f>
        <v>2015</v>
      </c>
      <c r="E23" s="4">
        <f t="shared" ref="E23:G23" si="0">D23+1</f>
        <v>2016</v>
      </c>
      <c r="F23" s="4">
        <f t="shared" si="0"/>
        <v>2017</v>
      </c>
      <c r="G23" s="4">
        <f t="shared" si="0"/>
        <v>2018</v>
      </c>
    </row>
    <row r="24" spans="1:7">
      <c r="A24" t="s">
        <v>43</v>
      </c>
      <c r="C24" s="28">
        <f>'CLS Demand'!C142</f>
        <v>17198.957832344066</v>
      </c>
      <c r="D24" s="28">
        <f>'CLS Demand'!D142</f>
        <v>20547.326517411577</v>
      </c>
      <c r="E24" s="28">
        <f>'CLS Demand'!E142</f>
        <v>24050.561701463139</v>
      </c>
      <c r="F24" s="28">
        <f>'CLS Demand'!F142</f>
        <v>27863.548695409052</v>
      </c>
      <c r="G24" s="28">
        <f>'CLS Demand'!G142</f>
        <v>31872.5330888475</v>
      </c>
    </row>
    <row r="25" spans="1:7">
      <c r="A25" t="s">
        <v>49</v>
      </c>
      <c r="C25" s="28">
        <f>'CLS Demand'!C143</f>
        <v>28407.154285714289</v>
      </c>
      <c r="D25" s="28">
        <f>'CLS Demand'!D143</f>
        <v>33436.871999999996</v>
      </c>
      <c r="E25" s="28">
        <f>'CLS Demand'!E143</f>
        <v>38983.950000000004</v>
      </c>
      <c r="F25" s="28">
        <f>'CLS Demand'!F143</f>
        <v>45235.826099999998</v>
      </c>
      <c r="G25" s="28">
        <f>'CLS Demand'!G143</f>
        <v>52179.684975000004</v>
      </c>
    </row>
    <row r="26" spans="1:7">
      <c r="A26" t="s">
        <v>45</v>
      </c>
      <c r="C26" s="28">
        <f>'CLS Demand'!C144</f>
        <v>13542.137621311133</v>
      </c>
      <c r="D26" s="28">
        <f>'CLS Demand'!D144</f>
        <v>23521.079656177997</v>
      </c>
      <c r="E26" s="28">
        <f>'CLS Demand'!E144</f>
        <v>37018.708100614684</v>
      </c>
      <c r="F26" s="28">
        <f>'CLS Demand'!F144</f>
        <v>53733.803732066823</v>
      </c>
      <c r="G26" s="28">
        <f>'CLS Demand'!G144</f>
        <v>71336.491788458428</v>
      </c>
    </row>
    <row r="27" spans="1:7">
      <c r="A27" s="3" t="s">
        <v>0</v>
      </c>
      <c r="B27" s="3"/>
      <c r="C27" s="18">
        <f>SUM(C24:C26)</f>
        <v>59148.249739369494</v>
      </c>
      <c r="D27" s="18">
        <f>SUM(D24:D26)</f>
        <v>77505.27817358957</v>
      </c>
      <c r="E27" s="18">
        <f>SUM(E24:E26)</f>
        <v>100053.21980207783</v>
      </c>
      <c r="F27" s="18">
        <f>SUM(F24:F26)</f>
        <v>126833.17852747587</v>
      </c>
      <c r="G27" s="18">
        <f>SUM(G24:G26)</f>
        <v>155388.70985230594</v>
      </c>
    </row>
    <row r="29" spans="1:7">
      <c r="A29" s="1" t="s">
        <v>74</v>
      </c>
    </row>
    <row r="30" spans="1:7">
      <c r="A30" s="3"/>
      <c r="B30" s="3"/>
      <c r="C30" s="4">
        <v>2014</v>
      </c>
      <c r="D30" s="4">
        <f>C30+1</f>
        <v>2015</v>
      </c>
      <c r="E30" s="4">
        <f t="shared" ref="E30" si="1">D30+1</f>
        <v>2016</v>
      </c>
      <c r="F30" s="4">
        <f t="shared" ref="F30" si="2">E30+1</f>
        <v>2017</v>
      </c>
      <c r="G30" s="4">
        <f t="shared" ref="G30" si="3">F30+1</f>
        <v>2018</v>
      </c>
    </row>
    <row r="31" spans="1:7">
      <c r="A31" t="s">
        <v>64</v>
      </c>
      <c r="C31" s="7">
        <f>ROUNDUP(C27/1000/10/$E$17,0)</f>
        <v>8</v>
      </c>
      <c r="D31" s="7">
        <f>ROUNDUP(D27/1000/10/$E$17,0)</f>
        <v>11</v>
      </c>
      <c r="E31" s="7">
        <f>ROUNDUP(E27/1000/10/$E$17,0)</f>
        <v>14</v>
      </c>
      <c r="F31" s="7">
        <f>ROUNDUP(F27/1000/10/$E$17,0)</f>
        <v>17</v>
      </c>
      <c r="G31" s="7">
        <f>ROUNDUP(G27/1000/10/$E$17,0)</f>
        <v>21</v>
      </c>
    </row>
    <row r="32" spans="1:7">
      <c r="A32" t="s">
        <v>65</v>
      </c>
      <c r="C32" s="30">
        <f>($E$11*(1-(1-$E$12)^C31)/$E$12)/C31</f>
        <v>1.1629008875688922</v>
      </c>
      <c r="D32" s="30">
        <f t="shared" ref="D32:G32" si="4">($E$11*(1-(1-$E$12)^D31)/$E$12)/D31</f>
        <v>0.87077640701664205</v>
      </c>
      <c r="E32" s="30">
        <f t="shared" si="4"/>
        <v>0.69009646925278634</v>
      </c>
      <c r="F32" s="30">
        <f t="shared" si="4"/>
        <v>0.56977981066742711</v>
      </c>
      <c r="G32" s="30">
        <f t="shared" si="4"/>
        <v>0.46165766306570433</v>
      </c>
    </row>
    <row r="33" spans="1:7">
      <c r="A33" t="s">
        <v>69</v>
      </c>
      <c r="C33" s="30">
        <f>C31*C32</f>
        <v>9.3032071005511376</v>
      </c>
      <c r="D33" s="30">
        <f t="shared" ref="D33:G33" si="5">D31*D32</f>
        <v>9.5785404771830631</v>
      </c>
      <c r="E33" s="30">
        <f t="shared" si="5"/>
        <v>9.6613505695390085</v>
      </c>
      <c r="F33" s="30">
        <f t="shared" si="5"/>
        <v>9.6862567813462608</v>
      </c>
      <c r="G33" s="30">
        <f t="shared" si="5"/>
        <v>9.6948109243797909</v>
      </c>
    </row>
    <row r="34" spans="1:7">
      <c r="A34" t="s">
        <v>67</v>
      </c>
      <c r="C34" s="31">
        <f>$E$14/(1-(1/(1+$E$14)^$E$13))</f>
        <v>8.7184556976851402E-2</v>
      </c>
      <c r="D34" s="31">
        <f t="shared" ref="D34:G34" si="6">$E$14/(1-(1/(1+$E$14)^$E$13))</f>
        <v>8.7184556976851402E-2</v>
      </c>
      <c r="E34" s="31">
        <f t="shared" si="6"/>
        <v>8.7184556976851402E-2</v>
      </c>
      <c r="F34" s="31">
        <f t="shared" si="6"/>
        <v>8.7184556976851402E-2</v>
      </c>
      <c r="G34" s="31">
        <f t="shared" si="6"/>
        <v>8.7184556976851402E-2</v>
      </c>
    </row>
    <row r="35" spans="1:7">
      <c r="A35" t="s">
        <v>66</v>
      </c>
      <c r="C35" s="32">
        <f>C32*C34*1000</f>
        <v>101.38699869068114</v>
      </c>
      <c r="D35" s="32">
        <f t="shared" ref="D35:G35" si="7">D32*D34*1000</f>
        <v>75.918255271640376</v>
      </c>
      <c r="E35" s="32">
        <f t="shared" si="7"/>
        <v>60.165754943093532</v>
      </c>
      <c r="F35" s="32">
        <f t="shared" si="7"/>
        <v>49.676000367393904</v>
      </c>
      <c r="G35" s="32">
        <f t="shared" si="7"/>
        <v>40.249418829351967</v>
      </c>
    </row>
    <row r="36" spans="1:7">
      <c r="A36" t="s">
        <v>70</v>
      </c>
      <c r="C36" s="30">
        <f>C33*E$15</f>
        <v>0.41864431952480119</v>
      </c>
      <c r="D36" s="30">
        <f>C36*(1+$E$16)+(D33-C33)*$E$15</f>
        <v>0.44778009425422988</v>
      </c>
      <c r="E36" s="30">
        <f t="shared" ref="E36:G36" si="8">D36*(1+$E$16)+(E33-D33)*$E$15</f>
        <v>0.46941775218041659</v>
      </c>
      <c r="F36" s="30">
        <f t="shared" si="8"/>
        <v>0.48931524179895963</v>
      </c>
      <c r="G36" s="30">
        <f t="shared" si="8"/>
        <v>0.50927278790742692</v>
      </c>
    </row>
    <row r="37" spans="1:7">
      <c r="A37" t="s">
        <v>71</v>
      </c>
      <c r="C37" s="32">
        <f>C36/C31*1000</f>
        <v>52.330539940600147</v>
      </c>
      <c r="D37" s="32">
        <f t="shared" ref="D37:G37" si="9">D36/D31*1000</f>
        <v>40.707281295839081</v>
      </c>
      <c r="E37" s="32">
        <f t="shared" si="9"/>
        <v>33.529839441458329</v>
      </c>
      <c r="F37" s="32">
        <f t="shared" si="9"/>
        <v>28.783249517585858</v>
      </c>
      <c r="G37" s="32">
        <f t="shared" si="9"/>
        <v>24.2510851384489</v>
      </c>
    </row>
    <row r="38" spans="1:7">
      <c r="A38" t="s">
        <v>72</v>
      </c>
      <c r="C38" s="32">
        <f>C35+C37</f>
        <v>153.71753863128129</v>
      </c>
      <c r="D38" s="32">
        <f t="shared" ref="D38:G38" si="10">D35+D37</f>
        <v>116.62553656747946</v>
      </c>
      <c r="E38" s="32">
        <f t="shared" si="10"/>
        <v>93.695594384551868</v>
      </c>
      <c r="F38" s="32">
        <f t="shared" si="10"/>
        <v>78.459249884979755</v>
      </c>
      <c r="G38" s="32">
        <f t="shared" si="10"/>
        <v>64.500503967800867</v>
      </c>
    </row>
    <row r="39" spans="1:7">
      <c r="A39" s="3" t="s">
        <v>121</v>
      </c>
      <c r="B39" s="3"/>
      <c r="C39" s="47">
        <f>C38/10000/12*1000</f>
        <v>1.2809794885940107</v>
      </c>
      <c r="D39" s="47">
        <f t="shared" ref="D39" si="11">D38/10000/12*1000</f>
        <v>0.97187947139566211</v>
      </c>
      <c r="E39" s="47">
        <f t="shared" ref="E39" si="12">E38/10000/12*1000</f>
        <v>0.78079661987126558</v>
      </c>
      <c r="F39" s="47">
        <f t="shared" ref="F39" si="13">F38/10000/12*1000</f>
        <v>0.65382708237483134</v>
      </c>
      <c r="G39" s="47">
        <f t="shared" ref="G39" si="14">G38/10000/12*1000</f>
        <v>0.53750419973167385</v>
      </c>
    </row>
    <row r="42" spans="1:7" ht="21">
      <c r="A42" s="19" t="s">
        <v>73</v>
      </c>
    </row>
    <row r="44" spans="1:7">
      <c r="A44" s="1" t="s">
        <v>51</v>
      </c>
    </row>
    <row r="45" spans="1:7">
      <c r="A45" s="3" t="s">
        <v>14</v>
      </c>
      <c r="B45" s="3"/>
      <c r="C45" s="4">
        <v>2014</v>
      </c>
      <c r="D45" s="4">
        <f>C45+1</f>
        <v>2015</v>
      </c>
      <c r="E45" s="4">
        <f t="shared" ref="E45:G45" si="15">D45+1</f>
        <v>2016</v>
      </c>
      <c r="F45" s="4">
        <f t="shared" si="15"/>
        <v>2017</v>
      </c>
      <c r="G45" s="4">
        <f t="shared" si="15"/>
        <v>2018</v>
      </c>
    </row>
    <row r="46" spans="1:7">
      <c r="A46" t="s">
        <v>44</v>
      </c>
      <c r="C46" s="28">
        <f>'CLS Demand'!C149</f>
        <v>7480.9069513022569</v>
      </c>
      <c r="D46" s="28">
        <f>'CLS Demand'!D149</f>
        <v>11039.88629322865</v>
      </c>
      <c r="E46" s="28">
        <f>'CLS Demand'!E149</f>
        <v>14692.683492489159</v>
      </c>
      <c r="F46" s="28">
        <f>'CLS Demand'!F149</f>
        <v>18375.895727455543</v>
      </c>
      <c r="G46" s="28">
        <f>'CLS Demand'!G149</f>
        <v>21796.902906795396</v>
      </c>
    </row>
    <row r="47" spans="1:7">
      <c r="A47" t="s">
        <v>50</v>
      </c>
      <c r="C47" s="28">
        <f>'CLS Demand'!C150</f>
        <v>18008.209784735809</v>
      </c>
      <c r="D47" s="28">
        <f>'CLS Demand'!D150</f>
        <v>32736.758451459209</v>
      </c>
      <c r="E47" s="28">
        <f>'CLS Demand'!E150</f>
        <v>54222.405489414719</v>
      </c>
      <c r="F47" s="28">
        <f>'CLS Demand'!F150</f>
        <v>83624.029876320987</v>
      </c>
      <c r="G47" s="28">
        <f>'CLS Demand'!G150</f>
        <v>120223.15720520547</v>
      </c>
    </row>
    <row r="48" spans="1:7">
      <c r="A48" t="s">
        <v>45</v>
      </c>
      <c r="C48" s="28">
        <f>'CLS Demand'!C151</f>
        <v>0</v>
      </c>
      <c r="D48" s="28">
        <f>'CLS Demand'!D151</f>
        <v>3360.1542365968567</v>
      </c>
      <c r="E48" s="28">
        <f>'CLS Demand'!E151</f>
        <v>12339.569366871561</v>
      </c>
      <c r="F48" s="28">
        <f>'CLS Demand'!F151</f>
        <v>32240.282239240096</v>
      </c>
      <c r="G48" s="28">
        <f>'CLS Demand'!G151</f>
        <v>71336.491788458428</v>
      </c>
    </row>
    <row r="49" spans="1:7">
      <c r="A49" s="3" t="s">
        <v>0</v>
      </c>
      <c r="B49" s="3"/>
      <c r="C49" s="18">
        <f>SUM(C46:C48)</f>
        <v>25489.116736038064</v>
      </c>
      <c r="D49" s="18">
        <f>SUM(D46:D48)</f>
        <v>47136.798981284715</v>
      </c>
      <c r="E49" s="18">
        <f>SUM(E46:E48)</f>
        <v>81254.65834877544</v>
      </c>
      <c r="F49" s="18">
        <f>SUM(F46:F48)</f>
        <v>134240.20784301663</v>
      </c>
      <c r="G49" s="18">
        <f>SUM(G46:G48)</f>
        <v>213356.55190045928</v>
      </c>
    </row>
    <row r="51" spans="1:7">
      <c r="A51" s="1" t="s">
        <v>75</v>
      </c>
    </row>
    <row r="52" spans="1:7">
      <c r="A52" s="3"/>
      <c r="B52" s="3"/>
      <c r="C52" s="4">
        <v>2014</v>
      </c>
      <c r="D52" s="4">
        <f>C52+1</f>
        <v>2015</v>
      </c>
      <c r="E52" s="4">
        <f t="shared" ref="E52" si="16">D52+1</f>
        <v>2016</v>
      </c>
      <c r="F52" s="4">
        <f t="shared" ref="F52" si="17">E52+1</f>
        <v>2017</v>
      </c>
      <c r="G52" s="4">
        <f t="shared" ref="G52" si="18">F52+1</f>
        <v>2018</v>
      </c>
    </row>
    <row r="53" spans="1:7">
      <c r="A53" t="s">
        <v>64</v>
      </c>
      <c r="C53" s="7">
        <f>ROUNDUP(C49/1000/10/$E$17,0)</f>
        <v>4</v>
      </c>
      <c r="D53" s="7">
        <f t="shared" ref="D53:G53" si="19">ROUNDUP(D49/1000/10/$E$17,0)</f>
        <v>7</v>
      </c>
      <c r="E53" s="7">
        <f t="shared" si="19"/>
        <v>11</v>
      </c>
      <c r="F53" s="7">
        <f t="shared" si="19"/>
        <v>18</v>
      </c>
      <c r="G53" s="7">
        <f t="shared" si="19"/>
        <v>29</v>
      </c>
    </row>
    <row r="54" spans="1:7">
      <c r="A54" t="s">
        <v>65</v>
      </c>
      <c r="C54" s="30">
        <f>($E$11*(1-(1-$E$12)^C53)/$E$12)/C53</f>
        <v>1.9357304000000002</v>
      </c>
      <c r="D54" s="30">
        <f t="shared" ref="D54" si="20">($E$11*(1-(1-$E$12)^D53)/$E$12)/D53</f>
        <v>1.3013234755972574</v>
      </c>
      <c r="E54" s="30">
        <f t="shared" ref="E54" si="21">($E$11*(1-(1-$E$12)^E53)/$E$12)/E53</f>
        <v>0.87077640701664205</v>
      </c>
      <c r="F54" s="30">
        <f t="shared" ref="F54" si="22">($E$11*(1-(1-$E$12)^F53)/$E$12)/F53</f>
        <v>0.53832178019455534</v>
      </c>
      <c r="G54" s="30">
        <f t="shared" ref="G54" si="23">($E$11*(1-(1-$E$12)^G53)/$E$12)/G53</f>
        <v>0.33437524262732765</v>
      </c>
    </row>
    <row r="55" spans="1:7">
      <c r="A55" t="s">
        <v>69</v>
      </c>
      <c r="C55" s="30">
        <f>C53*C54</f>
        <v>7.7429216000000007</v>
      </c>
      <c r="D55" s="30">
        <f t="shared" ref="D55" si="24">D53*D54</f>
        <v>9.1092643291808013</v>
      </c>
      <c r="E55" s="30">
        <f t="shared" ref="E55" si="25">E53*E54</f>
        <v>9.5785404771830631</v>
      </c>
      <c r="F55" s="30">
        <f t="shared" ref="F55" si="26">F53*F54</f>
        <v>9.6897920435019955</v>
      </c>
      <c r="G55" s="30">
        <f t="shared" ref="G55" si="27">G53*G54</f>
        <v>9.6968820361925019</v>
      </c>
    </row>
    <row r="56" spans="1:7">
      <c r="A56" t="s">
        <v>67</v>
      </c>
      <c r="C56" s="31">
        <f>$E$14/(1-(1/(1+$E$14)^$E$13))</f>
        <v>8.7184556976851402E-2</v>
      </c>
      <c r="D56" s="31">
        <f t="shared" ref="D56:G56" si="28">$E$14/(1-(1/(1+$E$14)^$E$13))</f>
        <v>8.7184556976851402E-2</v>
      </c>
      <c r="E56" s="31">
        <f t="shared" si="28"/>
        <v>8.7184556976851402E-2</v>
      </c>
      <c r="F56" s="31">
        <f t="shared" si="28"/>
        <v>8.7184556976851402E-2</v>
      </c>
      <c r="G56" s="31">
        <f t="shared" si="28"/>
        <v>8.7184556976851402E-2</v>
      </c>
    </row>
    <row r="57" spans="1:7">
      <c r="A57" t="s">
        <v>66</v>
      </c>
      <c r="C57" s="32">
        <f>C54*C56*1000</f>
        <v>168.76579735062336</v>
      </c>
      <c r="D57" s="32">
        <f t="shared" ref="D57" si="29">D54*D56*1000</f>
        <v>113.45531070352338</v>
      </c>
      <c r="E57" s="32">
        <f t="shared" ref="E57" si="30">E54*E56*1000</f>
        <v>75.918255271640376</v>
      </c>
      <c r="F57" s="32">
        <f t="shared" ref="F57" si="31">F54*F56*1000</f>
        <v>46.933345917252289</v>
      </c>
      <c r="G57" s="32">
        <f t="shared" ref="G57" si="32">G54*G56*1000</f>
        <v>29.15235739249076</v>
      </c>
    </row>
    <row r="58" spans="1:7">
      <c r="A58" t="s">
        <v>70</v>
      </c>
      <c r="C58" s="30">
        <f>C55*E$15</f>
        <v>0.34843147200000002</v>
      </c>
      <c r="D58" s="30">
        <f>C58*(1+$E$16)+(D55-C55)*$E$15</f>
        <v>0.42385415369313606</v>
      </c>
      <c r="E58" s="30">
        <f t="shared" ref="E58:G58" si="33">D58*(1+$E$16)+(E55-D55)*$E$15</f>
        <v>0.4619257465009633</v>
      </c>
      <c r="F58" s="30">
        <f t="shared" si="33"/>
        <v>0.48540909684535383</v>
      </c>
      <c r="G58" s="30">
        <f t="shared" si="33"/>
        <v>0.50514451039024078</v>
      </c>
    </row>
    <row r="59" spans="1:7">
      <c r="A59" t="s">
        <v>71</v>
      </c>
      <c r="C59" s="32">
        <f>C58/C53*1000</f>
        <v>87.107868000000011</v>
      </c>
      <c r="D59" s="32">
        <f t="shared" ref="D59" si="34">D58/D53*1000</f>
        <v>60.550593384733723</v>
      </c>
      <c r="E59" s="32">
        <f t="shared" ref="E59" si="35">E58/E53*1000</f>
        <v>41.993249681905759</v>
      </c>
      <c r="F59" s="32">
        <f t="shared" ref="F59" si="36">F58/F53*1000</f>
        <v>26.967172046964102</v>
      </c>
      <c r="G59" s="32">
        <f t="shared" ref="G59" si="37">G58/G53*1000</f>
        <v>17.418776220353127</v>
      </c>
    </row>
    <row r="60" spans="1:7">
      <c r="A60" t="s">
        <v>72</v>
      </c>
      <c r="C60" s="32">
        <f>C57+C59</f>
        <v>255.87366535062336</v>
      </c>
      <c r="D60" s="32">
        <f t="shared" ref="D60" si="38">D57+D59</f>
        <v>174.0059040882571</v>
      </c>
      <c r="E60" s="32">
        <f t="shared" ref="E60" si="39">E57+E59</f>
        <v>117.91150495354614</v>
      </c>
      <c r="F60" s="32">
        <f t="shared" ref="F60" si="40">F57+F59</f>
        <v>73.900517964216391</v>
      </c>
      <c r="G60" s="32">
        <f t="shared" ref="G60" si="41">G57+G59</f>
        <v>46.571133612843887</v>
      </c>
    </row>
    <row r="61" spans="1:7">
      <c r="A61" s="3" t="s">
        <v>121</v>
      </c>
      <c r="B61" s="3"/>
      <c r="C61" s="47">
        <f>C60/10000/12*1000</f>
        <v>2.1322805445885278</v>
      </c>
      <c r="D61" s="47">
        <f t="shared" ref="D61:G61" si="42">D60/10000/12*1000</f>
        <v>1.4500492007354759</v>
      </c>
      <c r="E61" s="47">
        <f t="shared" si="42"/>
        <v>0.98259587461288445</v>
      </c>
      <c r="F61" s="47">
        <f t="shared" si="42"/>
        <v>0.61583764970180321</v>
      </c>
      <c r="G61" s="47">
        <f t="shared" si="42"/>
        <v>0.38809278010703241</v>
      </c>
    </row>
    <row r="65" spans="1:7" ht="21">
      <c r="A65" s="19" t="s">
        <v>120</v>
      </c>
    </row>
    <row r="67" spans="1:7">
      <c r="A67" s="1" t="s">
        <v>125</v>
      </c>
    </row>
    <row r="68" spans="1:7">
      <c r="A68" s="3" t="s">
        <v>126</v>
      </c>
      <c r="B68" s="3"/>
      <c r="C68" s="4">
        <v>2014</v>
      </c>
      <c r="D68" s="4">
        <f>C68+1</f>
        <v>2015</v>
      </c>
      <c r="E68" s="4">
        <f t="shared" ref="E68" si="43">D68+1</f>
        <v>2016</v>
      </c>
      <c r="F68" s="4">
        <f t="shared" ref="F68" si="44">E68+1</f>
        <v>2017</v>
      </c>
      <c r="G68" s="4">
        <f t="shared" ref="G68" si="45">F68+1</f>
        <v>2018</v>
      </c>
    </row>
    <row r="69" spans="1:7">
      <c r="A69" t="s">
        <v>123</v>
      </c>
      <c r="C69" s="30">
        <f>C61</f>
        <v>2.1322805445885278</v>
      </c>
      <c r="D69" s="30">
        <f t="shared" ref="D69:G69" si="46">D61</f>
        <v>1.4500492007354759</v>
      </c>
      <c r="E69" s="30">
        <f t="shared" si="46"/>
        <v>0.98259587461288445</v>
      </c>
      <c r="F69" s="30">
        <f t="shared" si="46"/>
        <v>0.61583764970180321</v>
      </c>
      <c r="G69" s="30">
        <f t="shared" si="46"/>
        <v>0.38809278010703241</v>
      </c>
    </row>
    <row r="70" spans="1:7">
      <c r="A70" t="s">
        <v>122</v>
      </c>
      <c r="C70" s="30">
        <f>C39</f>
        <v>1.2809794885940107</v>
      </c>
      <c r="D70" s="30">
        <f t="shared" ref="D70:G70" si="47">D39</f>
        <v>0.97187947139566211</v>
      </c>
      <c r="E70" s="30">
        <f t="shared" si="47"/>
        <v>0.78079661987126558</v>
      </c>
      <c r="F70" s="30">
        <f t="shared" si="47"/>
        <v>0.65382708237483134</v>
      </c>
      <c r="G70" s="30">
        <f t="shared" si="47"/>
        <v>0.53750419973167385</v>
      </c>
    </row>
    <row r="71" spans="1:7">
      <c r="A71" s="3" t="s">
        <v>124</v>
      </c>
      <c r="B71" s="3"/>
      <c r="C71" s="52">
        <f>(C69*C49+C70*C27)/(C27+C49)</f>
        <v>1.5373545732330349</v>
      </c>
      <c r="D71" s="52">
        <f t="shared" ref="D71:G71" si="48">(D69*D49+D70*D27)/(D27+D49)</f>
        <v>1.1527123885398443</v>
      </c>
      <c r="E71" s="52">
        <f t="shared" si="48"/>
        <v>0.87123466187087939</v>
      </c>
      <c r="F71" s="52">
        <f t="shared" si="48"/>
        <v>0.63429345848170682</v>
      </c>
      <c r="G71" s="52">
        <f t="shared" si="48"/>
        <v>0.45105453213692254</v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0"/>
  <sheetViews>
    <sheetView showGridLines="0" tabSelected="1" workbookViewId="0">
      <selection activeCell="G122" sqref="G122"/>
    </sheetView>
  </sheetViews>
  <sheetFormatPr baseColWidth="10" defaultColWidth="11" defaultRowHeight="15" x14ac:dyDescent="0"/>
  <cols>
    <col min="1" max="7" width="14.1640625" customWidth="1"/>
  </cols>
  <sheetData>
    <row r="1" spans="1:8" ht="21">
      <c r="A1" s="14" t="s">
        <v>76</v>
      </c>
      <c r="B1" s="2"/>
      <c r="C1" s="2"/>
    </row>
    <row r="2" spans="1:8">
      <c r="B2" s="2"/>
      <c r="C2" s="2"/>
    </row>
    <row r="3" spans="1:8">
      <c r="A3" s="1" t="s">
        <v>1</v>
      </c>
      <c r="B3" s="8" t="s">
        <v>2</v>
      </c>
      <c r="C3" s="6"/>
      <c r="D3" s="8"/>
      <c r="E3" s="8"/>
      <c r="F3" s="8"/>
      <c r="G3" s="8"/>
    </row>
    <row r="4" spans="1:8">
      <c r="A4" s="1" t="s">
        <v>3</v>
      </c>
      <c r="B4" s="9" t="s">
        <v>4</v>
      </c>
      <c r="C4" s="7"/>
      <c r="D4" s="10"/>
      <c r="E4" s="10"/>
      <c r="F4" s="10"/>
      <c r="G4" s="10"/>
    </row>
    <row r="5" spans="1:8">
      <c r="A5" s="1" t="s">
        <v>5</v>
      </c>
      <c r="B5" s="15" t="s">
        <v>7</v>
      </c>
      <c r="C5" s="16"/>
      <c r="D5" s="17"/>
      <c r="E5" s="17"/>
      <c r="F5" s="17"/>
      <c r="G5" s="17"/>
    </row>
    <row r="6" spans="1:8">
      <c r="A6" s="1" t="s">
        <v>6</v>
      </c>
      <c r="B6" s="11" t="s">
        <v>8</v>
      </c>
      <c r="C6" s="12"/>
      <c r="D6" s="13"/>
      <c r="E6" s="13"/>
      <c r="F6" s="13"/>
      <c r="G6" s="13"/>
    </row>
    <row r="7" spans="1:8">
      <c r="B7" s="2"/>
      <c r="C7" s="2"/>
    </row>
    <row r="8" spans="1:8">
      <c r="B8" s="2"/>
      <c r="C8" s="2"/>
    </row>
    <row r="9" spans="1:8" ht="21">
      <c r="A9" s="19" t="s">
        <v>95</v>
      </c>
      <c r="B9" s="2"/>
      <c r="C9" s="2"/>
    </row>
    <row r="11" spans="1:8">
      <c r="A11" s="1" t="s">
        <v>16</v>
      </c>
    </row>
    <row r="12" spans="1:8">
      <c r="A12" s="44"/>
      <c r="B12" s="45"/>
      <c r="C12" s="44"/>
      <c r="D12" s="44"/>
      <c r="E12" s="44"/>
      <c r="F12" s="56">
        <v>2014</v>
      </c>
      <c r="G12" s="56">
        <v>2016</v>
      </c>
    </row>
    <row r="13" spans="1:8" ht="15" customHeight="1">
      <c r="A13" s="57" t="s">
        <v>77</v>
      </c>
      <c r="B13" s="57"/>
      <c r="C13" s="57"/>
      <c r="D13" s="57"/>
      <c r="E13" s="57"/>
      <c r="F13" s="36">
        <v>1</v>
      </c>
      <c r="G13" s="36">
        <v>1</v>
      </c>
      <c r="H13" s="5" t="s">
        <v>128</v>
      </c>
    </row>
    <row r="14" spans="1:8" ht="15" customHeight="1">
      <c r="A14" s="57" t="s">
        <v>78</v>
      </c>
      <c r="B14" s="57"/>
      <c r="C14" s="57"/>
      <c r="D14" s="57"/>
      <c r="E14" s="57"/>
      <c r="F14" s="34">
        <v>1</v>
      </c>
      <c r="G14" s="34">
        <v>1</v>
      </c>
      <c r="H14" s="5" t="s">
        <v>129</v>
      </c>
    </row>
    <row r="15" spans="1:8" ht="15" customHeight="1">
      <c r="A15" s="57" t="s">
        <v>79</v>
      </c>
      <c r="B15" s="57"/>
      <c r="C15" s="57"/>
      <c r="D15" s="57"/>
      <c r="E15" s="57"/>
      <c r="F15" s="35">
        <f>'CLS Costs'!C61</f>
        <v>2.1322805445885278</v>
      </c>
      <c r="G15" s="35">
        <f>'CLS Costs'!E61</f>
        <v>0.98259587461288445</v>
      </c>
    </row>
    <row r="16" spans="1:8" ht="15" customHeight="1">
      <c r="A16" s="53"/>
      <c r="B16" s="53"/>
      <c r="C16" s="53"/>
      <c r="D16" s="53"/>
      <c r="E16" s="53"/>
    </row>
    <row r="17" spans="1:7" ht="15" customHeight="1">
      <c r="A17" s="59" t="s">
        <v>97</v>
      </c>
      <c r="B17" s="59"/>
      <c r="D17" s="53"/>
      <c r="E17" s="53"/>
      <c r="F17" s="41">
        <v>1</v>
      </c>
      <c r="G17" s="41">
        <v>1</v>
      </c>
    </row>
    <row r="18" spans="1:7" ht="15" customHeight="1">
      <c r="A18" s="55" t="s">
        <v>98</v>
      </c>
      <c r="B18" s="55"/>
      <c r="D18" s="53"/>
      <c r="E18" s="53"/>
      <c r="F18" s="20">
        <v>0.01</v>
      </c>
      <c r="G18" s="20">
        <v>0.01</v>
      </c>
    </row>
    <row r="20" spans="1:7">
      <c r="A20" s="1" t="s">
        <v>92</v>
      </c>
    </row>
    <row r="21" spans="1:7" s="38" customFormat="1" ht="47.25">
      <c r="A21" s="37" t="s">
        <v>81</v>
      </c>
      <c r="B21" s="54" t="s">
        <v>89</v>
      </c>
      <c r="C21" s="54" t="s">
        <v>93</v>
      </c>
      <c r="D21" s="54" t="s">
        <v>94</v>
      </c>
    </row>
    <row r="22" spans="1:7">
      <c r="A22" t="s">
        <v>82</v>
      </c>
      <c r="B22" s="6">
        <v>1</v>
      </c>
      <c r="C22" s="6">
        <v>1</v>
      </c>
      <c r="D22" s="16">
        <v>1</v>
      </c>
    </row>
    <row r="23" spans="1:7">
      <c r="A23" t="s">
        <v>83</v>
      </c>
      <c r="B23" s="6">
        <v>1</v>
      </c>
      <c r="C23" s="6">
        <v>1</v>
      </c>
      <c r="D23" s="16">
        <v>1</v>
      </c>
    </row>
    <row r="24" spans="1:7">
      <c r="A24" t="s">
        <v>84</v>
      </c>
      <c r="B24" s="6">
        <v>1</v>
      </c>
      <c r="C24" s="6">
        <v>1</v>
      </c>
      <c r="D24" s="16">
        <v>1</v>
      </c>
    </row>
    <row r="25" spans="1:7">
      <c r="A25" t="s">
        <v>85</v>
      </c>
      <c r="B25" s="6">
        <v>1</v>
      </c>
      <c r="C25" s="6">
        <v>1</v>
      </c>
      <c r="D25" s="16">
        <v>1</v>
      </c>
    </row>
    <row r="26" spans="1:7">
      <c r="A26" s="3" t="s">
        <v>0</v>
      </c>
      <c r="B26" s="3"/>
      <c r="C26" s="56"/>
      <c r="D26" s="56"/>
    </row>
    <row r="28" spans="1:7">
      <c r="A28" s="1" t="s">
        <v>130</v>
      </c>
      <c r="B28" s="2"/>
      <c r="C28" s="2"/>
    </row>
    <row r="29" spans="1:7">
      <c r="A29" s="37" t="s">
        <v>81</v>
      </c>
      <c r="B29" s="54">
        <v>2014</v>
      </c>
      <c r="C29" s="54">
        <v>2016</v>
      </c>
      <c r="D29" s="5" t="s">
        <v>139</v>
      </c>
    </row>
    <row r="30" spans="1:7">
      <c r="A30" t="s">
        <v>82</v>
      </c>
      <c r="B30" s="26">
        <v>1</v>
      </c>
      <c r="C30" s="26">
        <v>1</v>
      </c>
    </row>
    <row r="31" spans="1:7">
      <c r="A31" t="s">
        <v>83</v>
      </c>
      <c r="B31" s="26">
        <v>1</v>
      </c>
      <c r="C31" s="26">
        <v>1</v>
      </c>
    </row>
    <row r="32" spans="1:7">
      <c r="A32" t="s">
        <v>84</v>
      </c>
      <c r="B32" s="26">
        <v>1</v>
      </c>
      <c r="C32" s="26">
        <v>1</v>
      </c>
    </row>
    <row r="33" spans="1:5">
      <c r="A33" t="s">
        <v>85</v>
      </c>
      <c r="B33" s="26">
        <v>1</v>
      </c>
      <c r="C33" s="26">
        <v>1</v>
      </c>
    </row>
    <row r="34" spans="1:5">
      <c r="A34" s="3" t="s">
        <v>0</v>
      </c>
      <c r="B34" s="56">
        <f>SUM(B30:B33)</f>
        <v>4</v>
      </c>
      <c r="C34" s="33">
        <f>SUM(C30:C33)</f>
        <v>4</v>
      </c>
    </row>
    <row r="36" spans="1:5">
      <c r="A36" s="1" t="s">
        <v>100</v>
      </c>
      <c r="B36" s="2"/>
      <c r="C36" s="2"/>
    </row>
    <row r="37" spans="1:5">
      <c r="A37" s="37" t="s">
        <v>81</v>
      </c>
      <c r="B37" s="54">
        <v>2014</v>
      </c>
      <c r="C37" s="54">
        <v>2016</v>
      </c>
    </row>
    <row r="38" spans="1:5">
      <c r="A38" t="s">
        <v>82</v>
      </c>
      <c r="B38" s="32">
        <f>(B30*C22*12)/1000000</f>
        <v>1.2E-5</v>
      </c>
      <c r="C38" s="32">
        <f>(C30*D22*12)/1000000</f>
        <v>1.2E-5</v>
      </c>
    </row>
    <row r="39" spans="1:5">
      <c r="A39" t="s">
        <v>83</v>
      </c>
      <c r="B39" s="32">
        <f t="shared" ref="B39:C41" si="0">(B31*C23*12)/1000000</f>
        <v>1.2E-5</v>
      </c>
      <c r="C39" s="32">
        <f t="shared" si="0"/>
        <v>1.2E-5</v>
      </c>
    </row>
    <row r="40" spans="1:5">
      <c r="A40" t="s">
        <v>84</v>
      </c>
      <c r="B40" s="32">
        <f t="shared" si="0"/>
        <v>1.2E-5</v>
      </c>
      <c r="C40" s="32">
        <f t="shared" si="0"/>
        <v>1.2E-5</v>
      </c>
    </row>
    <row r="41" spans="1:5">
      <c r="A41" t="s">
        <v>85</v>
      </c>
      <c r="B41" s="32">
        <f t="shared" si="0"/>
        <v>1.2E-5</v>
      </c>
      <c r="C41" s="32">
        <f t="shared" si="0"/>
        <v>1.2E-5</v>
      </c>
    </row>
    <row r="42" spans="1:5">
      <c r="A42" s="3" t="s">
        <v>0</v>
      </c>
      <c r="B42" s="56">
        <f>SUM(B38:B41)</f>
        <v>4.8000000000000001E-5</v>
      </c>
      <c r="C42" s="33">
        <f>SUM(C38:C41)</f>
        <v>4.8000000000000001E-5</v>
      </c>
    </row>
    <row r="44" spans="1:5">
      <c r="A44" s="1" t="s">
        <v>91</v>
      </c>
    </row>
    <row r="45" spans="1:5" ht="15.75" customHeight="1">
      <c r="B45" s="58" t="s">
        <v>104</v>
      </c>
      <c r="C45" s="58"/>
      <c r="D45" s="58"/>
      <c r="E45" s="58"/>
    </row>
    <row r="46" spans="1:5" s="38" customFormat="1" ht="31.5">
      <c r="A46" s="37" t="s">
        <v>81</v>
      </c>
      <c r="B46" s="54" t="s">
        <v>88</v>
      </c>
      <c r="C46" s="54" t="s">
        <v>87</v>
      </c>
      <c r="D46" s="54" t="s">
        <v>105</v>
      </c>
      <c r="E46" s="54" t="s">
        <v>90</v>
      </c>
    </row>
    <row r="47" spans="1:5">
      <c r="A47" t="s">
        <v>82</v>
      </c>
      <c r="B47" s="35">
        <f>F$13/12</f>
        <v>8.3333333333333329E-2</v>
      </c>
      <c r="C47" s="35">
        <f>F$14*B22/12/$F$17</f>
        <v>8.3333333333333329E-2</v>
      </c>
      <c r="D47" s="35">
        <f>F$15*B22*'CLS Demand'!C$58/'CLS Demand'!C$49/$F$17</f>
        <v>1.7720898586024239</v>
      </c>
      <c r="E47" s="35">
        <f>B47+C47+D47</f>
        <v>1.9387565252690906</v>
      </c>
    </row>
    <row r="48" spans="1:5">
      <c r="A48" t="s">
        <v>83</v>
      </c>
      <c r="B48" s="35">
        <f t="shared" ref="B48:B50" si="1">F$13/12</f>
        <v>8.3333333333333329E-2</v>
      </c>
      <c r="C48" s="35">
        <f>F$14*B23/12/$F$17</f>
        <v>8.3333333333333329E-2</v>
      </c>
      <c r="D48" s="35">
        <f>F$15*B23*'CLS Demand'!C$58/'CLS Demand'!C$49/$F$17</f>
        <v>1.7720898586024239</v>
      </c>
      <c r="E48" s="35">
        <f t="shared" ref="E48:E50" si="2">B48+C48+D48</f>
        <v>1.9387565252690906</v>
      </c>
    </row>
    <row r="49" spans="1:5">
      <c r="A49" t="s">
        <v>84</v>
      </c>
      <c r="B49" s="35">
        <f t="shared" si="1"/>
        <v>8.3333333333333329E-2</v>
      </c>
      <c r="C49" s="35">
        <f>F$14*B24/12/$F$17</f>
        <v>8.3333333333333329E-2</v>
      </c>
      <c r="D49" s="35">
        <f>F$15*B24*'CLS Demand'!C$58/'CLS Demand'!C$49/$F$17</f>
        <v>1.7720898586024239</v>
      </c>
      <c r="E49" s="35">
        <f t="shared" si="2"/>
        <v>1.9387565252690906</v>
      </c>
    </row>
    <row r="50" spans="1:5">
      <c r="A50" t="s">
        <v>85</v>
      </c>
      <c r="B50" s="35">
        <f t="shared" si="1"/>
        <v>8.3333333333333329E-2</v>
      </c>
      <c r="C50" s="35">
        <f>F$14*B25/12/$F$17</f>
        <v>8.3333333333333329E-2</v>
      </c>
      <c r="D50" s="35">
        <f>F$15*B25*'CLS Demand'!C$58/'CLS Demand'!C$49/$F$17</f>
        <v>1.7720898586024239</v>
      </c>
      <c r="E50" s="35">
        <f t="shared" si="2"/>
        <v>1.9387565252690906</v>
      </c>
    </row>
    <row r="51" spans="1:5">
      <c r="A51" s="3" t="s">
        <v>0</v>
      </c>
      <c r="B51" s="56"/>
      <c r="C51" s="56"/>
      <c r="D51" s="56"/>
      <c r="E51" s="56"/>
    </row>
    <row r="53" spans="1:5">
      <c r="A53" s="1" t="s">
        <v>96</v>
      </c>
    </row>
    <row r="54" spans="1:5" ht="15.75" customHeight="1">
      <c r="B54" s="58" t="s">
        <v>104</v>
      </c>
      <c r="C54" s="58"/>
      <c r="D54" s="58"/>
      <c r="E54" s="58"/>
    </row>
    <row r="55" spans="1:5" ht="31.5">
      <c r="A55" s="37" t="s">
        <v>81</v>
      </c>
      <c r="B55" s="54" t="s">
        <v>88</v>
      </c>
      <c r="C55" s="54" t="s">
        <v>87</v>
      </c>
      <c r="D55" s="54" t="s">
        <v>105</v>
      </c>
      <c r="E55" s="54" t="s">
        <v>90</v>
      </c>
    </row>
    <row r="56" spans="1:5">
      <c r="A56" t="s">
        <v>82</v>
      </c>
      <c r="B56" s="35">
        <f>G$13/12</f>
        <v>8.3333333333333329E-2</v>
      </c>
      <c r="C56" s="35">
        <f>G$14*B22/12/$G$17</f>
        <v>8.3333333333333329E-2</v>
      </c>
      <c r="D56" s="35">
        <f>G$15*B22*'CLS Demand'!E$58/'CLS Demand'!E$49/$G$17</f>
        <v>0.69346925496961243</v>
      </c>
      <c r="E56" s="35">
        <f>B56+C56+D56</f>
        <v>0.86013592163627905</v>
      </c>
    </row>
    <row r="57" spans="1:5">
      <c r="A57" t="s">
        <v>83</v>
      </c>
      <c r="B57" s="35">
        <f t="shared" ref="B57:B59" si="3">G$13/12</f>
        <v>8.3333333333333329E-2</v>
      </c>
      <c r="C57" s="35">
        <f>G$14*B23/12/$G$17</f>
        <v>8.3333333333333329E-2</v>
      </c>
      <c r="D57" s="35">
        <f>G$15*B23*'CLS Demand'!E$58/'CLS Demand'!E$49/$G$17</f>
        <v>0.69346925496961243</v>
      </c>
      <c r="E57" s="35">
        <f t="shared" ref="E57:E59" si="4">B57+C57+D57</f>
        <v>0.86013592163627905</v>
      </c>
    </row>
    <row r="58" spans="1:5">
      <c r="A58" t="s">
        <v>84</v>
      </c>
      <c r="B58" s="35">
        <f t="shared" si="3"/>
        <v>8.3333333333333329E-2</v>
      </c>
      <c r="C58" s="35">
        <f>G$14*B24/12/$G$17</f>
        <v>8.3333333333333329E-2</v>
      </c>
      <c r="D58" s="35">
        <f>G$15*B24*'CLS Demand'!E$58/'CLS Demand'!E$49/$G$17</f>
        <v>0.69346925496961243</v>
      </c>
      <c r="E58" s="35">
        <f t="shared" si="4"/>
        <v>0.86013592163627905</v>
      </c>
    </row>
    <row r="59" spans="1:5">
      <c r="A59" t="s">
        <v>85</v>
      </c>
      <c r="B59" s="35">
        <f t="shared" si="3"/>
        <v>8.3333333333333329E-2</v>
      </c>
      <c r="C59" s="35">
        <f>G$14*B25/12/$G$17</f>
        <v>8.3333333333333329E-2</v>
      </c>
      <c r="D59" s="35">
        <f>G$15*B25*'CLS Demand'!E$58/'CLS Demand'!E$49/$G$17</f>
        <v>0.69346925496961243</v>
      </c>
      <c r="E59" s="35">
        <f t="shared" si="4"/>
        <v>0.86013592163627905</v>
      </c>
    </row>
    <row r="60" spans="1:5">
      <c r="A60" s="3" t="s">
        <v>0</v>
      </c>
      <c r="B60" s="56"/>
      <c r="C60" s="56"/>
      <c r="D60" s="56"/>
      <c r="E60" s="56"/>
    </row>
    <row r="62" spans="1:5">
      <c r="A62" s="1" t="s">
        <v>99</v>
      </c>
    </row>
    <row r="63" spans="1:5">
      <c r="A63" s="37" t="s">
        <v>81</v>
      </c>
      <c r="B63" s="54">
        <v>2014</v>
      </c>
      <c r="C63" s="54">
        <v>2016</v>
      </c>
    </row>
    <row r="64" spans="1:5">
      <c r="A64" t="s">
        <v>82</v>
      </c>
      <c r="B64" s="40">
        <f>(C22*(1-$F$18)-E47)/E47</f>
        <v>-0.48936342078199196</v>
      </c>
      <c r="C64" s="40">
        <f>(D22*(1-$G$18)-E56)/E56</f>
        <v>0.15098087999472698</v>
      </c>
    </row>
    <row r="65" spans="1:8">
      <c r="A65" t="s">
        <v>83</v>
      </c>
      <c r="B65" s="40">
        <f>(C23*(1-$F$18)-E48)/E48</f>
        <v>-0.48936342078199196</v>
      </c>
      <c r="C65" s="40">
        <f>(D23*(1-$G$18)-E57)/E57</f>
        <v>0.15098087999472698</v>
      </c>
    </row>
    <row r="66" spans="1:8">
      <c r="A66" t="s">
        <v>84</v>
      </c>
      <c r="B66" s="40">
        <f>(C24*(1-$F$18)-E49)/E49</f>
        <v>-0.48936342078199196</v>
      </c>
      <c r="C66" s="40">
        <f>(D24*(1-$G$18)-E58)/E58</f>
        <v>0.15098087999472698</v>
      </c>
    </row>
    <row r="67" spans="1:8">
      <c r="A67" t="s">
        <v>85</v>
      </c>
      <c r="B67" s="40">
        <f>(C25*(1-$F$18)-E50)/E50</f>
        <v>-0.48936342078199196</v>
      </c>
      <c r="C67" s="40">
        <f>(D25*(1-$G$18)-E59)/E59</f>
        <v>0.15098087999472698</v>
      </c>
    </row>
    <row r="68" spans="1:8">
      <c r="A68" s="3" t="s">
        <v>0</v>
      </c>
      <c r="B68" s="42">
        <f>SUMPRODUCT(B38:B41,B64:B67)/B42</f>
        <v>-0.48936342078199196</v>
      </c>
      <c r="C68" s="42">
        <f>SUMPRODUCT(C38:C41,C64:C67)/C42</f>
        <v>0.15098087999472698</v>
      </c>
    </row>
    <row r="71" spans="1:8" ht="21">
      <c r="A71" s="19" t="s">
        <v>101</v>
      </c>
    </row>
    <row r="73" spans="1:8">
      <c r="A73" s="1" t="s">
        <v>16</v>
      </c>
    </row>
    <row r="74" spans="1:8">
      <c r="A74" s="44"/>
      <c r="B74" s="45"/>
      <c r="C74" s="44"/>
      <c r="D74" s="44"/>
      <c r="E74" s="44"/>
      <c r="F74" s="56">
        <v>2014</v>
      </c>
      <c r="G74" s="56">
        <v>2016</v>
      </c>
    </row>
    <row r="75" spans="1:8" ht="15.75" customHeight="1">
      <c r="A75" s="57" t="s">
        <v>80</v>
      </c>
      <c r="B75" s="57"/>
      <c r="C75" s="57"/>
      <c r="D75" s="57"/>
      <c r="E75" s="57"/>
      <c r="F75" s="43">
        <v>1</v>
      </c>
      <c r="G75" s="43">
        <v>1</v>
      </c>
      <c r="H75" s="5" t="s">
        <v>138</v>
      </c>
    </row>
    <row r="76" spans="1:8" ht="15.75" customHeight="1">
      <c r="A76" s="57" t="s">
        <v>107</v>
      </c>
      <c r="B76" s="57"/>
      <c r="C76" s="57"/>
      <c r="D76" s="57"/>
      <c r="E76" s="57"/>
      <c r="F76" s="43">
        <v>1</v>
      </c>
      <c r="G76" s="43">
        <v>1</v>
      </c>
      <c r="H76" s="5" t="s">
        <v>138</v>
      </c>
    </row>
    <row r="77" spans="1:8" ht="15.75" customHeight="1">
      <c r="A77" s="57" t="s">
        <v>79</v>
      </c>
      <c r="B77" s="57"/>
      <c r="C77" s="57"/>
      <c r="D77" s="57"/>
      <c r="E77" s="57"/>
      <c r="F77" s="35">
        <f>F15</f>
        <v>2.1322805445885278</v>
      </c>
      <c r="G77" s="35">
        <f>G15</f>
        <v>0.98259587461288445</v>
      </c>
    </row>
    <row r="78" spans="1:8">
      <c r="A78" s="53"/>
      <c r="B78" s="53"/>
      <c r="C78" s="53"/>
      <c r="D78" s="53"/>
      <c r="E78" s="53"/>
    </row>
    <row r="79" spans="1:8" ht="15.75" customHeight="1">
      <c r="A79" s="59" t="s">
        <v>97</v>
      </c>
      <c r="B79" s="59"/>
      <c r="D79" s="53"/>
      <c r="E79" s="53"/>
      <c r="F79" s="39">
        <f>F17</f>
        <v>1</v>
      </c>
      <c r="G79" s="39">
        <f>G17</f>
        <v>1</v>
      </c>
      <c r="H79" s="5" t="s">
        <v>113</v>
      </c>
    </row>
    <row r="80" spans="1:8">
      <c r="A80" s="55" t="s">
        <v>98</v>
      </c>
      <c r="B80" s="55"/>
      <c r="D80" s="53"/>
      <c r="E80" s="53"/>
      <c r="F80" s="20">
        <v>0.01</v>
      </c>
      <c r="G80" s="20">
        <v>0.01</v>
      </c>
      <c r="H80" s="5" t="s">
        <v>138</v>
      </c>
    </row>
    <row r="81" spans="1:8">
      <c r="A81" t="s">
        <v>112</v>
      </c>
      <c r="F81" s="48">
        <v>0.01</v>
      </c>
      <c r="G81" s="5"/>
      <c r="H81" s="5" t="s">
        <v>138</v>
      </c>
    </row>
    <row r="82" spans="1:8">
      <c r="A82" s="53"/>
      <c r="B82" s="53"/>
      <c r="C82" s="53"/>
      <c r="D82" s="53"/>
      <c r="E82" s="53"/>
    </row>
    <row r="83" spans="1:8">
      <c r="A83" s="1" t="s">
        <v>110</v>
      </c>
      <c r="D83" s="53"/>
    </row>
    <row r="84" spans="1:8">
      <c r="A84" s="1"/>
      <c r="B84" s="56">
        <v>2014</v>
      </c>
      <c r="C84" s="56">
        <v>2016</v>
      </c>
      <c r="D84" s="53"/>
    </row>
    <row r="85" spans="1:8">
      <c r="A85" s="37" t="s">
        <v>81</v>
      </c>
      <c r="B85" s="56" t="s">
        <v>111</v>
      </c>
      <c r="C85" s="56" t="s">
        <v>111</v>
      </c>
      <c r="D85" s="53"/>
      <c r="H85" s="38"/>
    </row>
    <row r="86" spans="1:8">
      <c r="A86" t="s">
        <v>134</v>
      </c>
      <c r="B86" s="6">
        <v>1</v>
      </c>
      <c r="C86" s="16">
        <v>1</v>
      </c>
      <c r="D86" s="5" t="s">
        <v>140</v>
      </c>
      <c r="F86" s="5"/>
    </row>
    <row r="87" spans="1:8">
      <c r="A87" t="s">
        <v>135</v>
      </c>
      <c r="B87" s="6">
        <v>1</v>
      </c>
      <c r="C87" s="16">
        <v>1</v>
      </c>
      <c r="D87" s="53"/>
    </row>
    <row r="88" spans="1:8">
      <c r="A88" t="s">
        <v>136</v>
      </c>
      <c r="B88" s="6">
        <v>1</v>
      </c>
      <c r="C88" s="16">
        <v>1</v>
      </c>
      <c r="D88" s="53"/>
    </row>
    <row r="89" spans="1:8">
      <c r="A89" t="s">
        <v>137</v>
      </c>
      <c r="B89" s="6">
        <v>1</v>
      </c>
      <c r="C89" s="16">
        <v>1</v>
      </c>
      <c r="D89" s="53"/>
    </row>
    <row r="90" spans="1:8">
      <c r="A90" s="3" t="s">
        <v>0</v>
      </c>
      <c r="B90" s="3"/>
      <c r="C90" s="3"/>
      <c r="D90" s="53"/>
    </row>
    <row r="91" spans="1:8">
      <c r="A91" s="53"/>
      <c r="B91" s="53"/>
      <c r="C91" s="53"/>
      <c r="D91" s="53"/>
      <c r="E91" s="53"/>
    </row>
    <row r="92" spans="1:8">
      <c r="A92" s="1" t="s">
        <v>141</v>
      </c>
    </row>
    <row r="93" spans="1:8" ht="31.5">
      <c r="A93" s="37" t="s">
        <v>81</v>
      </c>
      <c r="B93" s="54" t="s">
        <v>118</v>
      </c>
      <c r="C93" s="54" t="s">
        <v>117</v>
      </c>
      <c r="F93" s="38"/>
    </row>
    <row r="94" spans="1:8">
      <c r="A94" t="s">
        <v>134</v>
      </c>
      <c r="B94" s="26">
        <v>1</v>
      </c>
      <c r="C94" s="6">
        <v>1</v>
      </c>
      <c r="D94" s="5" t="s">
        <v>142</v>
      </c>
    </row>
    <row r="95" spans="1:8">
      <c r="A95" t="s">
        <v>135</v>
      </c>
      <c r="B95" s="26">
        <v>1</v>
      </c>
      <c r="C95" s="6">
        <v>1</v>
      </c>
    </row>
    <row r="96" spans="1:8">
      <c r="A96" t="s">
        <v>136</v>
      </c>
      <c r="B96" s="26">
        <v>1</v>
      </c>
      <c r="C96" s="6">
        <v>1</v>
      </c>
    </row>
    <row r="97" spans="1:4">
      <c r="A97" t="s">
        <v>137</v>
      </c>
      <c r="B97" s="26">
        <v>1</v>
      </c>
      <c r="C97" s="6">
        <v>1</v>
      </c>
    </row>
    <row r="98" spans="1:4">
      <c r="A98" s="3" t="s">
        <v>0</v>
      </c>
      <c r="B98" s="3"/>
      <c r="C98" s="33"/>
    </row>
    <row r="100" spans="1:4">
      <c r="A100" s="1" t="s">
        <v>114</v>
      </c>
    </row>
    <row r="101" spans="1:4">
      <c r="A101" s="53"/>
      <c r="B101" s="54">
        <v>2014</v>
      </c>
      <c r="C101" s="54">
        <v>2016</v>
      </c>
    </row>
    <row r="102" spans="1:4">
      <c r="A102" t="s">
        <v>134</v>
      </c>
      <c r="B102" s="49">
        <v>1</v>
      </c>
      <c r="C102" s="49">
        <v>1</v>
      </c>
      <c r="D102" s="5" t="s">
        <v>138</v>
      </c>
    </row>
    <row r="103" spans="1:4">
      <c r="A103" t="s">
        <v>135</v>
      </c>
      <c r="B103" s="49">
        <v>1</v>
      </c>
      <c r="C103" s="49">
        <v>1</v>
      </c>
    </row>
    <row r="104" spans="1:4">
      <c r="A104" t="s">
        <v>136</v>
      </c>
      <c r="B104" s="49">
        <v>1</v>
      </c>
      <c r="C104" s="49">
        <v>1</v>
      </c>
    </row>
    <row r="105" spans="1:4">
      <c r="A105" t="s">
        <v>137</v>
      </c>
      <c r="B105" s="49">
        <v>1</v>
      </c>
      <c r="C105" s="49">
        <v>1</v>
      </c>
    </row>
    <row r="106" spans="1:4">
      <c r="A106" s="3" t="s">
        <v>115</v>
      </c>
      <c r="B106" s="46">
        <f>SUMPRODUCT(B102:B105,B94:B97)/SUM(B94:B97)</f>
        <v>1</v>
      </c>
      <c r="C106" s="46">
        <f>SUMPRODUCT(C102:C105,C94:C97)/SUM(C94:C97)</f>
        <v>1</v>
      </c>
    </row>
    <row r="108" spans="1:4">
      <c r="A108" s="1" t="s">
        <v>119</v>
      </c>
    </row>
    <row r="109" spans="1:4">
      <c r="A109" s="53"/>
      <c r="B109" s="54">
        <v>2014</v>
      </c>
      <c r="C109" s="54">
        <v>2016</v>
      </c>
    </row>
    <row r="110" spans="1:4">
      <c r="A110" t="s">
        <v>134</v>
      </c>
      <c r="B110" s="30">
        <f t="shared" ref="B110:C113" si="5">B102*B86/$B86</f>
        <v>1</v>
      </c>
      <c r="C110" s="30">
        <f t="shared" si="5"/>
        <v>1</v>
      </c>
    </row>
    <row r="111" spans="1:4">
      <c r="A111" t="s">
        <v>135</v>
      </c>
      <c r="B111" s="30">
        <f t="shared" si="5"/>
        <v>1</v>
      </c>
      <c r="C111" s="30">
        <f t="shared" si="5"/>
        <v>1</v>
      </c>
    </row>
    <row r="112" spans="1:4">
      <c r="A112" t="s">
        <v>136</v>
      </c>
      <c r="B112" s="30">
        <f t="shared" si="5"/>
        <v>1</v>
      </c>
      <c r="C112" s="30">
        <f t="shared" si="5"/>
        <v>1</v>
      </c>
    </row>
    <row r="113" spans="1:7">
      <c r="A113" t="s">
        <v>137</v>
      </c>
      <c r="B113" s="30">
        <f t="shared" si="5"/>
        <v>1</v>
      </c>
      <c r="C113" s="30">
        <f t="shared" si="5"/>
        <v>1</v>
      </c>
    </row>
    <row r="114" spans="1:7">
      <c r="A114" s="3" t="s">
        <v>115</v>
      </c>
      <c r="B114" s="46">
        <f>SUMPRODUCT(B110:B113,B94:B97)/SUM(B94:B97)</f>
        <v>1</v>
      </c>
      <c r="C114" s="46">
        <f>SUMPRODUCT(C110:C113,C94:C97)/SUM(C94:C97)</f>
        <v>1</v>
      </c>
    </row>
    <row r="116" spans="1:7">
      <c r="A116" s="1" t="s">
        <v>103</v>
      </c>
    </row>
    <row r="117" spans="1:7" ht="15" customHeight="1">
      <c r="B117" s="60" t="s">
        <v>116</v>
      </c>
      <c r="C117" s="60"/>
      <c r="D117" s="60"/>
      <c r="E117" s="60"/>
    </row>
    <row r="118" spans="1:7" ht="31.5">
      <c r="A118" s="37" t="s">
        <v>81</v>
      </c>
      <c r="B118" s="54" t="s">
        <v>102</v>
      </c>
      <c r="C118" s="54" t="s">
        <v>108</v>
      </c>
      <c r="D118" s="54" t="s">
        <v>86</v>
      </c>
      <c r="E118" s="54" t="s">
        <v>90</v>
      </c>
      <c r="F118" s="38"/>
      <c r="G118" s="38"/>
    </row>
    <row r="119" spans="1:7">
      <c r="A119" t="s">
        <v>134</v>
      </c>
      <c r="B119" s="51">
        <f>F$75</f>
        <v>1</v>
      </c>
      <c r="C119" s="51">
        <f>F$76</f>
        <v>1</v>
      </c>
      <c r="D119" s="51">
        <f>F$77*'CLS Demand'!C$58/'CLS Demand'!C$49/$F$79*'CLS Demand'!C$19</f>
        <v>0.14176718868819391</v>
      </c>
      <c r="E119" s="51">
        <f>B119+C119+D119</f>
        <v>2.1417671886881937</v>
      </c>
    </row>
    <row r="120" spans="1:7">
      <c r="A120" t="s">
        <v>135</v>
      </c>
      <c r="B120" s="51">
        <f t="shared" ref="B120:B122" si="6">F$75</f>
        <v>1</v>
      </c>
      <c r="C120" s="51">
        <f t="shared" ref="C120:C122" si="7">F$76</f>
        <v>1</v>
      </c>
      <c r="D120" s="51">
        <f>F$77*'CLS Demand'!C$58/'CLS Demand'!C$49/$F$79*'CLS Demand'!C$19</f>
        <v>0.14176718868819391</v>
      </c>
      <c r="E120" s="51">
        <f t="shared" ref="E120:E122" si="8">B120+C120+D120</f>
        <v>2.1417671886881937</v>
      </c>
    </row>
    <row r="121" spans="1:7">
      <c r="A121" t="s">
        <v>136</v>
      </c>
      <c r="B121" s="51">
        <f t="shared" si="6"/>
        <v>1</v>
      </c>
      <c r="C121" s="51">
        <f t="shared" si="7"/>
        <v>1</v>
      </c>
      <c r="D121" s="51">
        <f>F$77*'CLS Demand'!C$58/'CLS Demand'!C$49/$F$79*'CLS Demand'!C$19</f>
        <v>0.14176718868819391</v>
      </c>
      <c r="E121" s="51">
        <f t="shared" si="8"/>
        <v>2.1417671886881937</v>
      </c>
    </row>
    <row r="122" spans="1:7">
      <c r="A122" t="s">
        <v>137</v>
      </c>
      <c r="B122" s="51">
        <f t="shared" si="6"/>
        <v>1</v>
      </c>
      <c r="C122" s="51">
        <f t="shared" si="7"/>
        <v>1</v>
      </c>
      <c r="D122" s="51">
        <f>F$77*'CLS Demand'!C$58/'CLS Demand'!C$49/$F$79*'CLS Demand'!C$19</f>
        <v>0.14176718868819391</v>
      </c>
      <c r="E122" s="51">
        <f t="shared" si="8"/>
        <v>2.1417671886881937</v>
      </c>
    </row>
    <row r="123" spans="1:7">
      <c r="A123" s="3" t="s">
        <v>115</v>
      </c>
      <c r="B123" s="50">
        <f>SUMPRODUCT(B119:B122,$B94:$B97)/SUM($B94:$B97)</f>
        <v>1</v>
      </c>
      <c r="C123" s="50">
        <f>SUMPRODUCT(C119:C122,$B94:$B97)/SUM($B94:$B97)</f>
        <v>1</v>
      </c>
      <c r="D123" s="50">
        <f>SUMPRODUCT(D119:D122,$B94:$B97)/SUM($B94:$B97)</f>
        <v>0.14176718868819391</v>
      </c>
      <c r="E123" s="50">
        <f>SUMPRODUCT(E119:E122,$B94:$B97)/SUM($B94:$B97)</f>
        <v>2.1417671886881937</v>
      </c>
    </row>
    <row r="125" spans="1:7">
      <c r="A125" s="1" t="s">
        <v>109</v>
      </c>
    </row>
    <row r="126" spans="1:7" ht="15" customHeight="1">
      <c r="B126" s="60" t="s">
        <v>116</v>
      </c>
      <c r="C126" s="60"/>
      <c r="D126" s="60"/>
      <c r="E126" s="60"/>
    </row>
    <row r="127" spans="1:7" ht="31.5">
      <c r="A127" s="37" t="s">
        <v>81</v>
      </c>
      <c r="B127" s="54" t="s">
        <v>102</v>
      </c>
      <c r="C127" s="54" t="s">
        <v>108</v>
      </c>
      <c r="D127" s="54" t="s">
        <v>86</v>
      </c>
      <c r="E127" s="54" t="s">
        <v>90</v>
      </c>
    </row>
    <row r="128" spans="1:7">
      <c r="A128" t="s">
        <v>134</v>
      </c>
      <c r="B128" s="51">
        <f>G$75</f>
        <v>1</v>
      </c>
      <c r="C128" s="51">
        <f>G$76</f>
        <v>1</v>
      </c>
      <c r="D128" s="51">
        <f>G$77*'CLS Demand'!C$58/'CLS Demand'!C$49/$F$79*'CLS Demand'!C$19</f>
        <v>6.5329046458737355E-2</v>
      </c>
      <c r="E128" s="35">
        <f>B128+C128+D128</f>
        <v>2.0653290464587375</v>
      </c>
    </row>
    <row r="129" spans="1:5">
      <c r="A129" t="s">
        <v>135</v>
      </c>
      <c r="B129" s="51">
        <f t="shared" ref="B129:B131" si="9">G$75</f>
        <v>1</v>
      </c>
      <c r="C129" s="51">
        <f t="shared" ref="C129:C131" si="10">G$76</f>
        <v>1</v>
      </c>
      <c r="D129" s="51">
        <f>G$77*'CLS Demand'!C$58/'CLS Demand'!C$49/$F$79*'CLS Demand'!C$19</f>
        <v>6.5329046458737355E-2</v>
      </c>
      <c r="E129" s="35">
        <f t="shared" ref="E129:E131" si="11">B129+C129+D129</f>
        <v>2.0653290464587375</v>
      </c>
    </row>
    <row r="130" spans="1:5">
      <c r="A130" t="s">
        <v>136</v>
      </c>
      <c r="B130" s="51">
        <f t="shared" si="9"/>
        <v>1</v>
      </c>
      <c r="C130" s="51">
        <f t="shared" si="10"/>
        <v>1</v>
      </c>
      <c r="D130" s="51">
        <f>G$77*'CLS Demand'!C$58/'CLS Demand'!C$49/$F$79*'CLS Demand'!C$19</f>
        <v>6.5329046458737355E-2</v>
      </c>
      <c r="E130" s="35">
        <f t="shared" si="11"/>
        <v>2.0653290464587375</v>
      </c>
    </row>
    <row r="131" spans="1:5">
      <c r="A131" t="s">
        <v>137</v>
      </c>
      <c r="B131" s="51">
        <f t="shared" si="9"/>
        <v>1</v>
      </c>
      <c r="C131" s="51">
        <f t="shared" si="10"/>
        <v>1</v>
      </c>
      <c r="D131" s="51">
        <f>G$77*'CLS Demand'!C$58/'CLS Demand'!C$49/$F$79*'CLS Demand'!C$19</f>
        <v>6.5329046458737355E-2</v>
      </c>
      <c r="E131" s="35">
        <f t="shared" si="11"/>
        <v>2.0653290464587375</v>
      </c>
    </row>
    <row r="132" spans="1:5">
      <c r="A132" s="3" t="s">
        <v>115</v>
      </c>
      <c r="B132" s="50">
        <f>SUMPRODUCT(B128:B131,$C94:$C97)/SUM($C94:$C97)</f>
        <v>1</v>
      </c>
      <c r="C132" s="50">
        <f>SUMPRODUCT(C128:C131,$C94:$C97)/SUM($C94:$C97)</f>
        <v>1</v>
      </c>
      <c r="D132" s="50">
        <f>SUMPRODUCT(D128:D131,$C94:$C97)/SUM($C94:$C97)</f>
        <v>6.5329046458737355E-2</v>
      </c>
      <c r="E132" s="50">
        <f>SUMPRODUCT(E128:E131,$C94:$C97)/SUM($C94:$C97)</f>
        <v>2.0653290464587375</v>
      </c>
    </row>
    <row r="134" spans="1:5">
      <c r="A134" s="1" t="s">
        <v>106</v>
      </c>
    </row>
    <row r="135" spans="1:5">
      <c r="A135" s="37" t="s">
        <v>81</v>
      </c>
      <c r="B135" s="54">
        <v>2014</v>
      </c>
      <c r="C135" s="54">
        <v>2016</v>
      </c>
    </row>
    <row r="136" spans="1:5">
      <c r="A136" t="s">
        <v>134</v>
      </c>
      <c r="B136" s="40">
        <f>(B110*(1-F$80)-E119)/E119</f>
        <v>-0.53776488629169683</v>
      </c>
      <c r="C136" s="40">
        <f>(C110*(1-G$80)-E128)/E128</f>
        <v>-0.52065749440871045</v>
      </c>
    </row>
    <row r="137" spans="1:5">
      <c r="A137" t="s">
        <v>135</v>
      </c>
      <c r="B137" s="40">
        <f t="shared" ref="B137:B139" si="12">(B111*(1-F$80)-E120)/E120</f>
        <v>-0.53776488629169683</v>
      </c>
      <c r="C137" s="40">
        <f t="shared" ref="C137:C139" si="13">(C111*(1-G$80)-E129)/E129</f>
        <v>-0.52065749440871045</v>
      </c>
    </row>
    <row r="138" spans="1:5" ht="15" customHeight="1">
      <c r="A138" t="s">
        <v>136</v>
      </c>
      <c r="B138" s="40">
        <f t="shared" si="12"/>
        <v>-0.53776488629169683</v>
      </c>
      <c r="C138" s="40">
        <f t="shared" si="13"/>
        <v>-0.52065749440871045</v>
      </c>
    </row>
    <row r="139" spans="1:5" ht="15" customHeight="1">
      <c r="A139" t="s">
        <v>137</v>
      </c>
      <c r="B139" s="40">
        <f t="shared" si="12"/>
        <v>-0.53776488629169683</v>
      </c>
      <c r="C139" s="40">
        <f t="shared" si="13"/>
        <v>-0.52065749440871045</v>
      </c>
    </row>
    <row r="140" spans="1:5" ht="15" customHeight="1">
      <c r="A140" s="3" t="s">
        <v>115</v>
      </c>
      <c r="B140" s="42">
        <f>(B114*(1-F$80)-E123)/E123</f>
        <v>-0.53776488629169683</v>
      </c>
      <c r="C140" s="42">
        <f>(C114*(1-G$80)-E132)/E132</f>
        <v>-0.52065749440871045</v>
      </c>
    </row>
  </sheetData>
  <mergeCells count="12">
    <mergeCell ref="B117:E117"/>
    <mergeCell ref="B126:E126"/>
    <mergeCell ref="A75:E75"/>
    <mergeCell ref="A77:E77"/>
    <mergeCell ref="A79:B79"/>
    <mergeCell ref="A76:E76"/>
    <mergeCell ref="A13:E13"/>
    <mergeCell ref="A14:E14"/>
    <mergeCell ref="A15:E15"/>
    <mergeCell ref="B45:E45"/>
    <mergeCell ref="B54:E54"/>
    <mergeCell ref="A17:B17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D15867C9614F47BA8D6B0E29C1F8AC" ma:contentTypeVersion="2" ma:contentTypeDescription="Create a new document." ma:contentTypeScope="" ma:versionID="4ca898af8f7af041c51f4350d443e6f4">
  <xsd:schema xmlns:xsd="http://www.w3.org/2001/XMLSchema" xmlns:xs="http://www.w3.org/2001/XMLSchema" xmlns:p="http://schemas.microsoft.com/office/2006/metadata/properties" xmlns:ns1="http://schemas.microsoft.com/sharepoint/v3" xmlns:ns2="1aaea1ea-72e4-4374-b05e-72e2f16fb7ae" targetNamespace="http://schemas.microsoft.com/office/2006/metadata/properties" ma:root="true" ma:fieldsID="5f03cfa57e716973114bdf2422329f5c" ns1:_="" ns2:_="">
    <xsd:import namespace="http://schemas.microsoft.com/sharepoint/v3"/>
    <xsd:import namespace="1aaea1ea-72e4-4374-b05e-72e2f16fb7a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ea1ea-72e4-4374-b05e-72e2f16fb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792104-F06B-4517-9C29-51BBCD3FF5B2}"/>
</file>

<file path=customXml/itemProps2.xml><?xml version="1.0" encoding="utf-8"?>
<ds:datastoreItem xmlns:ds="http://schemas.openxmlformats.org/officeDocument/2006/customXml" ds:itemID="{ECF78833-45B2-4D8F-AB7B-336E34233FD3}"/>
</file>

<file path=customXml/itemProps3.xml><?xml version="1.0" encoding="utf-8"?>
<ds:datastoreItem xmlns:ds="http://schemas.openxmlformats.org/officeDocument/2006/customXml" ds:itemID="{43E911F5-BE27-496A-A960-D26A96CDFC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CLS Demand</vt:lpstr>
      <vt:lpstr>CLS Costs</vt:lpstr>
      <vt:lpstr>Quad play costs and prices</vt:lpstr>
    </vt:vector>
  </TitlesOfParts>
  <Company>Incyte Consulting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 Rogerson</dc:creator>
  <cp:lastModifiedBy>DAR Rogerson</cp:lastModifiedBy>
  <dcterms:created xsi:type="dcterms:W3CDTF">2014-06-09T12:59:57Z</dcterms:created>
  <dcterms:modified xsi:type="dcterms:W3CDTF">2014-09-10T08:59:57Z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0x010100D8D15867C9614F47BA8D6B0E29C1F8AC</vt:lpwstr>
  </property>
</Properties>
</file>