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120" windowWidth="15600" windowHeight="8505" tabRatio="500"/>
  </bookViews>
  <sheets>
    <sheet name="Session 12" sheetId="2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4" i="2" l="1"/>
  <c r="D14" i="2"/>
  <c r="C15" i="2"/>
  <c r="D15" i="2"/>
  <c r="C16" i="2"/>
  <c r="D16" i="2"/>
  <c r="C17" i="2"/>
  <c r="D17" i="2"/>
  <c r="C22" i="2"/>
  <c r="D22" i="2"/>
  <c r="C23" i="2"/>
  <c r="D23" i="2"/>
  <c r="C24" i="2"/>
  <c r="D24" i="2"/>
  <c r="D25" i="2"/>
  <c r="D93" i="2"/>
  <c r="D96" i="2"/>
  <c r="D97" i="2"/>
  <c r="B61" i="2"/>
  <c r="B46" i="2"/>
  <c r="E37" i="2"/>
  <c r="C61" i="2"/>
  <c r="D61" i="2"/>
  <c r="B62" i="2"/>
  <c r="B47" i="2"/>
  <c r="E38" i="2"/>
  <c r="C62" i="2"/>
  <c r="D62" i="2"/>
  <c r="B63" i="2"/>
  <c r="B48" i="2"/>
  <c r="E39" i="2"/>
  <c r="C63" i="2"/>
  <c r="D63" i="2"/>
  <c r="B64" i="2"/>
  <c r="B49" i="2"/>
  <c r="E40" i="2"/>
  <c r="C64" i="2"/>
  <c r="D64" i="2"/>
  <c r="D65" i="2"/>
  <c r="B53" i="2"/>
  <c r="C53" i="2"/>
  <c r="D53" i="2"/>
  <c r="B54" i="2"/>
  <c r="C54" i="2"/>
  <c r="D54" i="2"/>
  <c r="B55" i="2"/>
  <c r="C55" i="2"/>
  <c r="D55" i="2"/>
  <c r="B56" i="2"/>
  <c r="C56" i="2"/>
  <c r="D56" i="2"/>
  <c r="D57" i="2"/>
  <c r="D98" i="2"/>
  <c r="E128" i="2"/>
  <c r="C93" i="2"/>
  <c r="C96" i="2"/>
  <c r="C97" i="2"/>
  <c r="C65" i="2"/>
  <c r="C57" i="2"/>
  <c r="C98" i="2"/>
  <c r="D128" i="2"/>
  <c r="C107" i="2"/>
  <c r="E124" i="2"/>
  <c r="E115" i="2"/>
  <c r="E117" i="2"/>
  <c r="E118" i="2"/>
  <c r="E119" i="2"/>
  <c r="E125" i="2"/>
  <c r="E126" i="2"/>
  <c r="B107" i="2"/>
  <c r="D124" i="2"/>
  <c r="D125" i="2"/>
  <c r="D126" i="2"/>
  <c r="D115" i="2"/>
  <c r="D117" i="2"/>
  <c r="D118" i="2"/>
  <c r="D119" i="2"/>
  <c r="C86" i="2"/>
  <c r="D86" i="2"/>
  <c r="E86" i="2"/>
  <c r="C85" i="2"/>
  <c r="D85" i="2"/>
  <c r="E85" i="2"/>
  <c r="C84" i="2"/>
  <c r="D84" i="2"/>
  <c r="E84" i="2"/>
  <c r="C83" i="2"/>
  <c r="D83" i="2"/>
  <c r="E83" i="2"/>
  <c r="C76" i="2"/>
  <c r="D76" i="2"/>
  <c r="E76" i="2"/>
  <c r="C75" i="2"/>
  <c r="D75" i="2"/>
  <c r="E75" i="2"/>
  <c r="C74" i="2"/>
  <c r="D74" i="2"/>
  <c r="E74" i="2"/>
  <c r="C73" i="2"/>
  <c r="D73" i="2"/>
  <c r="E73" i="2"/>
  <c r="B65" i="2"/>
  <c r="B57" i="2"/>
  <c r="D26" i="2"/>
  <c r="C25" i="2"/>
  <c r="C26" i="2"/>
  <c r="B26" i="2"/>
  <c r="D18" i="2"/>
  <c r="C18" i="2"/>
  <c r="B18" i="2"/>
  <c r="C77" i="2"/>
  <c r="D77" i="2"/>
  <c r="C87" i="2"/>
  <c r="D87" i="2"/>
  <c r="E77" i="2"/>
  <c r="E79" i="2"/>
  <c r="D127" i="2"/>
  <c r="D129" i="2"/>
  <c r="D131" i="2"/>
  <c r="E87" i="2"/>
  <c r="E89" i="2"/>
  <c r="E127" i="2"/>
  <c r="E129" i="2"/>
  <c r="E131" i="2"/>
</calcChain>
</file>

<file path=xl/sharedStrings.xml><?xml version="1.0" encoding="utf-8"?>
<sst xmlns="http://schemas.openxmlformats.org/spreadsheetml/2006/main" count="137" uniqueCount="85">
  <si>
    <t>TOTAL</t>
  </si>
  <si>
    <t>Subscribers</t>
  </si>
  <si>
    <t>Current</t>
  </si>
  <si>
    <t>assumes 10% per annum growth in all broadband</t>
  </si>
  <si>
    <t>assumes no growth in voice-only</t>
  </si>
  <si>
    <t>Normcell subscriber base - without Cloud</t>
  </si>
  <si>
    <t>Normcell subscriber base - with Cloud</t>
  </si>
  <si>
    <t>assumes 10% migrate to unlimited broadband p.a.</t>
  </si>
  <si>
    <t xml:space="preserve">Normcell tariffs </t>
  </si>
  <si>
    <t>STEP 1</t>
  </si>
  <si>
    <t>Fill in the Assumptions shaded green</t>
  </si>
  <si>
    <t>STEP 2</t>
  </si>
  <si>
    <t>Review the calculations shaded blue (no need to change these cells)</t>
  </si>
  <si>
    <t>STEP 3</t>
  </si>
  <si>
    <t>Fixed fee</t>
  </si>
  <si>
    <t>note: "unlimited" usage restricted to 10G in practice</t>
  </si>
  <si>
    <t xml:space="preserve">USD </t>
  </si>
  <si>
    <t>Customers within limit</t>
  </si>
  <si>
    <t>Customers outside limit</t>
  </si>
  <si>
    <t>Typical number of additional units</t>
  </si>
  <si>
    <t>AVERAGE</t>
  </si>
  <si>
    <t>All customers</t>
  </si>
  <si>
    <t>Typical usage within limit (MB)</t>
  </si>
  <si>
    <t>Typical usage of each additional unit (MB)</t>
  </si>
  <si>
    <t>Per 250MB</t>
  </si>
  <si>
    <t>Cost of sale (%)</t>
  </si>
  <si>
    <t>Network Revenue per Mbyte</t>
  </si>
  <si>
    <t>Revenue per MB: 2016, with Cloud</t>
  </si>
  <si>
    <t>Revenue per MB: 2014, without Cloud</t>
  </si>
  <si>
    <t>MB usage</t>
  </si>
  <si>
    <t>Total MB (m)</t>
  </si>
  <si>
    <t>based on TRAN's market research</t>
  </si>
  <si>
    <t>Data volumes per annum: 2014, without Cloud</t>
  </si>
  <si>
    <t>Data volumes per annum: 2016, with Cloud</t>
  </si>
  <si>
    <t>STEP 4</t>
  </si>
  <si>
    <t>Transfer data to/from the cost models</t>
  </si>
  <si>
    <t>Revenue analysis</t>
  </si>
  <si>
    <t>Cost analysis</t>
  </si>
  <si>
    <t xml:space="preserve">ensure consistency with traffic volume inputs to mobile cost model (edit sheet 2, Traffic, row 24). </t>
  </si>
  <si>
    <t>Cost per MB in mobile network: 2014 (without Cloud) and 2016 (with Cloud)</t>
  </si>
  <si>
    <t>Relevant cost</t>
  </si>
  <si>
    <t>Cost per MB in core network: 2014 (without Cloud) and 2016 (with Cloud)</t>
  </si>
  <si>
    <t>Number of core network circuits</t>
  </si>
  <si>
    <t>Cost per circuit per Mbps per annum ($)</t>
  </si>
  <si>
    <t>Total additional core network costs ($m)</t>
  </si>
  <si>
    <t>Additional core network costs per MB ($)</t>
  </si>
  <si>
    <t>Check the revenue and cost outcomes to make your case to TRAN</t>
  </si>
  <si>
    <t>Typical usage patterns (2014)</t>
  </si>
  <si>
    <t>Typical usage patterns (2016)</t>
  </si>
  <si>
    <t>Expected annual growth in broadband usage within each data package</t>
  </si>
  <si>
    <t>Customer revenue</t>
  </si>
  <si>
    <t>Number of Cloud subscribers</t>
  </si>
  <si>
    <t>Wholesale charge ($ per sub p.m.)</t>
  </si>
  <si>
    <t>Retail revenue ($ per sub p.m.)</t>
  </si>
  <si>
    <t>Net revenue ($ per sub p.m.)</t>
  </si>
  <si>
    <t>Retail Revenue per Mbyte</t>
  </si>
  <si>
    <t>Demand analysis</t>
  </si>
  <si>
    <t>Total revenue ($m p.a.)</t>
  </si>
  <si>
    <t>Summary table</t>
  </si>
  <si>
    <t>Cost per MB in mobile network</t>
  </si>
  <si>
    <t>Cost per MB in core IP network</t>
  </si>
  <si>
    <t>Mobile broadband revenue per MB</t>
  </si>
  <si>
    <t>Net revenue per Cloud subscriber per MB</t>
  </si>
  <si>
    <t>TOTAL COST per MB</t>
  </si>
  <si>
    <t>TOTAL REVENUE per MB</t>
  </si>
  <si>
    <t>Total required core network Mbps p.a.</t>
  </si>
  <si>
    <t>Total 3G Mbytes</t>
  </si>
  <si>
    <t xml:space="preserve">Total 3G BH Mbytes </t>
  </si>
  <si>
    <t>Are revenues above cost?</t>
  </si>
  <si>
    <t>operator assumption</t>
  </si>
  <si>
    <t>based on deal agreed with Cloud</t>
  </si>
  <si>
    <t>copy from mobile cost model (sheet B, Control Panel, rows 94 and 123); decide which cost standard to use (decision to be justified to TRAN)</t>
  </si>
  <si>
    <t>assumes 15% migrate to unlimited broadband p.a.</t>
  </si>
  <si>
    <t xml:space="preserve">taken from NGN Model, H23 and H55 in 11. Service Unit Costing worksheet </t>
  </si>
  <si>
    <t>COST &amp; REVENUE WORKSHEET - TELECOM</t>
  </si>
  <si>
    <t>Basic</t>
  </si>
  <si>
    <t>Enhanced</t>
  </si>
  <si>
    <t>Maxi</t>
  </si>
  <si>
    <t>Unlimited</t>
  </si>
  <si>
    <t>% of customers not using data</t>
  </si>
  <si>
    <t>% of customers using data within cap</t>
  </si>
  <si>
    <t>% of customers using data outside cap</t>
  </si>
  <si>
    <t xml:space="preserve">ensure consistency with traffic volume inputs to mobile cost model (edit sheet 2, Traffic, row 24; check outputs in row 123). </t>
  </si>
  <si>
    <t>TRAN assumption</t>
  </si>
  <si>
    <t>taken from Mobile Cost Model: G129 and I129 in sheet 6. Network Design.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</si>
</sst>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"/>
    <numFmt numFmtId="166" formatCode="0.000"/>
  </numFmts>
  <fonts count="8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9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" fillId="0" borderId="0" xfId="0" applyFont="1"/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3" borderId="0" xfId="0" applyFill="1"/>
    <xf numFmtId="164" fontId="0" fillId="4" borderId="0" xfId="0" applyNumberFormat="1" applyFill="1" applyAlignment="1">
      <alignment horizontal="center"/>
    </xf>
    <xf numFmtId="9" fontId="0" fillId="3" borderId="0" xfId="0" applyNumberForma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/>
    <xf numFmtId="0" fontId="0" fillId="5" borderId="0" xfId="0" applyFill="1" applyAlignment="1">
      <alignment horizontal="left"/>
    </xf>
    <xf numFmtId="0" fontId="0" fillId="5" borderId="0" xfId="0" applyFill="1" applyAlignment="1">
      <alignment horizontal="center"/>
    </xf>
    <xf numFmtId="0" fontId="0" fillId="5" borderId="0" xfId="0" applyFill="1"/>
    <xf numFmtId="0" fontId="2" fillId="2" borderId="0" xfId="0" applyFont="1" applyFill="1" applyAlignment="1">
      <alignment horizontal="center" wrapText="1"/>
    </xf>
    <xf numFmtId="9" fontId="0" fillId="4" borderId="0" xfId="0" applyNumberFormat="1" applyFill="1" applyAlignment="1">
      <alignment horizontal="center"/>
    </xf>
    <xf numFmtId="0" fontId="0" fillId="0" borderId="0" xfId="0" applyAlignment="1">
      <alignment wrapText="1"/>
    </xf>
    <xf numFmtId="2" fontId="2" fillId="5" borderId="0" xfId="0" applyNumberFormat="1" applyFont="1" applyFill="1" applyAlignment="1">
      <alignment horizontal="center"/>
    </xf>
    <xf numFmtId="1" fontId="0" fillId="3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/>
    </xf>
    <xf numFmtId="0" fontId="0" fillId="6" borderId="0" xfId="0" applyFill="1" applyAlignment="1">
      <alignment horizontal="left"/>
    </xf>
    <xf numFmtId="0" fontId="0" fillId="6" borderId="0" xfId="0" applyFill="1" applyAlignment="1">
      <alignment horizontal="center"/>
    </xf>
    <xf numFmtId="0" fontId="0" fillId="6" borderId="0" xfId="0" applyFill="1"/>
    <xf numFmtId="1" fontId="2" fillId="6" borderId="0" xfId="0" applyNumberFormat="1" applyFont="1" applyFill="1" applyAlignment="1">
      <alignment horizontal="center"/>
    </xf>
    <xf numFmtId="165" fontId="2" fillId="5" borderId="0" xfId="0" applyNumberFormat="1" applyFont="1" applyFill="1" applyAlignment="1">
      <alignment horizontal="center"/>
    </xf>
    <xf numFmtId="2" fontId="0" fillId="4" borderId="0" xfId="0" applyNumberForma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3" fontId="0" fillId="3" borderId="0" xfId="0" applyNumberFormat="1" applyFill="1" applyAlignment="1">
      <alignment horizontal="center"/>
    </xf>
    <xf numFmtId="166" fontId="2" fillId="5" borderId="0" xfId="0" applyNumberFormat="1" applyFont="1" applyFill="1" applyAlignment="1">
      <alignment horizontal="center"/>
    </xf>
    <xf numFmtId="166" fontId="0" fillId="4" borderId="0" xfId="0" applyNumberFormat="1" applyFill="1" applyAlignment="1">
      <alignment horizontal="center"/>
    </xf>
    <xf numFmtId="165" fontId="0" fillId="4" borderId="0" xfId="0" applyNumberFormat="1" applyFill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</cellXfs>
  <cellStyles count="19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1"/>
  <sheetViews>
    <sheetView showGridLines="0" tabSelected="1" topLeftCell="A129" workbookViewId="0">
      <selection activeCell="F135" sqref="F135"/>
    </sheetView>
  </sheetViews>
  <sheetFormatPr defaultColWidth="11" defaultRowHeight="15.75" x14ac:dyDescent="0.25"/>
  <cols>
    <col min="1" max="6" width="14.125" customWidth="1"/>
  </cols>
  <sheetData>
    <row r="1" spans="1:7" ht="21" customHeight="1" x14ac:dyDescent="0.35">
      <c r="A1" s="34" t="s">
        <v>74</v>
      </c>
      <c r="B1" s="2"/>
      <c r="C1" s="2"/>
    </row>
    <row r="2" spans="1:7" x14ac:dyDescent="0.25">
      <c r="B2" s="2"/>
      <c r="C2" s="2"/>
    </row>
    <row r="3" spans="1:7" x14ac:dyDescent="0.25">
      <c r="A3" s="1" t="s">
        <v>9</v>
      </c>
      <c r="B3" s="8" t="s">
        <v>10</v>
      </c>
      <c r="C3" s="6"/>
      <c r="D3" s="8"/>
      <c r="E3" s="8"/>
      <c r="F3" s="8"/>
      <c r="G3" s="8"/>
    </row>
    <row r="4" spans="1:7" x14ac:dyDescent="0.25">
      <c r="A4" s="1" t="s">
        <v>11</v>
      </c>
      <c r="B4" s="12" t="s">
        <v>12</v>
      </c>
      <c r="C4" s="7"/>
      <c r="D4" s="13"/>
      <c r="E4" s="13"/>
      <c r="F4" s="13"/>
      <c r="G4" s="13"/>
    </row>
    <row r="5" spans="1:7" x14ac:dyDescent="0.25">
      <c r="A5" s="1" t="s">
        <v>13</v>
      </c>
      <c r="B5" s="23" t="s">
        <v>35</v>
      </c>
      <c r="C5" s="24"/>
      <c r="D5" s="25"/>
      <c r="E5" s="25"/>
      <c r="F5" s="25"/>
      <c r="G5" s="25"/>
    </row>
    <row r="6" spans="1:7" x14ac:dyDescent="0.25">
      <c r="A6" s="1" t="s">
        <v>34</v>
      </c>
      <c r="B6" s="14" t="s">
        <v>46</v>
      </c>
      <c r="C6" s="15"/>
      <c r="D6" s="16"/>
      <c r="E6" s="16"/>
      <c r="F6" s="16"/>
      <c r="G6" s="16"/>
    </row>
    <row r="7" spans="1:7" x14ac:dyDescent="0.25">
      <c r="B7" s="2"/>
      <c r="C7" s="2"/>
    </row>
    <row r="8" spans="1:7" x14ac:dyDescent="0.25">
      <c r="B8" s="2"/>
      <c r="C8" s="2"/>
    </row>
    <row r="9" spans="1:7" x14ac:dyDescent="0.25">
      <c r="B9" s="2"/>
      <c r="C9" s="2"/>
    </row>
    <row r="10" spans="1:7" ht="21" x14ac:dyDescent="0.35">
      <c r="A10" s="34" t="s">
        <v>56</v>
      </c>
    </row>
    <row r="12" spans="1:7" x14ac:dyDescent="0.25">
      <c r="A12" s="1" t="s">
        <v>5</v>
      </c>
    </row>
    <row r="13" spans="1:7" x14ac:dyDescent="0.25">
      <c r="A13" s="3"/>
      <c r="B13" s="4" t="s">
        <v>2</v>
      </c>
      <c r="C13" s="4">
        <v>2014</v>
      </c>
      <c r="D13" s="4">
        <v>2016</v>
      </c>
    </row>
    <row r="14" spans="1:7" x14ac:dyDescent="0.25">
      <c r="A14" t="s">
        <v>75</v>
      </c>
      <c r="B14" s="6">
        <v>600000</v>
      </c>
      <c r="C14" s="6">
        <f>B14</f>
        <v>600000</v>
      </c>
      <c r="D14" s="6">
        <f>C14</f>
        <v>600000</v>
      </c>
      <c r="E14" s="35" t="s">
        <v>4</v>
      </c>
    </row>
    <row r="15" spans="1:7" x14ac:dyDescent="0.25">
      <c r="A15" t="s">
        <v>76</v>
      </c>
      <c r="B15" s="6">
        <v>270000</v>
      </c>
      <c r="C15" s="6">
        <f t="shared" ref="C15:D17" si="0">B15*1.1</f>
        <v>297000</v>
      </c>
      <c r="D15" s="6">
        <f t="shared" si="0"/>
        <v>326700</v>
      </c>
      <c r="E15" s="35" t="s">
        <v>3</v>
      </c>
    </row>
    <row r="16" spans="1:7" x14ac:dyDescent="0.25">
      <c r="A16" t="s">
        <v>77</v>
      </c>
      <c r="B16" s="6">
        <v>90000</v>
      </c>
      <c r="C16" s="6">
        <f t="shared" si="0"/>
        <v>99000.000000000015</v>
      </c>
      <c r="D16" s="6">
        <f t="shared" si="0"/>
        <v>108900.00000000003</v>
      </c>
    </row>
    <row r="17" spans="1:5" x14ac:dyDescent="0.25">
      <c r="A17" t="s">
        <v>78</v>
      </c>
      <c r="B17" s="6">
        <v>40000</v>
      </c>
      <c r="C17" s="6">
        <f t="shared" si="0"/>
        <v>44000</v>
      </c>
      <c r="D17" s="6">
        <f t="shared" si="0"/>
        <v>48400.000000000007</v>
      </c>
    </row>
    <row r="18" spans="1:5" x14ac:dyDescent="0.25">
      <c r="A18" s="3" t="s">
        <v>0</v>
      </c>
      <c r="B18" s="4">
        <f>SUM(B14:B17)</f>
        <v>1000000</v>
      </c>
      <c r="C18" s="4">
        <f t="shared" ref="C18:D18" si="1">SUM(C14:C17)</f>
        <v>1040000</v>
      </c>
      <c r="D18" s="4">
        <f t="shared" si="1"/>
        <v>1084000</v>
      </c>
    </row>
    <row r="19" spans="1:5" x14ac:dyDescent="0.25">
      <c r="B19" s="2"/>
      <c r="C19" s="2"/>
      <c r="D19" s="2"/>
    </row>
    <row r="20" spans="1:5" x14ac:dyDescent="0.25">
      <c r="A20" s="1" t="s">
        <v>6</v>
      </c>
      <c r="B20" s="2"/>
      <c r="C20" s="2"/>
      <c r="D20" s="2"/>
    </row>
    <row r="21" spans="1:5" x14ac:dyDescent="0.25">
      <c r="A21" s="3"/>
      <c r="B21" s="4" t="s">
        <v>2</v>
      </c>
      <c r="C21" s="4">
        <v>2014</v>
      </c>
      <c r="D21" s="4">
        <v>2016</v>
      </c>
    </row>
    <row r="22" spans="1:5" x14ac:dyDescent="0.25">
      <c r="A22" t="s">
        <v>75</v>
      </c>
      <c r="B22" s="6">
        <v>600000</v>
      </c>
      <c r="C22" s="6">
        <f>C14*0.9</f>
        <v>540000</v>
      </c>
      <c r="D22" s="6">
        <f>C22*0.9</f>
        <v>486000</v>
      </c>
      <c r="E22" s="35" t="s">
        <v>7</v>
      </c>
    </row>
    <row r="23" spans="1:5" x14ac:dyDescent="0.25">
      <c r="A23" t="s">
        <v>76</v>
      </c>
      <c r="B23" s="6">
        <v>270000</v>
      </c>
      <c r="C23" s="6">
        <f>C15*0.85</f>
        <v>252450</v>
      </c>
      <c r="D23" s="21">
        <f>C23*1.1*0.85</f>
        <v>236040.75</v>
      </c>
      <c r="E23" s="35" t="s">
        <v>72</v>
      </c>
    </row>
    <row r="24" spans="1:5" x14ac:dyDescent="0.25">
      <c r="A24" t="s">
        <v>77</v>
      </c>
      <c r="B24" s="6">
        <v>90000</v>
      </c>
      <c r="C24" s="6">
        <f>C16*0.85</f>
        <v>84150.000000000015</v>
      </c>
      <c r="D24" s="21">
        <f>C24*1.1*0.85</f>
        <v>78680.250000000029</v>
      </c>
      <c r="E24" s="35" t="s">
        <v>72</v>
      </c>
    </row>
    <row r="25" spans="1:5" x14ac:dyDescent="0.25">
      <c r="A25" t="s">
        <v>78</v>
      </c>
      <c r="B25" s="6">
        <v>40000</v>
      </c>
      <c r="C25" s="6">
        <f>SUM(C14:C17)-SUM(C22:C24)</f>
        <v>163400</v>
      </c>
      <c r="D25" s="6">
        <f>SUM(D14:D17)-SUM(D22:D24)</f>
        <v>283279</v>
      </c>
    </row>
    <row r="26" spans="1:5" x14ac:dyDescent="0.25">
      <c r="A26" s="3" t="s">
        <v>0</v>
      </c>
      <c r="B26" s="4">
        <f>SUM(B22:B25)</f>
        <v>1000000</v>
      </c>
      <c r="C26" s="4">
        <f t="shared" ref="C26:D26" si="2">SUM(C22:C25)</f>
        <v>1040000</v>
      </c>
      <c r="D26" s="4">
        <f t="shared" si="2"/>
        <v>1084000</v>
      </c>
    </row>
    <row r="28" spans="1:5" x14ac:dyDescent="0.25">
      <c r="A28" s="1" t="s">
        <v>8</v>
      </c>
    </row>
    <row r="29" spans="1:5" x14ac:dyDescent="0.25">
      <c r="B29" s="4" t="s">
        <v>14</v>
      </c>
      <c r="C29" s="4" t="s">
        <v>24</v>
      </c>
    </row>
    <row r="30" spans="1:5" x14ac:dyDescent="0.25">
      <c r="A30" t="s">
        <v>75</v>
      </c>
      <c r="B30" s="6">
        <v>1</v>
      </c>
      <c r="C30" s="6">
        <v>1</v>
      </c>
      <c r="D30" s="5"/>
    </row>
    <row r="31" spans="1:5" x14ac:dyDescent="0.25">
      <c r="A31" t="s">
        <v>76</v>
      </c>
      <c r="B31" s="6">
        <v>1</v>
      </c>
      <c r="C31" s="6">
        <v>1</v>
      </c>
    </row>
    <row r="32" spans="1:5" x14ac:dyDescent="0.25">
      <c r="A32" t="s">
        <v>77</v>
      </c>
      <c r="B32" s="6">
        <v>1</v>
      </c>
      <c r="C32" s="6">
        <v>1</v>
      </c>
    </row>
    <row r="33" spans="1:8" x14ac:dyDescent="0.25">
      <c r="A33" t="s">
        <v>78</v>
      </c>
      <c r="B33" s="6">
        <v>1</v>
      </c>
      <c r="C33" s="6">
        <v>0</v>
      </c>
      <c r="D33" s="5" t="s">
        <v>15</v>
      </c>
    </row>
    <row r="35" spans="1:8" x14ac:dyDescent="0.25">
      <c r="A35" s="1" t="s">
        <v>47</v>
      </c>
    </row>
    <row r="36" spans="1:8" s="19" customFormat="1" ht="63" x14ac:dyDescent="0.25">
      <c r="B36" s="17" t="s">
        <v>79</v>
      </c>
      <c r="C36" s="17" t="s">
        <v>80</v>
      </c>
      <c r="D36" s="17" t="s">
        <v>22</v>
      </c>
      <c r="E36" s="17" t="s">
        <v>81</v>
      </c>
      <c r="F36" s="17" t="s">
        <v>23</v>
      </c>
      <c r="G36" s="17" t="s">
        <v>19</v>
      </c>
      <c r="H36" s="5" t="s">
        <v>31</v>
      </c>
    </row>
    <row r="37" spans="1:8" x14ac:dyDescent="0.25">
      <c r="A37" t="s">
        <v>75</v>
      </c>
      <c r="B37" s="10">
        <v>0.01</v>
      </c>
      <c r="C37" s="10">
        <v>0.01</v>
      </c>
      <c r="D37" s="6">
        <v>1</v>
      </c>
      <c r="E37" s="18">
        <f>1-C37-B37</f>
        <v>0.98</v>
      </c>
      <c r="F37" s="6">
        <v>1</v>
      </c>
      <c r="G37" s="6">
        <v>1</v>
      </c>
    </row>
    <row r="38" spans="1:8" x14ac:dyDescent="0.25">
      <c r="A38" t="s">
        <v>76</v>
      </c>
      <c r="B38" s="10">
        <v>0</v>
      </c>
      <c r="C38" s="10">
        <v>0.01</v>
      </c>
      <c r="D38" s="6">
        <v>1</v>
      </c>
      <c r="E38" s="18">
        <f t="shared" ref="E38:E40" si="3">1-C38-B38</f>
        <v>0.99</v>
      </c>
      <c r="F38" s="6">
        <v>1</v>
      </c>
      <c r="G38" s="6">
        <v>1</v>
      </c>
    </row>
    <row r="39" spans="1:8" x14ac:dyDescent="0.25">
      <c r="A39" t="s">
        <v>77</v>
      </c>
      <c r="B39" s="10">
        <v>0</v>
      </c>
      <c r="C39" s="10">
        <v>0.01</v>
      </c>
      <c r="D39" s="6">
        <v>1</v>
      </c>
      <c r="E39" s="18">
        <f t="shared" si="3"/>
        <v>0.99</v>
      </c>
      <c r="F39" s="6">
        <v>1</v>
      </c>
      <c r="G39" s="6">
        <v>1</v>
      </c>
    </row>
    <row r="40" spans="1:8" x14ac:dyDescent="0.25">
      <c r="A40" t="s">
        <v>78</v>
      </c>
      <c r="B40" s="10">
        <v>0</v>
      </c>
      <c r="C40" s="10">
        <v>0.01</v>
      </c>
      <c r="D40" s="6">
        <v>1</v>
      </c>
      <c r="E40" s="18">
        <f t="shared" si="3"/>
        <v>0.99</v>
      </c>
      <c r="F40" s="6">
        <v>0</v>
      </c>
      <c r="G40" s="6">
        <v>0</v>
      </c>
    </row>
    <row r="42" spans="1:8" x14ac:dyDescent="0.25">
      <c r="A42" t="s">
        <v>49</v>
      </c>
      <c r="F42" s="10">
        <v>0.01</v>
      </c>
      <c r="G42" s="5" t="s">
        <v>69</v>
      </c>
    </row>
    <row r="44" spans="1:8" x14ac:dyDescent="0.25">
      <c r="A44" s="1" t="s">
        <v>48</v>
      </c>
    </row>
    <row r="45" spans="1:8" ht="47.25" x14ac:dyDescent="0.25">
      <c r="A45" s="19"/>
      <c r="B45" s="17" t="s">
        <v>22</v>
      </c>
    </row>
    <row r="46" spans="1:8" x14ac:dyDescent="0.25">
      <c r="A46" t="s">
        <v>75</v>
      </c>
      <c r="B46" s="22">
        <f>D37*(1+F$42)^2</f>
        <v>1.0201</v>
      </c>
    </row>
    <row r="47" spans="1:8" x14ac:dyDescent="0.25">
      <c r="A47" t="s">
        <v>76</v>
      </c>
      <c r="B47" s="22">
        <f>D38*(1+F$42)^2</f>
        <v>1.0201</v>
      </c>
    </row>
    <row r="48" spans="1:8" x14ac:dyDescent="0.25">
      <c r="A48" t="s">
        <v>77</v>
      </c>
      <c r="B48" s="22">
        <f>D39*(1+F$42)^2</f>
        <v>1.0201</v>
      </c>
    </row>
    <row r="49" spans="1:5" x14ac:dyDescent="0.25">
      <c r="A49" t="s">
        <v>78</v>
      </c>
      <c r="B49" s="22">
        <f>D40*(1+F$42)^2</f>
        <v>1.0201</v>
      </c>
    </row>
    <row r="51" spans="1:5" x14ac:dyDescent="0.25">
      <c r="A51" s="1" t="s">
        <v>32</v>
      </c>
    </row>
    <row r="52" spans="1:5" x14ac:dyDescent="0.25">
      <c r="A52" s="3"/>
      <c r="B52" s="4" t="s">
        <v>1</v>
      </c>
      <c r="C52" s="4" t="s">
        <v>29</v>
      </c>
      <c r="D52" s="4" t="s">
        <v>30</v>
      </c>
    </row>
    <row r="53" spans="1:5" x14ac:dyDescent="0.25">
      <c r="A53" t="s">
        <v>75</v>
      </c>
      <c r="B53" s="7">
        <f>B14</f>
        <v>600000</v>
      </c>
      <c r="C53" s="22">
        <f>C37*D37+E37*(D37+G37*F37)</f>
        <v>1.97</v>
      </c>
      <c r="D53" s="22">
        <f>B53*C53/1000000*12</f>
        <v>14.183999999999999</v>
      </c>
    </row>
    <row r="54" spans="1:5" x14ac:dyDescent="0.25">
      <c r="A54" t="s">
        <v>76</v>
      </c>
      <c r="B54" s="7">
        <f t="shared" ref="B54:B56" si="4">B15</f>
        <v>270000</v>
      </c>
      <c r="C54" s="22">
        <f>C38*D38+E38*(D38+G38*F38)</f>
        <v>1.99</v>
      </c>
      <c r="D54" s="22">
        <f t="shared" ref="D54:D56" si="5">B54*C54/1000000*12</f>
        <v>6.4475999999999996</v>
      </c>
    </row>
    <row r="55" spans="1:5" x14ac:dyDescent="0.25">
      <c r="A55" t="s">
        <v>77</v>
      </c>
      <c r="B55" s="7">
        <f t="shared" si="4"/>
        <v>90000</v>
      </c>
      <c r="C55" s="22">
        <f>C39*D39+E39*(D39+G39*F39)</f>
        <v>1.99</v>
      </c>
      <c r="D55" s="22">
        <f t="shared" si="5"/>
        <v>2.1492</v>
      </c>
    </row>
    <row r="56" spans="1:5" x14ac:dyDescent="0.25">
      <c r="A56" t="s">
        <v>78</v>
      </c>
      <c r="B56" s="7">
        <f t="shared" si="4"/>
        <v>40000</v>
      </c>
      <c r="C56" s="22">
        <f>C40*D40+E40*(D40+G40*F40)</f>
        <v>1</v>
      </c>
      <c r="D56" s="22">
        <f t="shared" si="5"/>
        <v>0.48</v>
      </c>
    </row>
    <row r="57" spans="1:5" x14ac:dyDescent="0.25">
      <c r="A57" s="3" t="s">
        <v>0</v>
      </c>
      <c r="B57" s="4">
        <f>SUM(B53:B56)</f>
        <v>1000000</v>
      </c>
      <c r="C57" s="4">
        <f t="shared" ref="C57:D57" si="6">SUM(C53:C56)</f>
        <v>6.95</v>
      </c>
      <c r="D57" s="26">
        <f t="shared" si="6"/>
        <v>23.2608</v>
      </c>
      <c r="E57" s="5" t="s">
        <v>38</v>
      </c>
    </row>
    <row r="58" spans="1:5" x14ac:dyDescent="0.25">
      <c r="B58" s="2"/>
      <c r="C58" s="2"/>
      <c r="D58" s="2"/>
    </row>
    <row r="59" spans="1:5" x14ac:dyDescent="0.25">
      <c r="A59" s="1" t="s">
        <v>33</v>
      </c>
      <c r="B59" s="2"/>
      <c r="C59" s="2"/>
      <c r="D59" s="2"/>
    </row>
    <row r="60" spans="1:5" x14ac:dyDescent="0.25">
      <c r="A60" s="3"/>
      <c r="B60" s="4" t="s">
        <v>1</v>
      </c>
      <c r="C60" s="4" t="s">
        <v>29</v>
      </c>
      <c r="D60" s="4" t="s">
        <v>30</v>
      </c>
    </row>
    <row r="61" spans="1:5" x14ac:dyDescent="0.25">
      <c r="A61" t="s">
        <v>75</v>
      </c>
      <c r="B61" s="7">
        <f>D22</f>
        <v>486000</v>
      </c>
      <c r="C61" s="22">
        <f>C37*B46+E37*(B46+G37*F37)</f>
        <v>1.9898990000000001</v>
      </c>
      <c r="D61" s="22">
        <f>B61*C61/1000000*12</f>
        <v>11.605090968000001</v>
      </c>
    </row>
    <row r="62" spans="1:5" x14ac:dyDescent="0.25">
      <c r="A62" t="s">
        <v>76</v>
      </c>
      <c r="B62" s="22">
        <f>D23</f>
        <v>236040.75</v>
      </c>
      <c r="C62" s="22">
        <f>C38*B47+E38*(B47+G38*F38)</f>
        <v>2.0101000000000004</v>
      </c>
      <c r="D62" s="22">
        <f t="shared" ref="D62:D64" si="7">B62*C62/1000000*12</f>
        <v>5.6935861389000015</v>
      </c>
    </row>
    <row r="63" spans="1:5" x14ac:dyDescent="0.25">
      <c r="A63" t="s">
        <v>77</v>
      </c>
      <c r="B63" s="22">
        <f>D24</f>
        <v>78680.250000000029</v>
      </c>
      <c r="C63" s="22">
        <f>C39*B48+E39*(B48+G39*F39)</f>
        <v>2.0101000000000004</v>
      </c>
      <c r="D63" s="22">
        <f t="shared" si="7"/>
        <v>1.8978620463000011</v>
      </c>
    </row>
    <row r="64" spans="1:5" x14ac:dyDescent="0.25">
      <c r="A64" t="s">
        <v>78</v>
      </c>
      <c r="B64" s="7">
        <f>D25</f>
        <v>283279</v>
      </c>
      <c r="C64" s="22">
        <f>C40*B49+E40*(B49+G40*F40)</f>
        <v>1.0201</v>
      </c>
      <c r="D64" s="22">
        <f t="shared" si="7"/>
        <v>3.4676748947999996</v>
      </c>
    </row>
    <row r="65" spans="1:6" x14ac:dyDescent="0.25">
      <c r="A65" s="3" t="s">
        <v>0</v>
      </c>
      <c r="B65" s="4">
        <f>SUM(B61:B64)</f>
        <v>1084000</v>
      </c>
      <c r="C65" s="29">
        <f t="shared" ref="C65:D65" si="8">SUM(C61:C64)</f>
        <v>7.0301990000000014</v>
      </c>
      <c r="D65" s="26">
        <f t="shared" si="8"/>
        <v>22.664214048000002</v>
      </c>
      <c r="E65" s="5" t="s">
        <v>82</v>
      </c>
    </row>
    <row r="69" spans="1:6" ht="21" x14ac:dyDescent="0.35">
      <c r="A69" s="34" t="s">
        <v>36</v>
      </c>
    </row>
    <row r="71" spans="1:6" x14ac:dyDescent="0.25">
      <c r="A71" s="1" t="s">
        <v>28</v>
      </c>
    </row>
    <row r="72" spans="1:6" ht="31.5" x14ac:dyDescent="0.25">
      <c r="A72" s="3" t="s">
        <v>16</v>
      </c>
      <c r="B72" s="3"/>
      <c r="C72" s="17" t="s">
        <v>17</v>
      </c>
      <c r="D72" s="17" t="s">
        <v>18</v>
      </c>
      <c r="E72" s="17" t="s">
        <v>21</v>
      </c>
    </row>
    <row r="73" spans="1:6" x14ac:dyDescent="0.25">
      <c r="A73" t="s">
        <v>75</v>
      </c>
      <c r="C73" s="9">
        <f>B30/D37</f>
        <v>1</v>
      </c>
      <c r="D73" s="9">
        <f>(B30+G37*C30)/(D37+G37*F37)</f>
        <v>1</v>
      </c>
      <c r="E73" s="9">
        <f>C73*C37+E37*D73</f>
        <v>0.99</v>
      </c>
    </row>
    <row r="74" spans="1:6" x14ac:dyDescent="0.25">
      <c r="A74" t="s">
        <v>76</v>
      </c>
      <c r="C74" s="9">
        <f>B31/D38</f>
        <v>1</v>
      </c>
      <c r="D74" s="9">
        <f>(B31+G38*C31)/(D38+G38*F38)</f>
        <v>1</v>
      </c>
      <c r="E74" s="9">
        <f>C74*C38+E38*D74</f>
        <v>1</v>
      </c>
    </row>
    <row r="75" spans="1:6" x14ac:dyDescent="0.25">
      <c r="A75" t="s">
        <v>77</v>
      </c>
      <c r="C75" s="9">
        <f>B32/D39</f>
        <v>1</v>
      </c>
      <c r="D75" s="9">
        <f>(B32+G39*C32)/(D39+G39*F39)</f>
        <v>1</v>
      </c>
      <c r="E75" s="9">
        <f>C75*C39+E39*D75</f>
        <v>1</v>
      </c>
    </row>
    <row r="76" spans="1:6" x14ac:dyDescent="0.25">
      <c r="A76" t="s">
        <v>78</v>
      </c>
      <c r="C76" s="9">
        <f>B33/D40</f>
        <v>1</v>
      </c>
      <c r="D76" s="9">
        <f>(B33+G40*C33)/(D40+G40*F40)</f>
        <v>1</v>
      </c>
      <c r="E76" s="9">
        <f>C76*C40+E40*D76</f>
        <v>1</v>
      </c>
    </row>
    <row r="77" spans="1:6" x14ac:dyDescent="0.25">
      <c r="A77" s="3" t="s">
        <v>20</v>
      </c>
      <c r="B77" s="3"/>
      <c r="C77" s="11">
        <f>SUMPRODUCT($B14:$B17,C73:C76)/$B18</f>
        <v>1</v>
      </c>
      <c r="D77" s="11">
        <f>SUMPRODUCT($B14:$B17,D73:D76)/$B18</f>
        <v>1</v>
      </c>
      <c r="E77" s="11">
        <f>SUMPRODUCT($B14:$B17,E73:E76)/$B18</f>
        <v>0.99399999999999999</v>
      </c>
    </row>
    <row r="78" spans="1:6" x14ac:dyDescent="0.25">
      <c r="A78" t="s">
        <v>25</v>
      </c>
      <c r="C78" s="10"/>
      <c r="D78" s="10"/>
      <c r="E78" s="10">
        <v>0.01</v>
      </c>
      <c r="F78" s="5" t="s">
        <v>69</v>
      </c>
    </row>
    <row r="79" spans="1:6" x14ac:dyDescent="0.25">
      <c r="A79" s="3" t="s">
        <v>26</v>
      </c>
      <c r="B79" s="3"/>
      <c r="C79" s="20"/>
      <c r="D79" s="20"/>
      <c r="E79" s="20">
        <f>E77*(1-E78)</f>
        <v>0.98405999999999993</v>
      </c>
    </row>
    <row r="81" spans="1:6" x14ac:dyDescent="0.25">
      <c r="A81" s="1" t="s">
        <v>27</v>
      </c>
    </row>
    <row r="82" spans="1:6" ht="31.5" x14ac:dyDescent="0.25">
      <c r="A82" s="3" t="s">
        <v>16</v>
      </c>
      <c r="B82" s="3"/>
      <c r="C82" s="17" t="s">
        <v>17</v>
      </c>
      <c r="D82" s="17" t="s">
        <v>18</v>
      </c>
      <c r="E82" s="17" t="s">
        <v>21</v>
      </c>
    </row>
    <row r="83" spans="1:6" x14ac:dyDescent="0.25">
      <c r="A83" t="s">
        <v>75</v>
      </c>
      <c r="C83" s="9">
        <f>B30/B46</f>
        <v>0.98029604940692083</v>
      </c>
      <c r="D83" s="9">
        <f>(B30+G37*C30)/(B46+G37*F37)</f>
        <v>0.99004999752487488</v>
      </c>
      <c r="E83" s="9">
        <f>C83*C37+E37*D83</f>
        <v>0.98005195806844658</v>
      </c>
    </row>
    <row r="84" spans="1:6" x14ac:dyDescent="0.25">
      <c r="A84" t="s">
        <v>76</v>
      </c>
      <c r="C84" s="9">
        <f>B31/B47</f>
        <v>0.98029604940692083</v>
      </c>
      <c r="D84" s="9">
        <f>(B31+G38*C31)/(B47+G38*F38)</f>
        <v>0.99004999752487488</v>
      </c>
      <c r="E84" s="9">
        <f>C84*C38+E38*D84</f>
        <v>0.98995245804369536</v>
      </c>
    </row>
    <row r="85" spans="1:6" x14ac:dyDescent="0.25">
      <c r="A85" t="s">
        <v>77</v>
      </c>
      <c r="C85" s="9">
        <f>B32/B48</f>
        <v>0.98029604940692083</v>
      </c>
      <c r="D85" s="9">
        <f>(B32+G39*C32)/(B48+G39*F39)</f>
        <v>0.99004999752487488</v>
      </c>
      <c r="E85" s="9">
        <f>C85*C39+E39*D85</f>
        <v>0.98995245804369536</v>
      </c>
    </row>
    <row r="86" spans="1:6" x14ac:dyDescent="0.25">
      <c r="A86" t="s">
        <v>78</v>
      </c>
      <c r="C86" s="9">
        <f>B33/B49</f>
        <v>0.98029604940692083</v>
      </c>
      <c r="D86" s="9">
        <f>(B33+G40*C33)/(B49+G40*F40)</f>
        <v>0.98029604940692083</v>
      </c>
      <c r="E86" s="9">
        <f>C86*C40+E40*D86</f>
        <v>0.98029604940692083</v>
      </c>
    </row>
    <row r="87" spans="1:6" x14ac:dyDescent="0.25">
      <c r="A87" s="3" t="s">
        <v>20</v>
      </c>
      <c r="B87" s="3"/>
      <c r="C87" s="11">
        <f>SUMPRODUCT($D22:$D25,C83:C86)/$D26</f>
        <v>0.98029604940692083</v>
      </c>
      <c r="D87" s="11">
        <f>SUMPRODUCT($D22:$D25,D83:D86)/$D26</f>
        <v>0.98750102273806128</v>
      </c>
      <c r="E87" s="11">
        <f>SUMPRODUCT($D22:$D25,E83:E86)/$D26</f>
        <v>0.9829901879604962</v>
      </c>
    </row>
    <row r="88" spans="1:6" x14ac:dyDescent="0.25">
      <c r="A88" t="s">
        <v>25</v>
      </c>
      <c r="C88" s="10"/>
      <c r="D88" s="10"/>
      <c r="E88" s="10">
        <v>0.01</v>
      </c>
      <c r="F88" s="5" t="s">
        <v>69</v>
      </c>
    </row>
    <row r="89" spans="1:6" x14ac:dyDescent="0.25">
      <c r="A89" s="3" t="s">
        <v>26</v>
      </c>
      <c r="B89" s="3"/>
      <c r="C89" s="20"/>
      <c r="D89" s="20"/>
      <c r="E89" s="20">
        <f>E87*(1-E88)</f>
        <v>0.97316028608089122</v>
      </c>
    </row>
    <row r="91" spans="1:6" x14ac:dyDescent="0.25">
      <c r="A91" s="1" t="s">
        <v>50</v>
      </c>
    </row>
    <row r="92" spans="1:6" x14ac:dyDescent="0.25">
      <c r="A92" s="4"/>
      <c r="B92" s="4"/>
      <c r="C92" s="4">
        <v>2014</v>
      </c>
      <c r="D92" s="4">
        <v>2016</v>
      </c>
    </row>
    <row r="93" spans="1:6" x14ac:dyDescent="0.25">
      <c r="A93" t="s">
        <v>51</v>
      </c>
      <c r="C93" s="22">
        <f>0</f>
        <v>0</v>
      </c>
      <c r="D93" s="22">
        <f>D25-D17</f>
        <v>234879</v>
      </c>
    </row>
    <row r="94" spans="1:6" x14ac:dyDescent="0.25">
      <c r="A94" t="s">
        <v>53</v>
      </c>
      <c r="C94" s="6">
        <v>1</v>
      </c>
      <c r="D94" s="6">
        <v>1</v>
      </c>
      <c r="E94" s="5" t="s">
        <v>69</v>
      </c>
    </row>
    <row r="95" spans="1:6" x14ac:dyDescent="0.25">
      <c r="A95" t="s">
        <v>52</v>
      </c>
      <c r="C95" s="6">
        <v>1</v>
      </c>
      <c r="D95" s="6">
        <v>1</v>
      </c>
      <c r="E95" s="5" t="s">
        <v>70</v>
      </c>
    </row>
    <row r="96" spans="1:6" x14ac:dyDescent="0.25">
      <c r="A96" t="s">
        <v>54</v>
      </c>
      <c r="C96" s="22">
        <f>C94-C95</f>
        <v>0</v>
      </c>
      <c r="D96" s="22">
        <f>D94-D95</f>
        <v>0</v>
      </c>
    </row>
    <row r="97" spans="1:5" x14ac:dyDescent="0.25">
      <c r="A97" t="s">
        <v>57</v>
      </c>
      <c r="C97" s="22">
        <f>C93*C96*12</f>
        <v>0</v>
      </c>
      <c r="D97" s="22">
        <f>D93*D96*12/1000000</f>
        <v>0</v>
      </c>
    </row>
    <row r="98" spans="1:5" x14ac:dyDescent="0.25">
      <c r="A98" s="3" t="s">
        <v>55</v>
      </c>
      <c r="B98" s="3"/>
      <c r="C98" s="27">
        <f>C97/(C65-C57)</f>
        <v>0</v>
      </c>
      <c r="D98" s="27">
        <f>D97/(D65-D57)</f>
        <v>0</v>
      </c>
    </row>
    <row r="102" spans="1:5" ht="21" x14ac:dyDescent="0.35">
      <c r="A102" s="34" t="s">
        <v>37</v>
      </c>
    </row>
    <row r="104" spans="1:5" x14ac:dyDescent="0.25">
      <c r="A104" s="1" t="s">
        <v>39</v>
      </c>
    </row>
    <row r="105" spans="1:5" x14ac:dyDescent="0.25">
      <c r="A105" s="4"/>
      <c r="B105" s="4">
        <v>2014</v>
      </c>
      <c r="C105" s="4">
        <v>2016</v>
      </c>
    </row>
    <row r="106" spans="1:5" x14ac:dyDescent="0.25">
      <c r="A106" t="s">
        <v>40</v>
      </c>
      <c r="B106" s="6">
        <v>1</v>
      </c>
      <c r="C106" s="6">
        <v>1</v>
      </c>
      <c r="D106" s="5" t="s">
        <v>71</v>
      </c>
    </row>
    <row r="107" spans="1:5" x14ac:dyDescent="0.25">
      <c r="A107" s="3" t="s">
        <v>40</v>
      </c>
      <c r="B107" s="31">
        <f>B106</f>
        <v>1</v>
      </c>
      <c r="C107" s="31">
        <f>C106</f>
        <v>1</v>
      </c>
      <c r="D107" s="5"/>
    </row>
    <row r="110" spans="1:5" x14ac:dyDescent="0.25">
      <c r="A110" s="1" t="s">
        <v>41</v>
      </c>
    </row>
    <row r="112" spans="1:5" x14ac:dyDescent="0.25">
      <c r="D112" s="4">
        <v>2014</v>
      </c>
      <c r="E112" s="4">
        <v>2016</v>
      </c>
    </row>
    <row r="113" spans="1:6" x14ac:dyDescent="0.25">
      <c r="A113" t="s">
        <v>42</v>
      </c>
      <c r="D113" s="21">
        <v>1</v>
      </c>
      <c r="E113" s="21">
        <v>1</v>
      </c>
      <c r="F113" s="5" t="s">
        <v>83</v>
      </c>
    </row>
    <row r="114" spans="1:6" x14ac:dyDescent="0.25">
      <c r="A114" t="s">
        <v>67</v>
      </c>
      <c r="D114" s="30">
        <v>1</v>
      </c>
      <c r="E114" s="30">
        <v>1</v>
      </c>
      <c r="F114" s="5" t="s">
        <v>84</v>
      </c>
    </row>
    <row r="115" spans="1:6" x14ac:dyDescent="0.25">
      <c r="A115" t="s">
        <v>65</v>
      </c>
      <c r="D115" s="22">
        <f>D114*8/60/60</f>
        <v>2.2222222222222222E-3</v>
      </c>
      <c r="E115" s="22">
        <f>E114*8/60/60</f>
        <v>2.2222222222222222E-3</v>
      </c>
    </row>
    <row r="116" spans="1:6" x14ac:dyDescent="0.25">
      <c r="A116" t="s">
        <v>43</v>
      </c>
      <c r="D116" s="21">
        <v>1</v>
      </c>
      <c r="E116" s="21">
        <v>1</v>
      </c>
      <c r="F116" s="5" t="s">
        <v>73</v>
      </c>
    </row>
    <row r="117" spans="1:6" x14ac:dyDescent="0.25">
      <c r="A117" t="s">
        <v>44</v>
      </c>
      <c r="D117" s="28">
        <f>D115*D116*D113/1000000</f>
        <v>2.2222222222222221E-9</v>
      </c>
      <c r="E117" s="28">
        <f>E115*E116*E113/1000000</f>
        <v>2.2222222222222221E-9</v>
      </c>
    </row>
    <row r="118" spans="1:6" x14ac:dyDescent="0.25">
      <c r="A118" t="s">
        <v>66</v>
      </c>
      <c r="D118" s="22">
        <f>D57</f>
        <v>23.2608</v>
      </c>
      <c r="E118" s="22">
        <f>D65</f>
        <v>22.664214048000002</v>
      </c>
      <c r="F118" s="5"/>
    </row>
    <row r="119" spans="1:6" x14ac:dyDescent="0.25">
      <c r="A119" t="s">
        <v>45</v>
      </c>
      <c r="D119" s="27">
        <f>D117/D118</f>
        <v>9.5535072835939524E-11</v>
      </c>
      <c r="E119" s="27">
        <f>E117/E118</f>
        <v>9.8049825046473278E-11</v>
      </c>
    </row>
    <row r="122" spans="1:6" ht="21" x14ac:dyDescent="0.35">
      <c r="A122" s="34" t="s">
        <v>58</v>
      </c>
    </row>
    <row r="123" spans="1:6" x14ac:dyDescent="0.25">
      <c r="D123" s="4">
        <v>2014</v>
      </c>
      <c r="E123" s="4">
        <v>2016</v>
      </c>
    </row>
    <row r="124" spans="1:6" x14ac:dyDescent="0.25">
      <c r="A124" t="s">
        <v>59</v>
      </c>
      <c r="D124" s="32">
        <f>B107</f>
        <v>1</v>
      </c>
      <c r="E124" s="32">
        <f>C107</f>
        <v>1</v>
      </c>
    </row>
    <row r="125" spans="1:6" x14ac:dyDescent="0.25">
      <c r="A125" t="s">
        <v>60</v>
      </c>
      <c r="D125" s="33">
        <f>E119</f>
        <v>9.8049825046473278E-11</v>
      </c>
      <c r="E125" s="33">
        <f>E119</f>
        <v>9.8049825046473278E-11</v>
      </c>
    </row>
    <row r="126" spans="1:6" x14ac:dyDescent="0.25">
      <c r="A126" t="s">
        <v>63</v>
      </c>
      <c r="D126" s="31">
        <f>D124+D125</f>
        <v>1.0000000000980498</v>
      </c>
      <c r="E126" s="31">
        <f>E124+E125</f>
        <v>1.0000000000980498</v>
      </c>
    </row>
    <row r="127" spans="1:6" x14ac:dyDescent="0.25">
      <c r="A127" t="s">
        <v>61</v>
      </c>
      <c r="D127" s="32">
        <f>E79</f>
        <v>0.98405999999999993</v>
      </c>
      <c r="E127" s="32">
        <f>E89</f>
        <v>0.97316028608089122</v>
      </c>
    </row>
    <row r="128" spans="1:6" x14ac:dyDescent="0.25">
      <c r="A128" t="s">
        <v>62</v>
      </c>
      <c r="D128" s="33">
        <f>C98</f>
        <v>0</v>
      </c>
      <c r="E128" s="33">
        <f>D98</f>
        <v>0</v>
      </c>
    </row>
    <row r="129" spans="1:5" x14ac:dyDescent="0.25">
      <c r="A129" t="s">
        <v>64</v>
      </c>
      <c r="D129" s="31">
        <f>D127+D128</f>
        <v>0.98405999999999993</v>
      </c>
      <c r="E129" s="31">
        <f>E127+E128</f>
        <v>0.97316028608089122</v>
      </c>
    </row>
    <row r="130" spans="1:5" x14ac:dyDescent="0.25">
      <c r="D130" s="2"/>
      <c r="E130" s="2"/>
    </row>
    <row r="131" spans="1:5" x14ac:dyDescent="0.25">
      <c r="A131" t="s">
        <v>68</v>
      </c>
      <c r="D131" s="36" t="str">
        <f>IF(D129-D126&gt;0,"YES","NO")</f>
        <v>NO</v>
      </c>
      <c r="E131" s="36" t="str">
        <f>IF(E129-E126&gt;0,"YES","NO")</f>
        <v>NO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D15867C9614F47BA8D6B0E29C1F8AC" ma:contentTypeVersion="2" ma:contentTypeDescription="Create a new document." ma:contentTypeScope="" ma:versionID="4ca898af8f7af041c51f4350d443e6f4">
  <xsd:schema xmlns:xsd="http://www.w3.org/2001/XMLSchema" xmlns:xs="http://www.w3.org/2001/XMLSchema" xmlns:p="http://schemas.microsoft.com/office/2006/metadata/properties" xmlns:ns1="http://schemas.microsoft.com/sharepoint/v3" xmlns:ns2="1aaea1ea-72e4-4374-b05e-72e2f16fb7ae" targetNamespace="http://schemas.microsoft.com/office/2006/metadata/properties" ma:root="true" ma:fieldsID="5f03cfa57e716973114bdf2422329f5c" ns1:_="" ns2:_="">
    <xsd:import namespace="http://schemas.microsoft.com/sharepoint/v3"/>
    <xsd:import namespace="1aaea1ea-72e4-4374-b05e-72e2f16fb7a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aea1ea-72e4-4374-b05e-72e2f16fb7a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6720C95-08DF-4804-AB88-640583463992}"/>
</file>

<file path=customXml/itemProps2.xml><?xml version="1.0" encoding="utf-8"?>
<ds:datastoreItem xmlns:ds="http://schemas.openxmlformats.org/officeDocument/2006/customXml" ds:itemID="{F16B8544-2D00-4A78-9502-9FEDFA8A3911}"/>
</file>

<file path=customXml/itemProps3.xml><?xml version="1.0" encoding="utf-8"?>
<ds:datastoreItem xmlns:ds="http://schemas.openxmlformats.org/officeDocument/2006/customXml" ds:itemID="{CA0EBD79-8B5A-401D-9051-1D21DC5636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Session 12</vt:lpstr>
    </vt:vector>
  </TitlesOfParts>
  <Company>Incyte Consulting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 Rogerson</dc:creator>
  <cp:lastModifiedBy>DAR</cp:lastModifiedBy>
  <dcterms:created xsi:type="dcterms:W3CDTF">2014-06-09T12:59:57Z</dcterms:created>
  <dcterms:modified xsi:type="dcterms:W3CDTF">2014-08-21T12:07:23Z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0x010100D8D15867C9614F47BA8D6B0E29C1F8AC</vt:lpwstr>
  </property>
</Properties>
</file>