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19440" windowHeight="12240" tabRatio="500" activeTab="1"/>
  </bookViews>
  <sheets>
    <sheet name="Normcell" sheetId="1" r:id="rId1"/>
    <sheet name="Cloud" sheetId="2" r:id="rId2"/>
    <sheet name="Newtel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4" i="1" l="1"/>
  <c r="E53" i="1"/>
  <c r="D54" i="1"/>
  <c r="D53" i="1"/>
  <c r="E34" i="2"/>
  <c r="E14" i="2"/>
  <c r="E18" i="2"/>
  <c r="E19" i="2"/>
  <c r="E21" i="2"/>
  <c r="E36" i="2"/>
  <c r="E39" i="2"/>
  <c r="C22" i="3"/>
  <c r="E41" i="3"/>
  <c r="E52" i="3"/>
  <c r="D76" i="3"/>
  <c r="D41" i="3"/>
  <c r="D52" i="3"/>
  <c r="C76" i="3"/>
  <c r="E42" i="3"/>
  <c r="E43" i="3"/>
  <c r="E44" i="3"/>
  <c r="E46" i="3"/>
  <c r="D61" i="3"/>
  <c r="E50" i="3"/>
  <c r="E51" i="3"/>
  <c r="E53" i="3"/>
  <c r="D62" i="3"/>
  <c r="D63" i="3"/>
  <c r="D70" i="3"/>
  <c r="D72" i="3"/>
  <c r="D84" i="3"/>
  <c r="D42" i="3"/>
  <c r="D43" i="3"/>
  <c r="D44" i="3"/>
  <c r="D46" i="3"/>
  <c r="C61" i="3"/>
  <c r="D50" i="3"/>
  <c r="D51" i="3"/>
  <c r="D53" i="3"/>
  <c r="C62" i="3"/>
  <c r="C63" i="3"/>
  <c r="C70" i="3"/>
  <c r="C72" i="3"/>
  <c r="C84" i="3"/>
  <c r="E55" i="3"/>
  <c r="D78" i="3"/>
  <c r="D91" i="3"/>
  <c r="D55" i="3"/>
  <c r="C78" i="3"/>
  <c r="C91" i="3"/>
  <c r="D85" i="3"/>
  <c r="D18" i="1"/>
  <c r="D44" i="1"/>
  <c r="D45" i="1"/>
  <c r="D46" i="1"/>
  <c r="D47" i="1"/>
  <c r="D48" i="1"/>
  <c r="C44" i="1"/>
  <c r="C45" i="1"/>
  <c r="C46" i="1"/>
  <c r="C47" i="1"/>
  <c r="C48" i="1"/>
  <c r="D92" i="3"/>
  <c r="C62" i="1"/>
  <c r="D55" i="1"/>
  <c r="C68" i="1"/>
  <c r="D62" i="1"/>
  <c r="E55" i="1"/>
  <c r="D68" i="1"/>
  <c r="D70" i="1"/>
  <c r="D31" i="1"/>
  <c r="C31" i="1"/>
  <c r="B31" i="1"/>
  <c r="C22" i="1"/>
  <c r="D22" i="1"/>
  <c r="B22" i="1"/>
  <c r="D18" i="3"/>
  <c r="D19" i="3"/>
  <c r="D20" i="3"/>
  <c r="D21" i="3"/>
  <c r="D22" i="3"/>
</calcChain>
</file>

<file path=xl/sharedStrings.xml><?xml version="1.0" encoding="utf-8"?>
<sst xmlns="http://schemas.openxmlformats.org/spreadsheetml/2006/main" count="193" uniqueCount="95">
  <si>
    <t>Service</t>
  </si>
  <si>
    <t>Current subs</t>
  </si>
  <si>
    <t>Monthly tariff (USD)</t>
  </si>
  <si>
    <t>Monthly revenues (USD m)</t>
  </si>
  <si>
    <t>Newtel's current market situation</t>
  </si>
  <si>
    <t>TOTAL</t>
  </si>
  <si>
    <t>Additional monthly revenues (USD m)</t>
  </si>
  <si>
    <t>With Cloud alone</t>
  </si>
  <si>
    <t>assumes same ratio of voice/broadband as Newtel; assumes new customers take Vitesse 100M tariff.</t>
  </si>
  <si>
    <t>With Cloud and Normcell</t>
  </si>
  <si>
    <t>Likely impact on revenues of Cloud</t>
  </si>
  <si>
    <t>Year +1</t>
  </si>
  <si>
    <t>Year +2</t>
  </si>
  <si>
    <t>Remaining investment to be paid back over time</t>
  </si>
  <si>
    <t>Capital costs over 2 years</t>
  </si>
  <si>
    <t>USD m</t>
  </si>
  <si>
    <t xml:space="preserve">Investment made </t>
  </si>
  <si>
    <t>Operating costs over 2 years</t>
  </si>
  <si>
    <t>Potential revenue sources</t>
  </si>
  <si>
    <t>Newtel</t>
  </si>
  <si>
    <t>Subscribers</t>
  </si>
  <si>
    <t>Year+1</t>
  </si>
  <si>
    <t>Year+2</t>
  </si>
  <si>
    <t>Normcell</t>
  </si>
  <si>
    <t>Current</t>
  </si>
  <si>
    <t>Voice-only</t>
  </si>
  <si>
    <t>Normcell subscriber base - without Cloud</t>
  </si>
  <si>
    <t>Normcell subscriber base - with Cloud</t>
  </si>
  <si>
    <t>Up to 250</t>
  </si>
  <si>
    <t>up 1M</t>
  </si>
  <si>
    <t>unlimited</t>
  </si>
  <si>
    <t xml:space="preserve">Normcell tariffs </t>
  </si>
  <si>
    <t>USD per month</t>
  </si>
  <si>
    <t>USD (m)</t>
  </si>
  <si>
    <t>assumes all new Normcell Unlimited subs are Cloud subs</t>
  </si>
  <si>
    <t>Fees per sub per month</t>
  </si>
  <si>
    <t>Total costs in USD (m)</t>
  </si>
  <si>
    <t>Subs for Cloud</t>
  </si>
  <si>
    <t>Negotiating target with Newtel &amp; Normcell</t>
  </si>
  <si>
    <t>Gross additional revenue  with Cloud</t>
  </si>
  <si>
    <t>Additional operating costs with Cloud</t>
  </si>
  <si>
    <t>Net additional revenue with Cloud</t>
  </si>
  <si>
    <t>Cloud's fees</t>
  </si>
  <si>
    <t>Acceptable to Board?</t>
  </si>
  <si>
    <t>to be negotiated</t>
  </si>
  <si>
    <t>Proposed Normcell investment in Cloud</t>
  </si>
  <si>
    <t>acceptable to Board if total is greater than the initial investment</t>
  </si>
  <si>
    <t>Proposed Newtel investment in Cloud</t>
  </si>
  <si>
    <t xml:space="preserve">TOTAL </t>
  </si>
  <si>
    <t>Additional annual operating costs with Cloud</t>
  </si>
  <si>
    <t>those that upgrade plus those that move from Telecom</t>
  </si>
  <si>
    <t>acceptable to Board if total revenues cover costs and 10% ROCE and up-front investment &gt; $100m</t>
  </si>
  <si>
    <t>Bonus pool for negotiators (USD)</t>
  </si>
  <si>
    <t xml:space="preserve">ROCE </t>
  </si>
  <si>
    <t>% of broadband subscribers willing to pay for Cloud (cumulative)</t>
  </si>
  <si>
    <t xml:space="preserve">Annual growth in total broadband subscribers </t>
  </si>
  <si>
    <t>% of broadband subscribers upgrading broadband for Cloud (cumulative)</t>
  </si>
  <si>
    <t>Extra amount in $ per month that they pay (for Cloud)</t>
  </si>
  <si>
    <t>Extra amount in $ per month that they pay (for broadband)</t>
  </si>
  <si>
    <t>Subscriber payments for Cloud services</t>
  </si>
  <si>
    <t>Subscriber broadband upgrade</t>
  </si>
  <si>
    <t>Telecom's broadband customers moving to Newtel</t>
  </si>
  <si>
    <t xml:space="preserve">% of Telecom's broadband customers that move to Newtel (triple play; cumulative) </t>
  </si>
  <si>
    <t>% of Telecom's broadband customers that move to Newtel (quad play; cumulative)</t>
  </si>
  <si>
    <t>cost of capital</t>
  </si>
  <si>
    <t xml:space="preserve">cost of sales </t>
  </si>
  <si>
    <t>Inputs</t>
  </si>
  <si>
    <t>Additional costs (USD m)</t>
  </si>
  <si>
    <t>Monthly tariff of subscribers switching from Telecom</t>
  </si>
  <si>
    <t>includes subscription fee for Cloud</t>
  </si>
  <si>
    <t xml:space="preserve">Telecom's broadband subscribers </t>
  </si>
  <si>
    <t>Increase in annual revenues (USDm)</t>
  </si>
  <si>
    <t>Net additional revenue with Cloud and Normcell</t>
  </si>
  <si>
    <t xml:space="preserve">Up-front payments from Newtel/Normcell </t>
  </si>
  <si>
    <t>Net additional revenue with Cloud alone</t>
  </si>
  <si>
    <t xml:space="preserve">Acceptable to Board? </t>
  </si>
  <si>
    <t>NEGOTIATION WORKSHEET - NEWTEL</t>
  </si>
  <si>
    <t>STEP 1</t>
  </si>
  <si>
    <t>Fill in the Assumptions shaded green</t>
  </si>
  <si>
    <t>STEP 2</t>
  </si>
  <si>
    <t>Review the calculations shaded blue (no need to change these cells)</t>
  </si>
  <si>
    <t>STEP 3</t>
  </si>
  <si>
    <t>Consider the impact of different negotiation outcomes (shaded yellow)</t>
  </si>
  <si>
    <t>STEP 4</t>
  </si>
  <si>
    <t>Check whether the Board's requirement are met (shaded brown)</t>
  </si>
  <si>
    <t>NEGOTIATION WORKSHEET - CLOUD</t>
  </si>
  <si>
    <t>NEGOTIATION WORKSHEET - NORMCELL</t>
  </si>
  <si>
    <t>Total revenue achieved over 2 years (USD m)</t>
  </si>
  <si>
    <t>Fee per sub per month (USD)</t>
  </si>
  <si>
    <t xml:space="preserve">Minimum revenue requirement over 2 years </t>
  </si>
  <si>
    <t>Vitesse 2</t>
  </si>
  <si>
    <t>Vitesse 10</t>
  </si>
  <si>
    <t>Vitesse 25</t>
  </si>
  <si>
    <t>Vitesse 100</t>
  </si>
  <si>
    <t xml:space="preserve">WACC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</si>
</sst>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0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9" fontId="0" fillId="0" borderId="0" xfId="0" applyNumberFormat="1"/>
    <xf numFmtId="0" fontId="3" fillId="0" borderId="0" xfId="0" applyFont="1"/>
    <xf numFmtId="0" fontId="7" fillId="0" borderId="0" xfId="0" applyFont="1"/>
    <xf numFmtId="0" fontId="4" fillId="2" borderId="0" xfId="0" applyFont="1" applyFill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0" applyNumberFormat="1" applyFill="1"/>
    <xf numFmtId="0" fontId="0" fillId="5" borderId="0" xfId="0" applyFill="1" applyAlignment="1">
      <alignment horizontal="center"/>
    </xf>
    <xf numFmtId="0" fontId="0" fillId="4" borderId="0" xfId="0" applyFill="1"/>
    <xf numFmtId="1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" fontId="4" fillId="5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9" fontId="0" fillId="4" borderId="0" xfId="68" applyFont="1" applyFill="1" applyAlignment="1">
      <alignment horizontal="center"/>
    </xf>
    <xf numFmtId="2" fontId="0" fillId="5" borderId="0" xfId="68" applyNumberFormat="1" applyFont="1" applyFill="1" applyAlignment="1">
      <alignment horizontal="center"/>
    </xf>
    <xf numFmtId="166" fontId="0" fillId="4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65" fontId="0" fillId="5" borderId="0" xfId="31" applyNumberFormat="1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3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0" fillId="7" borderId="0" xfId="0" applyFill="1"/>
    <xf numFmtId="0" fontId="8" fillId="0" borderId="0" xfId="0" applyFont="1"/>
    <xf numFmtId="0" fontId="4" fillId="7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</cellXfs>
  <cellStyles count="105">
    <cellStyle name="Comma" xfId="3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Normal" xfId="0" builtinId="0"/>
    <cellStyle name="Percent" xfId="6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topLeftCell="A29" workbookViewId="0">
      <selection activeCell="G57" sqref="G57"/>
    </sheetView>
  </sheetViews>
  <sheetFormatPr baseColWidth="10" defaultColWidth="11" defaultRowHeight="15" x14ac:dyDescent="0"/>
  <sheetData>
    <row r="1" spans="1:7" ht="21">
      <c r="A1" s="37" t="s">
        <v>86</v>
      </c>
      <c r="B1" s="2"/>
      <c r="C1" s="2"/>
    </row>
    <row r="2" spans="1:7">
      <c r="B2" s="2"/>
      <c r="C2" s="2"/>
    </row>
    <row r="3" spans="1:7">
      <c r="A3" s="1" t="s">
        <v>77</v>
      </c>
      <c r="B3" s="19" t="s">
        <v>78</v>
      </c>
      <c r="C3" s="16"/>
      <c r="D3" s="19"/>
      <c r="E3" s="19"/>
      <c r="F3" s="19"/>
      <c r="G3" s="19"/>
    </row>
    <row r="4" spans="1:7">
      <c r="A4" s="1" t="s">
        <v>79</v>
      </c>
      <c r="B4" s="31" t="s">
        <v>80</v>
      </c>
      <c r="C4" s="18"/>
      <c r="D4" s="32"/>
      <c r="E4" s="32"/>
      <c r="F4" s="32"/>
      <c r="G4" s="32"/>
    </row>
    <row r="5" spans="1:7">
      <c r="A5" s="1" t="s">
        <v>81</v>
      </c>
      <c r="B5" s="33" t="s">
        <v>82</v>
      </c>
      <c r="C5" s="14"/>
      <c r="D5" s="13"/>
      <c r="E5" s="13"/>
      <c r="F5" s="13"/>
      <c r="G5" s="13"/>
    </row>
    <row r="6" spans="1:7">
      <c r="A6" s="1" t="s">
        <v>83</v>
      </c>
      <c r="B6" s="34" t="s">
        <v>84</v>
      </c>
      <c r="C6" s="35"/>
      <c r="D6" s="36"/>
      <c r="E6" s="36"/>
      <c r="F6" s="36"/>
      <c r="G6" s="36"/>
    </row>
    <row r="7" spans="1:7">
      <c r="B7" s="2"/>
      <c r="C7" s="2"/>
    </row>
    <row r="8" spans="1:7">
      <c r="B8" s="2"/>
      <c r="C8" s="2"/>
    </row>
    <row r="9" spans="1:7">
      <c r="B9" s="2"/>
      <c r="C9" s="2"/>
    </row>
    <row r="10" spans="1:7">
      <c r="A10" s="1" t="s">
        <v>45</v>
      </c>
    </row>
    <row r="12" spans="1:7">
      <c r="A12" t="s">
        <v>33</v>
      </c>
      <c r="B12" s="13">
        <v>1</v>
      </c>
    </row>
    <row r="15" spans="1:7">
      <c r="A15" s="1" t="s">
        <v>26</v>
      </c>
    </row>
    <row r="17" spans="1:5">
      <c r="A17" s="6"/>
      <c r="B17" s="7" t="s">
        <v>24</v>
      </c>
      <c r="C17" s="7" t="s">
        <v>21</v>
      </c>
      <c r="D17" s="7" t="s">
        <v>22</v>
      </c>
    </row>
    <row r="18" spans="1:5">
      <c r="A18" t="s">
        <v>25</v>
      </c>
      <c r="B18" s="16">
        <v>1</v>
      </c>
      <c r="C18" s="16">
        <v>1</v>
      </c>
      <c r="D18" s="16">
        <f>C18</f>
        <v>1</v>
      </c>
      <c r="E18" s="11"/>
    </row>
    <row r="19" spans="1:5">
      <c r="A19" t="s">
        <v>28</v>
      </c>
      <c r="B19" s="16">
        <v>1</v>
      </c>
      <c r="C19" s="16">
        <v>1</v>
      </c>
      <c r="D19" s="16">
        <v>1</v>
      </c>
      <c r="E19" s="11"/>
    </row>
    <row r="20" spans="1:5">
      <c r="A20" t="s">
        <v>29</v>
      </c>
      <c r="B20" s="16">
        <v>1</v>
      </c>
      <c r="C20" s="16">
        <v>1</v>
      </c>
      <c r="D20" s="16">
        <v>1</v>
      </c>
    </row>
    <row r="21" spans="1:5">
      <c r="A21" t="s">
        <v>30</v>
      </c>
      <c r="B21" s="16">
        <v>1</v>
      </c>
      <c r="C21" s="16">
        <v>1</v>
      </c>
      <c r="D21" s="16">
        <v>1</v>
      </c>
    </row>
    <row r="22" spans="1:5">
      <c r="A22" s="6" t="s">
        <v>5</v>
      </c>
      <c r="B22" s="7">
        <f>SUM(B18:B21)</f>
        <v>4</v>
      </c>
      <c r="C22" s="7">
        <f t="shared" ref="C22:D22" si="0">SUM(C18:C21)</f>
        <v>4</v>
      </c>
      <c r="D22" s="7">
        <f t="shared" si="0"/>
        <v>4</v>
      </c>
    </row>
    <row r="24" spans="1:5">
      <c r="A24" s="1" t="s">
        <v>27</v>
      </c>
    </row>
    <row r="26" spans="1:5">
      <c r="A26" s="6"/>
      <c r="B26" s="7" t="s">
        <v>24</v>
      </c>
      <c r="C26" s="7" t="s">
        <v>21</v>
      </c>
      <c r="D26" s="7" t="s">
        <v>22</v>
      </c>
    </row>
    <row r="27" spans="1:5">
      <c r="A27" t="s">
        <v>25</v>
      </c>
      <c r="B27" s="16">
        <v>1</v>
      </c>
      <c r="C27" s="16">
        <v>1</v>
      </c>
      <c r="D27" s="16">
        <v>1</v>
      </c>
      <c r="E27" s="11"/>
    </row>
    <row r="28" spans="1:5">
      <c r="A28" t="s">
        <v>28</v>
      </c>
      <c r="B28" s="16">
        <v>1</v>
      </c>
      <c r="C28" s="16">
        <v>1</v>
      </c>
      <c r="D28" s="16">
        <v>1</v>
      </c>
      <c r="E28" s="11"/>
    </row>
    <row r="29" spans="1:5">
      <c r="A29" t="s">
        <v>29</v>
      </c>
      <c r="B29" s="16">
        <v>1</v>
      </c>
      <c r="C29" s="16">
        <v>1</v>
      </c>
      <c r="D29" s="16">
        <v>1</v>
      </c>
      <c r="E29" s="11"/>
    </row>
    <row r="30" spans="1:5">
      <c r="A30" t="s">
        <v>30</v>
      </c>
      <c r="B30" s="16">
        <v>1</v>
      </c>
      <c r="C30" s="16">
        <v>1</v>
      </c>
      <c r="D30" s="16">
        <v>1</v>
      </c>
    </row>
    <row r="31" spans="1:5">
      <c r="A31" s="6" t="s">
        <v>5</v>
      </c>
      <c r="B31" s="7">
        <f>SUM(B27:B30)</f>
        <v>4</v>
      </c>
      <c r="C31" s="7">
        <f t="shared" ref="C31" si="1">SUM(C27:C30)</f>
        <v>4</v>
      </c>
      <c r="D31" s="7">
        <f t="shared" ref="D31" si="2">SUM(D27:D30)</f>
        <v>4</v>
      </c>
    </row>
    <row r="33" spans="1:4">
      <c r="A33" s="1" t="s">
        <v>31</v>
      </c>
    </row>
    <row r="35" spans="1:4">
      <c r="B35" t="s">
        <v>32</v>
      </c>
    </row>
    <row r="36" spans="1:4">
      <c r="A36" t="s">
        <v>25</v>
      </c>
      <c r="B36" s="16">
        <v>1</v>
      </c>
      <c r="D36" s="10"/>
    </row>
    <row r="37" spans="1:4">
      <c r="A37" t="s">
        <v>28</v>
      </c>
      <c r="B37" s="16">
        <v>1</v>
      </c>
    </row>
    <row r="38" spans="1:4">
      <c r="A38" t="s">
        <v>29</v>
      </c>
      <c r="B38" s="16">
        <v>1</v>
      </c>
    </row>
    <row r="39" spans="1:4">
      <c r="A39" t="s">
        <v>30</v>
      </c>
      <c r="B39" s="16">
        <v>1</v>
      </c>
    </row>
    <row r="41" spans="1:4">
      <c r="A41" s="1" t="s">
        <v>39</v>
      </c>
    </row>
    <row r="43" spans="1:4">
      <c r="A43" s="6" t="s">
        <v>33</v>
      </c>
      <c r="B43" s="6"/>
      <c r="C43" s="7" t="s">
        <v>21</v>
      </c>
      <c r="D43" s="7" t="s">
        <v>22</v>
      </c>
    </row>
    <row r="44" spans="1:4">
      <c r="A44" t="s">
        <v>25</v>
      </c>
      <c r="C44" s="20">
        <f>((C27-C18)*$B36*12)/1000000</f>
        <v>0</v>
      </c>
      <c r="D44" s="20">
        <f>((D27-D18)*$B36*12)/1000000</f>
        <v>0</v>
      </c>
    </row>
    <row r="45" spans="1:4">
      <c r="A45" t="s">
        <v>28</v>
      </c>
      <c r="C45" s="20">
        <f t="shared" ref="C45:D47" si="3">((C28-C19)*$B37*12)/1000000</f>
        <v>0</v>
      </c>
      <c r="D45" s="20">
        <f t="shared" si="3"/>
        <v>0</v>
      </c>
    </row>
    <row r="46" spans="1:4">
      <c r="A46" t="s">
        <v>29</v>
      </c>
      <c r="C46" s="20">
        <f t="shared" si="3"/>
        <v>0</v>
      </c>
      <c r="D46" s="20">
        <f t="shared" si="3"/>
        <v>0</v>
      </c>
    </row>
    <row r="47" spans="1:4">
      <c r="A47" t="s">
        <v>30</v>
      </c>
      <c r="C47" s="20">
        <f t="shared" si="3"/>
        <v>0</v>
      </c>
      <c r="D47" s="20">
        <f t="shared" si="3"/>
        <v>0</v>
      </c>
    </row>
    <row r="48" spans="1:4">
      <c r="A48" s="6" t="s">
        <v>5</v>
      </c>
      <c r="B48" s="6"/>
      <c r="C48" s="8">
        <f t="shared" ref="C48" si="4">SUM(C44:C47)</f>
        <v>0</v>
      </c>
      <c r="D48" s="8">
        <f t="shared" ref="D48" si="5">SUM(D44:D47)</f>
        <v>0</v>
      </c>
    </row>
    <row r="50" spans="1:5">
      <c r="A50" s="1" t="s">
        <v>40</v>
      </c>
    </row>
    <row r="52" spans="1:5">
      <c r="A52" s="6" t="s">
        <v>33</v>
      </c>
      <c r="B52" s="6"/>
      <c r="C52" s="7" t="s">
        <v>66</v>
      </c>
      <c r="D52" s="7" t="s">
        <v>21</v>
      </c>
      <c r="E52" s="7" t="s">
        <v>22</v>
      </c>
    </row>
    <row r="53" spans="1:5">
      <c r="A53" t="s">
        <v>94</v>
      </c>
      <c r="C53" s="23">
        <v>0.01</v>
      </c>
      <c r="D53" s="18">
        <f>B12*C53</f>
        <v>0.01</v>
      </c>
      <c r="E53" s="18">
        <f>B12*C53</f>
        <v>0.01</v>
      </c>
    </row>
    <row r="54" spans="1:5">
      <c r="A54" t="s">
        <v>65</v>
      </c>
      <c r="C54" s="23">
        <v>0.01</v>
      </c>
      <c r="D54" s="20">
        <f>C48*C54</f>
        <v>0</v>
      </c>
      <c r="E54" s="20">
        <f>D48*C54</f>
        <v>0</v>
      </c>
    </row>
    <row r="55" spans="1:5">
      <c r="A55" s="6" t="s">
        <v>5</v>
      </c>
      <c r="B55" s="6"/>
      <c r="C55" s="6"/>
      <c r="D55" s="8">
        <f>SUM(D53:D54)</f>
        <v>0.01</v>
      </c>
      <c r="E55" s="8">
        <f>SUM(E53:E54)</f>
        <v>0.01</v>
      </c>
    </row>
    <row r="57" spans="1:5">
      <c r="A57" s="1" t="s">
        <v>42</v>
      </c>
    </row>
    <row r="59" spans="1:5">
      <c r="A59" s="6"/>
      <c r="B59" s="6"/>
      <c r="C59" s="7" t="s">
        <v>21</v>
      </c>
      <c r="D59" s="7" t="s">
        <v>22</v>
      </c>
    </row>
    <row r="60" spans="1:5">
      <c r="A60" t="s">
        <v>37</v>
      </c>
      <c r="C60" s="16">
        <v>1</v>
      </c>
      <c r="D60" s="16">
        <v>1</v>
      </c>
      <c r="E60" s="10" t="s">
        <v>34</v>
      </c>
    </row>
    <row r="61" spans="1:5">
      <c r="A61" t="s">
        <v>35</v>
      </c>
      <c r="C61" s="14">
        <v>1</v>
      </c>
      <c r="D61" s="14">
        <v>1</v>
      </c>
      <c r="E61" s="10" t="s">
        <v>44</v>
      </c>
    </row>
    <row r="62" spans="1:5">
      <c r="A62" s="6" t="s">
        <v>36</v>
      </c>
      <c r="B62" s="6"/>
      <c r="C62" s="8">
        <f>C60*C61*12/1000000</f>
        <v>1.2E-5</v>
      </c>
      <c r="D62" s="8">
        <f>D60*D61*12/1000000</f>
        <v>1.2E-5</v>
      </c>
    </row>
    <row r="65" spans="1:5">
      <c r="A65" t="s">
        <v>41</v>
      </c>
    </row>
    <row r="67" spans="1:5">
      <c r="A67" s="6" t="s">
        <v>33</v>
      </c>
      <c r="B67" s="6"/>
      <c r="C67" s="7" t="s">
        <v>21</v>
      </c>
      <c r="D67" s="7" t="s">
        <v>22</v>
      </c>
    </row>
    <row r="68" spans="1:5">
      <c r="A68" s="6" t="s">
        <v>5</v>
      </c>
      <c r="B68" s="6"/>
      <c r="C68" s="22">
        <f>C48-D55-C62</f>
        <v>-1.0012E-2</v>
      </c>
      <c r="D68" s="22">
        <f>D48-E55-D62</f>
        <v>-1.0012E-2</v>
      </c>
    </row>
    <row r="70" spans="1:5">
      <c r="A70" t="s">
        <v>43</v>
      </c>
      <c r="D70" s="38" t="str">
        <f>IF(SUM(C68:D68)&gt;B12,"YES","NO")</f>
        <v>NO</v>
      </c>
      <c r="E70" s="10" t="s">
        <v>46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workbookViewId="0">
      <selection activeCell="L20" sqref="L20"/>
    </sheetView>
  </sheetViews>
  <sheetFormatPr baseColWidth="10" defaultColWidth="11" defaultRowHeight="15" x14ac:dyDescent="0"/>
  <cols>
    <col min="1" max="4" width="12.33203125" customWidth="1"/>
    <col min="5" max="5" width="12.33203125" style="2" customWidth="1"/>
  </cols>
  <sheetData>
    <row r="1" spans="1:7" ht="21">
      <c r="A1" s="37" t="s">
        <v>85</v>
      </c>
      <c r="B1" s="2"/>
      <c r="C1" s="2"/>
      <c r="E1"/>
    </row>
    <row r="2" spans="1:7">
      <c r="B2" s="2"/>
      <c r="C2" s="2"/>
      <c r="E2"/>
    </row>
    <row r="3" spans="1:7">
      <c r="A3" s="1" t="s">
        <v>77</v>
      </c>
      <c r="B3" s="19" t="s">
        <v>78</v>
      </c>
      <c r="C3" s="16"/>
      <c r="D3" s="19"/>
      <c r="E3" s="19"/>
      <c r="F3" s="19"/>
      <c r="G3" s="19"/>
    </row>
    <row r="4" spans="1:7">
      <c r="A4" s="1" t="s">
        <v>79</v>
      </c>
      <c r="B4" s="31" t="s">
        <v>80</v>
      </c>
      <c r="C4" s="18"/>
      <c r="D4" s="32"/>
      <c r="E4" s="32"/>
      <c r="F4" s="32"/>
      <c r="G4" s="32"/>
    </row>
    <row r="5" spans="1:7">
      <c r="A5" s="1" t="s">
        <v>81</v>
      </c>
      <c r="B5" s="33" t="s">
        <v>82</v>
      </c>
      <c r="C5" s="14"/>
      <c r="D5" s="13"/>
      <c r="E5" s="13"/>
      <c r="F5" s="13"/>
      <c r="G5" s="13"/>
    </row>
    <row r="6" spans="1:7">
      <c r="A6" s="1" t="s">
        <v>83</v>
      </c>
      <c r="B6" s="34" t="s">
        <v>84</v>
      </c>
      <c r="C6" s="35"/>
      <c r="D6" s="36"/>
      <c r="E6" s="36"/>
      <c r="F6" s="36"/>
      <c r="G6" s="36"/>
    </row>
    <row r="7" spans="1:7">
      <c r="B7" s="2"/>
      <c r="C7" s="2"/>
      <c r="E7"/>
    </row>
    <row r="8" spans="1:7">
      <c r="B8" s="2"/>
      <c r="C8" s="2"/>
      <c r="E8"/>
    </row>
    <row r="10" spans="1:7">
      <c r="A10" s="1" t="s">
        <v>38</v>
      </c>
    </row>
    <row r="11" spans="1:7">
      <c r="E11" s="7" t="s">
        <v>15</v>
      </c>
    </row>
    <row r="12" spans="1:7">
      <c r="A12" t="s">
        <v>16</v>
      </c>
      <c r="E12" s="16">
        <v>1</v>
      </c>
    </row>
    <row r="13" spans="1:7">
      <c r="A13" t="s">
        <v>73</v>
      </c>
      <c r="E13" s="14">
        <v>1</v>
      </c>
      <c r="F13" s="10"/>
    </row>
    <row r="14" spans="1:7">
      <c r="A14" t="s">
        <v>13</v>
      </c>
      <c r="E14" s="18">
        <f>E12-E13</f>
        <v>0</v>
      </c>
    </row>
    <row r="16" spans="1:7">
      <c r="A16" t="s">
        <v>53</v>
      </c>
      <c r="D16" s="17">
        <v>0.01</v>
      </c>
    </row>
    <row r="18" spans="1:6">
      <c r="A18" t="s">
        <v>14</v>
      </c>
      <c r="E18" s="18">
        <f>E14*D16*2</f>
        <v>0</v>
      </c>
    </row>
    <row r="19" spans="1:6">
      <c r="A19" t="s">
        <v>17</v>
      </c>
      <c r="E19" s="18">
        <f>2*12*1</f>
        <v>24</v>
      </c>
    </row>
    <row r="21" spans="1:6">
      <c r="A21" s="6" t="s">
        <v>89</v>
      </c>
      <c r="B21" s="6"/>
      <c r="C21" s="6"/>
      <c r="D21" s="6"/>
      <c r="E21" s="7">
        <f>SUM(E18:E19)</f>
        <v>24</v>
      </c>
    </row>
    <row r="24" spans="1:6">
      <c r="A24" s="1" t="s">
        <v>18</v>
      </c>
    </row>
    <row r="26" spans="1:6">
      <c r="A26" t="s">
        <v>20</v>
      </c>
      <c r="C26" s="7" t="s">
        <v>21</v>
      </c>
      <c r="D26" s="7" t="s">
        <v>22</v>
      </c>
    </row>
    <row r="27" spans="1:6">
      <c r="B27" t="s">
        <v>19</v>
      </c>
      <c r="C27" s="16">
        <v>1</v>
      </c>
      <c r="D27" s="16">
        <v>1</v>
      </c>
      <c r="F27" s="10"/>
    </row>
    <row r="28" spans="1:6">
      <c r="B28" t="s">
        <v>23</v>
      </c>
      <c r="C28" s="16">
        <v>1</v>
      </c>
      <c r="D28" s="16">
        <v>1</v>
      </c>
      <c r="F28" s="10"/>
    </row>
    <row r="29" spans="1:6">
      <c r="C29" s="2"/>
      <c r="D29" s="2"/>
    </row>
    <row r="30" spans="1:6">
      <c r="A30" t="s">
        <v>88</v>
      </c>
      <c r="C30" s="7" t="s">
        <v>21</v>
      </c>
      <c r="D30" s="7" t="s">
        <v>22</v>
      </c>
    </row>
    <row r="31" spans="1:6">
      <c r="B31" t="s">
        <v>19</v>
      </c>
      <c r="C31" s="14">
        <v>1</v>
      </c>
      <c r="D31" s="14">
        <v>1</v>
      </c>
      <c r="F31" s="10"/>
    </row>
    <row r="32" spans="1:6">
      <c r="B32" t="s">
        <v>23</v>
      </c>
      <c r="C32" s="14">
        <v>1</v>
      </c>
      <c r="D32" s="14">
        <v>1</v>
      </c>
      <c r="F32" s="10"/>
    </row>
    <row r="34" spans="1:6">
      <c r="A34" s="6" t="s">
        <v>87</v>
      </c>
      <c r="B34" s="6"/>
      <c r="C34" s="6"/>
      <c r="D34" s="6"/>
      <c r="E34" s="15">
        <f>(SUMPRODUCT(C27:D28,C31:D32)*12)/1000000</f>
        <v>4.8000000000000001E-5</v>
      </c>
    </row>
    <row r="36" spans="1:6">
      <c r="A36" t="s">
        <v>43</v>
      </c>
      <c r="E36" s="29" t="b">
        <f>IF(E34&gt;E21,IF(E13&gt;100,"YES","NO"))</f>
        <v>0</v>
      </c>
      <c r="F36" s="10" t="s">
        <v>51</v>
      </c>
    </row>
    <row r="39" spans="1:6">
      <c r="A39" t="s">
        <v>52</v>
      </c>
      <c r="E39" s="30">
        <f>IF(E36="YES",((E34-E21)*0.05+(E13-100)*0.01)*1000000,0)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showGridLines="0" topLeftCell="A21" workbookViewId="0">
      <selection activeCell="A22" sqref="A22"/>
    </sheetView>
  </sheetViews>
  <sheetFormatPr baseColWidth="10" defaultColWidth="11" defaultRowHeight="15" x14ac:dyDescent="0"/>
  <cols>
    <col min="1" max="1" width="18.83203125" customWidth="1"/>
    <col min="2" max="3" width="18.83203125" style="2" customWidth="1"/>
    <col min="4" max="6" width="18.83203125" customWidth="1"/>
  </cols>
  <sheetData>
    <row r="1" spans="1:4" ht="21">
      <c r="A1" s="37" t="s">
        <v>76</v>
      </c>
    </row>
    <row r="3" spans="1:4">
      <c r="A3" s="1" t="s">
        <v>77</v>
      </c>
      <c r="B3" s="19" t="s">
        <v>78</v>
      </c>
      <c r="C3" s="16"/>
      <c r="D3" s="19"/>
    </row>
    <row r="4" spans="1:4">
      <c r="A4" s="1" t="s">
        <v>79</v>
      </c>
      <c r="B4" s="31" t="s">
        <v>80</v>
      </c>
      <c r="C4" s="18"/>
      <c r="D4" s="32"/>
    </row>
    <row r="5" spans="1:4">
      <c r="A5" s="1" t="s">
        <v>81</v>
      </c>
      <c r="B5" s="33" t="s">
        <v>82</v>
      </c>
      <c r="C5" s="14"/>
      <c r="D5" s="13"/>
    </row>
    <row r="6" spans="1:4">
      <c r="A6" s="1" t="s">
        <v>83</v>
      </c>
      <c r="B6" s="34" t="s">
        <v>84</v>
      </c>
      <c r="C6" s="35"/>
      <c r="D6" s="36"/>
    </row>
    <row r="11" spans="1:4">
      <c r="A11" s="1" t="s">
        <v>47</v>
      </c>
      <c r="B11"/>
      <c r="C11"/>
    </row>
    <row r="12" spans="1:4">
      <c r="B12"/>
      <c r="C12"/>
    </row>
    <row r="13" spans="1:4">
      <c r="A13" t="s">
        <v>33</v>
      </c>
      <c r="B13" s="13">
        <v>1</v>
      </c>
      <c r="C13"/>
    </row>
    <row r="14" spans="1:4">
      <c r="B14"/>
      <c r="C14"/>
    </row>
    <row r="15" spans="1:4">
      <c r="A15" s="1" t="s">
        <v>4</v>
      </c>
    </row>
    <row r="17" spans="1:6" s="3" customFormat="1" ht="31.5">
      <c r="A17" s="4" t="s">
        <v>0</v>
      </c>
      <c r="B17" s="4" t="s">
        <v>2</v>
      </c>
      <c r="C17" s="5" t="s">
        <v>1</v>
      </c>
      <c r="D17" s="5" t="s">
        <v>3</v>
      </c>
    </row>
    <row r="18" spans="1:6">
      <c r="A18" t="s">
        <v>90</v>
      </c>
      <c r="B18" s="16">
        <v>1</v>
      </c>
      <c r="C18" s="16">
        <v>1</v>
      </c>
      <c r="D18" s="21">
        <f>(C18*B18)/1000000</f>
        <v>9.9999999999999995E-7</v>
      </c>
    </row>
    <row r="19" spans="1:6">
      <c r="A19" t="s">
        <v>91</v>
      </c>
      <c r="B19" s="16">
        <v>1</v>
      </c>
      <c r="C19" s="16">
        <v>1</v>
      </c>
      <c r="D19" s="21">
        <f t="shared" ref="D19:D21" si="0">(C19*B19)/1000000</f>
        <v>9.9999999999999995E-7</v>
      </c>
    </row>
    <row r="20" spans="1:6">
      <c r="A20" t="s">
        <v>92</v>
      </c>
      <c r="B20" s="16">
        <v>1</v>
      </c>
      <c r="C20" s="16">
        <v>1</v>
      </c>
      <c r="D20" s="21">
        <f t="shared" si="0"/>
        <v>9.9999999999999995E-7</v>
      </c>
    </row>
    <row r="21" spans="1:6">
      <c r="A21" t="s">
        <v>93</v>
      </c>
      <c r="B21" s="16">
        <v>1</v>
      </c>
      <c r="C21" s="16">
        <v>1</v>
      </c>
      <c r="D21" s="21">
        <f t="shared" si="0"/>
        <v>9.9999999999999995E-7</v>
      </c>
    </row>
    <row r="22" spans="1:6">
      <c r="A22" s="6" t="s">
        <v>5</v>
      </c>
      <c r="B22" s="7"/>
      <c r="C22" s="7">
        <f>SUM(C18:C21)</f>
        <v>4</v>
      </c>
      <c r="D22" s="7">
        <f>SUM(D18:D21)</f>
        <v>3.9999999999999998E-6</v>
      </c>
    </row>
    <row r="24" spans="1:6">
      <c r="A24" s="1" t="s">
        <v>70</v>
      </c>
      <c r="C24" s="16">
        <v>1</v>
      </c>
    </row>
    <row r="27" spans="1:6">
      <c r="A27" s="1" t="s">
        <v>10</v>
      </c>
    </row>
    <row r="28" spans="1:6">
      <c r="A28" s="1"/>
      <c r="E28" s="12" t="s">
        <v>11</v>
      </c>
      <c r="F28" s="12" t="s">
        <v>12</v>
      </c>
    </row>
    <row r="29" spans="1:6">
      <c r="A29" t="s">
        <v>55</v>
      </c>
      <c r="E29" s="24">
        <v>0.01</v>
      </c>
      <c r="F29" s="23">
        <v>0.01</v>
      </c>
    </row>
    <row r="30" spans="1:6">
      <c r="A30" t="s">
        <v>54</v>
      </c>
      <c r="E30" s="23">
        <v>0.01</v>
      </c>
      <c r="F30" s="23">
        <v>0.01</v>
      </c>
    </row>
    <row r="31" spans="1:6">
      <c r="A31" t="s">
        <v>57</v>
      </c>
      <c r="E31" s="16">
        <v>1</v>
      </c>
      <c r="F31" s="16">
        <v>1</v>
      </c>
    </row>
    <row r="32" spans="1:6">
      <c r="A32" t="s">
        <v>56</v>
      </c>
      <c r="E32" s="24">
        <v>0.01</v>
      </c>
      <c r="F32" s="23">
        <v>0.01</v>
      </c>
    </row>
    <row r="33" spans="1:7">
      <c r="A33" t="s">
        <v>58</v>
      </c>
      <c r="E33" s="16">
        <v>1</v>
      </c>
      <c r="F33" s="16">
        <v>1</v>
      </c>
    </row>
    <row r="34" spans="1:7">
      <c r="A34" t="s">
        <v>62</v>
      </c>
      <c r="E34" s="26">
        <v>0.01</v>
      </c>
      <c r="F34" s="23">
        <v>0.01</v>
      </c>
    </row>
    <row r="35" spans="1:7">
      <c r="A35" t="s">
        <v>63</v>
      </c>
      <c r="E35" s="23">
        <v>0.01</v>
      </c>
      <c r="F35" s="23">
        <v>0.01</v>
      </c>
    </row>
    <row r="36" spans="1:7">
      <c r="A36" t="s">
        <v>68</v>
      </c>
      <c r="E36" s="16">
        <v>1</v>
      </c>
      <c r="F36" s="16">
        <v>1</v>
      </c>
      <c r="G36" s="10" t="s">
        <v>69</v>
      </c>
    </row>
    <row r="37" spans="1:7">
      <c r="A37" s="1"/>
    </row>
    <row r="39" spans="1:7" s="3" customFormat="1" ht="18" customHeight="1">
      <c r="A39" s="4" t="s">
        <v>7</v>
      </c>
      <c r="B39" s="4"/>
      <c r="C39" s="5"/>
      <c r="D39" s="39" t="s">
        <v>6</v>
      </c>
      <c r="E39" s="39"/>
    </row>
    <row r="40" spans="1:7" s="3" customFormat="1" ht="18" customHeight="1">
      <c r="A40" s="4"/>
      <c r="B40" s="4"/>
      <c r="C40" s="5"/>
      <c r="D40" s="5" t="s">
        <v>11</v>
      </c>
      <c r="E40" s="5" t="s">
        <v>12</v>
      </c>
    </row>
    <row r="41" spans="1:7">
      <c r="A41" t="s">
        <v>59</v>
      </c>
      <c r="D41" s="25">
        <f>((E30*C22*E31)/1000000)*(1+E29)</f>
        <v>4.0400000000000004E-8</v>
      </c>
      <c r="E41" s="25">
        <f>((F30*C22*F31)/1000000)*(1+E29)*(1+F29)</f>
        <v>4.0804000000000006E-8</v>
      </c>
      <c r="F41" s="10"/>
    </row>
    <row r="42" spans="1:7">
      <c r="A42" t="s">
        <v>60</v>
      </c>
      <c r="D42" s="27">
        <f>(E32*C22*E33)/1000000*(1+E29)</f>
        <v>4.0400000000000004E-8</v>
      </c>
      <c r="E42" s="27">
        <f>(F32*C22*F33)/1000000*(1+E29)*(1+F29)</f>
        <v>4.0804000000000006E-8</v>
      </c>
    </row>
    <row r="43" spans="1:7">
      <c r="A43" t="s">
        <v>61</v>
      </c>
      <c r="D43" s="27">
        <f>(E34*C24)*E36/1000000*(1+E29)</f>
        <v>1.0100000000000001E-8</v>
      </c>
      <c r="E43" s="27">
        <f>(F34*C24/1000000)*F36*(1+F29)*(1+E29)</f>
        <v>1.0201000000000001E-8</v>
      </c>
      <c r="F43" s="10" t="s">
        <v>8</v>
      </c>
    </row>
    <row r="44" spans="1:7">
      <c r="A44" s="6" t="s">
        <v>5</v>
      </c>
      <c r="B44" s="7"/>
      <c r="C44" s="7"/>
      <c r="D44" s="28">
        <f>SUM(D39:D43)</f>
        <v>9.0900000000000013E-8</v>
      </c>
      <c r="E44" s="28">
        <f>SUM(E39:E43)</f>
        <v>9.1809000000000012E-8</v>
      </c>
    </row>
    <row r="46" spans="1:7">
      <c r="A46" t="s">
        <v>71</v>
      </c>
      <c r="D46" s="22">
        <f>D44*12</f>
        <v>1.0908000000000002E-6</v>
      </c>
      <c r="E46" s="22">
        <f>E44*12</f>
        <v>1.1017080000000002E-6</v>
      </c>
    </row>
    <row r="47" spans="1:7">
      <c r="G47" s="9"/>
    </row>
    <row r="48" spans="1:7" ht="16" customHeight="1">
      <c r="A48" s="41" t="s">
        <v>9</v>
      </c>
      <c r="B48" s="41"/>
      <c r="C48" s="5"/>
      <c r="D48" s="39" t="s">
        <v>6</v>
      </c>
      <c r="E48" s="39"/>
    </row>
    <row r="49" spans="1:5">
      <c r="A49" s="4"/>
      <c r="B49" s="4"/>
      <c r="C49" s="5"/>
      <c r="D49" s="5" t="s">
        <v>11</v>
      </c>
      <c r="E49" s="5" t="s">
        <v>12</v>
      </c>
    </row>
    <row r="50" spans="1:5">
      <c r="A50" t="s">
        <v>59</v>
      </c>
      <c r="D50" s="27">
        <f>D41</f>
        <v>4.0400000000000004E-8</v>
      </c>
      <c r="E50" s="27">
        <f>E41</f>
        <v>4.0804000000000006E-8</v>
      </c>
    </row>
    <row r="51" spans="1:5">
      <c r="A51" t="s">
        <v>60</v>
      </c>
      <c r="D51" s="27">
        <f>D42</f>
        <v>4.0400000000000004E-8</v>
      </c>
      <c r="E51" s="27">
        <f>E42</f>
        <v>4.0804000000000006E-8</v>
      </c>
    </row>
    <row r="52" spans="1:5">
      <c r="A52" t="s">
        <v>61</v>
      </c>
      <c r="D52" s="27">
        <f>(E35*C24)*E36/1000000*(1+E29)</f>
        <v>1.0100000000000001E-8</v>
      </c>
      <c r="E52" s="27">
        <f>(F35*C24/1000000)*F36*(1+F29)*(1+E29)</f>
        <v>1.0201000000000001E-8</v>
      </c>
    </row>
    <row r="53" spans="1:5">
      <c r="A53" s="6" t="s">
        <v>48</v>
      </c>
      <c r="B53" s="7"/>
      <c r="C53" s="7"/>
      <c r="D53" s="28">
        <f>SUM(D48:D52)</f>
        <v>9.0900000000000013E-8</v>
      </c>
      <c r="E53" s="28">
        <f>SUM(E48:E52)</f>
        <v>9.1809000000000012E-8</v>
      </c>
    </row>
    <row r="55" spans="1:5">
      <c r="A55" t="s">
        <v>71</v>
      </c>
      <c r="D55" s="22">
        <f>D53*12</f>
        <v>1.0908000000000002E-6</v>
      </c>
      <c r="E55" s="22">
        <f>E53*12</f>
        <v>1.1017080000000002E-6</v>
      </c>
    </row>
    <row r="58" spans="1:5">
      <c r="A58" s="1" t="s">
        <v>49</v>
      </c>
      <c r="B58"/>
      <c r="C58"/>
    </row>
    <row r="59" spans="1:5">
      <c r="B59"/>
      <c r="C59" s="39" t="s">
        <v>67</v>
      </c>
      <c r="D59" s="39"/>
    </row>
    <row r="60" spans="1:5">
      <c r="A60" s="6" t="s">
        <v>33</v>
      </c>
      <c r="B60" s="7" t="s">
        <v>66</v>
      </c>
      <c r="C60" s="7" t="s">
        <v>21</v>
      </c>
      <c r="D60" s="7" t="s">
        <v>22</v>
      </c>
    </row>
    <row r="61" spans="1:5">
      <c r="A61" t="s">
        <v>64</v>
      </c>
      <c r="B61" s="23">
        <v>0.01</v>
      </c>
      <c r="C61" s="18">
        <f>B13*0.12</f>
        <v>0.12</v>
      </c>
      <c r="D61" s="18">
        <f>B13*0.12</f>
        <v>0.12</v>
      </c>
    </row>
    <row r="62" spans="1:5">
      <c r="A62" t="s">
        <v>65</v>
      </c>
      <c r="B62" s="23">
        <v>0.01</v>
      </c>
      <c r="C62" s="20">
        <f>D53*12*0.25</f>
        <v>2.7270000000000005E-7</v>
      </c>
      <c r="D62" s="20">
        <f>E53*12*0.25</f>
        <v>2.7542700000000005E-7</v>
      </c>
    </row>
    <row r="63" spans="1:5">
      <c r="A63" s="6" t="s">
        <v>5</v>
      </c>
      <c r="B63" s="6"/>
      <c r="C63" s="8">
        <f>SUM(C61:C62)</f>
        <v>0.12000027269999999</v>
      </c>
      <c r="D63" s="8">
        <f>SUM(D61:D62)</f>
        <v>0.12000027542699999</v>
      </c>
    </row>
    <row r="64" spans="1:5">
      <c r="B64"/>
      <c r="C64"/>
    </row>
    <row r="65" spans="1:5">
      <c r="B65"/>
      <c r="C65"/>
    </row>
    <row r="66" spans="1:5">
      <c r="A66" s="1" t="s">
        <v>42</v>
      </c>
      <c r="B66"/>
      <c r="C66"/>
    </row>
    <row r="67" spans="1:5">
      <c r="A67" s="1"/>
      <c r="B67"/>
      <c r="C67"/>
    </row>
    <row r="68" spans="1:5">
      <c r="A68" s="4" t="s">
        <v>7</v>
      </c>
      <c r="B68" s="4"/>
      <c r="C68" s="39" t="s">
        <v>67</v>
      </c>
      <c r="D68" s="39"/>
    </row>
    <row r="69" spans="1:5">
      <c r="A69" s="6"/>
      <c r="B69" s="6"/>
      <c r="C69" s="7" t="s">
        <v>21</v>
      </c>
      <c r="D69" s="7" t="s">
        <v>22</v>
      </c>
    </row>
    <row r="70" spans="1:5">
      <c r="A70" t="s">
        <v>37</v>
      </c>
      <c r="B70"/>
      <c r="C70" s="18">
        <f>D41/E31*1000000+D43/E36*1000000</f>
        <v>5.0500000000000003E-2</v>
      </c>
      <c r="D70" s="18">
        <f>E41/F31*1000000+E43/F36*1000000</f>
        <v>5.1005000000000009E-2</v>
      </c>
      <c r="E70" s="10" t="s">
        <v>50</v>
      </c>
    </row>
    <row r="71" spans="1:5">
      <c r="A71" t="s">
        <v>35</v>
      </c>
      <c r="B71"/>
      <c r="C71" s="14">
        <v>1</v>
      </c>
      <c r="D71" s="14">
        <v>1</v>
      </c>
      <c r="E71" s="10" t="s">
        <v>44</v>
      </c>
    </row>
    <row r="72" spans="1:5">
      <c r="A72" s="6" t="s">
        <v>36</v>
      </c>
      <c r="B72" s="6"/>
      <c r="C72" s="8">
        <f>C70*C71*12/1000000</f>
        <v>6.0600000000000011E-7</v>
      </c>
      <c r="D72" s="8">
        <f>D70*D71*12/1000000</f>
        <v>6.120600000000001E-7</v>
      </c>
    </row>
    <row r="73" spans="1:5">
      <c r="B73"/>
      <c r="C73"/>
    </row>
    <row r="74" spans="1:5" ht="16" customHeight="1">
      <c r="A74" s="40" t="s">
        <v>9</v>
      </c>
      <c r="B74" s="40"/>
      <c r="C74" s="39" t="s">
        <v>67</v>
      </c>
      <c r="D74" s="39"/>
    </row>
    <row r="75" spans="1:5">
      <c r="A75" s="6"/>
      <c r="B75" s="6"/>
      <c r="C75" s="7" t="s">
        <v>21</v>
      </c>
      <c r="D75" s="7" t="s">
        <v>22</v>
      </c>
    </row>
    <row r="76" spans="1:5">
      <c r="A76" t="s">
        <v>37</v>
      </c>
      <c r="B76"/>
      <c r="C76" s="18">
        <f>D41/E31*1000000+D52/E36*1000000</f>
        <v>5.0500000000000003E-2</v>
      </c>
      <c r="D76" s="18">
        <f>E41/F31*1000000+E52/F36*1000000</f>
        <v>5.1005000000000009E-2</v>
      </c>
      <c r="E76" s="10" t="s">
        <v>50</v>
      </c>
    </row>
    <row r="77" spans="1:5">
      <c r="A77" t="s">
        <v>35</v>
      </c>
      <c r="B77"/>
      <c r="C77" s="14">
        <v>1</v>
      </c>
      <c r="D77" s="14">
        <v>1</v>
      </c>
      <c r="E77" s="10" t="s">
        <v>44</v>
      </c>
    </row>
    <row r="78" spans="1:5">
      <c r="A78" s="6" t="s">
        <v>36</v>
      </c>
      <c r="B78" s="6"/>
      <c r="C78" s="8">
        <f>C76*C77*12/1000000</f>
        <v>6.0600000000000011E-7</v>
      </c>
      <c r="D78" s="8">
        <f>D76*D77*12/1000000</f>
        <v>6.120600000000001E-7</v>
      </c>
    </row>
    <row r="79" spans="1:5">
      <c r="B79"/>
      <c r="C79"/>
    </row>
    <row r="80" spans="1:5">
      <c r="B80"/>
      <c r="C80"/>
    </row>
    <row r="81" spans="1:5">
      <c r="A81" s="1" t="s">
        <v>74</v>
      </c>
      <c r="B81"/>
      <c r="C81"/>
    </row>
    <row r="82" spans="1:5">
      <c r="B82"/>
      <c r="C82"/>
    </row>
    <row r="83" spans="1:5">
      <c r="A83" s="6"/>
      <c r="B83" s="6"/>
      <c r="C83" s="7" t="s">
        <v>21</v>
      </c>
      <c r="D83" s="7" t="s">
        <v>22</v>
      </c>
    </row>
    <row r="84" spans="1:5">
      <c r="A84" s="6" t="s">
        <v>33</v>
      </c>
      <c r="B84" s="6"/>
      <c r="C84" s="22">
        <f>D46-C63-C72</f>
        <v>-0.11999978789999999</v>
      </c>
      <c r="D84" s="22">
        <f>E46-D63-D72</f>
        <v>-0.119999785779</v>
      </c>
    </row>
    <row r="85" spans="1:5">
      <c r="A85" t="s">
        <v>75</v>
      </c>
      <c r="B85"/>
      <c r="C85"/>
      <c r="D85" s="38" t="str">
        <f>IF(SUM(C84:D84)&gt;B13,"YES","NO")</f>
        <v>NO</v>
      </c>
      <c r="E85" s="10" t="s">
        <v>46</v>
      </c>
    </row>
    <row r="86" spans="1:5">
      <c r="B86"/>
      <c r="C86"/>
    </row>
    <row r="87" spans="1:5">
      <c r="B87"/>
      <c r="C87"/>
    </row>
    <row r="88" spans="1:5">
      <c r="A88" t="s">
        <v>72</v>
      </c>
      <c r="B88"/>
      <c r="C88"/>
    </row>
    <row r="89" spans="1:5">
      <c r="B89"/>
      <c r="C89"/>
    </row>
    <row r="90" spans="1:5">
      <c r="A90" s="6"/>
      <c r="B90" s="6"/>
      <c r="C90" s="7" t="s">
        <v>21</v>
      </c>
      <c r="D90" s="7" t="s">
        <v>22</v>
      </c>
    </row>
    <row r="91" spans="1:5">
      <c r="A91" s="6" t="s">
        <v>33</v>
      </c>
      <c r="B91" s="6"/>
      <c r="C91" s="22">
        <f>D55-C63-C78</f>
        <v>-0.11999978789999999</v>
      </c>
      <c r="D91" s="22">
        <f>E55-D63-D78</f>
        <v>-0.119999785779</v>
      </c>
    </row>
    <row r="92" spans="1:5">
      <c r="A92" t="s">
        <v>75</v>
      </c>
      <c r="B92"/>
      <c r="C92"/>
      <c r="D92" s="38" t="str">
        <f>IF(SUM(C91:D91)&gt;B13,"YES","NO")</f>
        <v>NO</v>
      </c>
      <c r="E92" s="10" t="s">
        <v>46</v>
      </c>
    </row>
  </sheetData>
  <mergeCells count="7">
    <mergeCell ref="C74:D74"/>
    <mergeCell ref="A74:B74"/>
    <mergeCell ref="D39:E39"/>
    <mergeCell ref="D48:E48"/>
    <mergeCell ref="A48:B48"/>
    <mergeCell ref="C59:D59"/>
    <mergeCell ref="C68:D6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15867C9614F47BA8D6B0E29C1F8AC" ma:contentTypeVersion="2" ma:contentTypeDescription="Create a new document." ma:contentTypeScope="" ma:versionID="4ca898af8f7af041c51f4350d443e6f4">
  <xsd:schema xmlns:xsd="http://www.w3.org/2001/XMLSchema" xmlns:xs="http://www.w3.org/2001/XMLSchema" xmlns:p="http://schemas.microsoft.com/office/2006/metadata/properties" xmlns:ns1="http://schemas.microsoft.com/sharepoint/v3" xmlns:ns2="1aaea1ea-72e4-4374-b05e-72e2f16fb7ae" targetNamespace="http://schemas.microsoft.com/office/2006/metadata/properties" ma:root="true" ma:fieldsID="5f03cfa57e716973114bdf2422329f5c" ns1:_="" ns2:_="">
    <xsd:import namespace="http://schemas.microsoft.com/sharepoint/v3"/>
    <xsd:import namespace="1aaea1ea-72e4-4374-b05e-72e2f16fb7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a1ea-72e4-4374-b05e-72e2f16fb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FE9C8-179C-4FB3-8959-BD6DF479D92F}"/>
</file>

<file path=customXml/itemProps2.xml><?xml version="1.0" encoding="utf-8"?>
<ds:datastoreItem xmlns:ds="http://schemas.openxmlformats.org/officeDocument/2006/customXml" ds:itemID="{A923E1F0-4E98-4953-9CEB-90C1F1637A28}"/>
</file>

<file path=customXml/itemProps3.xml><?xml version="1.0" encoding="utf-8"?>
<ds:datastoreItem xmlns:ds="http://schemas.openxmlformats.org/officeDocument/2006/customXml" ds:itemID="{B721EE51-84D9-4265-B2BC-A98A90E1D1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Normcell</vt:lpstr>
      <vt:lpstr>Cloud</vt:lpstr>
      <vt:lpstr>Newtel</vt:lpstr>
    </vt:vector>
  </TitlesOfParts>
  <Company>Incyte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 Rogerson</dc:creator>
  <cp:lastModifiedBy>DAR Rogerson</cp:lastModifiedBy>
  <dcterms:created xsi:type="dcterms:W3CDTF">2014-06-09T12:59:57Z</dcterms:created>
  <dcterms:modified xsi:type="dcterms:W3CDTF">2014-07-17T14:45:34Z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0x010100D8D15867C9614F47BA8D6B0E29C1F8AC</vt:lpwstr>
  </property>
</Properties>
</file>