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80" yWindow="0" windowWidth="23200" windowHeight="15700" tabRatio="500" activeTab="2"/>
  </bookViews>
  <sheets>
    <sheet name="CLS Demand" sheetId="1" r:id="rId1"/>
    <sheet name="CLS Costs" sheetId="2" r:id="rId2"/>
    <sheet name="Quad play costs and price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D101" i="1"/>
  <c r="D81" i="1"/>
  <c r="G12" i="1"/>
  <c r="D111" i="1"/>
  <c r="E101" i="1"/>
  <c r="E81" i="1"/>
  <c r="H12" i="1"/>
  <c r="E111" i="1"/>
  <c r="F101" i="1"/>
  <c r="F81" i="1"/>
  <c r="I12" i="1"/>
  <c r="F111" i="1"/>
  <c r="G101" i="1"/>
  <c r="G81" i="1"/>
  <c r="G111" i="1"/>
  <c r="D102" i="1"/>
  <c r="D82" i="1"/>
  <c r="D112" i="1"/>
  <c r="E102" i="1"/>
  <c r="E82" i="1"/>
  <c r="E112" i="1"/>
  <c r="F102" i="1"/>
  <c r="F82" i="1"/>
  <c r="F112" i="1"/>
  <c r="G102" i="1"/>
  <c r="G82" i="1"/>
  <c r="G112" i="1"/>
  <c r="D103" i="1"/>
  <c r="D83" i="1"/>
  <c r="D113" i="1"/>
  <c r="E103" i="1"/>
  <c r="E83" i="1"/>
  <c r="E113" i="1"/>
  <c r="F103" i="1"/>
  <c r="F83" i="1"/>
  <c r="F113" i="1"/>
  <c r="G103" i="1"/>
  <c r="G83" i="1"/>
  <c r="G113" i="1"/>
  <c r="D104" i="1"/>
  <c r="D84" i="1"/>
  <c r="D114" i="1"/>
  <c r="E104" i="1"/>
  <c r="E84" i="1"/>
  <c r="E114" i="1"/>
  <c r="F104" i="1"/>
  <c r="F84" i="1"/>
  <c r="F114" i="1"/>
  <c r="G104" i="1"/>
  <c r="G84" i="1"/>
  <c r="G114" i="1"/>
  <c r="G11" i="1"/>
  <c r="D105" i="1"/>
  <c r="D85" i="1"/>
  <c r="D115" i="1"/>
  <c r="H11" i="1"/>
  <c r="E105" i="1"/>
  <c r="E85" i="1"/>
  <c r="E115" i="1"/>
  <c r="I11" i="1"/>
  <c r="F105" i="1"/>
  <c r="F85" i="1"/>
  <c r="F115" i="1"/>
  <c r="G105" i="1"/>
  <c r="G85" i="1"/>
  <c r="G115" i="1"/>
  <c r="D106" i="1"/>
  <c r="D86" i="1"/>
  <c r="D116" i="1"/>
  <c r="E106" i="1"/>
  <c r="E86" i="1"/>
  <c r="E116" i="1"/>
  <c r="F106" i="1"/>
  <c r="F86" i="1"/>
  <c r="F116" i="1"/>
  <c r="G106" i="1"/>
  <c r="G86" i="1"/>
  <c r="G116" i="1"/>
  <c r="C102" i="1"/>
  <c r="C82" i="1"/>
  <c r="C112" i="1"/>
  <c r="C103" i="1"/>
  <c r="C83" i="1"/>
  <c r="C113" i="1"/>
  <c r="C104" i="1"/>
  <c r="C84" i="1"/>
  <c r="C114" i="1"/>
  <c r="C105" i="1"/>
  <c r="C85" i="1"/>
  <c r="C115" i="1"/>
  <c r="C106" i="1"/>
  <c r="C86" i="1"/>
  <c r="C116" i="1"/>
  <c r="C101" i="1"/>
  <c r="C81" i="1"/>
  <c r="C111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C53" i="1"/>
  <c r="D35" i="1"/>
  <c r="E35" i="1"/>
  <c r="F35" i="1"/>
  <c r="G35" i="1"/>
  <c r="C35" i="1"/>
  <c r="C30" i="1"/>
  <c r="C39" i="1"/>
  <c r="C48" i="1"/>
  <c r="C57" i="1"/>
  <c r="C70" i="1"/>
  <c r="C80" i="1"/>
  <c r="C90" i="1"/>
  <c r="C100" i="1"/>
  <c r="C110" i="1"/>
  <c r="C122" i="1"/>
  <c r="C129" i="1"/>
  <c r="C69" i="2"/>
  <c r="C53" i="2"/>
  <c r="C46" i="2"/>
  <c r="C31" i="2"/>
  <c r="A86" i="1"/>
  <c r="E54" i="1"/>
  <c r="E130" i="1"/>
  <c r="E47" i="2"/>
  <c r="E107" i="1"/>
  <c r="E131" i="1"/>
  <c r="E48" i="2"/>
  <c r="E117" i="1"/>
  <c r="E58" i="1"/>
  <c r="E59" i="1"/>
  <c r="E60" i="1"/>
  <c r="E61" i="1"/>
  <c r="E62" i="1"/>
  <c r="E63" i="1"/>
  <c r="G13" i="1"/>
  <c r="H13" i="1"/>
  <c r="E132" i="1"/>
  <c r="E49" i="2"/>
  <c r="E50" i="2"/>
  <c r="E54" i="2"/>
  <c r="E55" i="2"/>
  <c r="E57" i="2"/>
  <c r="E58" i="2"/>
  <c r="C49" i="1"/>
  <c r="C50" i="1"/>
  <c r="C51" i="1"/>
  <c r="C52" i="1"/>
  <c r="C54" i="1"/>
  <c r="C130" i="1"/>
  <c r="C47" i="2"/>
  <c r="C107" i="1"/>
  <c r="C131" i="1"/>
  <c r="C48" i="2"/>
  <c r="C117" i="1"/>
  <c r="C58" i="1"/>
  <c r="C59" i="1"/>
  <c r="C60" i="1"/>
  <c r="C61" i="1"/>
  <c r="C62" i="1"/>
  <c r="C63" i="1"/>
  <c r="C132" i="1"/>
  <c r="C49" i="2"/>
  <c r="C50" i="2"/>
  <c r="C54" i="2"/>
  <c r="C55" i="2"/>
  <c r="C56" i="2"/>
  <c r="C59" i="2"/>
  <c r="D54" i="1"/>
  <c r="D130" i="1"/>
  <c r="D47" i="2"/>
  <c r="D107" i="1"/>
  <c r="D131" i="1"/>
  <c r="D48" i="2"/>
  <c r="D117" i="1"/>
  <c r="D58" i="1"/>
  <c r="D59" i="1"/>
  <c r="D60" i="1"/>
  <c r="D61" i="1"/>
  <c r="D62" i="1"/>
  <c r="D63" i="1"/>
  <c r="D132" i="1"/>
  <c r="D49" i="2"/>
  <c r="D50" i="2"/>
  <c r="D54" i="2"/>
  <c r="D55" i="2"/>
  <c r="D56" i="2"/>
  <c r="D59" i="2"/>
  <c r="E56" i="2"/>
  <c r="E59" i="2"/>
  <c r="E60" i="2"/>
  <c r="E61" i="2"/>
  <c r="E62" i="2"/>
  <c r="F16" i="3"/>
  <c r="F76" i="3"/>
  <c r="C45" i="1"/>
  <c r="F78" i="3"/>
  <c r="D130" i="3"/>
  <c r="D129" i="3"/>
  <c r="D128" i="3"/>
  <c r="D127" i="3"/>
  <c r="C112" i="3"/>
  <c r="B112" i="3"/>
  <c r="C111" i="3"/>
  <c r="B111" i="3"/>
  <c r="C110" i="3"/>
  <c r="B110" i="3"/>
  <c r="C109" i="3"/>
  <c r="B109" i="3"/>
  <c r="C31" i="1"/>
  <c r="C32" i="1"/>
  <c r="C33" i="1"/>
  <c r="C34" i="1"/>
  <c r="C36" i="1"/>
  <c r="C123" i="1"/>
  <c r="C25" i="2"/>
  <c r="C87" i="1"/>
  <c r="C124" i="1"/>
  <c r="C26" i="2"/>
  <c r="C125" i="1"/>
  <c r="C27" i="2"/>
  <c r="C28" i="2"/>
  <c r="D31" i="1"/>
  <c r="D32" i="1"/>
  <c r="D33" i="1"/>
  <c r="D34" i="1"/>
  <c r="D36" i="1"/>
  <c r="D123" i="1"/>
  <c r="D25" i="2"/>
  <c r="D87" i="1"/>
  <c r="D124" i="1"/>
  <c r="D26" i="2"/>
  <c r="D125" i="1"/>
  <c r="D27" i="2"/>
  <c r="D28" i="2"/>
  <c r="E31" i="1"/>
  <c r="E32" i="1"/>
  <c r="E33" i="1"/>
  <c r="E34" i="1"/>
  <c r="E36" i="1"/>
  <c r="E123" i="1"/>
  <c r="E25" i="2"/>
  <c r="E87" i="1"/>
  <c r="E124" i="1"/>
  <c r="E26" i="2"/>
  <c r="E125" i="1"/>
  <c r="E27" i="2"/>
  <c r="E28" i="2"/>
  <c r="F31" i="1"/>
  <c r="F32" i="1"/>
  <c r="F33" i="1"/>
  <c r="F34" i="1"/>
  <c r="F36" i="1"/>
  <c r="F123" i="1"/>
  <c r="F25" i="2"/>
  <c r="F87" i="1"/>
  <c r="F124" i="1"/>
  <c r="F26" i="2"/>
  <c r="F58" i="1"/>
  <c r="F59" i="1"/>
  <c r="F60" i="1"/>
  <c r="F61" i="1"/>
  <c r="F62" i="1"/>
  <c r="F63" i="1"/>
  <c r="F117" i="1"/>
  <c r="I13" i="1"/>
  <c r="F125" i="1"/>
  <c r="F27" i="2"/>
  <c r="F28" i="2"/>
  <c r="G31" i="1"/>
  <c r="G32" i="1"/>
  <c r="G33" i="1"/>
  <c r="G34" i="1"/>
  <c r="G36" i="1"/>
  <c r="G123" i="1"/>
  <c r="G25" i="2"/>
  <c r="G87" i="1"/>
  <c r="G124" i="1"/>
  <c r="G26" i="2"/>
  <c r="G58" i="1"/>
  <c r="G59" i="1"/>
  <c r="G60" i="1"/>
  <c r="G61" i="1"/>
  <c r="G62" i="1"/>
  <c r="G63" i="1"/>
  <c r="G117" i="1"/>
  <c r="G125" i="1"/>
  <c r="G27" i="2"/>
  <c r="G28" i="2"/>
  <c r="E45" i="1"/>
  <c r="D58" i="3"/>
  <c r="B58" i="3"/>
  <c r="C58" i="3"/>
  <c r="E58" i="3"/>
  <c r="C66" i="3"/>
  <c r="D57" i="3"/>
  <c r="B57" i="3"/>
  <c r="C57" i="3"/>
  <c r="E57" i="3"/>
  <c r="C65" i="3"/>
  <c r="D56" i="3"/>
  <c r="B56" i="3"/>
  <c r="C56" i="3"/>
  <c r="E56" i="3"/>
  <c r="C64" i="3"/>
  <c r="D55" i="3"/>
  <c r="B55" i="3"/>
  <c r="C55" i="3"/>
  <c r="E55" i="3"/>
  <c r="C63" i="3"/>
  <c r="D57" i="2"/>
  <c r="D58" i="2"/>
  <c r="D60" i="2"/>
  <c r="D61" i="2"/>
  <c r="D62" i="2"/>
  <c r="D70" i="2"/>
  <c r="D35" i="2"/>
  <c r="D32" i="2"/>
  <c r="D33" i="2"/>
  <c r="D36" i="2"/>
  <c r="D34" i="2"/>
  <c r="C32" i="2"/>
  <c r="C33" i="2"/>
  <c r="C34" i="2"/>
  <c r="C37" i="2"/>
  <c r="D37" i="2"/>
  <c r="D38" i="2"/>
  <c r="D39" i="2"/>
  <c r="D40" i="2"/>
  <c r="D71" i="2"/>
  <c r="D72" i="2"/>
  <c r="E70" i="2"/>
  <c r="E35" i="2"/>
  <c r="E32" i="2"/>
  <c r="E33" i="2"/>
  <c r="E36" i="2"/>
  <c r="E34" i="2"/>
  <c r="E37" i="2"/>
  <c r="E38" i="2"/>
  <c r="E39" i="2"/>
  <c r="E40" i="2"/>
  <c r="E71" i="2"/>
  <c r="E72" i="2"/>
  <c r="F57" i="2"/>
  <c r="F132" i="1"/>
  <c r="F49" i="2"/>
  <c r="F54" i="1"/>
  <c r="F130" i="1"/>
  <c r="F47" i="2"/>
  <c r="F107" i="1"/>
  <c r="F131" i="1"/>
  <c r="F48" i="2"/>
  <c r="F50" i="2"/>
  <c r="F54" i="2"/>
  <c r="F55" i="2"/>
  <c r="F58" i="2"/>
  <c r="F56" i="2"/>
  <c r="F59" i="2"/>
  <c r="F60" i="2"/>
  <c r="F61" i="2"/>
  <c r="F62" i="2"/>
  <c r="F70" i="2"/>
  <c r="F35" i="2"/>
  <c r="F32" i="2"/>
  <c r="F33" i="2"/>
  <c r="F36" i="2"/>
  <c r="F34" i="2"/>
  <c r="F37" i="2"/>
  <c r="F38" i="2"/>
  <c r="F39" i="2"/>
  <c r="F40" i="2"/>
  <c r="F71" i="2"/>
  <c r="F72" i="2"/>
  <c r="G57" i="2"/>
  <c r="G132" i="1"/>
  <c r="G49" i="2"/>
  <c r="G54" i="1"/>
  <c r="G130" i="1"/>
  <c r="G47" i="2"/>
  <c r="G107" i="1"/>
  <c r="G131" i="1"/>
  <c r="G48" i="2"/>
  <c r="G50" i="2"/>
  <c r="G54" i="2"/>
  <c r="G55" i="2"/>
  <c r="G58" i="2"/>
  <c r="G56" i="2"/>
  <c r="G59" i="2"/>
  <c r="G60" i="2"/>
  <c r="G61" i="2"/>
  <c r="G62" i="2"/>
  <c r="G70" i="2"/>
  <c r="G35" i="2"/>
  <c r="G32" i="2"/>
  <c r="G33" i="2"/>
  <c r="G36" i="2"/>
  <c r="G34" i="2"/>
  <c r="G37" i="2"/>
  <c r="G38" i="2"/>
  <c r="G39" i="2"/>
  <c r="G40" i="2"/>
  <c r="G71" i="2"/>
  <c r="G72" i="2"/>
  <c r="C57" i="2"/>
  <c r="C58" i="2"/>
  <c r="C60" i="2"/>
  <c r="C61" i="2"/>
  <c r="C62" i="2"/>
  <c r="C70" i="2"/>
  <c r="C35" i="2"/>
  <c r="C36" i="2"/>
  <c r="C38" i="2"/>
  <c r="C39" i="2"/>
  <c r="C40" i="2"/>
  <c r="C71" i="2"/>
  <c r="C72" i="2"/>
  <c r="E16" i="3"/>
  <c r="D69" i="2"/>
  <c r="E69" i="2"/>
  <c r="F69" i="2"/>
  <c r="G69" i="2"/>
  <c r="C113" i="3"/>
  <c r="B113" i="3"/>
  <c r="E78" i="3"/>
  <c r="B128" i="3"/>
  <c r="C128" i="3"/>
  <c r="E128" i="3"/>
  <c r="C136" i="3"/>
  <c r="B129" i="3"/>
  <c r="C129" i="3"/>
  <c r="E129" i="3"/>
  <c r="C137" i="3"/>
  <c r="B130" i="3"/>
  <c r="C130" i="3"/>
  <c r="E130" i="3"/>
  <c r="C138" i="3"/>
  <c r="B127" i="3"/>
  <c r="C127" i="3"/>
  <c r="E127" i="3"/>
  <c r="C135" i="3"/>
  <c r="E76" i="3"/>
  <c r="D119" i="3"/>
  <c r="B119" i="3"/>
  <c r="C119" i="3"/>
  <c r="E119" i="3"/>
  <c r="B136" i="3"/>
  <c r="D120" i="3"/>
  <c r="B120" i="3"/>
  <c r="C120" i="3"/>
  <c r="E120" i="3"/>
  <c r="B137" i="3"/>
  <c r="D121" i="3"/>
  <c r="B121" i="3"/>
  <c r="C121" i="3"/>
  <c r="E121" i="3"/>
  <c r="B138" i="3"/>
  <c r="B118" i="3"/>
  <c r="C118" i="3"/>
  <c r="D118" i="3"/>
  <c r="E118" i="3"/>
  <c r="B135" i="3"/>
  <c r="C105" i="3"/>
  <c r="B105" i="3"/>
  <c r="C131" i="3"/>
  <c r="D131" i="3"/>
  <c r="B131" i="3"/>
  <c r="C122" i="3"/>
  <c r="D122" i="3"/>
  <c r="B122" i="3"/>
  <c r="C37" i="3"/>
  <c r="C38" i="3"/>
  <c r="C39" i="3"/>
  <c r="C40" i="3"/>
  <c r="B38" i="3"/>
  <c r="B39" i="3"/>
  <c r="B40" i="3"/>
  <c r="B37" i="3"/>
  <c r="C41" i="3"/>
  <c r="B41" i="3"/>
  <c r="C47" i="3"/>
  <c r="D47" i="3"/>
  <c r="B47" i="3"/>
  <c r="E47" i="3"/>
  <c r="B64" i="3"/>
  <c r="C48" i="3"/>
  <c r="D48" i="3"/>
  <c r="B48" i="3"/>
  <c r="E48" i="3"/>
  <c r="B65" i="3"/>
  <c r="C49" i="3"/>
  <c r="D49" i="3"/>
  <c r="B49" i="3"/>
  <c r="E49" i="3"/>
  <c r="B66" i="3"/>
  <c r="C46" i="3"/>
  <c r="D46" i="3"/>
  <c r="B46" i="3"/>
  <c r="E46" i="3"/>
  <c r="B63" i="3"/>
  <c r="B33" i="3"/>
  <c r="D53" i="2"/>
  <c r="E53" i="2"/>
  <c r="F53" i="2"/>
  <c r="G53" i="2"/>
  <c r="D31" i="2"/>
  <c r="E31" i="2"/>
  <c r="F31" i="2"/>
  <c r="G31" i="2"/>
  <c r="D46" i="2"/>
  <c r="E46" i="2"/>
  <c r="F46" i="2"/>
  <c r="G46" i="2"/>
  <c r="D24" i="2"/>
  <c r="E24" i="2"/>
  <c r="F24" i="2"/>
  <c r="G24" i="2"/>
  <c r="D100" i="1"/>
  <c r="E100" i="1"/>
  <c r="F100" i="1"/>
  <c r="G100" i="1"/>
  <c r="G45" i="1"/>
  <c r="D122" i="1"/>
  <c r="E122" i="1"/>
  <c r="F122" i="1"/>
  <c r="G122" i="1"/>
  <c r="G133" i="1"/>
  <c r="F45" i="1"/>
  <c r="F133" i="1"/>
  <c r="E133" i="1"/>
  <c r="D45" i="1"/>
  <c r="D133" i="1"/>
  <c r="C133" i="1"/>
  <c r="D129" i="1"/>
  <c r="E129" i="1"/>
  <c r="F129" i="1"/>
  <c r="G129" i="1"/>
  <c r="D126" i="1"/>
  <c r="E126" i="1"/>
  <c r="F126" i="1"/>
  <c r="G126" i="1"/>
  <c r="C126" i="1"/>
  <c r="D110" i="1"/>
  <c r="E110" i="1"/>
  <c r="F110" i="1"/>
  <c r="G110" i="1"/>
  <c r="D80" i="1"/>
  <c r="E80" i="1"/>
  <c r="F80" i="1"/>
  <c r="G80" i="1"/>
  <c r="D48" i="1"/>
  <c r="E48" i="1"/>
  <c r="F48" i="1"/>
  <c r="G48" i="1"/>
  <c r="D30" i="1"/>
  <c r="E30" i="1"/>
  <c r="F30" i="1"/>
  <c r="G30" i="1"/>
  <c r="D90" i="1"/>
  <c r="E90" i="1"/>
  <c r="F90" i="1"/>
  <c r="G90" i="1"/>
  <c r="G77" i="1"/>
  <c r="F77" i="1"/>
  <c r="E77" i="1"/>
  <c r="D77" i="1"/>
  <c r="C77" i="1"/>
  <c r="D70" i="1"/>
  <c r="E70" i="1"/>
  <c r="F70" i="1"/>
  <c r="G70" i="1"/>
  <c r="G10" i="1"/>
  <c r="H10" i="1"/>
  <c r="I10" i="1"/>
  <c r="J10" i="1"/>
  <c r="D57" i="1"/>
  <c r="E57" i="1"/>
  <c r="F57" i="1"/>
  <c r="G57" i="1"/>
  <c r="D39" i="1"/>
  <c r="E39" i="1"/>
  <c r="F39" i="1"/>
  <c r="G39" i="1"/>
  <c r="E27" i="1"/>
  <c r="F27" i="1"/>
  <c r="G27" i="1"/>
  <c r="D21" i="1"/>
  <c r="E21" i="1"/>
  <c r="F21" i="1"/>
  <c r="G21" i="1"/>
  <c r="D27" i="1"/>
  <c r="C27" i="1"/>
  <c r="C97" i="1"/>
  <c r="D97" i="1"/>
  <c r="E97" i="1"/>
  <c r="F97" i="1"/>
  <c r="G97" i="1"/>
  <c r="C33" i="3"/>
  <c r="B67" i="3"/>
  <c r="C67" i="3"/>
  <c r="E122" i="3"/>
  <c r="B139" i="3"/>
  <c r="E131" i="3"/>
  <c r="C139" i="3"/>
</calcChain>
</file>

<file path=xl/sharedStrings.xml><?xml version="1.0" encoding="utf-8"?>
<sst xmlns="http://schemas.openxmlformats.org/spreadsheetml/2006/main" count="326" uniqueCount="138">
  <si>
    <t>TOTAL</t>
  </si>
  <si>
    <t>STEP 1</t>
  </si>
  <si>
    <t>Fill in the Assumptions shaded green</t>
  </si>
  <si>
    <t>STEP 2</t>
  </si>
  <si>
    <t>Review the calculations shaded blue (no need to change these cells)</t>
  </si>
  <si>
    <t>STEP 3</t>
  </si>
  <si>
    <t>STEP 4</t>
  </si>
  <si>
    <t>Transfer data to/from the cost models</t>
  </si>
  <si>
    <t>Check the revenue and cost outcomes to make your case to TRAN</t>
  </si>
  <si>
    <t>Internet</t>
  </si>
  <si>
    <t>International leased lines</t>
  </si>
  <si>
    <t>IPTV</t>
  </si>
  <si>
    <t>International calls - outbound</t>
  </si>
  <si>
    <t>International calls - inbound</t>
  </si>
  <si>
    <t>BH Mbps</t>
  </si>
  <si>
    <t>from NGN training cost model, table 6.04</t>
  </si>
  <si>
    <t>Assumptions</t>
  </si>
  <si>
    <t>Demand analysis - Fixed network</t>
  </si>
  <si>
    <t>Demand analysis - Mobile network</t>
  </si>
  <si>
    <t>BH MB</t>
  </si>
  <si>
    <t>Outgoing calls to international</t>
  </si>
  <si>
    <t>Incoming calls from international</t>
  </si>
  <si>
    <t>Outbound roaming calls</t>
  </si>
  <si>
    <t>Incoming roaming calls</t>
  </si>
  <si>
    <t>Videocall</t>
  </si>
  <si>
    <t>from mobile training cost model, table 6.02</t>
  </si>
  <si>
    <t>Normcell - Mobile network demand (with Cloud)</t>
  </si>
  <si>
    <t>Newtel - Fixed subscribers service demand (includes Cloud)</t>
  </si>
  <si>
    <t>Telecom - Fixed subscribers service demand</t>
  </si>
  <si>
    <t>Telecom - Fixed subscribers submarine cable demand</t>
  </si>
  <si>
    <t>Newtel - Fixed subscribers submarine cable demand</t>
  </si>
  <si>
    <t>Telecom - Mobile subscribers service demand (without Cloud)</t>
  </si>
  <si>
    <t>Conversion factor MB to Mbps</t>
  </si>
  <si>
    <t>Total service demand - ABC</t>
  </si>
  <si>
    <t>Telecom (fixed subscribers)</t>
  </si>
  <si>
    <t>Newtel (fixed subscribers)</t>
  </si>
  <si>
    <t>Other service providers</t>
  </si>
  <si>
    <t>Other SPs - Fixed subscribers submarine cable demand</t>
  </si>
  <si>
    <t xml:space="preserve">Other SPs - Mobile subscribers submarine cable demand </t>
  </si>
  <si>
    <t>Telecom (mobile subscribers)</t>
  </si>
  <si>
    <t>Newtel (mobile subscribers)</t>
  </si>
  <si>
    <t>Total service demand - JKL</t>
  </si>
  <si>
    <t>Telecom - Mobile subscribers submarine cable demand (without Cloud)</t>
  </si>
  <si>
    <t>Normcell - Mobile subscribers submarine cable demand (without Cloud)</t>
  </si>
  <si>
    <t>SUBMARINE CABLE - DEMAND ESTIMATES</t>
  </si>
  <si>
    <t xml:space="preserve"> </t>
  </si>
  <si>
    <t>SUBMARINE CABLE - COST ESTIMATES</t>
  </si>
  <si>
    <t>Cost ($m) for first 10Gbps</t>
  </si>
  <si>
    <t>Discount each per additional 10Gbps</t>
  </si>
  <si>
    <t>Lifetime of the submarine cable (depereciation period) - years</t>
  </si>
  <si>
    <t>Operations and maintenance costs (% of initial capex )</t>
  </si>
  <si>
    <t>Annual change in O&amp;M costs</t>
  </si>
  <si>
    <t>Effective cable utilisation rate</t>
  </si>
  <si>
    <t>Cost analysis - ABC</t>
  </si>
  <si>
    <t>Required number of 10G</t>
  </si>
  <si>
    <t>Capital cost per average 10G ($m)</t>
  </si>
  <si>
    <t>Annual capex per 10G ($k)</t>
  </si>
  <si>
    <t>Annual capital charge (%)</t>
  </si>
  <si>
    <t>WACC</t>
  </si>
  <si>
    <t>Total capital cost ($m)</t>
  </si>
  <si>
    <t>Total O&amp;M ($m)</t>
  </si>
  <si>
    <t>Annual Opex per 10G ($k)</t>
  </si>
  <si>
    <t>Total annual cost per 10G ($k)</t>
  </si>
  <si>
    <t>Cost analysis - JKL</t>
  </si>
  <si>
    <t>Costs of cable capacity - ABC</t>
  </si>
  <si>
    <t>Costs of cable capacity - JKL</t>
  </si>
  <si>
    <t>QUAD-PLAY - COSTS AND PRICES</t>
  </si>
  <si>
    <t>Newtel - cost of fibre access - $ per subscriber p.a.</t>
  </si>
  <si>
    <t>Newtel - cost of core network - $ per Mbps p.a.</t>
  </si>
  <si>
    <t>Normcell - cost of access to JKL cable - $ per Mbps p.m.</t>
  </si>
  <si>
    <t>Normcell - cost of mobile access - $ per Mbyte</t>
  </si>
  <si>
    <t>Service</t>
  </si>
  <si>
    <t>Vitesse 2</t>
  </si>
  <si>
    <t>Vitesse 10</t>
  </si>
  <si>
    <t>Vitesse 25</t>
  </si>
  <si>
    <t>Vitesse 100</t>
  </si>
  <si>
    <t>Submarine cable</t>
  </si>
  <si>
    <t>Core Network</t>
  </si>
  <si>
    <t>Access network</t>
  </si>
  <si>
    <t>Maximum bandwidth (Mbps)</t>
  </si>
  <si>
    <t>TOTAL cost</t>
  </si>
  <si>
    <t xml:space="preserve">Newtel services and prices </t>
  </si>
  <si>
    <t>Tariff 2016 ($p.m.)</t>
  </si>
  <si>
    <t>Newtel quad-play business case</t>
  </si>
  <si>
    <t>Newtel costs  2016</t>
  </si>
  <si>
    <t xml:space="preserve">Contention ratio for broadband </t>
  </si>
  <si>
    <t>Cost of sale</t>
  </si>
  <si>
    <t>Newtel profit margin by service</t>
  </si>
  <si>
    <t>Newtel revenues ($m)</t>
  </si>
  <si>
    <t>Normcell quad-play business case</t>
  </si>
  <si>
    <t>Mobile network</t>
  </si>
  <si>
    <t>Cost ($ per subscriber per month)</t>
  </si>
  <si>
    <t>JKL cable</t>
  </si>
  <si>
    <t>Normcell profit margin by service</t>
  </si>
  <si>
    <t>Normcell - cost of core network - $ per Mbyte</t>
  </si>
  <si>
    <t xml:space="preserve"> Core Network</t>
  </si>
  <si>
    <t>Normcell costs  2016</t>
  </si>
  <si>
    <t xml:space="preserve">Normcell tariffs </t>
  </si>
  <si>
    <t>Fixed fee</t>
  </si>
  <si>
    <t>as for Newtel above</t>
  </si>
  <si>
    <t>AVERAGE</t>
  </si>
  <si>
    <t>Cost ($ per MB)</t>
  </si>
  <si>
    <t>Subscribers (2016)</t>
  </si>
  <si>
    <t>Revenue per MB (at forecast tariffs)</t>
  </si>
  <si>
    <t>Cost analysis - Normalia total market</t>
  </si>
  <si>
    <t>Cost per Mbps per month</t>
  </si>
  <si>
    <t>Cost per Mbps per month - ABC</t>
  </si>
  <si>
    <t>Cost per Mbps per month - JKL</t>
  </si>
  <si>
    <t>Average cost per Mbps per month</t>
  </si>
  <si>
    <t>Costs of cable capacity - Normalia</t>
  </si>
  <si>
    <t>USD</t>
  </si>
  <si>
    <t>Transfer data from the demand model</t>
  </si>
  <si>
    <t>from NGA training cost model (sites connected)</t>
  </si>
  <si>
    <t xml:space="preserve">Average Newtel subscribers (with Cloud) </t>
  </si>
  <si>
    <t>Check the cost outcomes to make your case to TRAN</t>
  </si>
  <si>
    <t>Check the demand outcomes to make your case to TRAN</t>
  </si>
  <si>
    <t>Proportion of ISP traffic on ABC submarine cable (rather than JKL)</t>
  </si>
  <si>
    <t xml:space="preserve">see workings for Practical Exercise 3 </t>
  </si>
  <si>
    <t>Basic</t>
  </si>
  <si>
    <t>Enhanced</t>
  </si>
  <si>
    <t>Maxi</t>
  </si>
  <si>
    <t>Unlimited</t>
  </si>
  <si>
    <t>see workings for Practical Exercise 4</t>
  </si>
  <si>
    <t>Normcell subscribers</t>
  </si>
  <si>
    <t>User-determined assumption</t>
  </si>
  <si>
    <t>from NGN training cost model (at proposed contention ratio)</t>
  </si>
  <si>
    <t>Fill in the Data and Assumptions shaded greenfrom previous exercises/models</t>
  </si>
  <si>
    <t>Data services</t>
  </si>
  <si>
    <t>Newtel costs  2018</t>
  </si>
  <si>
    <t>Subscribers (2018)</t>
  </si>
  <si>
    <t>Revenue per MB (at 2016 tariffs)</t>
  </si>
  <si>
    <t>Normcell costs  2018</t>
  </si>
  <si>
    <t xml:space="preserve">Proportion of  broadband traffic carried by other ISPs </t>
  </si>
  <si>
    <t>Proportion of broadband traffic that uses submarine cable (i.e. is not hosted locally)</t>
  </si>
  <si>
    <t>Based on survey of 8 submarine cable systems</t>
  </si>
  <si>
    <t>Normcell (mobile subscribers)</t>
  </si>
  <si>
    <t>Tariff 2018 ($p.m.)</t>
  </si>
  <si>
    <t>Annual growth in broadband usage within each data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</si>
</sst>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#,##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color rgb="FF000000"/>
      <name val="Calibri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5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6" fillId="0" borderId="0" xfId="0" applyFont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3" fontId="3" fillId="2" borderId="0" xfId="0" applyNumberFormat="1" applyFont="1" applyFill="1" applyAlignment="1">
      <alignment horizontal="center"/>
    </xf>
    <xf numFmtId="0" fontId="7" fillId="0" borderId="0" xfId="0" applyFont="1"/>
    <xf numFmtId="9" fontId="0" fillId="3" borderId="0" xfId="195" applyFont="1" applyFill="1" applyAlignment="1">
      <alignment horizontal="center" vertical="center"/>
    </xf>
    <xf numFmtId="9" fontId="0" fillId="4" borderId="0" xfId="0" applyNumberForma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9" fontId="0" fillId="3" borderId="0" xfId="195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Alignment="1">
      <alignment wrapText="1"/>
    </xf>
    <xf numFmtId="165" fontId="0" fillId="3" borderId="0" xfId="195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9" fontId="0" fillId="4" borderId="0" xfId="195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2" fontId="0" fillId="3" borderId="0" xfId="195" applyNumberFormat="1" applyFon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4" fontId="0" fillId="3" borderId="0" xfId="195" applyNumberFormat="1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wrapText="1"/>
    </xf>
    <xf numFmtId="9" fontId="0" fillId="4" borderId="0" xfId="195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9" fontId="3" fillId="5" borderId="0" xfId="195" applyFont="1" applyFill="1" applyAlignment="1">
      <alignment horizontal="center"/>
    </xf>
    <xf numFmtId="166" fontId="0" fillId="3" borderId="0" xfId="195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0" fillId="4" borderId="0" xfId="0" applyNumberForma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center" wrapText="1"/>
    </xf>
    <xf numFmtId="167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8" fillId="7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center" wrapText="1"/>
    </xf>
  </cellXfs>
  <cellStyles count="4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Normal" xfId="0" builtinId="0"/>
    <cellStyle name="Percent" xfId="19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'CLS Costs'!$A$72</c:f>
              <c:strCache>
                <c:ptCount val="1"/>
                <c:pt idx="0">
                  <c:v>Average cost per Mbps per month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'CLS Costs'!$C$69:$G$69</c:f>
              <c:numCache>
                <c:formatCode>General</c:formatCode>
                <c:ptCount val="5"/>
                <c:pt idx="0">
                  <c:v>2016.0</c:v>
                </c:pt>
                <c:pt idx="1">
                  <c:v>2017.0</c:v>
                </c:pt>
                <c:pt idx="2">
                  <c:v>2018.0</c:v>
                </c:pt>
                <c:pt idx="3">
                  <c:v>2019.0</c:v>
                </c:pt>
                <c:pt idx="4">
                  <c:v>2020.0</c:v>
                </c:pt>
              </c:numCache>
            </c:numRef>
          </c:cat>
          <c:val>
            <c:numRef>
              <c:f>'CLS Costs'!$C$72:$G$72</c:f>
              <c:numCache>
                <c:formatCode>0.0</c:formatCode>
                <c:ptCount val="5"/>
                <c:pt idx="0">
                  <c:v>1.80416668600969</c:v>
                </c:pt>
                <c:pt idx="1">
                  <c:v>1.257003651938099</c:v>
                </c:pt>
                <c:pt idx="2">
                  <c:v>0.955757452737326</c:v>
                </c:pt>
                <c:pt idx="3">
                  <c:v>0.708799348213521</c:v>
                </c:pt>
                <c:pt idx="4">
                  <c:v>0.468094101362987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1697064"/>
        <c:axId val="-2096156104"/>
      </c:barChart>
      <c:catAx>
        <c:axId val="1811697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96156104"/>
        <c:crosses val="autoZero"/>
        <c:auto val="1"/>
        <c:lblAlgn val="ctr"/>
        <c:lblOffset val="100"/>
        <c:noMultiLvlLbl val="0"/>
      </c:catAx>
      <c:valAx>
        <c:axId val="-2096156104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1811697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927100</xdr:colOff>
      <xdr:row>75</xdr:row>
      <xdr:rowOff>95250</xdr:rowOff>
    </xdr:from>
    <xdr:to>
      <xdr:col>5</xdr:col>
      <xdr:colOff>101600</xdr:colOff>
      <xdr:row>89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showGridLines="0" topLeftCell="A111" workbookViewId="0">
      <selection activeCell="A121" sqref="A121:G133"/>
    </sheetView>
  </sheetViews>
  <sheetFormatPr baseColWidth="10" defaultColWidth="11" defaultRowHeight="15" x14ac:dyDescent="0"/>
  <cols>
    <col min="1" max="6" width="14.1640625" customWidth="1"/>
    <col min="7" max="7" width="13" customWidth="1"/>
    <col min="8" max="9" width="11" customWidth="1"/>
  </cols>
  <sheetData>
    <row r="1" spans="1:10" ht="20">
      <c r="A1" s="14" t="s">
        <v>44</v>
      </c>
      <c r="B1" s="2"/>
      <c r="C1" s="2"/>
    </row>
    <row r="2" spans="1:10">
      <c r="B2" s="2"/>
      <c r="C2" s="2"/>
    </row>
    <row r="3" spans="1:10">
      <c r="A3" s="1" t="s">
        <v>1</v>
      </c>
      <c r="B3" s="8" t="s">
        <v>2</v>
      </c>
      <c r="C3" s="6"/>
      <c r="D3" s="8"/>
      <c r="E3" s="8"/>
      <c r="F3" s="8"/>
      <c r="G3" s="8"/>
    </row>
    <row r="4" spans="1:10">
      <c r="A4" s="1" t="s">
        <v>3</v>
      </c>
      <c r="B4" s="9" t="s">
        <v>4</v>
      </c>
      <c r="C4" s="7"/>
      <c r="D4" s="10"/>
      <c r="E4" s="10"/>
      <c r="F4" s="10"/>
      <c r="G4" s="10"/>
    </row>
    <row r="5" spans="1:10">
      <c r="A5" s="1" t="s">
        <v>5</v>
      </c>
      <c r="B5" s="15" t="s">
        <v>7</v>
      </c>
      <c r="C5" s="16"/>
      <c r="D5" s="17"/>
      <c r="E5" s="17"/>
      <c r="F5" s="17"/>
      <c r="G5" s="17"/>
    </row>
    <row r="6" spans="1:10">
      <c r="A6" s="1" t="s">
        <v>6</v>
      </c>
      <c r="B6" s="11" t="s">
        <v>115</v>
      </c>
      <c r="C6" s="12"/>
      <c r="D6" s="13"/>
      <c r="E6" s="13"/>
      <c r="F6" s="13"/>
      <c r="G6" s="13"/>
    </row>
    <row r="7" spans="1:10">
      <c r="B7" s="2"/>
      <c r="C7" s="2"/>
    </row>
    <row r="8" spans="1:10">
      <c r="B8" s="2"/>
      <c r="C8" s="2"/>
    </row>
    <row r="9" spans="1:10" ht="20">
      <c r="A9" s="19" t="s">
        <v>16</v>
      </c>
      <c r="B9" s="2"/>
      <c r="C9" s="2"/>
    </row>
    <row r="10" spans="1:10">
      <c r="B10" s="2"/>
      <c r="F10" s="4">
        <v>2016</v>
      </c>
      <c r="G10" s="4">
        <f>F10+1</f>
        <v>2017</v>
      </c>
      <c r="H10" s="4">
        <f t="shared" ref="H10:J10" si="0">G10+1</f>
        <v>2018</v>
      </c>
      <c r="I10" s="4">
        <f t="shared" si="0"/>
        <v>2019</v>
      </c>
      <c r="J10" s="4">
        <f t="shared" si="0"/>
        <v>2020</v>
      </c>
    </row>
    <row r="11" spans="1:10" ht="15" customHeight="1">
      <c r="A11" s="60" t="s">
        <v>133</v>
      </c>
      <c r="B11" s="60"/>
      <c r="C11" s="60"/>
      <c r="D11" s="60"/>
      <c r="E11" s="60"/>
      <c r="F11" s="20">
        <v>0.8</v>
      </c>
      <c r="G11" s="21">
        <f t="shared" ref="G11:I13" si="1">F11+($J11-$F11)/4</f>
        <v>0.75</v>
      </c>
      <c r="H11" s="21">
        <f t="shared" si="1"/>
        <v>0.7</v>
      </c>
      <c r="I11" s="21">
        <f t="shared" si="1"/>
        <v>0.64999999999999991</v>
      </c>
      <c r="J11" s="22">
        <v>0.6</v>
      </c>
    </row>
    <row r="12" spans="1:10" ht="15" customHeight="1">
      <c r="A12" s="60" t="s">
        <v>132</v>
      </c>
      <c r="B12" s="60"/>
      <c r="C12" s="60"/>
      <c r="D12" s="60"/>
      <c r="E12" s="60"/>
      <c r="F12" s="20">
        <v>0.15</v>
      </c>
      <c r="G12" s="21">
        <f t="shared" si="1"/>
        <v>0.19999999999999998</v>
      </c>
      <c r="H12" s="21">
        <f t="shared" si="1"/>
        <v>0.24999999999999997</v>
      </c>
      <c r="I12" s="21">
        <f t="shared" si="1"/>
        <v>0.3</v>
      </c>
      <c r="J12" s="22">
        <v>0.35</v>
      </c>
    </row>
    <row r="13" spans="1:10" ht="15" customHeight="1">
      <c r="A13" s="60" t="s">
        <v>116</v>
      </c>
      <c r="B13" s="60"/>
      <c r="C13" s="60"/>
      <c r="D13" s="60"/>
      <c r="E13" s="60"/>
      <c r="F13" s="20">
        <v>1</v>
      </c>
      <c r="G13" s="21">
        <f t="shared" si="1"/>
        <v>0.9</v>
      </c>
      <c r="H13" s="21">
        <f t="shared" si="1"/>
        <v>0.8</v>
      </c>
      <c r="I13" s="21">
        <f t="shared" si="1"/>
        <v>0.70000000000000007</v>
      </c>
      <c r="J13" s="22">
        <v>0.6</v>
      </c>
    </row>
    <row r="14" spans="1:10">
      <c r="B14" s="2"/>
      <c r="C14" s="2"/>
    </row>
    <row r="15" spans="1:10">
      <c r="A15" t="s">
        <v>32</v>
      </c>
      <c r="B15" s="2"/>
      <c r="C15" s="59">
        <f>8/60/60/25%</f>
        <v>8.8888888888888889E-3</v>
      </c>
    </row>
    <row r="16" spans="1:10">
      <c r="B16" s="2"/>
      <c r="C16" s="2"/>
      <c r="D16" t="s">
        <v>45</v>
      </c>
    </row>
    <row r="17" spans="1:8">
      <c r="B17" s="2"/>
      <c r="C17" s="2"/>
    </row>
    <row r="18" spans="1:8" ht="20">
      <c r="A18" s="19" t="s">
        <v>17</v>
      </c>
    </row>
    <row r="20" spans="1:8">
      <c r="A20" s="1" t="s">
        <v>28</v>
      </c>
    </row>
    <row r="21" spans="1:8">
      <c r="A21" s="3" t="s">
        <v>14</v>
      </c>
      <c r="B21" s="3"/>
      <c r="C21" s="4">
        <v>2016</v>
      </c>
      <c r="D21" s="4">
        <f>C21+1</f>
        <v>2017</v>
      </c>
      <c r="E21" s="4">
        <f t="shared" ref="E21:G21" si="2">D21+1</f>
        <v>2018</v>
      </c>
      <c r="F21" s="4">
        <f t="shared" si="2"/>
        <v>2019</v>
      </c>
      <c r="G21" s="4">
        <f t="shared" si="2"/>
        <v>2020</v>
      </c>
      <c r="H21" s="5" t="s">
        <v>15</v>
      </c>
    </row>
    <row r="22" spans="1:8">
      <c r="A22" t="s">
        <v>13</v>
      </c>
      <c r="C22" s="28">
        <v>187.72575051112489</v>
      </c>
      <c r="D22" s="28">
        <v>227.64536641955848</v>
      </c>
      <c r="E22" s="28">
        <v>244.41526782113536</v>
      </c>
      <c r="F22" s="28">
        <v>251.11216460235531</v>
      </c>
      <c r="G22" s="28">
        <v>254.78405837395752</v>
      </c>
    </row>
    <row r="23" spans="1:8">
      <c r="A23" t="s">
        <v>12</v>
      </c>
      <c r="C23" s="28">
        <v>519.20328183293725</v>
      </c>
      <c r="D23" s="28">
        <v>559.91681499201388</v>
      </c>
      <c r="E23" s="28">
        <v>474.09143772200184</v>
      </c>
      <c r="F23" s="28">
        <v>444.91161330229062</v>
      </c>
      <c r="G23" s="28">
        <v>420.82024888240448</v>
      </c>
    </row>
    <row r="24" spans="1:8">
      <c r="A24" t="s">
        <v>9</v>
      </c>
      <c r="C24" s="28">
        <v>20615.000000000004</v>
      </c>
      <c r="D24" s="28">
        <v>26346.320000000007</v>
      </c>
      <c r="E24" s="28">
        <v>33331.477760000009</v>
      </c>
      <c r="F24" s="28">
        <v>41796.165447680018</v>
      </c>
      <c r="G24" s="28">
        <v>51994.85683073027</v>
      </c>
    </row>
    <row r="25" spans="1:8">
      <c r="A25" t="s">
        <v>10</v>
      </c>
      <c r="C25" s="28">
        <v>2.8800000000000006E-2</v>
      </c>
      <c r="D25" s="28">
        <v>2.4336000000000003E-2</v>
      </c>
      <c r="E25" s="28">
        <v>2.0563920000000003E-2</v>
      </c>
      <c r="F25" s="28">
        <v>1.7376512400000002E-2</v>
      </c>
      <c r="G25" s="28">
        <v>1.4683152978000004E-2</v>
      </c>
    </row>
    <row r="26" spans="1:8">
      <c r="A26" t="s">
        <v>11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8">
      <c r="A27" s="3" t="s">
        <v>0</v>
      </c>
      <c r="B27" s="3"/>
      <c r="C27" s="18">
        <f t="shared" ref="C27:G27" si="3">SUM(C22:C26)</f>
        <v>21321.957832344066</v>
      </c>
      <c r="D27" s="18">
        <f t="shared" si="3"/>
        <v>27133.906517411579</v>
      </c>
      <c r="E27" s="18">
        <f t="shared" si="3"/>
        <v>34050.005029463144</v>
      </c>
      <c r="F27" s="18">
        <f t="shared" si="3"/>
        <v>42492.20660209706</v>
      </c>
      <c r="G27" s="18">
        <f t="shared" si="3"/>
        <v>52670.475821139611</v>
      </c>
    </row>
    <row r="28" spans="1:8">
      <c r="B28" s="2"/>
      <c r="C28" s="2"/>
      <c r="D28" s="2"/>
    </row>
    <row r="29" spans="1:8">
      <c r="A29" s="1" t="s">
        <v>29</v>
      </c>
    </row>
    <row r="30" spans="1:8">
      <c r="A30" s="3" t="s">
        <v>14</v>
      </c>
      <c r="B30" s="3"/>
      <c r="C30" s="4">
        <f>C21</f>
        <v>2016</v>
      </c>
      <c r="D30" s="4">
        <f>C30+1</f>
        <v>2017</v>
      </c>
      <c r="E30" s="4">
        <f t="shared" ref="E30" si="4">D30+1</f>
        <v>2018</v>
      </c>
      <c r="F30" s="4">
        <f t="shared" ref="F30" si="5">E30+1</f>
        <v>2019</v>
      </c>
      <c r="G30" s="4">
        <f t="shared" ref="G30" si="6">F30+1</f>
        <v>2020</v>
      </c>
    </row>
    <row r="31" spans="1:8">
      <c r="A31" t="s">
        <v>13</v>
      </c>
      <c r="C31" s="23">
        <f>C22</f>
        <v>187.72575051112489</v>
      </c>
      <c r="D31" s="23">
        <f t="shared" ref="D31:G31" si="7">D22</f>
        <v>227.64536641955848</v>
      </c>
      <c r="E31" s="23">
        <f t="shared" si="7"/>
        <v>244.41526782113536</v>
      </c>
      <c r="F31" s="23">
        <f t="shared" si="7"/>
        <v>251.11216460235531</v>
      </c>
      <c r="G31" s="23">
        <f t="shared" si="7"/>
        <v>254.78405837395752</v>
      </c>
    </row>
    <row r="32" spans="1:8">
      <c r="A32" t="s">
        <v>12</v>
      </c>
      <c r="C32" s="23">
        <f>C23</f>
        <v>519.20328183293725</v>
      </c>
      <c r="D32" s="23">
        <f t="shared" ref="D32:G32" si="8">D23</f>
        <v>559.91681499201388</v>
      </c>
      <c r="E32" s="23">
        <f t="shared" si="8"/>
        <v>474.09143772200184</v>
      </c>
      <c r="F32" s="23">
        <f t="shared" si="8"/>
        <v>444.91161330229062</v>
      </c>
      <c r="G32" s="23">
        <f t="shared" si="8"/>
        <v>420.82024888240448</v>
      </c>
    </row>
    <row r="33" spans="1:8">
      <c r="A33" t="s">
        <v>9</v>
      </c>
      <c r="C33" s="23">
        <f>C24*F$11</f>
        <v>16492.000000000004</v>
      </c>
      <c r="D33" s="23">
        <f>D24*G$11</f>
        <v>19759.740000000005</v>
      </c>
      <c r="E33" s="23">
        <f>E24*H$11</f>
        <v>23332.034432000004</v>
      </c>
      <c r="F33" s="23">
        <f>F24*I$11</f>
        <v>27167.507540992006</v>
      </c>
      <c r="G33" s="23">
        <f>G24*J$11</f>
        <v>31196.914098438159</v>
      </c>
    </row>
    <row r="34" spans="1:8">
      <c r="A34" t="s">
        <v>10</v>
      </c>
      <c r="C34" s="23">
        <f>C25</f>
        <v>2.8800000000000006E-2</v>
      </c>
      <c r="D34" s="23">
        <f t="shared" ref="D34:G34" si="9">D25</f>
        <v>2.4336000000000003E-2</v>
      </c>
      <c r="E34" s="23">
        <f t="shared" si="9"/>
        <v>2.0563920000000003E-2</v>
      </c>
      <c r="F34" s="23">
        <f t="shared" si="9"/>
        <v>1.7376512400000002E-2</v>
      </c>
      <c r="G34" s="23">
        <f t="shared" si="9"/>
        <v>1.4683152978000004E-2</v>
      </c>
    </row>
    <row r="35" spans="1:8">
      <c r="A35" t="s">
        <v>11</v>
      </c>
      <c r="C35" s="23">
        <f>C26*F$11</f>
        <v>0</v>
      </c>
      <c r="D35" s="23">
        <f t="shared" ref="D35:G35" si="10">D26*G$11</f>
        <v>0</v>
      </c>
      <c r="E35" s="23">
        <f t="shared" si="10"/>
        <v>0</v>
      </c>
      <c r="F35" s="23">
        <f t="shared" si="10"/>
        <v>0</v>
      </c>
      <c r="G35" s="23">
        <f t="shared" si="10"/>
        <v>0</v>
      </c>
    </row>
    <row r="36" spans="1:8">
      <c r="A36" s="3" t="s">
        <v>0</v>
      </c>
      <c r="B36" s="3"/>
      <c r="C36" s="18">
        <f t="shared" ref="C36:G36" si="11">SUM(C31:C35)</f>
        <v>17198.957832344066</v>
      </c>
      <c r="D36" s="18">
        <f t="shared" si="11"/>
        <v>20547.326517411577</v>
      </c>
      <c r="E36" s="18">
        <f t="shared" si="11"/>
        <v>24050.561701463139</v>
      </c>
      <c r="F36" s="18">
        <f t="shared" si="11"/>
        <v>27863.548695409052</v>
      </c>
      <c r="G36" s="18">
        <f t="shared" si="11"/>
        <v>31872.5330888475</v>
      </c>
    </row>
    <row r="37" spans="1:8">
      <c r="B37" s="2"/>
      <c r="C37" s="2"/>
      <c r="D37" s="2"/>
    </row>
    <row r="38" spans="1:8">
      <c r="A38" s="1" t="s">
        <v>27</v>
      </c>
    </row>
    <row r="39" spans="1:8">
      <c r="A39" s="3" t="s">
        <v>14</v>
      </c>
      <c r="B39" s="3"/>
      <c r="C39" s="4">
        <f>C30</f>
        <v>2016</v>
      </c>
      <c r="D39" s="4">
        <f>C39+1</f>
        <v>2017</v>
      </c>
      <c r="E39" s="4">
        <f t="shared" ref="E39:G39" si="12">D39+1</f>
        <v>2018</v>
      </c>
      <c r="F39" s="4">
        <f t="shared" si="12"/>
        <v>2019</v>
      </c>
      <c r="G39" s="4">
        <f t="shared" si="12"/>
        <v>2020</v>
      </c>
      <c r="H39" s="5" t="s">
        <v>15</v>
      </c>
    </row>
    <row r="40" spans="1:8">
      <c r="A40" t="s">
        <v>13</v>
      </c>
      <c r="C40" s="28">
        <v>104.2920836172916</v>
      </c>
      <c r="D40" s="28">
        <v>126.46964801086584</v>
      </c>
      <c r="E40" s="28">
        <v>135.78625990063074</v>
      </c>
      <c r="F40" s="28">
        <v>139.50675811241962</v>
      </c>
      <c r="G40" s="28">
        <v>141.54669909664307</v>
      </c>
    </row>
    <row r="41" spans="1:8">
      <c r="A41" t="s">
        <v>12</v>
      </c>
      <c r="C41" s="28">
        <v>288.44626768496505</v>
      </c>
      <c r="D41" s="28">
        <v>311.06489721778547</v>
      </c>
      <c r="E41" s="28">
        <v>263.38413206777881</v>
      </c>
      <c r="F41" s="28">
        <v>247.17311850127254</v>
      </c>
      <c r="G41" s="28">
        <v>233.78902715689139</v>
      </c>
    </row>
    <row r="42" spans="1:8">
      <c r="A42" t="s">
        <v>9</v>
      </c>
      <c r="C42" s="28">
        <v>6596.8</v>
      </c>
      <c r="D42" s="28">
        <v>8430.8224000000009</v>
      </c>
      <c r="E42" s="28">
        <v>10666.0728832</v>
      </c>
      <c r="F42" s="28">
        <v>13374.772943257603</v>
      </c>
      <c r="G42" s="28">
        <v>16638.354185833687</v>
      </c>
    </row>
    <row r="43" spans="1:8">
      <c r="A43" t="s">
        <v>10</v>
      </c>
      <c r="C43" s="28">
        <v>9.6000000000000009E-3</v>
      </c>
      <c r="D43" s="28">
        <v>8.1120000000000012E-3</v>
      </c>
      <c r="E43" s="28">
        <v>6.8546400000000013E-3</v>
      </c>
      <c r="F43" s="28">
        <v>5.7921708000000004E-3</v>
      </c>
      <c r="G43" s="28">
        <v>4.8943843260000003E-3</v>
      </c>
    </row>
    <row r="44" spans="1:8">
      <c r="A44" t="s">
        <v>11</v>
      </c>
      <c r="C44" s="28">
        <v>2011.9099999999996</v>
      </c>
      <c r="D44" s="28">
        <v>5349.0335449999984</v>
      </c>
      <c r="E44" s="28">
        <v>9753.2217537724973</v>
      </c>
      <c r="F44" s="28">
        <v>15492.679409256016</v>
      </c>
      <c r="G44" s="28">
        <v>22877.099549314651</v>
      </c>
    </row>
    <row r="45" spans="1:8">
      <c r="A45" s="3" t="s">
        <v>0</v>
      </c>
      <c r="B45" s="3"/>
      <c r="C45" s="18">
        <f t="shared" ref="C45:G45" si="13">SUM(C40:C44)</f>
        <v>9001.4579513022563</v>
      </c>
      <c r="D45" s="18">
        <f t="shared" si="13"/>
        <v>14217.39860222865</v>
      </c>
      <c r="E45" s="18">
        <f t="shared" si="13"/>
        <v>20818.471883580907</v>
      </c>
      <c r="F45" s="18">
        <f t="shared" si="13"/>
        <v>29254.138021298109</v>
      </c>
      <c r="G45" s="18">
        <f t="shared" si="13"/>
        <v>39890.794355786202</v>
      </c>
    </row>
    <row r="47" spans="1:8">
      <c r="A47" s="1" t="s">
        <v>30</v>
      </c>
    </row>
    <row r="48" spans="1:8">
      <c r="A48" s="3" t="s">
        <v>14</v>
      </c>
      <c r="B48" s="3"/>
      <c r="C48" s="4">
        <f>C39</f>
        <v>2016</v>
      </c>
      <c r="D48" s="4">
        <f>C48+1</f>
        <v>2017</v>
      </c>
      <c r="E48" s="4">
        <f t="shared" ref="E48" si="14">D48+1</f>
        <v>2018</v>
      </c>
      <c r="F48" s="4">
        <f t="shared" ref="F48" si="15">E48+1</f>
        <v>2019</v>
      </c>
      <c r="G48" s="4">
        <f t="shared" ref="G48" si="16">F48+1</f>
        <v>2020</v>
      </c>
    </row>
    <row r="49" spans="1:7">
      <c r="A49" t="s">
        <v>13</v>
      </c>
      <c r="C49" s="23">
        <f>C40</f>
        <v>104.2920836172916</v>
      </c>
      <c r="D49" s="23">
        <f t="shared" ref="D49:G49" si="17">D40</f>
        <v>126.46964801086584</v>
      </c>
      <c r="E49" s="23">
        <f t="shared" si="17"/>
        <v>135.78625990063074</v>
      </c>
      <c r="F49" s="23">
        <f t="shared" si="17"/>
        <v>139.50675811241962</v>
      </c>
      <c r="G49" s="23">
        <f t="shared" si="17"/>
        <v>141.54669909664307</v>
      </c>
    </row>
    <row r="50" spans="1:7">
      <c r="A50" t="s">
        <v>12</v>
      </c>
      <c r="C50" s="23">
        <f>C41</f>
        <v>288.44626768496505</v>
      </c>
      <c r="D50" s="23">
        <f t="shared" ref="D50:G50" si="18">D41</f>
        <v>311.06489721778547</v>
      </c>
      <c r="E50" s="23">
        <f t="shared" si="18"/>
        <v>263.38413206777881</v>
      </c>
      <c r="F50" s="23">
        <f t="shared" si="18"/>
        <v>247.17311850127254</v>
      </c>
      <c r="G50" s="23">
        <f t="shared" si="18"/>
        <v>233.78902715689139</v>
      </c>
    </row>
    <row r="51" spans="1:7">
      <c r="A51" t="s">
        <v>9</v>
      </c>
      <c r="C51" s="23">
        <f>C42*F$11</f>
        <v>5277.4400000000005</v>
      </c>
      <c r="D51" s="23">
        <f t="shared" ref="D51:G51" si="19">D42*G$11</f>
        <v>6323.1168000000007</v>
      </c>
      <c r="E51" s="23">
        <f t="shared" si="19"/>
        <v>7466.2510182400001</v>
      </c>
      <c r="F51" s="23">
        <f t="shared" si="19"/>
        <v>8693.6024131174418</v>
      </c>
      <c r="G51" s="23">
        <f t="shared" si="19"/>
        <v>9983.012511500212</v>
      </c>
    </row>
    <row r="52" spans="1:7">
      <c r="A52" t="s">
        <v>10</v>
      </c>
      <c r="C52" s="23">
        <f>C43</f>
        <v>9.6000000000000009E-3</v>
      </c>
      <c r="D52" s="23">
        <f t="shared" ref="D52:G52" si="20">D43</f>
        <v>8.1120000000000012E-3</v>
      </c>
      <c r="E52" s="23">
        <f t="shared" si="20"/>
        <v>6.8546400000000013E-3</v>
      </c>
      <c r="F52" s="23">
        <f t="shared" si="20"/>
        <v>5.7921708000000004E-3</v>
      </c>
      <c r="G52" s="23">
        <f t="shared" si="20"/>
        <v>4.8943843260000003E-3</v>
      </c>
    </row>
    <row r="53" spans="1:7">
      <c r="A53" t="s">
        <v>11</v>
      </c>
      <c r="C53" s="23">
        <f>C44*F$11</f>
        <v>1609.5279999999998</v>
      </c>
      <c r="D53" s="23">
        <f t="shared" ref="D53:G53" si="21">D44*G$11</f>
        <v>4011.7751587499988</v>
      </c>
      <c r="E53" s="23">
        <f t="shared" si="21"/>
        <v>6827.2552276407478</v>
      </c>
      <c r="F53" s="23">
        <f t="shared" si="21"/>
        <v>10070.241616016408</v>
      </c>
      <c r="G53" s="23">
        <f t="shared" si="21"/>
        <v>13726.25972958879</v>
      </c>
    </row>
    <row r="54" spans="1:7">
      <c r="A54" s="3" t="s">
        <v>0</v>
      </c>
      <c r="B54" s="3"/>
      <c r="C54" s="18">
        <f t="shared" ref="C54:G54" si="22">SUM(C49:C53)</f>
        <v>7279.715951302258</v>
      </c>
      <c r="D54" s="18">
        <f t="shared" si="22"/>
        <v>10772.434615978651</v>
      </c>
      <c r="E54" s="18">
        <f t="shared" si="22"/>
        <v>14692.683492489157</v>
      </c>
      <c r="F54" s="18">
        <f t="shared" si="22"/>
        <v>19150.52969791834</v>
      </c>
      <c r="G54" s="18">
        <f t="shared" si="22"/>
        <v>24084.612861726862</v>
      </c>
    </row>
    <row r="56" spans="1:7">
      <c r="A56" s="1" t="s">
        <v>37</v>
      </c>
    </row>
    <row r="57" spans="1:7">
      <c r="A57" s="3" t="s">
        <v>14</v>
      </c>
      <c r="B57" s="3"/>
      <c r="C57" s="4">
        <f>C48</f>
        <v>2016</v>
      </c>
      <c r="D57" s="4">
        <f>C57+1</f>
        <v>2017</v>
      </c>
      <c r="E57" s="4">
        <f t="shared" ref="E57:G57" si="23">D57+1</f>
        <v>2018</v>
      </c>
      <c r="F57" s="4">
        <f t="shared" si="23"/>
        <v>2019</v>
      </c>
      <c r="G57" s="4">
        <f t="shared" si="23"/>
        <v>2020</v>
      </c>
    </row>
    <row r="58" spans="1:7">
      <c r="A58" t="s">
        <v>13</v>
      </c>
      <c r="C58" s="23">
        <f t="shared" ref="C58:G62" si="24">(C22+C40)*F$12/(1-F$12)</f>
        <v>51.532558963838206</v>
      </c>
      <c r="D58" s="23">
        <f t="shared" si="24"/>
        <v>88.528753607606063</v>
      </c>
      <c r="E58" s="23">
        <f t="shared" si="24"/>
        <v>126.733842573922</v>
      </c>
      <c r="F58" s="23">
        <f t="shared" si="24"/>
        <v>167.40810973490355</v>
      </c>
      <c r="G58" s="23">
        <f t="shared" si="24"/>
        <v>213.40886940724644</v>
      </c>
    </row>
    <row r="59" spans="1:7">
      <c r="A59" t="s">
        <v>12</v>
      </c>
      <c r="C59" s="23">
        <f t="shared" si="24"/>
        <v>142.52639109139452</v>
      </c>
      <c r="D59" s="23">
        <f t="shared" si="24"/>
        <v>217.7454280524498</v>
      </c>
      <c r="E59" s="23">
        <f t="shared" si="24"/>
        <v>245.82518992992684</v>
      </c>
      <c r="F59" s="23">
        <f t="shared" si="24"/>
        <v>296.60774220152706</v>
      </c>
      <c r="G59" s="23">
        <f t="shared" si="24"/>
        <v>352.48191786731314</v>
      </c>
    </row>
    <row r="60" spans="1:7">
      <c r="A60" t="s">
        <v>9</v>
      </c>
      <c r="C60" s="23">
        <f t="shared" si="24"/>
        <v>4802.0823529411773</v>
      </c>
      <c r="D60" s="23">
        <f t="shared" si="24"/>
        <v>8694.2856000000011</v>
      </c>
      <c r="E60" s="23">
        <f t="shared" si="24"/>
        <v>14665.850214400001</v>
      </c>
      <c r="F60" s="23">
        <f t="shared" si="24"/>
        <v>23644.687881830407</v>
      </c>
      <c r="G60" s="23">
        <f t="shared" si="24"/>
        <v>36956.34439353444</v>
      </c>
    </row>
    <row r="61" spans="1:7">
      <c r="A61" t="s">
        <v>10</v>
      </c>
      <c r="C61" s="23">
        <f t="shared" si="24"/>
        <v>6.7764705882352944E-3</v>
      </c>
      <c r="D61" s="23">
        <f t="shared" si="24"/>
        <v>8.1120000000000012E-3</v>
      </c>
      <c r="E61" s="23">
        <f t="shared" si="24"/>
        <v>9.1395199999999999E-3</v>
      </c>
      <c r="F61" s="23">
        <f t="shared" si="24"/>
        <v>9.9294356571428578E-3</v>
      </c>
      <c r="G61" s="23">
        <f t="shared" si="24"/>
        <v>1.0541750856000001E-2</v>
      </c>
    </row>
    <row r="62" spans="1:7">
      <c r="A62" t="s">
        <v>11</v>
      </c>
      <c r="C62" s="23">
        <f t="shared" si="24"/>
        <v>355.04294117647049</v>
      </c>
      <c r="D62" s="23">
        <f t="shared" si="24"/>
        <v>1337.2583862499994</v>
      </c>
      <c r="E62" s="23">
        <f t="shared" si="24"/>
        <v>3251.073917924165</v>
      </c>
      <c r="F62" s="23">
        <f t="shared" si="24"/>
        <v>6639.7197468240074</v>
      </c>
      <c r="G62" s="23">
        <f t="shared" si="24"/>
        <v>12318.438218861733</v>
      </c>
    </row>
    <row r="63" spans="1:7">
      <c r="A63" s="3" t="s">
        <v>0</v>
      </c>
      <c r="B63" s="3"/>
      <c r="C63" s="18">
        <f t="shared" ref="C63:G63" si="25">SUM(C58:C62)</f>
        <v>5351.1910206434686</v>
      </c>
      <c r="D63" s="18">
        <f t="shared" si="25"/>
        <v>10337.826279910056</v>
      </c>
      <c r="E63" s="18">
        <f t="shared" si="25"/>
        <v>18289.492304348016</v>
      </c>
      <c r="F63" s="18">
        <f t="shared" si="25"/>
        <v>30748.433410026504</v>
      </c>
      <c r="G63" s="18">
        <f t="shared" si="25"/>
        <v>49840.683941421586</v>
      </c>
    </row>
    <row r="67" spans="1:8" ht="20">
      <c r="A67" s="19" t="s">
        <v>18</v>
      </c>
    </row>
    <row r="69" spans="1:8">
      <c r="A69" s="1" t="s">
        <v>31</v>
      </c>
    </row>
    <row r="70" spans="1:8">
      <c r="A70" s="3" t="s">
        <v>19</v>
      </c>
      <c r="B70" s="3"/>
      <c r="C70" s="4">
        <f>C57</f>
        <v>2016</v>
      </c>
      <c r="D70" s="4">
        <f>C70+1</f>
        <v>2017</v>
      </c>
      <c r="E70" s="4">
        <f t="shared" ref="E70:G70" si="26">D70+1</f>
        <v>2018</v>
      </c>
      <c r="F70" s="4">
        <f t="shared" si="26"/>
        <v>2019</v>
      </c>
      <c r="G70" s="4">
        <f t="shared" si="26"/>
        <v>2020</v>
      </c>
      <c r="H70" s="5" t="s">
        <v>25</v>
      </c>
    </row>
    <row r="71" spans="1:8">
      <c r="A71" t="s">
        <v>20</v>
      </c>
      <c r="C71" s="28">
        <v>89736.428571428551</v>
      </c>
      <c r="D71" s="28">
        <v>94223.249999999985</v>
      </c>
      <c r="E71" s="28">
        <v>98934.412499999991</v>
      </c>
      <c r="F71" s="28">
        <v>103881.13312499999</v>
      </c>
      <c r="G71" s="28">
        <v>109075.18978125</v>
      </c>
    </row>
    <row r="72" spans="1:8">
      <c r="A72" t="s">
        <v>21</v>
      </c>
      <c r="C72" s="28">
        <v>57440.571428571435</v>
      </c>
      <c r="D72" s="28">
        <v>60312.599999999991</v>
      </c>
      <c r="E72" s="28">
        <v>63328.23000000001</v>
      </c>
      <c r="F72" s="28">
        <v>66494.641500000012</v>
      </c>
      <c r="G72" s="28">
        <v>69819.373575000005</v>
      </c>
    </row>
    <row r="73" spans="1:8">
      <c r="A73" t="s">
        <v>22</v>
      </c>
      <c r="C73" s="28">
        <v>1434.8571428571427</v>
      </c>
      <c r="D73" s="28">
        <v>1506.5999999999997</v>
      </c>
      <c r="E73" s="28">
        <v>1581.9299999999996</v>
      </c>
      <c r="F73" s="28">
        <v>1661.0264999999999</v>
      </c>
      <c r="G73" s="28">
        <v>1744.0778250000003</v>
      </c>
    </row>
    <row r="74" spans="1:8">
      <c r="A74" t="s">
        <v>23</v>
      </c>
      <c r="C74" s="28">
        <v>1280.5714285714287</v>
      </c>
      <c r="D74" s="28">
        <v>1344.6</v>
      </c>
      <c r="E74" s="28">
        <v>1411.83</v>
      </c>
      <c r="F74" s="28">
        <v>1482.4214999999999</v>
      </c>
      <c r="G74" s="28">
        <v>1556.5425750000002</v>
      </c>
    </row>
    <row r="75" spans="1:8">
      <c r="A75" t="s">
        <v>24</v>
      </c>
      <c r="C75" s="28">
        <v>107999.99999999999</v>
      </c>
      <c r="D75" s="28">
        <v>126000</v>
      </c>
      <c r="E75" s="28">
        <v>147599.99999999997</v>
      </c>
      <c r="F75" s="28">
        <v>165600</v>
      </c>
      <c r="G75" s="28">
        <v>187199.99999999997</v>
      </c>
    </row>
    <row r="76" spans="1:8">
      <c r="A76" t="s">
        <v>127</v>
      </c>
      <c r="C76" s="28">
        <v>876960</v>
      </c>
      <c r="D76" s="28">
        <v>2444759.9999999995</v>
      </c>
      <c r="E76" s="28">
        <v>4012559.9999999995</v>
      </c>
      <c r="F76" s="28">
        <v>6585774.371962891</v>
      </c>
      <c r="G76" s="28">
        <v>10809165.240744865</v>
      </c>
    </row>
    <row r="77" spans="1:8">
      <c r="A77" s="3" t="s">
        <v>0</v>
      </c>
      <c r="B77" s="3"/>
      <c r="C77" s="18">
        <f>SUM(C71:C76)</f>
        <v>1134852.4285714286</v>
      </c>
      <c r="D77" s="18">
        <f>SUM(D71:D76)</f>
        <v>2728147.0499999993</v>
      </c>
      <c r="E77" s="18">
        <f>SUM(E71:E76)</f>
        <v>4325416.4024999999</v>
      </c>
      <c r="F77" s="18">
        <f>SUM(F71:F76)</f>
        <v>6924893.5945878914</v>
      </c>
      <c r="G77" s="18">
        <f>SUM(G71:G76)</f>
        <v>11178560.424501114</v>
      </c>
    </row>
    <row r="79" spans="1:8">
      <c r="A79" s="1" t="s">
        <v>42</v>
      </c>
    </row>
    <row r="80" spans="1:8">
      <c r="A80" s="3" t="s">
        <v>14</v>
      </c>
      <c r="B80" s="3"/>
      <c r="C80" s="4">
        <f>C70</f>
        <v>2016</v>
      </c>
      <c r="D80" s="4">
        <f>C80+1</f>
        <v>2017</v>
      </c>
      <c r="E80" s="4">
        <f t="shared" ref="E80" si="27">D80+1</f>
        <v>2018</v>
      </c>
      <c r="F80" s="4">
        <f t="shared" ref="F80" si="28">E80+1</f>
        <v>2019</v>
      </c>
      <c r="G80" s="4">
        <f t="shared" ref="G80" si="29">F80+1</f>
        <v>2020</v>
      </c>
    </row>
    <row r="81" spans="1:8">
      <c r="A81" t="s">
        <v>20</v>
      </c>
      <c r="C81" s="23">
        <f t="shared" ref="C81:G84" si="30">C71*$C$15</f>
        <v>797.65714285714262</v>
      </c>
      <c r="D81" s="23">
        <f t="shared" si="30"/>
        <v>837.53999999999985</v>
      </c>
      <c r="E81" s="23">
        <f t="shared" si="30"/>
        <v>879.41699999999992</v>
      </c>
      <c r="F81" s="23">
        <f t="shared" si="30"/>
        <v>923.38784999999996</v>
      </c>
      <c r="G81" s="23">
        <f t="shared" si="30"/>
        <v>969.55724249999992</v>
      </c>
    </row>
    <row r="82" spans="1:8">
      <c r="A82" t="s">
        <v>21</v>
      </c>
      <c r="C82" s="23">
        <f t="shared" si="30"/>
        <v>510.58285714285722</v>
      </c>
      <c r="D82" s="23">
        <f t="shared" si="30"/>
        <v>536.11199999999997</v>
      </c>
      <c r="E82" s="23">
        <f t="shared" si="30"/>
        <v>562.91760000000011</v>
      </c>
      <c r="F82" s="23">
        <f t="shared" si="30"/>
        <v>591.06348000000014</v>
      </c>
      <c r="G82" s="23">
        <f t="shared" si="30"/>
        <v>620.61665400000004</v>
      </c>
    </row>
    <row r="83" spans="1:8">
      <c r="A83" t="s">
        <v>22</v>
      </c>
      <c r="C83" s="23">
        <f t="shared" si="30"/>
        <v>12.754285714285713</v>
      </c>
      <c r="D83" s="23">
        <f t="shared" si="30"/>
        <v>13.391999999999998</v>
      </c>
      <c r="E83" s="23">
        <f t="shared" si="30"/>
        <v>14.061599999999997</v>
      </c>
      <c r="F83" s="23">
        <f t="shared" si="30"/>
        <v>14.76468</v>
      </c>
      <c r="G83" s="23">
        <f t="shared" si="30"/>
        <v>15.502914000000002</v>
      </c>
    </row>
    <row r="84" spans="1:8">
      <c r="A84" t="s">
        <v>23</v>
      </c>
      <c r="C84" s="23">
        <f t="shared" si="30"/>
        <v>11.382857142857144</v>
      </c>
      <c r="D84" s="23">
        <f t="shared" si="30"/>
        <v>11.952</v>
      </c>
      <c r="E84" s="23">
        <f t="shared" si="30"/>
        <v>12.5496</v>
      </c>
      <c r="F84" s="23">
        <f t="shared" si="30"/>
        <v>13.17708</v>
      </c>
      <c r="G84" s="23">
        <f t="shared" si="30"/>
        <v>13.835934000000002</v>
      </c>
    </row>
    <row r="85" spans="1:8">
      <c r="A85" t="s">
        <v>24</v>
      </c>
      <c r="C85" s="23">
        <f t="shared" ref="C85:G86" si="31">C75*F$11*$C$15</f>
        <v>768</v>
      </c>
      <c r="D85" s="23">
        <f t="shared" si="31"/>
        <v>840</v>
      </c>
      <c r="E85" s="23">
        <f t="shared" si="31"/>
        <v>918.39999999999975</v>
      </c>
      <c r="F85" s="23">
        <f t="shared" si="31"/>
        <v>956.79999999999984</v>
      </c>
      <c r="G85" s="23">
        <f t="shared" si="31"/>
        <v>998.39999999999986</v>
      </c>
    </row>
    <row r="86" spans="1:8">
      <c r="A86" t="str">
        <f>A76</f>
        <v>Data services</v>
      </c>
      <c r="C86" s="23">
        <f t="shared" si="31"/>
        <v>6236.16</v>
      </c>
      <c r="D86" s="23">
        <f t="shared" si="31"/>
        <v>16298.399999999996</v>
      </c>
      <c r="E86" s="23">
        <f t="shared" si="31"/>
        <v>24967.039999999997</v>
      </c>
      <c r="F86" s="23">
        <f t="shared" si="31"/>
        <v>38051.140815785584</v>
      </c>
      <c r="G86" s="23">
        <f t="shared" si="31"/>
        <v>57648.881283972609</v>
      </c>
    </row>
    <row r="87" spans="1:8">
      <c r="A87" s="3" t="s">
        <v>0</v>
      </c>
      <c r="B87" s="3"/>
      <c r="C87" s="18">
        <f>SUM(C81:C86)</f>
        <v>8336.5371428571416</v>
      </c>
      <c r="D87" s="18">
        <f>SUM(D81:D86)</f>
        <v>18537.395999999997</v>
      </c>
      <c r="E87" s="18">
        <f>SUM(E81:E86)</f>
        <v>27354.385799999996</v>
      </c>
      <c r="F87" s="18">
        <f>SUM(F81:F86)</f>
        <v>40550.333905785585</v>
      </c>
      <c r="G87" s="18">
        <f>SUM(G81:G86)</f>
        <v>60266.794028472606</v>
      </c>
    </row>
    <row r="89" spans="1:8">
      <c r="A89" s="1" t="s">
        <v>26</v>
      </c>
    </row>
    <row r="90" spans="1:8">
      <c r="A90" s="3" t="s">
        <v>19</v>
      </c>
      <c r="B90" s="3"/>
      <c r="C90" s="4">
        <f>C80</f>
        <v>2016</v>
      </c>
      <c r="D90" s="4">
        <f>C90+1</f>
        <v>2017</v>
      </c>
      <c r="E90" s="4">
        <f t="shared" ref="E90" si="32">D90+1</f>
        <v>2018</v>
      </c>
      <c r="F90" s="4">
        <f t="shared" ref="F90" si="33">E90+1</f>
        <v>2019</v>
      </c>
      <c r="G90" s="4">
        <f t="shared" ref="G90" si="34">F90+1</f>
        <v>2020</v>
      </c>
      <c r="H90" s="5" t="s">
        <v>25</v>
      </c>
    </row>
    <row r="91" spans="1:8">
      <c r="A91" t="s">
        <v>20</v>
      </c>
      <c r="C91" s="28">
        <v>34053.942857142858</v>
      </c>
      <c r="D91" s="28">
        <v>39643.231304347828</v>
      </c>
      <c r="E91" s="28">
        <v>46077.306545454565</v>
      </c>
      <c r="F91" s="28">
        <v>53500.872600000017</v>
      </c>
      <c r="G91" s="28">
        <v>62089.170569999987</v>
      </c>
    </row>
    <row r="92" spans="1:8">
      <c r="A92" t="s">
        <v>21</v>
      </c>
      <c r="C92" s="28">
        <v>30634.971428571429</v>
      </c>
      <c r="D92" s="28">
        <v>35663.102608695655</v>
      </c>
      <c r="E92" s="28">
        <v>41451.205090909112</v>
      </c>
      <c r="F92" s="28">
        <v>48129.454800000036</v>
      </c>
      <c r="G92" s="28">
        <v>55855.498860000014</v>
      </c>
    </row>
    <row r="93" spans="1:8">
      <c r="A93" t="s">
        <v>22</v>
      </c>
      <c r="C93" s="28">
        <v>765.25714285714287</v>
      </c>
      <c r="D93" s="28">
        <v>890.85913043478274</v>
      </c>
      <c r="E93" s="28">
        <v>1035.4450909090908</v>
      </c>
      <c r="F93" s="28">
        <v>1202.2668000000006</v>
      </c>
      <c r="G93" s="28">
        <v>1395.2622600000004</v>
      </c>
    </row>
    <row r="94" spans="1:8">
      <c r="A94" t="s">
        <v>23</v>
      </c>
      <c r="C94" s="28">
        <v>682.97142857142853</v>
      </c>
      <c r="D94" s="28">
        <v>795.06782608695664</v>
      </c>
      <c r="E94" s="28">
        <v>924.10690909090931</v>
      </c>
      <c r="F94" s="28">
        <v>1072.9908000000003</v>
      </c>
      <c r="G94" s="28">
        <v>1245.2340600000002</v>
      </c>
    </row>
    <row r="95" spans="1:8">
      <c r="A95" t="s">
        <v>24</v>
      </c>
      <c r="C95" s="28">
        <v>57600</v>
      </c>
      <c r="D95" s="28">
        <v>74504.347826086974</v>
      </c>
      <c r="E95" s="28">
        <v>96610.909090909103</v>
      </c>
      <c r="F95" s="28">
        <v>119862.85714285717</v>
      </c>
      <c r="G95" s="28">
        <v>149759.99999999997</v>
      </c>
    </row>
    <row r="96" spans="1:8">
      <c r="A96" t="s">
        <v>127</v>
      </c>
      <c r="C96" s="28">
        <v>467712.00000000006</v>
      </c>
      <c r="D96" s="28">
        <v>1445597.2173913042</v>
      </c>
      <c r="E96" s="28">
        <v>2626402.9090909096</v>
      </c>
      <c r="F96" s="28">
        <v>4766846.2120874282</v>
      </c>
      <c r="G96" s="28">
        <v>8647332.1925958917</v>
      </c>
    </row>
    <row r="97" spans="1:7">
      <c r="A97" s="3" t="s">
        <v>0</v>
      </c>
      <c r="B97" s="3"/>
      <c r="C97" s="18">
        <f>SUM(C91:C96)</f>
        <v>591449.14285714296</v>
      </c>
      <c r="D97" s="18">
        <f>SUM(D91:D96)</f>
        <v>1597093.8260869565</v>
      </c>
      <c r="E97" s="18">
        <f>SUM(E91:E96)</f>
        <v>2812501.8818181823</v>
      </c>
      <c r="F97" s="18">
        <f>SUM(F91:F96)</f>
        <v>4990614.6542302854</v>
      </c>
      <c r="G97" s="18">
        <f>SUM(G91:G96)</f>
        <v>8917677.3583458923</v>
      </c>
    </row>
    <row r="99" spans="1:7">
      <c r="A99" s="1" t="s">
        <v>43</v>
      </c>
    </row>
    <row r="100" spans="1:7">
      <c r="A100" s="3" t="s">
        <v>19</v>
      </c>
      <c r="B100" s="3"/>
      <c r="C100" s="4">
        <f>C90</f>
        <v>2016</v>
      </c>
      <c r="D100" s="4">
        <f>C100+1</f>
        <v>2017</v>
      </c>
      <c r="E100" s="4">
        <f t="shared" ref="E100" si="35">D100+1</f>
        <v>2018</v>
      </c>
      <c r="F100" s="4">
        <f t="shared" ref="F100" si="36">E100+1</f>
        <v>2019</v>
      </c>
      <c r="G100" s="4">
        <f t="shared" ref="G100" si="37">F100+1</f>
        <v>2020</v>
      </c>
    </row>
    <row r="101" spans="1:7">
      <c r="A101" t="s">
        <v>20</v>
      </c>
      <c r="C101" s="23">
        <f t="shared" ref="C101:G104" si="38">C91*$C$15</f>
        <v>302.70171428571427</v>
      </c>
      <c r="D101" s="23">
        <f t="shared" si="38"/>
        <v>352.38427826086956</v>
      </c>
      <c r="E101" s="23">
        <f t="shared" si="38"/>
        <v>409.57605818181838</v>
      </c>
      <c r="F101" s="23">
        <f t="shared" si="38"/>
        <v>475.56331200000017</v>
      </c>
      <c r="G101" s="23">
        <f t="shared" si="38"/>
        <v>551.90373839999984</v>
      </c>
    </row>
    <row r="102" spans="1:7">
      <c r="A102" t="s">
        <v>21</v>
      </c>
      <c r="C102" s="23">
        <f t="shared" si="38"/>
        <v>272.31085714285717</v>
      </c>
      <c r="D102" s="23">
        <f t="shared" si="38"/>
        <v>317.00535652173915</v>
      </c>
      <c r="E102" s="23">
        <f t="shared" si="38"/>
        <v>368.45515636363655</v>
      </c>
      <c r="F102" s="23">
        <f t="shared" si="38"/>
        <v>427.81737600000031</v>
      </c>
      <c r="G102" s="23">
        <f t="shared" si="38"/>
        <v>496.49332320000013</v>
      </c>
    </row>
    <row r="103" spans="1:7">
      <c r="A103" t="s">
        <v>22</v>
      </c>
      <c r="C103" s="23">
        <f t="shared" si="38"/>
        <v>6.8022857142857145</v>
      </c>
      <c r="D103" s="23">
        <f t="shared" si="38"/>
        <v>7.9187478260869577</v>
      </c>
      <c r="E103" s="23">
        <f t="shared" si="38"/>
        <v>9.2039563636363635</v>
      </c>
      <c r="F103" s="23">
        <f t="shared" si="38"/>
        <v>10.686816000000006</v>
      </c>
      <c r="G103" s="23">
        <f t="shared" si="38"/>
        <v>12.402331200000004</v>
      </c>
    </row>
    <row r="104" spans="1:7">
      <c r="A104" t="s">
        <v>23</v>
      </c>
      <c r="C104" s="23">
        <f t="shared" si="38"/>
        <v>6.0708571428571423</v>
      </c>
      <c r="D104" s="23">
        <f t="shared" si="38"/>
        <v>7.0672695652173925</v>
      </c>
      <c r="E104" s="23">
        <f t="shared" si="38"/>
        <v>8.2142836363636391</v>
      </c>
      <c r="F104" s="23">
        <f t="shared" si="38"/>
        <v>9.5376960000000022</v>
      </c>
      <c r="G104" s="23">
        <f t="shared" si="38"/>
        <v>11.068747200000002</v>
      </c>
    </row>
    <row r="105" spans="1:7">
      <c r="A105" t="s">
        <v>24</v>
      </c>
      <c r="C105" s="23">
        <f t="shared" ref="C105:G106" si="39">C95*F$11*$C$15</f>
        <v>409.6</v>
      </c>
      <c r="D105" s="23">
        <f t="shared" si="39"/>
        <v>496.69565217391317</v>
      </c>
      <c r="E105" s="23">
        <f t="shared" si="39"/>
        <v>601.13454545454545</v>
      </c>
      <c r="F105" s="23">
        <f t="shared" si="39"/>
        <v>692.54095238095249</v>
      </c>
      <c r="G105" s="23">
        <f t="shared" si="39"/>
        <v>798.71999999999991</v>
      </c>
    </row>
    <row r="106" spans="1:7">
      <c r="A106" t="s">
        <v>127</v>
      </c>
      <c r="C106" s="23">
        <f t="shared" si="39"/>
        <v>3325.9520000000007</v>
      </c>
      <c r="D106" s="23">
        <f t="shared" si="39"/>
        <v>9637.3147826086933</v>
      </c>
      <c r="E106" s="23">
        <f t="shared" si="39"/>
        <v>16342.062545454548</v>
      </c>
      <c r="F106" s="23">
        <f t="shared" si="39"/>
        <v>27541.778114282915</v>
      </c>
      <c r="G106" s="23">
        <f t="shared" si="39"/>
        <v>46119.105027178084</v>
      </c>
    </row>
    <row r="107" spans="1:7">
      <c r="A107" s="3" t="s">
        <v>0</v>
      </c>
      <c r="B107" s="3"/>
      <c r="C107" s="18">
        <f>SUM(C101:C106)</f>
        <v>4323.4377142857147</v>
      </c>
      <c r="D107" s="18">
        <f>SUM(D101:D106)</f>
        <v>10818.38608695652</v>
      </c>
      <c r="E107" s="18">
        <f>SUM(E101:E106)</f>
        <v>17738.646545454547</v>
      </c>
      <c r="F107" s="18">
        <f>SUM(F101:F106)</f>
        <v>29157.924266663867</v>
      </c>
      <c r="G107" s="18">
        <f>SUM(G101:G106)</f>
        <v>47989.693167178084</v>
      </c>
    </row>
    <row r="109" spans="1:7">
      <c r="A109" s="1" t="s">
        <v>38</v>
      </c>
    </row>
    <row r="110" spans="1:7">
      <c r="A110" s="3" t="s">
        <v>19</v>
      </c>
      <c r="B110" s="3"/>
      <c r="C110" s="4">
        <f>C100</f>
        <v>2016</v>
      </c>
      <c r="D110" s="4">
        <f>C110+1</f>
        <v>2017</v>
      </c>
      <c r="E110" s="4">
        <f t="shared" ref="E110" si="40">D110+1</f>
        <v>2018</v>
      </c>
      <c r="F110" s="4">
        <f t="shared" ref="F110" si="41">E110+1</f>
        <v>2019</v>
      </c>
      <c r="G110" s="4">
        <f t="shared" ref="G110" si="42">F110+1</f>
        <v>2020</v>
      </c>
    </row>
    <row r="111" spans="1:7">
      <c r="A111" t="s">
        <v>20</v>
      </c>
      <c r="C111" s="23">
        <f>(C101+C81)*F$12/(1-F$12)</f>
        <v>194.18097478991589</v>
      </c>
      <c r="D111" s="23">
        <f t="shared" ref="D111:G116" si="43">(D101+D81)*G$12/(1-G$12)</f>
        <v>297.48106956521735</v>
      </c>
      <c r="E111" s="23">
        <f t="shared" si="43"/>
        <v>429.66435272727267</v>
      </c>
      <c r="F111" s="23">
        <f t="shared" si="43"/>
        <v>599.55049800000006</v>
      </c>
      <c r="G111" s="23">
        <f t="shared" si="43"/>
        <v>819.24822048461533</v>
      </c>
    </row>
    <row r="112" spans="1:7">
      <c r="A112" t="s">
        <v>21</v>
      </c>
      <c r="C112" s="23">
        <f t="shared" ref="C112:C116" si="44">(C102+C82)*F$12/(1-F$12)</f>
        <v>138.15771428571429</v>
      </c>
      <c r="D112" s="23">
        <f t="shared" si="43"/>
        <v>213.27933913043475</v>
      </c>
      <c r="E112" s="23">
        <f t="shared" si="43"/>
        <v>310.45758545454549</v>
      </c>
      <c r="F112" s="23">
        <f t="shared" si="43"/>
        <v>436.66322400000024</v>
      </c>
      <c r="G112" s="23">
        <f t="shared" si="43"/>
        <v>601.52075695384622</v>
      </c>
    </row>
    <row r="113" spans="1:7">
      <c r="A113" t="s">
        <v>22</v>
      </c>
      <c r="C113" s="23">
        <f t="shared" si="44"/>
        <v>3.4511596638655457</v>
      </c>
      <c r="D113" s="23">
        <f t="shared" si="43"/>
        <v>5.3276869565217382</v>
      </c>
      <c r="E113" s="23">
        <f t="shared" si="43"/>
        <v>7.7551854545454519</v>
      </c>
      <c r="F113" s="23">
        <f t="shared" si="43"/>
        <v>10.907784000000003</v>
      </c>
      <c r="G113" s="23">
        <f t="shared" si="43"/>
        <v>15.025901261538465</v>
      </c>
    </row>
    <row r="114" spans="1:7">
      <c r="A114" t="s">
        <v>23</v>
      </c>
      <c r="C114" s="23">
        <f t="shared" si="44"/>
        <v>3.0800672268907565</v>
      </c>
      <c r="D114" s="23">
        <f t="shared" si="43"/>
        <v>4.7548173913043472</v>
      </c>
      <c r="E114" s="23">
        <f t="shared" si="43"/>
        <v>6.9212945454545443</v>
      </c>
      <c r="F114" s="23">
        <f t="shared" si="43"/>
        <v>9.7349040000000002</v>
      </c>
      <c r="G114" s="23">
        <f t="shared" si="43"/>
        <v>13.410212953846154</v>
      </c>
    </row>
    <row r="115" spans="1:7">
      <c r="A115" t="s">
        <v>24</v>
      </c>
      <c r="C115" s="23">
        <f t="shared" si="44"/>
        <v>207.81176470588235</v>
      </c>
      <c r="D115" s="23">
        <f t="shared" si="43"/>
        <v>334.17391304347831</v>
      </c>
      <c r="E115" s="23">
        <f t="shared" si="43"/>
        <v>506.51151515151497</v>
      </c>
      <c r="F115" s="23">
        <f t="shared" si="43"/>
        <v>706.86040816326533</v>
      </c>
      <c r="G115" s="23">
        <f t="shared" si="43"/>
        <v>967.68</v>
      </c>
    </row>
    <row r="116" spans="1:7">
      <c r="A116" t="s">
        <v>127</v>
      </c>
      <c r="C116" s="23">
        <f t="shared" si="44"/>
        <v>1687.4315294117648</v>
      </c>
      <c r="D116" s="23">
        <f t="shared" si="43"/>
        <v>6483.928695652171</v>
      </c>
      <c r="E116" s="23">
        <f t="shared" si="43"/>
        <v>13769.700848484847</v>
      </c>
      <c r="F116" s="23">
        <f t="shared" si="43"/>
        <v>28111.250970029356</v>
      </c>
      <c r="G116" s="23">
        <f t="shared" si="43"/>
        <v>55875.069552158056</v>
      </c>
    </row>
    <row r="117" spans="1:7">
      <c r="A117" s="3" t="s">
        <v>0</v>
      </c>
      <c r="B117" s="3"/>
      <c r="C117" s="18">
        <f>SUM(C111:C116)</f>
        <v>2234.1132100840337</v>
      </c>
      <c r="D117" s="18">
        <f>SUM(D111:D116)</f>
        <v>7338.9455217391278</v>
      </c>
      <c r="E117" s="18">
        <f>SUM(E111:E116)</f>
        <v>15031.01078181818</v>
      </c>
      <c r="F117" s="18">
        <f>SUM(F111:F116)</f>
        <v>29874.967788192622</v>
      </c>
      <c r="G117" s="18">
        <f>SUM(G111:G116)</f>
        <v>58291.9546438119</v>
      </c>
    </row>
    <row r="121" spans="1:7">
      <c r="A121" s="1" t="s">
        <v>33</v>
      </c>
    </row>
    <row r="122" spans="1:7">
      <c r="A122" s="3" t="s">
        <v>14</v>
      </c>
      <c r="B122" s="3"/>
      <c r="C122" s="4">
        <f>C110</f>
        <v>2016</v>
      </c>
      <c r="D122" s="4">
        <f>C122+1</f>
        <v>2017</v>
      </c>
      <c r="E122" s="4">
        <f t="shared" ref="E122" si="45">D122+1</f>
        <v>2018</v>
      </c>
      <c r="F122" s="4">
        <f t="shared" ref="F122" si="46">E122+1</f>
        <v>2019</v>
      </c>
      <c r="G122" s="4">
        <f t="shared" ref="G122" si="47">F122+1</f>
        <v>2020</v>
      </c>
    </row>
    <row r="123" spans="1:7">
      <c r="A123" t="s">
        <v>34</v>
      </c>
      <c r="C123" s="27">
        <f>C36</f>
        <v>17198.957832344066</v>
      </c>
      <c r="D123" s="27">
        <f>D36</f>
        <v>20547.326517411577</v>
      </c>
      <c r="E123" s="27">
        <f>E36</f>
        <v>24050.561701463139</v>
      </c>
      <c r="F123" s="27">
        <f>F36</f>
        <v>27863.548695409052</v>
      </c>
      <c r="G123" s="27">
        <f>G36</f>
        <v>31872.5330888475</v>
      </c>
    </row>
    <row r="124" spans="1:7">
      <c r="A124" t="s">
        <v>39</v>
      </c>
      <c r="C124" s="27">
        <f>C87</f>
        <v>8336.5371428571416</v>
      </c>
      <c r="D124" s="27">
        <f>D87</f>
        <v>18537.395999999997</v>
      </c>
      <c r="E124" s="27">
        <f>E87</f>
        <v>27354.385799999996</v>
      </c>
      <c r="F124" s="27">
        <f>F87</f>
        <v>40550.333905785585</v>
      </c>
      <c r="G124" s="27">
        <f>G87</f>
        <v>60266.794028472606</v>
      </c>
    </row>
    <row r="125" spans="1:7">
      <c r="A125" t="s">
        <v>36</v>
      </c>
      <c r="C125" s="27">
        <f>(C63+C117)*F13</f>
        <v>7585.3042307275027</v>
      </c>
      <c r="D125" s="27">
        <f>(D63+D117)*G13</f>
        <v>15909.094621484268</v>
      </c>
      <c r="E125" s="27">
        <f>(E63+E117)*H13</f>
        <v>26656.402468932956</v>
      </c>
      <c r="F125" s="27">
        <f>(F63+F117)*I13</f>
        <v>42436.380838753394</v>
      </c>
      <c r="G125" s="27">
        <f>(G63+G117)*J13</f>
        <v>64879.583151140083</v>
      </c>
    </row>
    <row r="126" spans="1:7">
      <c r="A126" s="3" t="s">
        <v>0</v>
      </c>
      <c r="B126" s="3"/>
      <c r="C126" s="18">
        <f>SUM(C123:C125)</f>
        <v>33120.799205928706</v>
      </c>
      <c r="D126" s="18">
        <f>SUM(D123:D125)</f>
        <v>54993.817138895844</v>
      </c>
      <c r="E126" s="18">
        <f>SUM(E123:E125)</f>
        <v>78061.349970396084</v>
      </c>
      <c r="F126" s="18">
        <f>SUM(F123:F125)</f>
        <v>110850.26343994803</v>
      </c>
      <c r="G126" s="18">
        <f>SUM(G123:G125)</f>
        <v>157018.9102684602</v>
      </c>
    </row>
    <row r="128" spans="1:7">
      <c r="A128" s="1" t="s">
        <v>41</v>
      </c>
    </row>
    <row r="129" spans="1:7">
      <c r="A129" s="3" t="s">
        <v>14</v>
      </c>
      <c r="B129" s="3"/>
      <c r="C129" s="4">
        <f>C122</f>
        <v>2016</v>
      </c>
      <c r="D129" s="4">
        <f>C129+1</f>
        <v>2017</v>
      </c>
      <c r="E129" s="4">
        <f t="shared" ref="E129" si="48">D129+1</f>
        <v>2018</v>
      </c>
      <c r="F129" s="4">
        <f t="shared" ref="F129" si="49">E129+1</f>
        <v>2019</v>
      </c>
      <c r="G129" s="4">
        <f t="shared" ref="G129" si="50">F129+1</f>
        <v>2020</v>
      </c>
    </row>
    <row r="130" spans="1:7">
      <c r="A130" t="s">
        <v>35</v>
      </c>
      <c r="C130" s="27">
        <f>C54</f>
        <v>7279.715951302258</v>
      </c>
      <c r="D130" s="27">
        <f>D54</f>
        <v>10772.434615978651</v>
      </c>
      <c r="E130" s="27">
        <f>E54</f>
        <v>14692.683492489157</v>
      </c>
      <c r="F130" s="27">
        <f>F54</f>
        <v>19150.52969791834</v>
      </c>
      <c r="G130" s="27">
        <f>G54</f>
        <v>24084.612861726862</v>
      </c>
    </row>
    <row r="131" spans="1:7">
      <c r="A131" t="s">
        <v>135</v>
      </c>
      <c r="C131" s="27">
        <f>C107</f>
        <v>4323.4377142857147</v>
      </c>
      <c r="D131" s="27">
        <f t="shared" ref="D131:G131" si="51">D107</f>
        <v>10818.38608695652</v>
      </c>
      <c r="E131" s="27">
        <f t="shared" si="51"/>
        <v>17738.646545454547</v>
      </c>
      <c r="F131" s="27">
        <f t="shared" si="51"/>
        <v>29157.924266663867</v>
      </c>
      <c r="G131" s="27">
        <f t="shared" si="51"/>
        <v>47989.693167178084</v>
      </c>
    </row>
    <row r="132" spans="1:7">
      <c r="A132" t="s">
        <v>36</v>
      </c>
      <c r="C132" s="27">
        <f>(C117+C63)*(1-F13)</f>
        <v>0</v>
      </c>
      <c r="D132" s="27">
        <f>(D117+D63)*(1-G13)</f>
        <v>1767.6771801649181</v>
      </c>
      <c r="E132" s="27">
        <f>(E117+E63)*(1-H13)</f>
        <v>6664.1006172332372</v>
      </c>
      <c r="F132" s="27">
        <f>(F117+F63)*(1-I13)</f>
        <v>18187.020359465736</v>
      </c>
      <c r="G132" s="27">
        <f>(G117+G63)*(1-J13)</f>
        <v>43253.055434093396</v>
      </c>
    </row>
    <row r="133" spans="1:7">
      <c r="A133" s="3" t="s">
        <v>0</v>
      </c>
      <c r="B133" s="3"/>
      <c r="C133" s="18">
        <f>SUM(C130:C132)</f>
        <v>11603.153665587972</v>
      </c>
      <c r="D133" s="18">
        <f>SUM(D130:D132)</f>
        <v>23358.497883100088</v>
      </c>
      <c r="E133" s="18">
        <f>SUM(E130:E132)</f>
        <v>39095.43065517694</v>
      </c>
      <c r="F133" s="18">
        <f>SUM(F130:F132)</f>
        <v>66495.474324047944</v>
      </c>
      <c r="G133" s="18">
        <f>SUM(G130:G132)</f>
        <v>115327.36146299835</v>
      </c>
    </row>
  </sheetData>
  <mergeCells count="3">
    <mergeCell ref="A13:E13"/>
    <mergeCell ref="A11:E11"/>
    <mergeCell ref="A12:E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opLeftCell="A13" workbookViewId="0">
      <selection activeCell="E75" sqref="E75"/>
    </sheetView>
  </sheetViews>
  <sheetFormatPr baseColWidth="10" defaultColWidth="11" defaultRowHeight="15" x14ac:dyDescent="0"/>
  <cols>
    <col min="1" max="6" width="14.1640625" customWidth="1"/>
    <col min="7" max="7" width="13" bestFit="1" customWidth="1"/>
  </cols>
  <sheetData>
    <row r="1" spans="1:7" ht="20">
      <c r="A1" s="14" t="s">
        <v>46</v>
      </c>
      <c r="B1" s="2"/>
      <c r="C1" s="2"/>
    </row>
    <row r="2" spans="1:7">
      <c r="B2" s="2"/>
      <c r="C2" s="2"/>
    </row>
    <row r="3" spans="1:7">
      <c r="A3" s="1" t="s">
        <v>1</v>
      </c>
      <c r="B3" s="8" t="s">
        <v>2</v>
      </c>
      <c r="C3" s="6"/>
      <c r="D3" s="8"/>
      <c r="E3" s="8"/>
      <c r="F3" s="8"/>
      <c r="G3" s="8"/>
    </row>
    <row r="4" spans="1:7">
      <c r="A4" s="1" t="s">
        <v>3</v>
      </c>
      <c r="B4" s="9" t="s">
        <v>4</v>
      </c>
      <c r="C4" s="7"/>
      <c r="D4" s="10"/>
      <c r="E4" s="10"/>
      <c r="F4" s="10"/>
      <c r="G4" s="10"/>
    </row>
    <row r="5" spans="1:7">
      <c r="A5" s="1" t="s">
        <v>5</v>
      </c>
      <c r="B5" s="15" t="s">
        <v>111</v>
      </c>
      <c r="C5" s="16"/>
      <c r="D5" s="17"/>
      <c r="E5" s="17"/>
      <c r="F5" s="17"/>
      <c r="G5" s="17"/>
    </row>
    <row r="6" spans="1:7">
      <c r="A6" s="1" t="s">
        <v>6</v>
      </c>
      <c r="B6" s="11" t="s">
        <v>114</v>
      </c>
      <c r="C6" s="12"/>
      <c r="D6" s="13"/>
      <c r="E6" s="13"/>
      <c r="F6" s="13"/>
      <c r="G6" s="13"/>
    </row>
    <row r="7" spans="1:7">
      <c r="B7" s="2"/>
      <c r="C7" s="2"/>
    </row>
    <row r="8" spans="1:7">
      <c r="B8" s="2"/>
      <c r="C8" s="2"/>
    </row>
    <row r="9" spans="1:7" ht="20">
      <c r="A9" s="19" t="s">
        <v>16</v>
      </c>
      <c r="B9" s="2"/>
      <c r="C9" s="2"/>
    </row>
    <row r="10" spans="1:7">
      <c r="A10" s="5" t="s">
        <v>134</v>
      </c>
      <c r="B10" s="2"/>
      <c r="C10" s="2"/>
      <c r="D10" s="5"/>
    </row>
    <row r="11" spans="1:7">
      <c r="B11" s="2"/>
      <c r="C11" s="2"/>
    </row>
    <row r="12" spans="1:7">
      <c r="A12" t="s">
        <v>47</v>
      </c>
      <c r="B12" s="2"/>
      <c r="E12" s="25">
        <v>3.2</v>
      </c>
    </row>
    <row r="13" spans="1:7">
      <c r="A13" t="s">
        <v>48</v>
      </c>
      <c r="B13" s="2"/>
      <c r="E13" s="24">
        <v>0.4</v>
      </c>
    </row>
    <row r="14" spans="1:7">
      <c r="A14" t="s">
        <v>49</v>
      </c>
      <c r="B14" s="2"/>
      <c r="E14" s="26">
        <v>25</v>
      </c>
    </row>
    <row r="15" spans="1:7">
      <c r="A15" t="s">
        <v>58</v>
      </c>
      <c r="B15" s="2"/>
      <c r="E15" s="24">
        <v>0.06</v>
      </c>
    </row>
    <row r="16" spans="1:7">
      <c r="A16" t="s">
        <v>50</v>
      </c>
      <c r="B16" s="2"/>
      <c r="E16" s="30">
        <v>4.4999999999999998E-2</v>
      </c>
    </row>
    <row r="17" spans="1:7">
      <c r="A17" t="s">
        <v>51</v>
      </c>
      <c r="B17" s="2"/>
      <c r="E17" s="24">
        <v>0.04</v>
      </c>
    </row>
    <row r="18" spans="1:7">
      <c r="A18" t="s">
        <v>52</v>
      </c>
      <c r="B18" s="2"/>
      <c r="C18" s="2"/>
      <c r="D18" t="s">
        <v>45</v>
      </c>
      <c r="E18" s="24">
        <v>0.75</v>
      </c>
    </row>
    <row r="19" spans="1:7">
      <c r="B19" s="2"/>
      <c r="C19" s="2"/>
    </row>
    <row r="20" spans="1:7">
      <c r="B20" s="2"/>
      <c r="C20" s="2"/>
    </row>
    <row r="21" spans="1:7" ht="20">
      <c r="A21" s="19" t="s">
        <v>53</v>
      </c>
    </row>
    <row r="23" spans="1:7">
      <c r="A23" s="1" t="s">
        <v>33</v>
      </c>
    </row>
    <row r="24" spans="1:7">
      <c r="A24" s="3" t="s">
        <v>14</v>
      </c>
      <c r="B24" s="3"/>
      <c r="C24" s="4">
        <v>2016</v>
      </c>
      <c r="D24" s="4">
        <f>C24+1</f>
        <v>2017</v>
      </c>
      <c r="E24" s="4">
        <f t="shared" ref="E24:G24" si="0">D24+1</f>
        <v>2018</v>
      </c>
      <c r="F24" s="4">
        <f t="shared" si="0"/>
        <v>2019</v>
      </c>
      <c r="G24" s="4">
        <f t="shared" si="0"/>
        <v>2020</v>
      </c>
    </row>
    <row r="25" spans="1:7">
      <c r="A25" t="s">
        <v>34</v>
      </c>
      <c r="C25" s="28">
        <f>'CLS Demand'!C123</f>
        <v>17198.957832344066</v>
      </c>
      <c r="D25" s="28">
        <f>'CLS Demand'!D123</f>
        <v>20547.326517411577</v>
      </c>
      <c r="E25" s="28">
        <f>'CLS Demand'!E123</f>
        <v>24050.561701463139</v>
      </c>
      <c r="F25" s="28">
        <f>'CLS Demand'!F123</f>
        <v>27863.548695409052</v>
      </c>
      <c r="G25" s="28">
        <f>'CLS Demand'!G123</f>
        <v>31872.5330888475</v>
      </c>
    </row>
    <row r="26" spans="1:7">
      <c r="A26" t="s">
        <v>39</v>
      </c>
      <c r="C26" s="28">
        <f>'CLS Demand'!C124</f>
        <v>8336.5371428571416</v>
      </c>
      <c r="D26" s="28">
        <f>'CLS Demand'!D124</f>
        <v>18537.395999999997</v>
      </c>
      <c r="E26" s="28">
        <f>'CLS Demand'!E124</f>
        <v>27354.385799999996</v>
      </c>
      <c r="F26" s="28">
        <f>'CLS Demand'!F124</f>
        <v>40550.333905785585</v>
      </c>
      <c r="G26" s="28">
        <f>'CLS Demand'!G124</f>
        <v>60266.794028472606</v>
      </c>
    </row>
    <row r="27" spans="1:7">
      <c r="A27" t="s">
        <v>36</v>
      </c>
      <c r="C27" s="28">
        <f>'CLS Demand'!C125</f>
        <v>7585.3042307275027</v>
      </c>
      <c r="D27" s="28">
        <f>'CLS Demand'!D125</f>
        <v>15909.094621484268</v>
      </c>
      <c r="E27" s="28">
        <f>'CLS Demand'!E125</f>
        <v>26656.402468932956</v>
      </c>
      <c r="F27" s="28">
        <f>'CLS Demand'!F125</f>
        <v>42436.380838753394</v>
      </c>
      <c r="G27" s="28">
        <f>'CLS Demand'!G125</f>
        <v>64879.583151140083</v>
      </c>
    </row>
    <row r="28" spans="1:7">
      <c r="A28" s="3" t="s">
        <v>0</v>
      </c>
      <c r="B28" s="3"/>
      <c r="C28" s="18">
        <f>SUM(C25:C27)</f>
        <v>33120.799205928706</v>
      </c>
      <c r="D28" s="18">
        <f>SUM(D25:D27)</f>
        <v>54993.817138895844</v>
      </c>
      <c r="E28" s="18">
        <f>SUM(E25:E27)</f>
        <v>78061.349970396084</v>
      </c>
      <c r="F28" s="18">
        <f>SUM(F25:F27)</f>
        <v>110850.26343994803</v>
      </c>
      <c r="G28" s="18">
        <f>SUM(G25:G27)</f>
        <v>157018.9102684602</v>
      </c>
    </row>
    <row r="30" spans="1:7">
      <c r="A30" s="1" t="s">
        <v>64</v>
      </c>
    </row>
    <row r="31" spans="1:7">
      <c r="A31" s="3"/>
      <c r="B31" s="3"/>
      <c r="C31" s="4">
        <f>C24</f>
        <v>2016</v>
      </c>
      <c r="D31" s="4">
        <f>C31+1</f>
        <v>2017</v>
      </c>
      <c r="E31" s="4">
        <f t="shared" ref="E31" si="1">D31+1</f>
        <v>2018</v>
      </c>
      <c r="F31" s="4">
        <f t="shared" ref="F31" si="2">E31+1</f>
        <v>2019</v>
      </c>
      <c r="G31" s="4">
        <f t="shared" ref="G31" si="3">F31+1</f>
        <v>2020</v>
      </c>
    </row>
    <row r="32" spans="1:7">
      <c r="A32" t="s">
        <v>54</v>
      </c>
      <c r="C32" s="7">
        <f>ROUNDUP(C28/1000/10/$E$18,0)</f>
        <v>5</v>
      </c>
      <c r="D32" s="7">
        <f>ROUNDUP(D28/1000/10/$E$18,0)</f>
        <v>8</v>
      </c>
      <c r="E32" s="7">
        <f>ROUNDUP(E28/1000/10/$E$18,0)</f>
        <v>11</v>
      </c>
      <c r="F32" s="7">
        <f>ROUNDUP(F28/1000/10/$E$18,0)</f>
        <v>15</v>
      </c>
      <c r="G32" s="7">
        <f>ROUNDUP(G28/1000/10/$E$18,0)</f>
        <v>21</v>
      </c>
    </row>
    <row r="33" spans="1:7">
      <c r="A33" t="s">
        <v>55</v>
      </c>
      <c r="C33" s="31">
        <f>($E$12*(1-(1-$E$13)^C32)/$E$13)/C32</f>
        <v>1.475584</v>
      </c>
      <c r="D33" s="31">
        <f t="shared" ref="D33:G33" si="4">($E$12*(1-(1-$E$13)^D32)/$E$13)/D32</f>
        <v>0.98320384000000005</v>
      </c>
      <c r="E33" s="31">
        <f t="shared" si="4"/>
        <v>0.72463420322909089</v>
      </c>
      <c r="F33" s="31">
        <f t="shared" si="4"/>
        <v>0.53308256800822618</v>
      </c>
      <c r="G33" s="31">
        <f t="shared" si="4"/>
        <v>0.38094402401880367</v>
      </c>
    </row>
    <row r="34" spans="1:7">
      <c r="A34" t="s">
        <v>59</v>
      </c>
      <c r="C34" s="31">
        <f>C32*C33</f>
        <v>7.3779199999999996</v>
      </c>
      <c r="D34" s="31">
        <f t="shared" ref="D34:G34" si="5">D32*D33</f>
        <v>7.8656307200000004</v>
      </c>
      <c r="E34" s="31">
        <f t="shared" si="5"/>
        <v>7.9709762355200002</v>
      </c>
      <c r="F34" s="31">
        <f t="shared" si="5"/>
        <v>7.9962385201233923</v>
      </c>
      <c r="G34" s="31">
        <f t="shared" si="5"/>
        <v>7.9998245043948772</v>
      </c>
    </row>
    <row r="35" spans="1:7">
      <c r="A35" t="s">
        <v>57</v>
      </c>
      <c r="C35" s="32">
        <f>$E$15/(1-(1/(1+$E$15)^$E$14))</f>
        <v>7.8226718212273949E-2</v>
      </c>
      <c r="D35" s="32">
        <f t="shared" ref="D35:G35" si="6">$E$15/(1-(1/(1+$E$15)^$E$14))</f>
        <v>7.8226718212273949E-2</v>
      </c>
      <c r="E35" s="32">
        <f t="shared" si="6"/>
        <v>7.8226718212273949E-2</v>
      </c>
      <c r="F35" s="32">
        <f t="shared" si="6"/>
        <v>7.8226718212273949E-2</v>
      </c>
      <c r="G35" s="32">
        <f t="shared" si="6"/>
        <v>7.8226718212273949E-2</v>
      </c>
    </row>
    <row r="36" spans="1:7">
      <c r="A36" t="s">
        <v>56</v>
      </c>
      <c r="C36" s="33">
        <f>C33*C35*1000</f>
        <v>115.43009376654004</v>
      </c>
      <c r="D36" s="33">
        <f t="shared" ref="D36:G36" si="7">D33*D35*1000</f>
        <v>76.912809736905686</v>
      </c>
      <c r="E36" s="33">
        <f t="shared" si="7"/>
        <v>56.685755622977744</v>
      </c>
      <c r="F36" s="33">
        <f t="shared" si="7"/>
        <v>41.701299831454875</v>
      </c>
      <c r="G36" s="33">
        <f t="shared" si="7"/>
        <v>29.800000821568673</v>
      </c>
    </row>
    <row r="37" spans="1:7">
      <c r="A37" t="s">
        <v>60</v>
      </c>
      <c r="C37" s="31">
        <f>C34*E$16</f>
        <v>0.33200639999999998</v>
      </c>
      <c r="D37" s="31">
        <f>C37*(1+$E$17)+(D34-C34)*$E$16</f>
        <v>0.36723363840000001</v>
      </c>
      <c r="E37" s="31">
        <f t="shared" ref="E37:G37" si="8">D37*(1+$E$17)+(E34-D34)*$E$16</f>
        <v>0.38666353213439997</v>
      </c>
      <c r="F37" s="31">
        <f t="shared" si="8"/>
        <v>0.40326687622692864</v>
      </c>
      <c r="G37" s="31">
        <f t="shared" si="8"/>
        <v>0.41955892056822264</v>
      </c>
    </row>
    <row r="38" spans="1:7">
      <c r="A38" t="s">
        <v>61</v>
      </c>
      <c r="C38" s="33">
        <f>C37/C32*1000</f>
        <v>66.40128</v>
      </c>
      <c r="D38" s="33">
        <f t="shared" ref="D38:G38" si="9">D37/D32*1000</f>
        <v>45.904204800000002</v>
      </c>
      <c r="E38" s="33">
        <f t="shared" si="9"/>
        <v>35.151230194036359</v>
      </c>
      <c r="F38" s="33">
        <f t="shared" si="9"/>
        <v>26.884458415128577</v>
      </c>
      <c r="G38" s="33">
        <f t="shared" si="9"/>
        <v>19.978996217534412</v>
      </c>
    </row>
    <row r="39" spans="1:7">
      <c r="A39" t="s">
        <v>62</v>
      </c>
      <c r="C39" s="33">
        <f>C36+C38</f>
        <v>181.83137376654003</v>
      </c>
      <c r="D39" s="33">
        <f t="shared" ref="D39:G39" si="10">D36+D38</f>
        <v>122.81701453690569</v>
      </c>
      <c r="E39" s="33">
        <f t="shared" si="10"/>
        <v>91.836985817014096</v>
      </c>
      <c r="F39" s="33">
        <f t="shared" si="10"/>
        <v>68.585758246583453</v>
      </c>
      <c r="G39" s="33">
        <f t="shared" si="10"/>
        <v>49.778997039103089</v>
      </c>
    </row>
    <row r="40" spans="1:7">
      <c r="A40" s="3" t="s">
        <v>105</v>
      </c>
      <c r="B40" s="3"/>
      <c r="C40" s="50">
        <f>C39/10000/12*1000</f>
        <v>1.5152614480545001</v>
      </c>
      <c r="D40" s="50">
        <f t="shared" ref="D40" si="11">D39/10000/12*1000</f>
        <v>1.0234751211408808</v>
      </c>
      <c r="E40" s="50">
        <f t="shared" ref="E40" si="12">E39/10000/12*1000</f>
        <v>0.76530821514178415</v>
      </c>
      <c r="F40" s="50">
        <f t="shared" ref="F40" si="13">F39/10000/12*1000</f>
        <v>0.57154798538819551</v>
      </c>
      <c r="G40" s="50">
        <f t="shared" ref="G40" si="14">G39/10000/12*1000</f>
        <v>0.41482497532585905</v>
      </c>
    </row>
    <row r="43" spans="1:7" ht="20">
      <c r="A43" s="19" t="s">
        <v>63</v>
      </c>
    </row>
    <row r="45" spans="1:7">
      <c r="A45" s="1" t="s">
        <v>41</v>
      </c>
    </row>
    <row r="46" spans="1:7">
      <c r="A46" s="3" t="s">
        <v>14</v>
      </c>
      <c r="B46" s="3"/>
      <c r="C46" s="4">
        <f>C31</f>
        <v>2016</v>
      </c>
      <c r="D46" s="4">
        <f>C46+1</f>
        <v>2017</v>
      </c>
      <c r="E46" s="4">
        <f t="shared" ref="E46:G46" si="15">D46+1</f>
        <v>2018</v>
      </c>
      <c r="F46" s="4">
        <f t="shared" si="15"/>
        <v>2019</v>
      </c>
      <c r="G46" s="4">
        <f t="shared" si="15"/>
        <v>2020</v>
      </c>
    </row>
    <row r="47" spans="1:7">
      <c r="A47" t="s">
        <v>35</v>
      </c>
      <c r="C47" s="28">
        <f>'CLS Demand'!C130</f>
        <v>7279.715951302258</v>
      </c>
      <c r="D47" s="28">
        <f>'CLS Demand'!D130</f>
        <v>10772.434615978651</v>
      </c>
      <c r="E47" s="28">
        <f>'CLS Demand'!E130</f>
        <v>14692.683492489157</v>
      </c>
      <c r="F47" s="28">
        <f>'CLS Demand'!F130</f>
        <v>19150.52969791834</v>
      </c>
      <c r="G47" s="28">
        <f>'CLS Demand'!G130</f>
        <v>24084.612861726862</v>
      </c>
    </row>
    <row r="48" spans="1:7">
      <c r="A48" t="s">
        <v>40</v>
      </c>
      <c r="C48" s="28">
        <f>'CLS Demand'!C131</f>
        <v>4323.4377142857147</v>
      </c>
      <c r="D48" s="28">
        <f>'CLS Demand'!D131</f>
        <v>10818.38608695652</v>
      </c>
      <c r="E48" s="28">
        <f>'CLS Demand'!E131</f>
        <v>17738.646545454547</v>
      </c>
      <c r="F48" s="28">
        <f>'CLS Demand'!F131</f>
        <v>29157.924266663867</v>
      </c>
      <c r="G48" s="28">
        <f>'CLS Demand'!G131</f>
        <v>47989.693167178084</v>
      </c>
    </row>
    <row r="49" spans="1:7">
      <c r="A49" t="s">
        <v>36</v>
      </c>
      <c r="C49" s="28">
        <f>'CLS Demand'!C132</f>
        <v>0</v>
      </c>
      <c r="D49" s="28">
        <f>'CLS Demand'!D132</f>
        <v>1767.6771801649181</v>
      </c>
      <c r="E49" s="28">
        <f>'CLS Demand'!E132</f>
        <v>6664.1006172332372</v>
      </c>
      <c r="F49" s="28">
        <f>'CLS Demand'!F132</f>
        <v>18187.020359465736</v>
      </c>
      <c r="G49" s="28">
        <f>'CLS Demand'!G132</f>
        <v>43253.055434093396</v>
      </c>
    </row>
    <row r="50" spans="1:7">
      <c r="A50" s="3" t="s">
        <v>0</v>
      </c>
      <c r="B50" s="3"/>
      <c r="C50" s="18">
        <f>SUM(C47:C49)</f>
        <v>11603.153665587972</v>
      </c>
      <c r="D50" s="18">
        <f>SUM(D47:D49)</f>
        <v>23358.497883100088</v>
      </c>
      <c r="E50" s="18">
        <f>SUM(E47:E49)</f>
        <v>39095.43065517694</v>
      </c>
      <c r="F50" s="18">
        <f>SUM(F47:F49)</f>
        <v>66495.474324047944</v>
      </c>
      <c r="G50" s="18">
        <f>SUM(G47:G49)</f>
        <v>115327.36146299835</v>
      </c>
    </row>
    <row r="52" spans="1:7">
      <c r="A52" s="1" t="s">
        <v>65</v>
      </c>
    </row>
    <row r="53" spans="1:7">
      <c r="A53" s="3"/>
      <c r="B53" s="3"/>
      <c r="C53" s="4">
        <f>C46</f>
        <v>2016</v>
      </c>
      <c r="D53" s="4">
        <f>C53+1</f>
        <v>2017</v>
      </c>
      <c r="E53" s="4">
        <f t="shared" ref="E53" si="16">D53+1</f>
        <v>2018</v>
      </c>
      <c r="F53" s="4">
        <f t="shared" ref="F53" si="17">E53+1</f>
        <v>2019</v>
      </c>
      <c r="G53" s="4">
        <f t="shared" ref="G53" si="18">F53+1</f>
        <v>2020</v>
      </c>
    </row>
    <row r="54" spans="1:7">
      <c r="A54" t="s">
        <v>54</v>
      </c>
      <c r="C54" s="7">
        <f>ROUNDUP(C50/1000/10/$E$18,0)</f>
        <v>2</v>
      </c>
      <c r="D54" s="7">
        <f t="shared" ref="D54:G54" si="19">ROUNDUP(D50/1000/10/$E$18,0)</f>
        <v>4</v>
      </c>
      <c r="E54" s="7">
        <f t="shared" si="19"/>
        <v>6</v>
      </c>
      <c r="F54" s="7">
        <f t="shared" si="19"/>
        <v>9</v>
      </c>
      <c r="G54" s="7">
        <f t="shared" si="19"/>
        <v>16</v>
      </c>
    </row>
    <row r="55" spans="1:7">
      <c r="A55" t="s">
        <v>55</v>
      </c>
      <c r="C55" s="31">
        <f>($E$12*(1-(1-$E$13)^C54)/$E$13)/C54</f>
        <v>2.56</v>
      </c>
      <c r="D55" s="31">
        <f t="shared" ref="D55" si="20">($E$12*(1-(1-$E$13)^D54)/$E$13)/D54</f>
        <v>1.7408000000000001</v>
      </c>
      <c r="E55" s="31">
        <f t="shared" ref="E55" si="21">($E$12*(1-(1-$E$13)^E54)/$E$13)/E54</f>
        <v>1.2711253333333332</v>
      </c>
      <c r="F55" s="31">
        <f t="shared" ref="F55" si="22">($E$12*(1-(1-$E$13)^F54)/$E$13)/F54</f>
        <v>0.8799309368888889</v>
      </c>
      <c r="G55" s="31">
        <f t="shared" ref="G55" si="23">($E$12*(1-(1-$E$13)^G54)/$E$13)/G54</f>
        <v>0.49985894450462726</v>
      </c>
    </row>
    <row r="56" spans="1:7">
      <c r="A56" t="s">
        <v>59</v>
      </c>
      <c r="C56" s="31">
        <f>C54*C55</f>
        <v>5.12</v>
      </c>
      <c r="D56" s="31">
        <f t="shared" ref="D56" si="24">D54*D55</f>
        <v>6.9632000000000005</v>
      </c>
      <c r="E56" s="31">
        <f t="shared" ref="E56" si="25">E54*E55</f>
        <v>7.6267519999999998</v>
      </c>
      <c r="F56" s="31">
        <f t="shared" ref="F56" si="26">F54*F55</f>
        <v>7.9193784320000002</v>
      </c>
      <c r="G56" s="31">
        <f t="shared" ref="G56" si="27">G54*G55</f>
        <v>7.9977431120740361</v>
      </c>
    </row>
    <row r="57" spans="1:7">
      <c r="A57" t="s">
        <v>57</v>
      </c>
      <c r="C57" s="32">
        <f>$E$15/(1-(1/(1+$E$15)^$E$14))</f>
        <v>7.8226718212273949E-2</v>
      </c>
      <c r="D57" s="32">
        <f t="shared" ref="D57:G57" si="28">$E$15/(1-(1/(1+$E$15)^$E$14))</f>
        <v>7.8226718212273949E-2</v>
      </c>
      <c r="E57" s="32">
        <f t="shared" si="28"/>
        <v>7.8226718212273949E-2</v>
      </c>
      <c r="F57" s="32">
        <f t="shared" si="28"/>
        <v>7.8226718212273949E-2</v>
      </c>
      <c r="G57" s="32">
        <f t="shared" si="28"/>
        <v>7.8226718212273949E-2</v>
      </c>
    </row>
    <row r="58" spans="1:7">
      <c r="A58" t="s">
        <v>56</v>
      </c>
      <c r="C58" s="33">
        <f>C55*C57*1000</f>
        <v>200.26039862342131</v>
      </c>
      <c r="D58" s="33">
        <f t="shared" ref="D58" si="29">D55*D57*1000</f>
        <v>136.17707106392652</v>
      </c>
      <c r="E58" s="33">
        <f t="shared" ref="E58" si="30">E55*E57*1000</f>
        <v>99.435963263149446</v>
      </c>
      <c r="F58" s="33">
        <f t="shared" ref="F58" si="31">F55*F57*1000</f>
        <v>68.834109446269323</v>
      </c>
      <c r="G58" s="33">
        <f t="shared" ref="G58" si="32">G55*G57*1000</f>
        <v>39.102324797648158</v>
      </c>
    </row>
    <row r="59" spans="1:7">
      <c r="A59" t="s">
        <v>60</v>
      </c>
      <c r="C59" s="31">
        <f>C56*E$16</f>
        <v>0.23039999999999999</v>
      </c>
      <c r="D59" s="31">
        <f>C59*(1+$E$17)+(D56-C56)*$E$16</f>
        <v>0.32256000000000001</v>
      </c>
      <c r="E59" s="31">
        <f t="shared" ref="E59:G59" si="33">D59*(1+$E$17)+(E56-D56)*$E$16</f>
        <v>0.36532224000000002</v>
      </c>
      <c r="F59" s="31">
        <f t="shared" si="33"/>
        <v>0.39310331904000007</v>
      </c>
      <c r="G59" s="31">
        <f t="shared" si="33"/>
        <v>0.41235386240493166</v>
      </c>
    </row>
    <row r="60" spans="1:7">
      <c r="A60" t="s">
        <v>61</v>
      </c>
      <c r="C60" s="33">
        <f>C59/C54*1000</f>
        <v>115.2</v>
      </c>
      <c r="D60" s="33">
        <f t="shared" ref="D60" si="34">D59/D54*1000</f>
        <v>80.64</v>
      </c>
      <c r="E60" s="33">
        <f t="shared" ref="E60" si="35">E59/E54*1000</f>
        <v>60.887040000000006</v>
      </c>
      <c r="F60" s="33">
        <f t="shared" ref="F60" si="36">F59/F54*1000</f>
        <v>43.678146560000009</v>
      </c>
      <c r="G60" s="33">
        <f t="shared" ref="G60" si="37">G59/G54*1000</f>
        <v>25.772116400308228</v>
      </c>
    </row>
    <row r="61" spans="1:7">
      <c r="A61" t="s">
        <v>62</v>
      </c>
      <c r="C61" s="33">
        <f>C58+C60</f>
        <v>315.46039862342133</v>
      </c>
      <c r="D61" s="33">
        <f t="shared" ref="D61" si="38">D58+D60</f>
        <v>216.81707106392651</v>
      </c>
      <c r="E61" s="33">
        <f t="shared" ref="E61" si="39">E58+E60</f>
        <v>160.32300326314945</v>
      </c>
      <c r="F61" s="33">
        <f t="shared" ref="F61" si="40">F58+F60</f>
        <v>112.51225600626933</v>
      </c>
      <c r="G61" s="33">
        <f t="shared" ref="G61" si="41">G58+G60</f>
        <v>64.874441197956386</v>
      </c>
    </row>
    <row r="62" spans="1:7">
      <c r="A62" s="3" t="s">
        <v>105</v>
      </c>
      <c r="B62" s="3"/>
      <c r="C62" s="50">
        <f>C61/10000/12*1000</f>
        <v>2.6288366551951778</v>
      </c>
      <c r="D62" s="50">
        <f t="shared" ref="D62:G62" si="42">D61/10000/12*1000</f>
        <v>1.8068089255327209</v>
      </c>
      <c r="E62" s="50">
        <f t="shared" si="42"/>
        <v>1.3360250271929119</v>
      </c>
      <c r="F62" s="50">
        <f t="shared" si="42"/>
        <v>0.93760213338557774</v>
      </c>
      <c r="G62" s="50">
        <f t="shared" si="42"/>
        <v>0.54062034331630326</v>
      </c>
    </row>
    <row r="66" spans="1:7" ht="20">
      <c r="A66" s="19" t="s">
        <v>104</v>
      </c>
    </row>
    <row r="68" spans="1:7">
      <c r="A68" s="1" t="s">
        <v>109</v>
      </c>
    </row>
    <row r="69" spans="1:7">
      <c r="A69" s="3" t="s">
        <v>110</v>
      </c>
      <c r="B69" s="3"/>
      <c r="C69" s="4">
        <f>C53</f>
        <v>2016</v>
      </c>
      <c r="D69" s="4">
        <f>C69+1</f>
        <v>2017</v>
      </c>
      <c r="E69" s="4">
        <f t="shared" ref="E69" si="43">D69+1</f>
        <v>2018</v>
      </c>
      <c r="F69" s="4">
        <f t="shared" ref="F69" si="44">E69+1</f>
        <v>2019</v>
      </c>
      <c r="G69" s="4">
        <f t="shared" ref="G69" si="45">F69+1</f>
        <v>2020</v>
      </c>
    </row>
    <row r="70" spans="1:7">
      <c r="A70" t="s">
        <v>107</v>
      </c>
      <c r="C70" s="31">
        <f>C62</f>
        <v>2.6288366551951778</v>
      </c>
      <c r="D70" s="31">
        <f t="shared" ref="D70:G70" si="46">D62</f>
        <v>1.8068089255327209</v>
      </c>
      <c r="E70" s="31">
        <f t="shared" si="46"/>
        <v>1.3360250271929119</v>
      </c>
      <c r="F70" s="31">
        <f t="shared" si="46"/>
        <v>0.93760213338557774</v>
      </c>
      <c r="G70" s="31">
        <f t="shared" si="46"/>
        <v>0.54062034331630326</v>
      </c>
    </row>
    <row r="71" spans="1:7">
      <c r="A71" t="s">
        <v>106</v>
      </c>
      <c r="C71" s="31">
        <f>C40</f>
        <v>1.5152614480545001</v>
      </c>
      <c r="D71" s="31">
        <f t="shared" ref="D71:G71" si="47">D40</f>
        <v>1.0234751211408808</v>
      </c>
      <c r="E71" s="31">
        <f t="shared" si="47"/>
        <v>0.76530821514178415</v>
      </c>
      <c r="F71" s="31">
        <f t="shared" si="47"/>
        <v>0.57154798538819551</v>
      </c>
      <c r="G71" s="31">
        <f t="shared" si="47"/>
        <v>0.41482497532585905</v>
      </c>
    </row>
    <row r="72" spans="1:7">
      <c r="A72" s="3" t="s">
        <v>108</v>
      </c>
      <c r="B72" s="3"/>
      <c r="C72" s="55">
        <f>(C70*C50+C71*C28)/(C28+C50)</f>
        <v>1.8041666860096901</v>
      </c>
      <c r="D72" s="55">
        <f t="shared" ref="D72:G72" si="48">(D70*D50+D71*D28)/(D28+D50)</f>
        <v>1.2570036519380992</v>
      </c>
      <c r="E72" s="55">
        <f t="shared" si="48"/>
        <v>0.95575745273732582</v>
      </c>
      <c r="F72" s="55">
        <f t="shared" si="48"/>
        <v>0.70879934821352064</v>
      </c>
      <c r="G72" s="55">
        <f t="shared" si="48"/>
        <v>0.46809410136298663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showGridLines="0" tabSelected="1" topLeftCell="A35" workbookViewId="0">
      <selection activeCell="J71" sqref="J71"/>
    </sheetView>
  </sheetViews>
  <sheetFormatPr baseColWidth="10" defaultColWidth="11" defaultRowHeight="15" x14ac:dyDescent="0"/>
  <cols>
    <col min="1" max="7" width="14.1640625" customWidth="1"/>
  </cols>
  <sheetData>
    <row r="1" spans="1:7" ht="20">
      <c r="A1" s="14" t="s">
        <v>66</v>
      </c>
      <c r="B1" s="2"/>
      <c r="C1" s="2"/>
    </row>
    <row r="2" spans="1:7">
      <c r="B2" s="2"/>
      <c r="C2" s="2"/>
    </row>
    <row r="3" spans="1:7">
      <c r="A3" s="1" t="s">
        <v>1</v>
      </c>
      <c r="B3" s="8" t="s">
        <v>126</v>
      </c>
      <c r="C3" s="6"/>
      <c r="D3" s="8"/>
      <c r="E3" s="8"/>
      <c r="F3" s="8"/>
      <c r="G3" s="8"/>
    </row>
    <row r="4" spans="1:7">
      <c r="A4" s="1" t="s">
        <v>3</v>
      </c>
      <c r="B4" s="9" t="s">
        <v>4</v>
      </c>
      <c r="C4" s="7"/>
      <c r="D4" s="10"/>
      <c r="E4" s="10"/>
      <c r="F4" s="10"/>
      <c r="G4" s="10"/>
    </row>
    <row r="5" spans="1:7">
      <c r="A5" s="1" t="s">
        <v>5</v>
      </c>
      <c r="B5" s="15" t="s">
        <v>124</v>
      </c>
      <c r="C5" s="16"/>
      <c r="D5" s="17"/>
      <c r="E5" s="17"/>
      <c r="F5" s="17"/>
      <c r="G5" s="17"/>
    </row>
    <row r="6" spans="1:7">
      <c r="A6" s="1" t="s">
        <v>6</v>
      </c>
      <c r="B6" s="11" t="s">
        <v>8</v>
      </c>
      <c r="C6" s="12"/>
      <c r="D6" s="13"/>
      <c r="E6" s="13"/>
      <c r="F6" s="13"/>
      <c r="G6" s="13"/>
    </row>
    <row r="7" spans="1:7">
      <c r="B7" s="2"/>
      <c r="C7" s="2"/>
    </row>
    <row r="8" spans="1:7">
      <c r="B8" s="2"/>
      <c r="C8" s="2"/>
    </row>
    <row r="9" spans="1:7" ht="20">
      <c r="A9" s="19" t="s">
        <v>83</v>
      </c>
      <c r="B9" s="2"/>
      <c r="C9" s="2"/>
    </row>
    <row r="11" spans="1:7">
      <c r="A11" s="1" t="s">
        <v>16</v>
      </c>
    </row>
    <row r="12" spans="1:7">
      <c r="A12" s="47"/>
      <c r="B12" s="48"/>
      <c r="C12" s="47"/>
      <c r="D12" s="47"/>
      <c r="E12" s="4">
        <v>2016</v>
      </c>
      <c r="F12" s="4">
        <v>2018</v>
      </c>
    </row>
    <row r="13" spans="1:7" ht="15" customHeight="1">
      <c r="A13" s="62" t="s">
        <v>85</v>
      </c>
      <c r="B13" s="62"/>
      <c r="C13" s="62"/>
      <c r="D13" s="62"/>
      <c r="E13" s="44">
        <v>20</v>
      </c>
      <c r="F13" s="44">
        <v>15</v>
      </c>
    </row>
    <row r="14" spans="1:7" ht="15" customHeight="1">
      <c r="A14" s="60" t="s">
        <v>67</v>
      </c>
      <c r="B14" s="60"/>
      <c r="C14" s="60"/>
      <c r="D14" s="60"/>
      <c r="E14" s="37">
        <v>88</v>
      </c>
      <c r="F14" s="37">
        <v>88</v>
      </c>
      <c r="G14" s="5" t="s">
        <v>112</v>
      </c>
    </row>
    <row r="15" spans="1:7" ht="15" customHeight="1">
      <c r="A15" s="60" t="s">
        <v>68</v>
      </c>
      <c r="B15" s="60"/>
      <c r="C15" s="60"/>
      <c r="D15" s="60"/>
      <c r="E15" s="35">
        <v>6.1</v>
      </c>
      <c r="F15" s="35">
        <v>7.27</v>
      </c>
      <c r="G15" s="5" t="s">
        <v>125</v>
      </c>
    </row>
    <row r="16" spans="1:7" ht="15" customHeight="1">
      <c r="A16" s="62" t="s">
        <v>69</v>
      </c>
      <c r="B16" s="62"/>
      <c r="C16" s="62"/>
      <c r="D16" s="62"/>
      <c r="E16" s="36">
        <f>'CLS Costs'!C62</f>
        <v>2.6288366551951778</v>
      </c>
      <c r="F16" s="36">
        <f>'CLS Costs'!E62</f>
        <v>1.3360250271929119</v>
      </c>
    </row>
    <row r="17" spans="1:7" ht="15" customHeight="1">
      <c r="A17" s="57" t="s">
        <v>86</v>
      </c>
      <c r="E17" s="20">
        <v>0.4</v>
      </c>
      <c r="F17" s="20">
        <v>0.3</v>
      </c>
      <c r="G17" s="5"/>
    </row>
    <row r="19" spans="1:7">
      <c r="A19" s="1" t="s">
        <v>81</v>
      </c>
    </row>
    <row r="20" spans="1:7" s="40" customFormat="1" ht="45">
      <c r="A20" s="38" t="s">
        <v>71</v>
      </c>
      <c r="B20" s="39" t="s">
        <v>79</v>
      </c>
      <c r="C20" s="39" t="s">
        <v>82</v>
      </c>
      <c r="D20" s="39" t="s">
        <v>136</v>
      </c>
    </row>
    <row r="21" spans="1:7">
      <c r="A21" t="s">
        <v>72</v>
      </c>
      <c r="B21" s="6">
        <v>2</v>
      </c>
      <c r="C21" s="6">
        <v>10</v>
      </c>
      <c r="D21" s="16">
        <v>10</v>
      </c>
    </row>
    <row r="22" spans="1:7">
      <c r="A22" t="s">
        <v>73</v>
      </c>
      <c r="B22" s="6">
        <v>10</v>
      </c>
      <c r="C22" s="6">
        <v>20</v>
      </c>
      <c r="D22" s="16">
        <v>15</v>
      </c>
    </row>
    <row r="23" spans="1:7">
      <c r="A23" t="s">
        <v>74</v>
      </c>
      <c r="B23" s="6">
        <v>25</v>
      </c>
      <c r="C23" s="6">
        <v>35</v>
      </c>
      <c r="D23" s="16">
        <v>23</v>
      </c>
    </row>
    <row r="24" spans="1:7">
      <c r="A24" t="s">
        <v>75</v>
      </c>
      <c r="B24" s="6">
        <v>100</v>
      </c>
      <c r="C24" s="6">
        <v>50</v>
      </c>
      <c r="D24" s="16">
        <v>36</v>
      </c>
    </row>
    <row r="25" spans="1:7">
      <c r="A25" s="3" t="s">
        <v>0</v>
      </c>
      <c r="B25" s="3"/>
      <c r="C25" s="4"/>
      <c r="D25" s="4"/>
    </row>
    <row r="27" spans="1:7">
      <c r="A27" s="1" t="s">
        <v>113</v>
      </c>
      <c r="B27" s="2"/>
      <c r="C27" s="2"/>
    </row>
    <row r="28" spans="1:7">
      <c r="A28" s="38" t="s">
        <v>71</v>
      </c>
      <c r="B28" s="39">
        <v>2016</v>
      </c>
      <c r="C28" s="39">
        <v>2018</v>
      </c>
      <c r="D28" s="5" t="s">
        <v>117</v>
      </c>
    </row>
    <row r="29" spans="1:7">
      <c r="A29" t="s">
        <v>72</v>
      </c>
      <c r="B29" s="26">
        <v>202790</v>
      </c>
      <c r="C29" s="26">
        <v>221444.65547749994</v>
      </c>
    </row>
    <row r="30" spans="1:7">
      <c r="A30" t="s">
        <v>73</v>
      </c>
      <c r="B30" s="26">
        <v>140940</v>
      </c>
      <c r="C30" s="26">
        <v>232918.91933999996</v>
      </c>
    </row>
    <row r="31" spans="1:7">
      <c r="A31" t="s">
        <v>74</v>
      </c>
      <c r="B31" s="26">
        <v>74715</v>
      </c>
      <c r="C31" s="26">
        <v>151625.53016024997</v>
      </c>
    </row>
    <row r="32" spans="1:7">
      <c r="A32" t="s">
        <v>75</v>
      </c>
      <c r="B32" s="26">
        <v>31715</v>
      </c>
      <c r="C32" s="26">
        <v>105368.58532625</v>
      </c>
    </row>
    <row r="33" spans="1:5">
      <c r="A33" s="3" t="s">
        <v>0</v>
      </c>
      <c r="B33" s="4">
        <f>SUM(B29:B32)</f>
        <v>450160</v>
      </c>
      <c r="C33" s="34">
        <f>SUM(C29:C32)</f>
        <v>711357.69030399993</v>
      </c>
    </row>
    <row r="35" spans="1:5">
      <c r="A35" s="1" t="s">
        <v>88</v>
      </c>
      <c r="B35" s="2"/>
      <c r="C35" s="2"/>
    </row>
    <row r="36" spans="1:5">
      <c r="A36" s="38" t="s">
        <v>71</v>
      </c>
      <c r="B36" s="58">
        <v>2016</v>
      </c>
      <c r="C36" s="58">
        <v>2018</v>
      </c>
    </row>
    <row r="37" spans="1:5">
      <c r="A37" t="s">
        <v>72</v>
      </c>
      <c r="B37" s="33">
        <f>(B29*C21*12)/1000000</f>
        <v>24.334800000000001</v>
      </c>
      <c r="C37" s="33">
        <f>(C29*D21*12)/1000000</f>
        <v>26.573358657299995</v>
      </c>
    </row>
    <row r="38" spans="1:5">
      <c r="A38" t="s">
        <v>73</v>
      </c>
      <c r="B38" s="33">
        <f t="shared" ref="B38:C40" si="0">(B30*C22*12)/1000000</f>
        <v>33.825600000000001</v>
      </c>
      <c r="C38" s="33">
        <f t="shared" si="0"/>
        <v>41.925405481199995</v>
      </c>
    </row>
    <row r="39" spans="1:5">
      <c r="A39" t="s">
        <v>74</v>
      </c>
      <c r="B39" s="33">
        <f t="shared" si="0"/>
        <v>31.380299999999998</v>
      </c>
      <c r="C39" s="33">
        <f t="shared" si="0"/>
        <v>41.848646324228987</v>
      </c>
    </row>
    <row r="40" spans="1:5">
      <c r="A40" t="s">
        <v>75</v>
      </c>
      <c r="B40" s="33">
        <f t="shared" si="0"/>
        <v>19.029</v>
      </c>
      <c r="C40" s="33">
        <f t="shared" si="0"/>
        <v>45.519228860939997</v>
      </c>
    </row>
    <row r="41" spans="1:5">
      <c r="A41" s="3" t="s">
        <v>0</v>
      </c>
      <c r="B41" s="4">
        <f>SUM(B37:B40)</f>
        <v>108.5697</v>
      </c>
      <c r="C41" s="34">
        <f>SUM(C37:C40)</f>
        <v>155.86663932366898</v>
      </c>
    </row>
    <row r="43" spans="1:5">
      <c r="A43" s="1" t="s">
        <v>84</v>
      </c>
    </row>
    <row r="44" spans="1:5">
      <c r="B44" s="63" t="s">
        <v>91</v>
      </c>
      <c r="C44" s="63"/>
      <c r="D44" s="63"/>
      <c r="E44" s="63"/>
    </row>
    <row r="45" spans="1:5" s="40" customFormat="1">
      <c r="A45" s="38" t="s">
        <v>71</v>
      </c>
      <c r="B45" s="39" t="s">
        <v>78</v>
      </c>
      <c r="C45" s="39" t="s">
        <v>77</v>
      </c>
      <c r="D45" s="39" t="s">
        <v>92</v>
      </c>
      <c r="E45" s="39" t="s">
        <v>80</v>
      </c>
    </row>
    <row r="46" spans="1:5">
      <c r="A46" t="s">
        <v>72</v>
      </c>
      <c r="B46" s="36">
        <f>E$14/12</f>
        <v>7.333333333333333</v>
      </c>
      <c r="C46" s="36">
        <f>E$15*B21/12/$E$13</f>
        <v>5.0833333333333328E-2</v>
      </c>
      <c r="D46" s="36">
        <f>E$16*B21*'CLS Demand'!C$54/'CLS Demand'!C$45/$E$13</f>
        <v>0.21260093904481109</v>
      </c>
      <c r="E46" s="36">
        <f>B46+C46+D46</f>
        <v>7.5967676057114772</v>
      </c>
    </row>
    <row r="47" spans="1:5">
      <c r="A47" t="s">
        <v>73</v>
      </c>
      <c r="B47" s="36">
        <f>E$14/12</f>
        <v>7.333333333333333</v>
      </c>
      <c r="C47" s="36">
        <f>E$15*B22/12/$E$13</f>
        <v>0.25416666666666665</v>
      </c>
      <c r="D47" s="36">
        <f>E$16*B22*'CLS Demand'!C$54/'CLS Demand'!C$45/$E$13</f>
        <v>1.0630046952240553</v>
      </c>
      <c r="E47" s="36">
        <f t="shared" ref="E47:E49" si="1">B47+C47+D47</f>
        <v>8.6505046952240541</v>
      </c>
    </row>
    <row r="48" spans="1:5">
      <c r="A48" t="s">
        <v>74</v>
      </c>
      <c r="B48" s="36">
        <f>E$14/12</f>
        <v>7.333333333333333</v>
      </c>
      <c r="C48" s="36">
        <f>E$15*B23/12/$E$13</f>
        <v>0.63541666666666674</v>
      </c>
      <c r="D48" s="36">
        <f>E$16*B23*'CLS Demand'!C$54/'CLS Demand'!C$45/$E$13</f>
        <v>2.6575117380601379</v>
      </c>
      <c r="E48" s="36">
        <f t="shared" si="1"/>
        <v>10.626261738060137</v>
      </c>
    </row>
    <row r="49" spans="1:5">
      <c r="A49" t="s">
        <v>75</v>
      </c>
      <c r="B49" s="36">
        <f>E$14/12</f>
        <v>7.333333333333333</v>
      </c>
      <c r="C49" s="36">
        <f>E$15*B24/12/$E$13</f>
        <v>2.541666666666667</v>
      </c>
      <c r="D49" s="36">
        <f>E$16*B24*'CLS Demand'!C$54/'CLS Demand'!C$45/$E$13</f>
        <v>10.630046952240551</v>
      </c>
      <c r="E49" s="36">
        <f t="shared" si="1"/>
        <v>20.505046952240551</v>
      </c>
    </row>
    <row r="50" spans="1:5">
      <c r="A50" s="3" t="s">
        <v>0</v>
      </c>
      <c r="B50" s="4"/>
      <c r="C50" s="4"/>
      <c r="D50" s="4"/>
      <c r="E50" s="4"/>
    </row>
    <row r="52" spans="1:5">
      <c r="A52" s="1" t="s">
        <v>128</v>
      </c>
    </row>
    <row r="53" spans="1:5">
      <c r="B53" s="63" t="s">
        <v>91</v>
      </c>
      <c r="C53" s="63"/>
      <c r="D53" s="63"/>
      <c r="E53" s="63"/>
    </row>
    <row r="54" spans="1:5">
      <c r="A54" s="38" t="s">
        <v>71</v>
      </c>
      <c r="B54" s="39" t="s">
        <v>78</v>
      </c>
      <c r="C54" s="39" t="s">
        <v>77</v>
      </c>
      <c r="D54" s="39" t="s">
        <v>92</v>
      </c>
      <c r="E54" s="39" t="s">
        <v>80</v>
      </c>
    </row>
    <row r="55" spans="1:5">
      <c r="A55" t="s">
        <v>72</v>
      </c>
      <c r="B55" s="36">
        <f>F$14/12</f>
        <v>7.333333333333333</v>
      </c>
      <c r="C55" s="36">
        <f>F$15*B21/12/$F$13</f>
        <v>8.0777777777777782E-2</v>
      </c>
      <c r="D55" s="36">
        <f>F$16*B21*'CLS Demand'!E$54/'CLS Demand'!E$45/$F$13</f>
        <v>0.12572035688537594</v>
      </c>
      <c r="E55" s="36">
        <f>B55+C55+D55</f>
        <v>7.5398314679964864</v>
      </c>
    </row>
    <row r="56" spans="1:5">
      <c r="A56" t="s">
        <v>73</v>
      </c>
      <c r="B56" s="36">
        <f>F$14/12</f>
        <v>7.333333333333333</v>
      </c>
      <c r="C56" s="36">
        <f>F$15*B22/12/$F$13</f>
        <v>0.40388888888888885</v>
      </c>
      <c r="D56" s="36">
        <f>F$16*B22*'CLS Demand'!E$54/'CLS Demand'!E$45/$F$13</f>
        <v>0.62860178442687986</v>
      </c>
      <c r="E56" s="36">
        <f t="shared" ref="E56:E58" si="2">B56+C56+D56</f>
        <v>8.3658240066491025</v>
      </c>
    </row>
    <row r="57" spans="1:5">
      <c r="A57" t="s">
        <v>74</v>
      </c>
      <c r="B57" s="36">
        <f>F$14/12</f>
        <v>7.333333333333333</v>
      </c>
      <c r="C57" s="36">
        <f>F$15*B23/12/$F$13</f>
        <v>1.0097222222222222</v>
      </c>
      <c r="D57" s="36">
        <f>F$16*B23*'CLS Demand'!E$54/'CLS Demand'!E$45/$F$13</f>
        <v>1.5715044610671993</v>
      </c>
      <c r="E57" s="36">
        <f t="shared" si="2"/>
        <v>9.9145600166227545</v>
      </c>
    </row>
    <row r="58" spans="1:5">
      <c r="A58" t="s">
        <v>75</v>
      </c>
      <c r="B58" s="36">
        <f>F$14/12</f>
        <v>7.333333333333333</v>
      </c>
      <c r="C58" s="36">
        <f>F$15*B24/12/$F$13</f>
        <v>4.0388888888888888</v>
      </c>
      <c r="D58" s="36">
        <f>F$16*B24*'CLS Demand'!E$54/'CLS Demand'!E$45/$F$13</f>
        <v>6.2860178442687973</v>
      </c>
      <c r="E58" s="36">
        <f t="shared" si="2"/>
        <v>17.658240066491018</v>
      </c>
    </row>
    <row r="59" spans="1:5">
      <c r="A59" s="3" t="s">
        <v>0</v>
      </c>
      <c r="B59" s="4"/>
      <c r="C59" s="4"/>
      <c r="D59" s="4"/>
      <c r="E59" s="4"/>
    </row>
    <row r="61" spans="1:5">
      <c r="A61" s="1" t="s">
        <v>87</v>
      </c>
    </row>
    <row r="62" spans="1:5">
      <c r="A62" s="38" t="s">
        <v>71</v>
      </c>
      <c r="B62" s="39">
        <v>2016</v>
      </c>
      <c r="C62" s="39">
        <v>2018</v>
      </c>
    </row>
    <row r="63" spans="1:5">
      <c r="A63" t="s">
        <v>72</v>
      </c>
      <c r="B63" s="43">
        <f>(C21*(1-$E$17)-E46)/E46</f>
        <v>-0.21019039788856772</v>
      </c>
      <c r="C63" s="43">
        <f>(D21*(1-$F$17)-E55)/E55</f>
        <v>-7.1597285733487698E-2</v>
      </c>
    </row>
    <row r="64" spans="1:5">
      <c r="A64" t="s">
        <v>73</v>
      </c>
      <c r="B64" s="43">
        <f>(C22*(1-$E$17)-E47)/E47</f>
        <v>0.38720229891617808</v>
      </c>
      <c r="C64" s="43">
        <f>(D22*(1-$F$17)-E56)/E56</f>
        <v>0.25510648940913272</v>
      </c>
    </row>
    <row r="65" spans="1:7">
      <c r="A65" t="s">
        <v>74</v>
      </c>
      <c r="B65" s="43">
        <f>(C23*(1-$E$17)-E48)/E48</f>
        <v>0.97623590662972193</v>
      </c>
      <c r="C65" s="43">
        <f>(D23*(1-$F$17)-E57)/E57</f>
        <v>0.62387438000342255</v>
      </c>
    </row>
    <row r="66" spans="1:7">
      <c r="A66" t="s">
        <v>75</v>
      </c>
      <c r="B66" s="43">
        <f>(C24*(1-$E$17)-E49)/E49</f>
        <v>0.46305444068841556</v>
      </c>
      <c r="C66" s="43">
        <f>(D24*(1-$F$17)-E58)/E58</f>
        <v>0.42709578673248</v>
      </c>
    </row>
    <row r="67" spans="1:7">
      <c r="A67" s="3" t="s">
        <v>0</v>
      </c>
      <c r="B67" s="45">
        <f>SUMPRODUCT(B37:B40,B63:B66)/B41</f>
        <v>0.4368479176082542</v>
      </c>
      <c r="C67" s="45">
        <f>SUMPRODUCT(C37:C40,C63:C66)/C41</f>
        <v>0.34864568860795309</v>
      </c>
    </row>
    <row r="70" spans="1:7" ht="20">
      <c r="A70" s="19" t="s">
        <v>89</v>
      </c>
    </row>
    <row r="72" spans="1:7">
      <c r="A72" s="1" t="s">
        <v>16</v>
      </c>
    </row>
    <row r="73" spans="1:7">
      <c r="A73" s="47"/>
      <c r="B73" s="48"/>
      <c r="C73" s="47"/>
      <c r="D73" s="47"/>
      <c r="E73" s="4">
        <v>2016</v>
      </c>
      <c r="F73" s="4">
        <v>2018</v>
      </c>
    </row>
    <row r="74" spans="1:7" ht="15" customHeight="1">
      <c r="A74" s="62" t="s">
        <v>70</v>
      </c>
      <c r="B74" s="62"/>
      <c r="C74" s="62"/>
      <c r="D74" s="62"/>
      <c r="E74" s="46">
        <v>3.2300000000000002E-2</v>
      </c>
      <c r="F74" s="46">
        <v>3.0800000000000001E-2</v>
      </c>
      <c r="G74" s="5" t="s">
        <v>122</v>
      </c>
    </row>
    <row r="75" spans="1:7" ht="15" customHeight="1">
      <c r="A75" s="62" t="s">
        <v>94</v>
      </c>
      <c r="B75" s="62"/>
      <c r="C75" s="62"/>
      <c r="D75" s="62"/>
      <c r="E75" s="46">
        <v>5.0974758513029142E-3</v>
      </c>
      <c r="F75" s="46">
        <v>5.0974758513029142E-3</v>
      </c>
      <c r="G75" s="5" t="s">
        <v>122</v>
      </c>
    </row>
    <row r="76" spans="1:7" ht="15" customHeight="1">
      <c r="A76" s="62" t="s">
        <v>69</v>
      </c>
      <c r="B76" s="62"/>
      <c r="C76" s="62"/>
      <c r="D76" s="62"/>
      <c r="E76" s="36">
        <f>E16</f>
        <v>2.6288366551951778</v>
      </c>
      <c r="F76" s="36">
        <f>F16</f>
        <v>1.3360250271929119</v>
      </c>
    </row>
    <row r="77" spans="1:7">
      <c r="A77" s="29"/>
      <c r="B77" s="29"/>
      <c r="C77" s="29"/>
      <c r="D77" s="29"/>
    </row>
    <row r="78" spans="1:7">
      <c r="A78" s="62" t="s">
        <v>85</v>
      </c>
      <c r="B78" s="62"/>
      <c r="D78" s="29"/>
      <c r="E78" s="41">
        <f>E13</f>
        <v>20</v>
      </c>
      <c r="F78" s="41">
        <f>F13</f>
        <v>15</v>
      </c>
      <c r="G78" s="5" t="s">
        <v>99</v>
      </c>
    </row>
    <row r="79" spans="1:7">
      <c r="A79" s="42" t="s">
        <v>86</v>
      </c>
      <c r="B79" s="42"/>
      <c r="D79" s="29"/>
      <c r="E79" s="20">
        <v>0.4</v>
      </c>
      <c r="F79" s="20">
        <v>0.25</v>
      </c>
      <c r="G79" s="5" t="s">
        <v>122</v>
      </c>
    </row>
    <row r="80" spans="1:7">
      <c r="A80" t="s">
        <v>137</v>
      </c>
      <c r="E80" s="51">
        <v>0.2</v>
      </c>
      <c r="F80" s="5"/>
      <c r="G80" s="5" t="s">
        <v>122</v>
      </c>
    </row>
    <row r="81" spans="1:8">
      <c r="A81" s="29"/>
      <c r="B81" s="29"/>
      <c r="C81" s="29"/>
      <c r="D81" s="29"/>
      <c r="E81" s="29"/>
    </row>
    <row r="82" spans="1:8">
      <c r="A82" s="1" t="s">
        <v>97</v>
      </c>
      <c r="D82" s="29"/>
    </row>
    <row r="83" spans="1:8">
      <c r="A83" s="1"/>
      <c r="B83" s="56">
        <v>2016</v>
      </c>
      <c r="C83" s="56">
        <v>2018</v>
      </c>
      <c r="D83" s="29"/>
    </row>
    <row r="84" spans="1:8">
      <c r="A84" s="38" t="s">
        <v>71</v>
      </c>
      <c r="B84" s="56" t="s">
        <v>98</v>
      </c>
      <c r="C84" s="56" t="s">
        <v>98</v>
      </c>
      <c r="D84" s="29"/>
      <c r="H84" s="40"/>
    </row>
    <row r="85" spans="1:8">
      <c r="A85" t="s">
        <v>118</v>
      </c>
      <c r="B85" s="6">
        <v>10</v>
      </c>
      <c r="C85" s="16">
        <v>12</v>
      </c>
      <c r="D85" s="5"/>
      <c r="F85" s="5"/>
    </row>
    <row r="86" spans="1:8">
      <c r="A86" t="s">
        <v>119</v>
      </c>
      <c r="B86" s="6">
        <v>25</v>
      </c>
      <c r="C86" s="16">
        <v>26</v>
      </c>
      <c r="D86" s="29"/>
    </row>
    <row r="87" spans="1:8">
      <c r="A87" t="s">
        <v>120</v>
      </c>
      <c r="B87" s="6">
        <v>30</v>
      </c>
      <c r="C87" s="16">
        <v>38</v>
      </c>
      <c r="D87" s="29"/>
    </row>
    <row r="88" spans="1:8">
      <c r="A88" t="s">
        <v>121</v>
      </c>
      <c r="B88" s="6">
        <v>60</v>
      </c>
      <c r="C88" s="16">
        <v>80</v>
      </c>
      <c r="D88" s="29"/>
    </row>
    <row r="89" spans="1:8">
      <c r="A89" s="3" t="s">
        <v>0</v>
      </c>
      <c r="B89" s="3"/>
      <c r="C89" s="3"/>
      <c r="D89" s="29"/>
    </row>
    <row r="90" spans="1:8">
      <c r="A90" s="29"/>
      <c r="B90" s="29"/>
      <c r="C90" s="29"/>
      <c r="D90" s="29"/>
      <c r="E90" s="29"/>
    </row>
    <row r="91" spans="1:8">
      <c r="A91" s="1" t="s">
        <v>123</v>
      </c>
    </row>
    <row r="92" spans="1:8" ht="30">
      <c r="A92" s="38" t="s">
        <v>71</v>
      </c>
      <c r="B92" s="39" t="s">
        <v>102</v>
      </c>
      <c r="C92" s="39" t="s">
        <v>129</v>
      </c>
      <c r="F92" s="40"/>
    </row>
    <row r="93" spans="1:8">
      <c r="A93" t="s">
        <v>118</v>
      </c>
      <c r="B93" s="26">
        <v>513000</v>
      </c>
      <c r="C93" s="6">
        <v>461700</v>
      </c>
      <c r="D93" s="5" t="s">
        <v>122</v>
      </c>
    </row>
    <row r="94" spans="1:8">
      <c r="A94" t="s">
        <v>119</v>
      </c>
      <c r="B94" s="26">
        <v>252450</v>
      </c>
      <c r="C94" s="26">
        <v>236040.75</v>
      </c>
    </row>
    <row r="95" spans="1:8">
      <c r="A95" t="s">
        <v>120</v>
      </c>
      <c r="B95" s="26">
        <v>84150.000000000015</v>
      </c>
      <c r="C95" s="26">
        <v>78680.250000000029</v>
      </c>
    </row>
    <row r="96" spans="1:8">
      <c r="A96" t="s">
        <v>121</v>
      </c>
      <c r="B96" s="26">
        <v>160400</v>
      </c>
      <c r="C96" s="6">
        <v>249079</v>
      </c>
    </row>
    <row r="97" spans="1:4">
      <c r="A97" s="3" t="s">
        <v>0</v>
      </c>
      <c r="B97" s="3"/>
      <c r="C97" s="34"/>
    </row>
    <row r="99" spans="1:4">
      <c r="A99" s="1" t="s">
        <v>130</v>
      </c>
    </row>
    <row r="100" spans="1:4">
      <c r="A100" s="29"/>
      <c r="B100" s="39">
        <v>2016</v>
      </c>
      <c r="C100" s="39">
        <v>2018</v>
      </c>
    </row>
    <row r="101" spans="1:4">
      <c r="A101" t="s">
        <v>118</v>
      </c>
      <c r="B101" s="52">
        <v>6.9230769230769221E-2</v>
      </c>
      <c r="C101" s="52">
        <v>5.5705876760221457E-2</v>
      </c>
      <c r="D101" s="5" t="s">
        <v>122</v>
      </c>
    </row>
    <row r="102" spans="1:4">
      <c r="A102" t="s">
        <v>119</v>
      </c>
      <c r="B102" s="52">
        <v>0.12444444444444444</v>
      </c>
      <c r="C102" s="52">
        <v>9.6707494062698102E-2</v>
      </c>
    </row>
    <row r="103" spans="1:4">
      <c r="A103" t="s">
        <v>120</v>
      </c>
      <c r="B103" s="52">
        <v>6.7818181818181819E-2</v>
      </c>
      <c r="C103" s="52">
        <v>5.2651280254645813E-2</v>
      </c>
    </row>
    <row r="104" spans="1:4">
      <c r="A104" t="s">
        <v>121</v>
      </c>
      <c r="B104" s="52">
        <v>0.03</v>
      </c>
      <c r="C104" s="52">
        <v>2.2684310018903597E-2</v>
      </c>
    </row>
    <row r="105" spans="1:4">
      <c r="A105" s="3" t="s">
        <v>100</v>
      </c>
      <c r="B105" s="49">
        <f>SUMPRODUCT(B101:B104,B93:B96)/SUM(B93:B96)</f>
        <v>7.6683450114242199E-2</v>
      </c>
      <c r="C105" s="49">
        <f>SUMPRODUCT(C101:C104,C93:C96)/SUM(C93:C96)</f>
        <v>5.6888458193884099E-2</v>
      </c>
    </row>
    <row r="107" spans="1:4">
      <c r="A107" s="1" t="s">
        <v>103</v>
      </c>
    </row>
    <row r="108" spans="1:4">
      <c r="A108" s="29"/>
      <c r="B108" s="39">
        <v>2016</v>
      </c>
      <c r="C108" s="39">
        <v>2018</v>
      </c>
    </row>
    <row r="109" spans="1:4">
      <c r="A109" t="s">
        <v>118</v>
      </c>
      <c r="B109" s="31">
        <f t="shared" ref="B109:C112" si="3">B101*B85/$B85</f>
        <v>6.9230769230769221E-2</v>
      </c>
      <c r="C109" s="31">
        <f t="shared" si="3"/>
        <v>6.6847052112265742E-2</v>
      </c>
    </row>
    <row r="110" spans="1:4">
      <c r="A110" t="s">
        <v>119</v>
      </c>
      <c r="B110" s="31">
        <f t="shared" si="3"/>
        <v>0.12444444444444444</v>
      </c>
      <c r="C110" s="31">
        <f t="shared" si="3"/>
        <v>0.10057579382520603</v>
      </c>
    </row>
    <row r="111" spans="1:4">
      <c r="A111" t="s">
        <v>120</v>
      </c>
      <c r="B111" s="31">
        <f t="shared" si="3"/>
        <v>6.7818181818181819E-2</v>
      </c>
      <c r="C111" s="31">
        <f t="shared" si="3"/>
        <v>6.6691621655884686E-2</v>
      </c>
    </row>
    <row r="112" spans="1:4">
      <c r="A112" t="s">
        <v>121</v>
      </c>
      <c r="B112" s="31">
        <f t="shared" si="3"/>
        <v>2.9999999999999995E-2</v>
      </c>
      <c r="C112" s="31">
        <f t="shared" si="3"/>
        <v>3.0245746691871463E-2</v>
      </c>
    </row>
    <row r="113" spans="1:7">
      <c r="A113" s="3" t="s">
        <v>100</v>
      </c>
      <c r="B113" s="49">
        <f>SUMPRODUCT(B109:B112,B93:B96)/SUM(B93:B96)</f>
        <v>7.6683450114242199E-2</v>
      </c>
      <c r="C113" s="49">
        <f>SUMPRODUCT(C109:C112,C93:C96)/SUM(C93:C96)</f>
        <v>6.5708594414076227E-2</v>
      </c>
    </row>
    <row r="115" spans="1:7">
      <c r="A115" s="1" t="s">
        <v>96</v>
      </c>
    </row>
    <row r="116" spans="1:7" ht="15" customHeight="1">
      <c r="B116" s="61" t="s">
        <v>101</v>
      </c>
      <c r="C116" s="61"/>
      <c r="D116" s="61"/>
      <c r="E116" s="61"/>
    </row>
    <row r="117" spans="1:7" ht="30">
      <c r="A117" s="38" t="s">
        <v>71</v>
      </c>
      <c r="B117" s="39" t="s">
        <v>90</v>
      </c>
      <c r="C117" s="39" t="s">
        <v>95</v>
      </c>
      <c r="D117" s="39" t="s">
        <v>76</v>
      </c>
      <c r="E117" s="39" t="s">
        <v>80</v>
      </c>
      <c r="F117" s="40"/>
      <c r="G117" s="40"/>
    </row>
    <row r="118" spans="1:7">
      <c r="A118" t="s">
        <v>118</v>
      </c>
      <c r="B118" s="54">
        <f>E$74</f>
        <v>3.2300000000000002E-2</v>
      </c>
      <c r="C118" s="54">
        <f>E$75</f>
        <v>5.0974758513029142E-3</v>
      </c>
      <c r="D118" s="54">
        <f>E$76*'CLS Demand'!C$54/'CLS Demand'!C$45/$E$78*'CLS Demand'!C$15</f>
        <v>9.4489306242138266E-4</v>
      </c>
      <c r="E118" s="54">
        <f>B118+C118+D118</f>
        <v>3.8342368913724299E-2</v>
      </c>
    </row>
    <row r="119" spans="1:7">
      <c r="A119" t="s">
        <v>119</v>
      </c>
      <c r="B119" s="54">
        <f>E$74</f>
        <v>3.2300000000000002E-2</v>
      </c>
      <c r="C119" s="54">
        <f>E$75</f>
        <v>5.0974758513029142E-3</v>
      </c>
      <c r="D119" s="54">
        <f>E$76*'CLS Demand'!C$54/'CLS Demand'!C$45/$E$78*'CLS Demand'!C$15</f>
        <v>9.4489306242138266E-4</v>
      </c>
      <c r="E119" s="54">
        <f t="shared" ref="E119:E121" si="4">B119+C119+D119</f>
        <v>3.8342368913724299E-2</v>
      </c>
    </row>
    <row r="120" spans="1:7">
      <c r="A120" t="s">
        <v>120</v>
      </c>
      <c r="B120" s="54">
        <f>E$74</f>
        <v>3.2300000000000002E-2</v>
      </c>
      <c r="C120" s="54">
        <f>E$75</f>
        <v>5.0974758513029142E-3</v>
      </c>
      <c r="D120" s="54">
        <f>E$76*'CLS Demand'!C$54/'CLS Demand'!C$45/$E$78*'CLS Demand'!C$15</f>
        <v>9.4489306242138266E-4</v>
      </c>
      <c r="E120" s="54">
        <f t="shared" si="4"/>
        <v>3.8342368913724299E-2</v>
      </c>
    </row>
    <row r="121" spans="1:7">
      <c r="A121" t="s">
        <v>121</v>
      </c>
      <c r="B121" s="54">
        <f>E$74</f>
        <v>3.2300000000000002E-2</v>
      </c>
      <c r="C121" s="54">
        <f>E$75</f>
        <v>5.0974758513029142E-3</v>
      </c>
      <c r="D121" s="54">
        <f>E$76*'CLS Demand'!C$54/'CLS Demand'!C$45/$E$78*'CLS Demand'!C$15</f>
        <v>9.4489306242138266E-4</v>
      </c>
      <c r="E121" s="54">
        <f t="shared" si="4"/>
        <v>3.8342368913724299E-2</v>
      </c>
    </row>
    <row r="122" spans="1:7">
      <c r="A122" s="3" t="s">
        <v>100</v>
      </c>
      <c r="B122" s="53">
        <f>SUMPRODUCT(B118:B121,$B93:$B96)/SUM($B93:$B96)</f>
        <v>3.2300000000000009E-2</v>
      </c>
      <c r="C122" s="53">
        <f>SUMPRODUCT(C118:C121,$B93:$B96)/SUM($B93:$B96)</f>
        <v>5.0974758513029133E-3</v>
      </c>
      <c r="D122" s="53">
        <f>SUMPRODUCT(D118:D121,$B93:$B96)/SUM($B93:$B96)</f>
        <v>9.4489306242138255E-4</v>
      </c>
      <c r="E122" s="53">
        <f>SUMPRODUCT(E118:E121,$B93:$B96)/SUM($B93:$B96)</f>
        <v>3.8342368913724306E-2</v>
      </c>
    </row>
    <row r="124" spans="1:7">
      <c r="A124" s="1" t="s">
        <v>131</v>
      </c>
    </row>
    <row r="125" spans="1:7" ht="15" customHeight="1">
      <c r="B125" s="61" t="s">
        <v>101</v>
      </c>
      <c r="C125" s="61"/>
      <c r="D125" s="61"/>
      <c r="E125" s="61"/>
    </row>
    <row r="126" spans="1:7" ht="30">
      <c r="A126" s="38" t="s">
        <v>71</v>
      </c>
      <c r="B126" s="39" t="s">
        <v>90</v>
      </c>
      <c r="C126" s="39" t="s">
        <v>95</v>
      </c>
      <c r="D126" s="39" t="s">
        <v>76</v>
      </c>
      <c r="E126" s="39" t="s">
        <v>80</v>
      </c>
    </row>
    <row r="127" spans="1:7">
      <c r="A127" t="s">
        <v>118</v>
      </c>
      <c r="B127" s="54">
        <f>F$74</f>
        <v>3.0800000000000001E-2</v>
      </c>
      <c r="C127" s="54">
        <f>F$75</f>
        <v>5.0974758513029142E-3</v>
      </c>
      <c r="D127" s="54">
        <f>F$76*'CLS Demand'!C$54/'CLS Demand'!C$45/$F$78*'CLS Demand'!C$15</f>
        <v>6.4028361590852032E-4</v>
      </c>
      <c r="E127" s="36">
        <f>B127+C127+D127</f>
        <v>3.6537759467211432E-2</v>
      </c>
    </row>
    <row r="128" spans="1:7">
      <c r="A128" t="s">
        <v>119</v>
      </c>
      <c r="B128" s="54">
        <f>F$74</f>
        <v>3.0800000000000001E-2</v>
      </c>
      <c r="C128" s="54">
        <f>F$75</f>
        <v>5.0974758513029142E-3</v>
      </c>
      <c r="D128" s="54">
        <f>F$76*'CLS Demand'!C$54/'CLS Demand'!C$45/$F$78*'CLS Demand'!C$15</f>
        <v>6.4028361590852032E-4</v>
      </c>
      <c r="E128" s="36">
        <f t="shared" ref="E128:E130" si="5">B128+C128+D128</f>
        <v>3.6537759467211432E-2</v>
      </c>
    </row>
    <row r="129" spans="1:5">
      <c r="A129" t="s">
        <v>120</v>
      </c>
      <c r="B129" s="54">
        <f>F$74</f>
        <v>3.0800000000000001E-2</v>
      </c>
      <c r="C129" s="54">
        <f>F$75</f>
        <v>5.0974758513029142E-3</v>
      </c>
      <c r="D129" s="54">
        <f>F$76*'CLS Demand'!C$54/'CLS Demand'!C$45/$F$78*'CLS Demand'!C$15</f>
        <v>6.4028361590852032E-4</v>
      </c>
      <c r="E129" s="36">
        <f t="shared" si="5"/>
        <v>3.6537759467211432E-2</v>
      </c>
    </row>
    <row r="130" spans="1:5">
      <c r="A130" t="s">
        <v>121</v>
      </c>
      <c r="B130" s="54">
        <f>F$74</f>
        <v>3.0800000000000001E-2</v>
      </c>
      <c r="C130" s="54">
        <f>F$75</f>
        <v>5.0974758513029142E-3</v>
      </c>
      <c r="D130" s="54">
        <f>F$76*'CLS Demand'!C$54/'CLS Demand'!C$45/$F$78*'CLS Demand'!C$15</f>
        <v>6.4028361590852032E-4</v>
      </c>
      <c r="E130" s="36">
        <f t="shared" si="5"/>
        <v>3.6537759467211432E-2</v>
      </c>
    </row>
    <row r="131" spans="1:5">
      <c r="A131" s="3" t="s">
        <v>100</v>
      </c>
      <c r="B131" s="53">
        <f>SUMPRODUCT(B127:B130,$C93:$C96)/SUM($C93:$C96)</f>
        <v>3.0800000000000004E-2</v>
      </c>
      <c r="C131" s="53">
        <f>SUMPRODUCT(C127:C130,$C93:$C96)/SUM($C93:$C96)</f>
        <v>5.0974758513029142E-3</v>
      </c>
      <c r="D131" s="53">
        <f>SUMPRODUCT(D127:D130,$C93:$C96)/SUM($C93:$C96)</f>
        <v>6.4028361590852032E-4</v>
      </c>
      <c r="E131" s="53">
        <f>SUMPRODUCT(E127:E130,$C93:$C96)/SUM($C93:$C96)</f>
        <v>3.6537759467211432E-2</v>
      </c>
    </row>
    <row r="133" spans="1:5">
      <c r="A133" s="1" t="s">
        <v>93</v>
      </c>
    </row>
    <row r="134" spans="1:5">
      <c r="A134" s="38" t="s">
        <v>71</v>
      </c>
      <c r="B134" s="39">
        <v>2016</v>
      </c>
      <c r="C134" s="39">
        <v>2018</v>
      </c>
    </row>
    <row r="135" spans="1:5">
      <c r="A135" t="s">
        <v>118</v>
      </c>
      <c r="B135" s="43">
        <f>(B109*(1-E$79)-E118)/E118</f>
        <v>8.3356681271542915E-2</v>
      </c>
      <c r="C135" s="43">
        <f>(C109*(1-F$79)-E127)/E127</f>
        <v>0.37215006654116661</v>
      </c>
    </row>
    <row r="136" spans="1:5">
      <c r="A136" t="s">
        <v>119</v>
      </c>
      <c r="B136" s="43">
        <f>(B110*(1-E$79)-E119)/E119</f>
        <v>0.94736707152020572</v>
      </c>
      <c r="C136" s="43">
        <f>(C110*(1-F$79)-E128)/E128</f>
        <v>1.0644901731480332</v>
      </c>
    </row>
    <row r="137" spans="1:5" ht="15" customHeight="1">
      <c r="A137" t="s">
        <v>120</v>
      </c>
      <c r="B137" s="43">
        <f>(B111*(1-E$79)-E120)/E120</f>
        <v>6.1251827774891403E-2</v>
      </c>
      <c r="C137" s="43">
        <f>(C111*(1-F$79)-E129)/E129</f>
        <v>0.36895959060652689</v>
      </c>
    </row>
    <row r="138" spans="1:5" ht="15" customHeight="1">
      <c r="A138" t="s">
        <v>121</v>
      </c>
      <c r="B138" s="43">
        <f>(B112*(1-E$79)-E121)/E121</f>
        <v>-0.53054543811566479</v>
      </c>
      <c r="C138" s="43">
        <f>(C112*(1-F$79)-E130)/E130</f>
        <v>-0.3791543228243035</v>
      </c>
    </row>
    <row r="139" spans="1:5" ht="15" customHeight="1">
      <c r="A139" s="3" t="s">
        <v>100</v>
      </c>
      <c r="B139" s="45">
        <f>(B113*(1-E$79)-E122)/E122</f>
        <v>0.19997984923869491</v>
      </c>
      <c r="C139" s="45">
        <f>(C113*(1-F$79)-E131)/E131</f>
        <v>0.3487812752936254</v>
      </c>
    </row>
  </sheetData>
  <mergeCells count="12">
    <mergeCell ref="A13:D13"/>
    <mergeCell ref="A14:D14"/>
    <mergeCell ref="A15:D15"/>
    <mergeCell ref="A16:D16"/>
    <mergeCell ref="A74:D74"/>
    <mergeCell ref="B116:E116"/>
    <mergeCell ref="B125:E125"/>
    <mergeCell ref="A78:B78"/>
    <mergeCell ref="B44:E44"/>
    <mergeCell ref="B53:E53"/>
    <mergeCell ref="A75:D75"/>
    <mergeCell ref="A76:D7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F474E7-144C-4384-96FB-7E40ECBB7F80}"/>
</file>

<file path=customXml/itemProps2.xml><?xml version="1.0" encoding="utf-8"?>
<ds:datastoreItem xmlns:ds="http://schemas.openxmlformats.org/officeDocument/2006/customXml" ds:itemID="{0CCA5283-C823-4ED4-A30A-F2EDA729B9D3}"/>
</file>

<file path=customXml/itemProps3.xml><?xml version="1.0" encoding="utf-8"?>
<ds:datastoreItem xmlns:ds="http://schemas.openxmlformats.org/officeDocument/2006/customXml" ds:itemID="{5AE4F125-EDBC-45CC-BA54-9880325DD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CLS Demand</vt:lpstr>
      <vt:lpstr>CLS Costs</vt:lpstr>
      <vt:lpstr>Quad play costs and prices</vt:lpstr>
    </vt:vector>
  </TitlesOfParts>
  <Company>Incyte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Rogerson</dc:creator>
  <cp:lastModifiedBy>DAR Rogerson</cp:lastModifiedBy>
  <dcterms:created xsi:type="dcterms:W3CDTF">2014-06-09T12:59:57Z</dcterms:created>
  <dcterms:modified xsi:type="dcterms:W3CDTF">2018-07-03T10:07:46Z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