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ydocuments\3GPP\ARIB\20B-AH\IMT2020_IEG\EvalRep(5GMF-IEG)\37910-g00\B.4.1_eMBB_SE\"/>
    </mc:Choice>
  </mc:AlternateContent>
  <bookViews>
    <workbookView xWindow="0" yWindow="0" windowWidth="28800" windowHeight="12048" tabRatio="923" firstSheet="11" activeTab="16"/>
  </bookViews>
  <sheets>
    <sheet name="Revision comments" sheetId="1" r:id="rId1"/>
    <sheet name="DL_Para_700MHz" sheetId="2" r:id="rId2"/>
    <sheet name="UL_Para_700MHz" sheetId="3" r:id="rId3"/>
    <sheet name="DL_Para_4GHz" sheetId="4" r:id="rId4"/>
    <sheet name="UL_Para_4GHz" sheetId="5" r:id="rId5"/>
    <sheet name="DL_Para_LMLC" sheetId="6" r:id="rId6"/>
    <sheet name="UL_Para_LMLC" sheetId="7" r:id="rId7"/>
    <sheet name="DL_OH_Para" sheetId="8" r:id="rId8"/>
    <sheet name="UL_OH_Para" sheetId="9" r:id="rId9"/>
    <sheet name="DL_OH" sheetId="10" r:id="rId10"/>
    <sheet name="UL_OH" sheetId="11" r:id="rId11"/>
    <sheet name="Results_700MHz" sheetId="12" r:id="rId12"/>
    <sheet name="Results_4GHz" sheetId="13" r:id="rId13"/>
    <sheet name="Results_LMLC" sheetId="14" r:id="rId14"/>
    <sheet name="Results_700MHz_LargerBW" sheetId="15" r:id="rId15"/>
    <sheet name="Results_4GHz_LargerBW" sheetId="16" r:id="rId16"/>
    <sheet name="Results_LMLC_LargerBW" sheetId="17" r:id="rId17"/>
  </sheets>
  <calcPr calcId="152511"/>
  <customWorkbookViews>
    <customWorkbookView name="FENG Ru - 个人视图" guid="{67590F70-5005-492E-AD47-1C13C49F2D83}" mergeInterval="0" personalView="1" maximized="1" xWindow="-11" yWindow="-11" windowWidth="2278" windowHeight="1466" tabRatio="923" activeSheetId="1"/>
    <customWorkbookView name="Fei Wang - 个人视图" guid="{A0559F95-FBE7-4275-9B44-A293A1B62940}" mergeInterval="0" personalView="1" maximized="1" xWindow="-9" yWindow="-9" windowWidth="1938" windowHeight="1048" tabRatio="923" activeSheetId="3"/>
    <customWorkbookView name="张萌 - 个人视图" guid="{11FB768A-9BE5-454D-8324-F7BD8513C471}" mergeInterval="0" personalView="1" xWindow="-2152" yWindow="-1348" windowWidth="2154" windowHeight="1854" tabRatio="923" activeSheetId="6"/>
    <customWorkbookView name="Yujian (Jason) - 个人视图" guid="{656CB8E5-9B79-4056-861F-BA0520B66BDB}" mergeInterval="0" personalView="1" maximized="1" xWindow="-8" yWindow="-8" windowWidth="1382" windowHeight="744" tabRatio="923" activeSheetId="12"/>
    <customWorkbookView name="yujian (G) - 个人视图" guid="{3A76011A-5D7E-44CA-8EBC-D2C75FB686D2}" mergeInterval="0" personalView="1" maximized="1" xWindow="-8" yWindow="-8" windowWidth="1936" windowHeight="1096" tabRatio="923" activeSheetId="1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36" i="17" l="1"/>
  <c r="Z135" i="17"/>
  <c r="Z133" i="17"/>
  <c r="Z132" i="17"/>
  <c r="Z114" i="17"/>
  <c r="Z113" i="17"/>
  <c r="Z59" i="17"/>
  <c r="Z58" i="17"/>
  <c r="Z57" i="17"/>
  <c r="Z56" i="17"/>
  <c r="Z54" i="17"/>
  <c r="Z53" i="17"/>
  <c r="Z52" i="17"/>
  <c r="Z51" i="17"/>
  <c r="Z50" i="17"/>
  <c r="Z49" i="17"/>
  <c r="Z8" i="17"/>
  <c r="Z7" i="17"/>
  <c r="Z6" i="17"/>
  <c r="Z5" i="17"/>
  <c r="Z4" i="17"/>
  <c r="Z3" i="17"/>
  <c r="Y151" i="17"/>
  <c r="Y150" i="17"/>
  <c r="Y148" i="17"/>
  <c r="Y147" i="17"/>
  <c r="Y136" i="17"/>
  <c r="Y135" i="17"/>
  <c r="Y133" i="17"/>
  <c r="Y132" i="17"/>
  <c r="Y130" i="17"/>
  <c r="Y129" i="17"/>
  <c r="Y127" i="17"/>
  <c r="Y126" i="17"/>
  <c r="Y123" i="17"/>
  <c r="Y122" i="17"/>
  <c r="Y114" i="17"/>
  <c r="Y113" i="17"/>
  <c r="Y107" i="17"/>
  <c r="Y106" i="17"/>
  <c r="Y85" i="17"/>
  <c r="Y84" i="17"/>
  <c r="Y83" i="17"/>
  <c r="Y82" i="17"/>
  <c r="Y71" i="17"/>
  <c r="Y70" i="17"/>
  <c r="Y69" i="17"/>
  <c r="Y68" i="17"/>
  <c r="Y66" i="17"/>
  <c r="Y65" i="17"/>
  <c r="Y64" i="17"/>
  <c r="Y63" i="17"/>
  <c r="Y62" i="17"/>
  <c r="Y61" i="17"/>
  <c r="Y59" i="17"/>
  <c r="Y58" i="17"/>
  <c r="Y57" i="17"/>
  <c r="Y56" i="17"/>
  <c r="Y54" i="17"/>
  <c r="Y53" i="17"/>
  <c r="Y52" i="17"/>
  <c r="Y51" i="17"/>
  <c r="Y50" i="17"/>
  <c r="Y49" i="17"/>
  <c r="Y46" i="17"/>
  <c r="Y45" i="17"/>
  <c r="Y15" i="17"/>
  <c r="Y14" i="17"/>
  <c r="Y13" i="17"/>
  <c r="Y12" i="17"/>
  <c r="Y11" i="17"/>
  <c r="Y10" i="17"/>
  <c r="Y8" i="17"/>
  <c r="Y7" i="17"/>
  <c r="Y6" i="17"/>
  <c r="Y5" i="17"/>
  <c r="Y4" i="17"/>
  <c r="Y3" i="17"/>
  <c r="AA151" i="17"/>
  <c r="AA150" i="17"/>
  <c r="AA148" i="17"/>
  <c r="AA147" i="17"/>
  <c r="AA144" i="17"/>
  <c r="AA142" i="17"/>
  <c r="AA141" i="17"/>
  <c r="AA139" i="17"/>
  <c r="AA138" i="17"/>
  <c r="AA136" i="17"/>
  <c r="AA135" i="17"/>
  <c r="AA133" i="17"/>
  <c r="AA132" i="17"/>
  <c r="AA130" i="17"/>
  <c r="AA129" i="17"/>
  <c r="AA127" i="17"/>
  <c r="AA126" i="17"/>
  <c r="AA123" i="17"/>
  <c r="AA122" i="17"/>
  <c r="AA120" i="17"/>
  <c r="AA119" i="17"/>
  <c r="AA117" i="17"/>
  <c r="AA116" i="17"/>
  <c r="AA114" i="17"/>
  <c r="AA113" i="17"/>
  <c r="AA111" i="17"/>
  <c r="AA110" i="17"/>
  <c r="AA107" i="17"/>
  <c r="AA106" i="17"/>
  <c r="AA103" i="17"/>
  <c r="AA102" i="17"/>
  <c r="AA101" i="17"/>
  <c r="AA100" i="17"/>
  <c r="AA99" i="17"/>
  <c r="AA98" i="17"/>
  <c r="AA97" i="17"/>
  <c r="AA96" i="17"/>
  <c r="AA95" i="17"/>
  <c r="AA94" i="17"/>
  <c r="AA92" i="17"/>
  <c r="AA91" i="17"/>
  <c r="AA90" i="17"/>
  <c r="AA89" i="17"/>
  <c r="AA88" i="17"/>
  <c r="AA87" i="17"/>
  <c r="AA85" i="17"/>
  <c r="AA84" i="17"/>
  <c r="AA83" i="17"/>
  <c r="AA82" i="17"/>
  <c r="AA81" i="17"/>
  <c r="AA80" i="17"/>
  <c r="AA79" i="17"/>
  <c r="AA78" i="17"/>
  <c r="AA76" i="17"/>
  <c r="AA75" i="17"/>
  <c r="AA74" i="17"/>
  <c r="AA73" i="17"/>
  <c r="AA71" i="17"/>
  <c r="AA70" i="17"/>
  <c r="AA69" i="17"/>
  <c r="AA68" i="17"/>
  <c r="AA66" i="17"/>
  <c r="AA65" i="17"/>
  <c r="AA64" i="17"/>
  <c r="AA63" i="17"/>
  <c r="AA62" i="17"/>
  <c r="AA61" i="17"/>
  <c r="AA59" i="17"/>
  <c r="AA58" i="17"/>
  <c r="AA57" i="17"/>
  <c r="AA56" i="17"/>
  <c r="AA54" i="17"/>
  <c r="AA53" i="17"/>
  <c r="AA52" i="17"/>
  <c r="AA51" i="17"/>
  <c r="AA50" i="17"/>
  <c r="AA49" i="17"/>
  <c r="AA46" i="17"/>
  <c r="AA45" i="17"/>
  <c r="AA43" i="17"/>
  <c r="AA42" i="17"/>
  <c r="AA41" i="17"/>
  <c r="AA40" i="17"/>
  <c r="AA39" i="17"/>
  <c r="AA38" i="17"/>
  <c r="AA36" i="17"/>
  <c r="AA35" i="17"/>
  <c r="AA34" i="17"/>
  <c r="AA33" i="17"/>
  <c r="AA32" i="17"/>
  <c r="AA31" i="17"/>
  <c r="AA29" i="17"/>
  <c r="AA28" i="17"/>
  <c r="AA27" i="17"/>
  <c r="AA26" i="17"/>
  <c r="AA25" i="17"/>
  <c r="AA24" i="17"/>
  <c r="AA22" i="17"/>
  <c r="AA21" i="17"/>
  <c r="AA20" i="17"/>
  <c r="AA19" i="17"/>
  <c r="AA18" i="17"/>
  <c r="AA17" i="17"/>
  <c r="AA15" i="17"/>
  <c r="AA14" i="17"/>
  <c r="AA13" i="17"/>
  <c r="AA12" i="17"/>
  <c r="AA11" i="17"/>
  <c r="AA10" i="17"/>
  <c r="AA8" i="17"/>
  <c r="AA7" i="17"/>
  <c r="AA6" i="17"/>
  <c r="AA5" i="17"/>
  <c r="AA4" i="17"/>
  <c r="AA3" i="17"/>
  <c r="N141" i="17"/>
  <c r="N136" i="17"/>
  <c r="N135" i="17"/>
  <c r="N133" i="17"/>
  <c r="N132" i="17"/>
  <c r="N130" i="17"/>
  <c r="N129" i="17"/>
  <c r="N127" i="17"/>
  <c r="N126" i="17"/>
  <c r="N123" i="17"/>
  <c r="N122" i="17"/>
  <c r="N114" i="17"/>
  <c r="N113" i="17"/>
  <c r="N107" i="17"/>
  <c r="N106" i="17"/>
  <c r="N85" i="17"/>
  <c r="N84" i="17"/>
  <c r="N83" i="17"/>
  <c r="N82" i="17"/>
  <c r="N79" i="17"/>
  <c r="N78" i="17"/>
  <c r="N71" i="17"/>
  <c r="N70" i="17"/>
  <c r="N69" i="17"/>
  <c r="N68" i="17"/>
  <c r="N66" i="17"/>
  <c r="N65" i="17"/>
  <c r="N64" i="17"/>
  <c r="N63" i="17"/>
  <c r="N62" i="17"/>
  <c r="N61" i="17"/>
  <c r="N59" i="17"/>
  <c r="N58" i="17"/>
  <c r="N57" i="17"/>
  <c r="N56" i="17"/>
  <c r="N54" i="17"/>
  <c r="N53" i="17"/>
  <c r="N52" i="17"/>
  <c r="N51" i="17"/>
  <c r="N50" i="17"/>
  <c r="N49" i="17"/>
  <c r="N46" i="17"/>
  <c r="N45" i="17"/>
  <c r="N36" i="17"/>
  <c r="N35" i="17"/>
  <c r="N34" i="17"/>
  <c r="N33" i="17"/>
  <c r="N32" i="17"/>
  <c r="N31" i="17"/>
  <c r="N15" i="17"/>
  <c r="N14" i="17"/>
  <c r="N13" i="17"/>
  <c r="N12" i="17"/>
  <c r="N11" i="17"/>
  <c r="N10" i="17"/>
  <c r="N8" i="17"/>
  <c r="N7" i="17"/>
  <c r="N6" i="17"/>
  <c r="N5" i="17"/>
  <c r="N4" i="17"/>
  <c r="N3" i="17"/>
  <c r="P151" i="17"/>
  <c r="P150" i="17"/>
  <c r="P148" i="17"/>
  <c r="P147" i="17"/>
  <c r="P144" i="17"/>
  <c r="P142" i="17"/>
  <c r="P141" i="17"/>
  <c r="P139" i="17"/>
  <c r="P138" i="17"/>
  <c r="P136" i="17"/>
  <c r="P135" i="17"/>
  <c r="P133" i="17"/>
  <c r="P132" i="17"/>
  <c r="P130" i="17"/>
  <c r="P129" i="17"/>
  <c r="P127" i="17"/>
  <c r="P126" i="17"/>
  <c r="P123" i="17"/>
  <c r="P122" i="17"/>
  <c r="P120" i="17"/>
  <c r="P119" i="17"/>
  <c r="P117" i="17"/>
  <c r="P116" i="17"/>
  <c r="P114" i="17"/>
  <c r="P113" i="17"/>
  <c r="P111" i="17"/>
  <c r="P110" i="17"/>
  <c r="P107" i="17"/>
  <c r="P106" i="17"/>
  <c r="P103" i="17"/>
  <c r="P102" i="17"/>
  <c r="P101" i="17"/>
  <c r="P100" i="17"/>
  <c r="P99" i="17"/>
  <c r="P98" i="17"/>
  <c r="P97" i="17"/>
  <c r="P96" i="17"/>
  <c r="P95" i="17"/>
  <c r="P94" i="17"/>
  <c r="P92" i="17"/>
  <c r="P91" i="17"/>
  <c r="P90" i="17"/>
  <c r="P89" i="17"/>
  <c r="P88" i="17"/>
  <c r="P87" i="17"/>
  <c r="P85" i="17"/>
  <c r="P84" i="17"/>
  <c r="P83" i="17"/>
  <c r="P82" i="17"/>
  <c r="P81" i="17"/>
  <c r="P80" i="17"/>
  <c r="P79" i="17"/>
  <c r="P78" i="17"/>
  <c r="P76" i="17"/>
  <c r="P75" i="17"/>
  <c r="P74" i="17"/>
  <c r="P73" i="17"/>
  <c r="P71" i="17"/>
  <c r="P70" i="17"/>
  <c r="P69" i="17"/>
  <c r="P68" i="17"/>
  <c r="P66" i="17"/>
  <c r="P65" i="17"/>
  <c r="P64" i="17"/>
  <c r="P63" i="17"/>
  <c r="P62" i="17"/>
  <c r="P61" i="17"/>
  <c r="P59" i="17"/>
  <c r="P58" i="17"/>
  <c r="P57" i="17"/>
  <c r="P56" i="17"/>
  <c r="P54" i="17"/>
  <c r="P53" i="17"/>
  <c r="P52" i="17"/>
  <c r="P51" i="17"/>
  <c r="P50" i="17"/>
  <c r="P49" i="17"/>
  <c r="P46" i="17"/>
  <c r="P45" i="17"/>
  <c r="P43" i="17"/>
  <c r="P42" i="17"/>
  <c r="P41" i="17"/>
  <c r="P40" i="17"/>
  <c r="P39" i="17"/>
  <c r="P38" i="17"/>
  <c r="P36" i="17"/>
  <c r="P35" i="17"/>
  <c r="P34" i="17"/>
  <c r="P33" i="17"/>
  <c r="P32" i="17"/>
  <c r="P31" i="17"/>
  <c r="P29" i="17"/>
  <c r="P28" i="17"/>
  <c r="P27" i="17"/>
  <c r="P26" i="17"/>
  <c r="P25" i="17"/>
  <c r="P24" i="17"/>
  <c r="P22" i="17"/>
  <c r="P21" i="17"/>
  <c r="P20" i="17"/>
  <c r="P19" i="17"/>
  <c r="P18" i="17"/>
  <c r="P17" i="17"/>
  <c r="P15" i="17"/>
  <c r="P14" i="17"/>
  <c r="P13" i="17"/>
  <c r="P12" i="17"/>
  <c r="P11" i="17"/>
  <c r="P10" i="17"/>
  <c r="P8" i="17"/>
  <c r="P7" i="17"/>
  <c r="P6" i="17"/>
  <c r="P5" i="17"/>
  <c r="P4" i="17"/>
  <c r="P3" i="17"/>
  <c r="X183" i="16"/>
  <c r="X182" i="16"/>
  <c r="X180" i="16"/>
  <c r="X179" i="16"/>
  <c r="X161" i="16"/>
  <c r="X160" i="16"/>
  <c r="X67" i="16"/>
  <c r="X66" i="16"/>
  <c r="X65" i="16"/>
  <c r="X64" i="16"/>
  <c r="X62" i="16"/>
  <c r="X61" i="16"/>
  <c r="X60" i="16"/>
  <c r="X59" i="16"/>
  <c r="X58" i="16"/>
  <c r="X57" i="16"/>
  <c r="X8" i="16"/>
  <c r="X7" i="16"/>
  <c r="X6" i="16"/>
  <c r="X5" i="16"/>
  <c r="X4" i="16"/>
  <c r="X3" i="16"/>
  <c r="W213" i="16"/>
  <c r="W212" i="16"/>
  <c r="W210" i="16"/>
  <c r="W209" i="16"/>
  <c r="W183" i="16"/>
  <c r="W182" i="16"/>
  <c r="W180" i="16"/>
  <c r="W179" i="16"/>
  <c r="W177" i="16"/>
  <c r="W176" i="16"/>
  <c r="W174" i="16"/>
  <c r="W173" i="16"/>
  <c r="W161" i="16"/>
  <c r="W160" i="16"/>
  <c r="W158" i="16"/>
  <c r="W157" i="16"/>
  <c r="W153" i="16"/>
  <c r="W152" i="16"/>
  <c r="W151" i="16"/>
  <c r="W150" i="16"/>
  <c r="W148" i="16"/>
  <c r="W147" i="16"/>
  <c r="W146" i="16"/>
  <c r="W145" i="16"/>
  <c r="W67" i="16"/>
  <c r="W66" i="16"/>
  <c r="W65" i="16"/>
  <c r="W64" i="16"/>
  <c r="W62" i="16"/>
  <c r="W61" i="16"/>
  <c r="W60" i="16"/>
  <c r="W59" i="16"/>
  <c r="W58" i="16"/>
  <c r="W57" i="16"/>
  <c r="W8" i="16"/>
  <c r="W7" i="16"/>
  <c r="W6" i="16"/>
  <c r="W5" i="16"/>
  <c r="W4" i="16"/>
  <c r="W3" i="16"/>
  <c r="Y213" i="16"/>
  <c r="Y212" i="16"/>
  <c r="Y210" i="16"/>
  <c r="Y209" i="16"/>
  <c r="Y207" i="16"/>
  <c r="Y206" i="16"/>
  <c r="Y205" i="16"/>
  <c r="Y204" i="16"/>
  <c r="Y203" i="16"/>
  <c r="Y202" i="16"/>
  <c r="Y201" i="16"/>
  <c r="Y200" i="16"/>
  <c r="Y198" i="16"/>
  <c r="Y197" i="16"/>
  <c r="Y195" i="16"/>
  <c r="Y194" i="16"/>
  <c r="Y192" i="16"/>
  <c r="Y191" i="16"/>
  <c r="Y189" i="16"/>
  <c r="Y188" i="16"/>
  <c r="Y186" i="16"/>
  <c r="Y185" i="16"/>
  <c r="Y183" i="16"/>
  <c r="Y182" i="16"/>
  <c r="Y180" i="16"/>
  <c r="Y179" i="16"/>
  <c r="Y177" i="16"/>
  <c r="Y176" i="16"/>
  <c r="Y174" i="16"/>
  <c r="Y173" i="16"/>
  <c r="Y170" i="16"/>
  <c r="Y169" i="16"/>
  <c r="Y167" i="16"/>
  <c r="Y166" i="16"/>
  <c r="Y164" i="16"/>
  <c r="Y163" i="16"/>
  <c r="Y161" i="16"/>
  <c r="Y160" i="16"/>
  <c r="Y158" i="16"/>
  <c r="Y157" i="16"/>
  <c r="Y153" i="16"/>
  <c r="Y152" i="16"/>
  <c r="Y151" i="16"/>
  <c r="Y150" i="16"/>
  <c r="Y148" i="16"/>
  <c r="Y147" i="16"/>
  <c r="Y146" i="16"/>
  <c r="Y145" i="16"/>
  <c r="Y143" i="16"/>
  <c r="Y142" i="16"/>
  <c r="Y141" i="16"/>
  <c r="Y140" i="16"/>
  <c r="Y139" i="16"/>
  <c r="Y138" i="16"/>
  <c r="Y137" i="16"/>
  <c r="Y136" i="16"/>
  <c r="Y135" i="16"/>
  <c r="Y134" i="16"/>
  <c r="Y133" i="16"/>
  <c r="Y132" i="16"/>
  <c r="Y131" i="16"/>
  <c r="Y130" i="16"/>
  <c r="Y129" i="16"/>
  <c r="Y128" i="16"/>
  <c r="Y126" i="16"/>
  <c r="Y125" i="16"/>
  <c r="Y123" i="16"/>
  <c r="Y122" i="16"/>
  <c r="Y121" i="16"/>
  <c r="Y120" i="16"/>
  <c r="Y118" i="16"/>
  <c r="Y117" i="16"/>
  <c r="Y116" i="16"/>
  <c r="Y115" i="16"/>
  <c r="Y114" i="16"/>
  <c r="Y113" i="16"/>
  <c r="Y112" i="16"/>
  <c r="Y111" i="16"/>
  <c r="Y110" i="16"/>
  <c r="Y109" i="16"/>
  <c r="Y107" i="16"/>
  <c r="Y106" i="16"/>
  <c r="Y105" i="16"/>
  <c r="Y104" i="16"/>
  <c r="Y103" i="16"/>
  <c r="Y102" i="16"/>
  <c r="Y100" i="16"/>
  <c r="Y99" i="16"/>
  <c r="Y98" i="16"/>
  <c r="Y97" i="16"/>
  <c r="Y96" i="16"/>
  <c r="Y95" i="16"/>
  <c r="Y92" i="16"/>
  <c r="Y91" i="16"/>
  <c r="Y90" i="16"/>
  <c r="Y89" i="16"/>
  <c r="Y88" i="16"/>
  <c r="Y87" i="16"/>
  <c r="Y84" i="16"/>
  <c r="Y83" i="16"/>
  <c r="Y82" i="16"/>
  <c r="Y81" i="16"/>
  <c r="Y80" i="16"/>
  <c r="Y79" i="16"/>
  <c r="Y77" i="16"/>
  <c r="Y76" i="16"/>
  <c r="Y75" i="16"/>
  <c r="Y74" i="16"/>
  <c r="Y72" i="16"/>
  <c r="Y71" i="16"/>
  <c r="Y70" i="16"/>
  <c r="Y69" i="16"/>
  <c r="Y67" i="16"/>
  <c r="Y66" i="16"/>
  <c r="Y65" i="16"/>
  <c r="Y64" i="16"/>
  <c r="Y62" i="16"/>
  <c r="Y61" i="16"/>
  <c r="Y60" i="16"/>
  <c r="Y59" i="16"/>
  <c r="Y58" i="16"/>
  <c r="Y57" i="16"/>
  <c r="Y54" i="16"/>
  <c r="Y53" i="16"/>
  <c r="Y50" i="16"/>
  <c r="Y49" i="16"/>
  <c r="Y48" i="16"/>
  <c r="Y47" i="16"/>
  <c r="Y46" i="16"/>
  <c r="Y45" i="16"/>
  <c r="Y43" i="16"/>
  <c r="Y42" i="16"/>
  <c r="Y41" i="16"/>
  <c r="Y40" i="16"/>
  <c r="Y39" i="16"/>
  <c r="Y38" i="16"/>
  <c r="Y36" i="16"/>
  <c r="Y35" i="16"/>
  <c r="Y34" i="16"/>
  <c r="Y33" i="16"/>
  <c r="Y32" i="16"/>
  <c r="Y31" i="16"/>
  <c r="Y29" i="16"/>
  <c r="Y28" i="16"/>
  <c r="Y27" i="16"/>
  <c r="Y26" i="16"/>
  <c r="Y25" i="16"/>
  <c r="Y24" i="16"/>
  <c r="Y22" i="16"/>
  <c r="Y21" i="16"/>
  <c r="Y20" i="16"/>
  <c r="Y19" i="16"/>
  <c r="Y18" i="16"/>
  <c r="Y17" i="16"/>
  <c r="Y15" i="16"/>
  <c r="Y14" i="16"/>
  <c r="Y13" i="16"/>
  <c r="Y12" i="16"/>
  <c r="Y11" i="16"/>
  <c r="Y10" i="16"/>
  <c r="Y8" i="16"/>
  <c r="Y7" i="16"/>
  <c r="Y6" i="16"/>
  <c r="Y5" i="16"/>
  <c r="Y4" i="16"/>
  <c r="Y3" i="16"/>
  <c r="M201" i="16"/>
  <c r="M200" i="16"/>
  <c r="M189" i="16"/>
  <c r="M188" i="16"/>
  <c r="M183" i="16"/>
  <c r="M182" i="16"/>
  <c r="M180" i="16"/>
  <c r="M179" i="16"/>
  <c r="M177" i="16"/>
  <c r="M176" i="16"/>
  <c r="M174" i="16"/>
  <c r="M173" i="16"/>
  <c r="M161" i="16"/>
  <c r="M160" i="16"/>
  <c r="M158" i="16"/>
  <c r="M157" i="16"/>
  <c r="M129" i="16"/>
  <c r="M128" i="16"/>
  <c r="M118" i="16"/>
  <c r="M117" i="16"/>
  <c r="M116" i="16"/>
  <c r="M115" i="16"/>
  <c r="M67" i="16"/>
  <c r="M66" i="16"/>
  <c r="M65" i="16"/>
  <c r="M64" i="16"/>
  <c r="M62" i="16"/>
  <c r="M61" i="16"/>
  <c r="M60" i="16"/>
  <c r="M59" i="16"/>
  <c r="M58" i="16"/>
  <c r="M57" i="16"/>
  <c r="M8" i="16"/>
  <c r="M7" i="16"/>
  <c r="M6" i="16"/>
  <c r="M5" i="16"/>
  <c r="M4" i="16"/>
  <c r="M3" i="16"/>
  <c r="O213" i="16"/>
  <c r="O212" i="16"/>
  <c r="O210" i="16"/>
  <c r="O209" i="16"/>
  <c r="O207" i="16"/>
  <c r="O206" i="16"/>
  <c r="O205" i="16"/>
  <c r="O204" i="16"/>
  <c r="O203" i="16"/>
  <c r="O202" i="16"/>
  <c r="O201" i="16"/>
  <c r="O200" i="16"/>
  <c r="O198" i="16"/>
  <c r="O197" i="16"/>
  <c r="O195" i="16"/>
  <c r="O194" i="16"/>
  <c r="O192" i="16"/>
  <c r="O191" i="16"/>
  <c r="O189" i="16"/>
  <c r="O188" i="16"/>
  <c r="O186" i="16"/>
  <c r="O185" i="16"/>
  <c r="O183" i="16"/>
  <c r="O182" i="16"/>
  <c r="O180" i="16"/>
  <c r="O179" i="16"/>
  <c r="O177" i="16"/>
  <c r="O176" i="16"/>
  <c r="O174" i="16"/>
  <c r="O173" i="16"/>
  <c r="O170" i="16"/>
  <c r="O169" i="16"/>
  <c r="O167" i="16"/>
  <c r="O166" i="16"/>
  <c r="O164" i="16"/>
  <c r="O163" i="16"/>
  <c r="O161" i="16"/>
  <c r="O160" i="16"/>
  <c r="O158" i="16"/>
  <c r="O157" i="16"/>
  <c r="O153" i="16"/>
  <c r="O152" i="16"/>
  <c r="O151" i="16"/>
  <c r="O150" i="16"/>
  <c r="O148" i="16"/>
  <c r="O147" i="16"/>
  <c r="O146" i="16"/>
  <c r="O145" i="16"/>
  <c r="O143" i="16"/>
  <c r="O142" i="16"/>
  <c r="O141" i="16"/>
  <c r="O140" i="16"/>
  <c r="O139" i="16"/>
  <c r="O138" i="16"/>
  <c r="O137" i="16"/>
  <c r="O136" i="16"/>
  <c r="O135" i="16"/>
  <c r="O134" i="16"/>
  <c r="O133" i="16"/>
  <c r="O132" i="16"/>
  <c r="O131" i="16"/>
  <c r="O130" i="16"/>
  <c r="O129" i="16"/>
  <c r="O128" i="16"/>
  <c r="O126" i="16"/>
  <c r="O125" i="16"/>
  <c r="O123" i="16"/>
  <c r="O122" i="16"/>
  <c r="O121" i="16"/>
  <c r="O120" i="16"/>
  <c r="O118" i="16"/>
  <c r="O117" i="16"/>
  <c r="O116" i="16"/>
  <c r="O115" i="16"/>
  <c r="O114" i="16"/>
  <c r="O113" i="16"/>
  <c r="O112" i="16"/>
  <c r="O111" i="16"/>
  <c r="O110" i="16"/>
  <c r="O109" i="16"/>
  <c r="O107" i="16"/>
  <c r="O106" i="16"/>
  <c r="O105" i="16"/>
  <c r="O104" i="16"/>
  <c r="O103" i="16"/>
  <c r="O102" i="16"/>
  <c r="O100" i="16"/>
  <c r="O99" i="16"/>
  <c r="O98" i="16"/>
  <c r="O97" i="16"/>
  <c r="O96" i="16"/>
  <c r="O95" i="16"/>
  <c r="O92" i="16"/>
  <c r="O91" i="16"/>
  <c r="O90" i="16"/>
  <c r="O89" i="16"/>
  <c r="O88" i="16"/>
  <c r="O87" i="16"/>
  <c r="O84" i="16"/>
  <c r="O83" i="16"/>
  <c r="O82" i="16"/>
  <c r="O81" i="16"/>
  <c r="O80" i="16"/>
  <c r="O79" i="16"/>
  <c r="O77" i="16"/>
  <c r="O76" i="16"/>
  <c r="O75" i="16"/>
  <c r="O74" i="16"/>
  <c r="O72" i="16"/>
  <c r="O71" i="16"/>
  <c r="O70" i="16"/>
  <c r="O69" i="16"/>
  <c r="O67" i="16"/>
  <c r="O66" i="16"/>
  <c r="O65" i="16"/>
  <c r="O64" i="16"/>
  <c r="O62" i="16"/>
  <c r="O61" i="16"/>
  <c r="O60" i="16"/>
  <c r="O59" i="16"/>
  <c r="O58" i="16"/>
  <c r="O57" i="16"/>
  <c r="O54" i="16"/>
  <c r="O53" i="16"/>
  <c r="O50" i="16"/>
  <c r="O49" i="16"/>
  <c r="O48" i="16"/>
  <c r="O47" i="16"/>
  <c r="O46" i="16"/>
  <c r="O45" i="16"/>
  <c r="O43" i="16"/>
  <c r="O42" i="16"/>
  <c r="O41" i="16"/>
  <c r="O40" i="16"/>
  <c r="O39" i="16"/>
  <c r="O38" i="16"/>
  <c r="O36" i="16"/>
  <c r="O35" i="16"/>
  <c r="O34" i="16"/>
  <c r="O33" i="16"/>
  <c r="O32" i="16"/>
  <c r="O31" i="16"/>
  <c r="O29" i="16"/>
  <c r="O28" i="16"/>
  <c r="O27" i="16"/>
  <c r="O26" i="16"/>
  <c r="O25" i="16"/>
  <c r="O24" i="16"/>
  <c r="O22" i="16"/>
  <c r="O21" i="16"/>
  <c r="O20" i="16"/>
  <c r="O19" i="16"/>
  <c r="O18" i="16"/>
  <c r="O17" i="16"/>
  <c r="O15" i="16"/>
  <c r="O14" i="16"/>
  <c r="O13" i="16"/>
  <c r="O12" i="16"/>
  <c r="O11" i="16"/>
  <c r="O10" i="16"/>
  <c r="O8" i="16"/>
  <c r="O7" i="16"/>
  <c r="O6" i="16"/>
  <c r="O5" i="16"/>
  <c r="O4" i="16"/>
  <c r="O3" i="16"/>
  <c r="Y149" i="15"/>
  <c r="Y148" i="15"/>
  <c r="Y146" i="15"/>
  <c r="Y145" i="15"/>
  <c r="Y133" i="15"/>
  <c r="Y132" i="15"/>
  <c r="Y70" i="15"/>
  <c r="Y69" i="15"/>
  <c r="Y68" i="15"/>
  <c r="Y67" i="15"/>
  <c r="Y65" i="15"/>
  <c r="Y64" i="15"/>
  <c r="Y63" i="15"/>
  <c r="Y62" i="15"/>
  <c r="Y61" i="15"/>
  <c r="Y60" i="15"/>
  <c r="Y54" i="15"/>
  <c r="Y53" i="15"/>
  <c r="Y8" i="15"/>
  <c r="Y7" i="15"/>
  <c r="Y6" i="15"/>
  <c r="Y5" i="15"/>
  <c r="Y4" i="15"/>
  <c r="Y3" i="15"/>
  <c r="X178" i="15"/>
  <c r="X177" i="15"/>
  <c r="X176" i="15"/>
  <c r="X175" i="15"/>
  <c r="X149" i="15"/>
  <c r="X148" i="15"/>
  <c r="X146" i="15"/>
  <c r="X145" i="15"/>
  <c r="X142" i="15"/>
  <c r="X141" i="15"/>
  <c r="X139" i="15"/>
  <c r="X138" i="15"/>
  <c r="X133" i="15"/>
  <c r="X132" i="15"/>
  <c r="X127" i="15"/>
  <c r="X126" i="15"/>
  <c r="X92" i="15"/>
  <c r="X91" i="15"/>
  <c r="X90" i="15"/>
  <c r="X89" i="15"/>
  <c r="X82" i="15"/>
  <c r="X81" i="15"/>
  <c r="X80" i="15"/>
  <c r="X79" i="15"/>
  <c r="X77" i="15"/>
  <c r="X76" i="15"/>
  <c r="X75" i="15"/>
  <c r="X74" i="15"/>
  <c r="X73" i="15"/>
  <c r="X72" i="15"/>
  <c r="X70" i="15"/>
  <c r="X69" i="15"/>
  <c r="X68" i="15"/>
  <c r="X67" i="15"/>
  <c r="X65" i="15"/>
  <c r="X64" i="15"/>
  <c r="X63" i="15"/>
  <c r="X62" i="15"/>
  <c r="X61" i="15"/>
  <c r="X60" i="15"/>
  <c r="X54" i="15"/>
  <c r="X53" i="15"/>
  <c r="X16" i="15"/>
  <c r="X15" i="15"/>
  <c r="X14" i="15"/>
  <c r="X13" i="15"/>
  <c r="X12" i="15"/>
  <c r="X11" i="15"/>
  <c r="X8" i="15"/>
  <c r="X7" i="15"/>
  <c r="X6" i="15"/>
  <c r="X5" i="15"/>
  <c r="X4" i="15"/>
  <c r="X3" i="15"/>
  <c r="Z178" i="15"/>
  <c r="Z177" i="15"/>
  <c r="Z176" i="15"/>
  <c r="Z175" i="15"/>
  <c r="Z174" i="15"/>
  <c r="Z173" i="15"/>
  <c r="Z172" i="15"/>
  <c r="Z171" i="15"/>
  <c r="Z170" i="15"/>
  <c r="Z169" i="15"/>
  <c r="Z167" i="15"/>
  <c r="Z166" i="15"/>
  <c r="Z164" i="15"/>
  <c r="Z163" i="15"/>
  <c r="Z161" i="15"/>
  <c r="Z160" i="15"/>
  <c r="Z158" i="15"/>
  <c r="Z157" i="15"/>
  <c r="Z155" i="15"/>
  <c r="Z154" i="15"/>
  <c r="Z152" i="15"/>
  <c r="Z151" i="15"/>
  <c r="Z149" i="15"/>
  <c r="Z148" i="15"/>
  <c r="Z146" i="15"/>
  <c r="Z145" i="15"/>
  <c r="Z142" i="15"/>
  <c r="Z141" i="15"/>
  <c r="Z139" i="15"/>
  <c r="Z138" i="15"/>
  <c r="Z136" i="15"/>
  <c r="Z135" i="15"/>
  <c r="Z133" i="15"/>
  <c r="Z132" i="15"/>
  <c r="Z130" i="15"/>
  <c r="Z129" i="15"/>
  <c r="Z127" i="15"/>
  <c r="Z126" i="15"/>
  <c r="Z123" i="15"/>
  <c r="Z122" i="15"/>
  <c r="Z121" i="15"/>
  <c r="Z120" i="15"/>
  <c r="Z119" i="15"/>
  <c r="Z118" i="15"/>
  <c r="Z117" i="15"/>
  <c r="Z116" i="15"/>
  <c r="Z115" i="15"/>
  <c r="Z114" i="15"/>
  <c r="Z113" i="15"/>
  <c r="Z112" i="15"/>
  <c r="Z111" i="15"/>
  <c r="Z110" i="15"/>
  <c r="Z109" i="15"/>
  <c r="Z108" i="15"/>
  <c r="Z106" i="15"/>
  <c r="Z105" i="15"/>
  <c r="Z104" i="15"/>
  <c r="Z103" i="15"/>
  <c r="Z102" i="15"/>
  <c r="Z101" i="15"/>
  <c r="Z99" i="15"/>
  <c r="Z98" i="15"/>
  <c r="Z97" i="15"/>
  <c r="Z96" i="15"/>
  <c r="Z95" i="15"/>
  <c r="Z94" i="15"/>
  <c r="Z92" i="15"/>
  <c r="Z91" i="15"/>
  <c r="Z90" i="15"/>
  <c r="Z89" i="15"/>
  <c r="Z87" i="15"/>
  <c r="Z86" i="15"/>
  <c r="Z85" i="15"/>
  <c r="Z84" i="15"/>
  <c r="Z82" i="15"/>
  <c r="Z81" i="15"/>
  <c r="Z80" i="15"/>
  <c r="Z79" i="15"/>
  <c r="Z77" i="15"/>
  <c r="Z76" i="15"/>
  <c r="Z75" i="15"/>
  <c r="Z74" i="15"/>
  <c r="Z73" i="15"/>
  <c r="Z72" i="15"/>
  <c r="Z70" i="15"/>
  <c r="Z69" i="15"/>
  <c r="Z68" i="15"/>
  <c r="Z67" i="15"/>
  <c r="Z65" i="15"/>
  <c r="Z64" i="15"/>
  <c r="Z63" i="15"/>
  <c r="Z62" i="15"/>
  <c r="Z61" i="15"/>
  <c r="Z60" i="15"/>
  <c r="Z57" i="15"/>
  <c r="Z56" i="15"/>
  <c r="Z54" i="15"/>
  <c r="Z53" i="15"/>
  <c r="Z51" i="15"/>
  <c r="Z50" i="15"/>
  <c r="Z49" i="15"/>
  <c r="Z48" i="15"/>
  <c r="Z47" i="15"/>
  <c r="Z46" i="15"/>
  <c r="Z44" i="15"/>
  <c r="Z43" i="15"/>
  <c r="Z42" i="15"/>
  <c r="Z41" i="15"/>
  <c r="Z40" i="15"/>
  <c r="Z39" i="15"/>
  <c r="Z37" i="15"/>
  <c r="Z36" i="15"/>
  <c r="Z35" i="15"/>
  <c r="Z34" i="15"/>
  <c r="Z33" i="15"/>
  <c r="Z32" i="15"/>
  <c r="Z30" i="15"/>
  <c r="Z29" i="15"/>
  <c r="Z28" i="15"/>
  <c r="Z27" i="15"/>
  <c r="Z26" i="15"/>
  <c r="Z25" i="15"/>
  <c r="Z23" i="15"/>
  <c r="Z22" i="15"/>
  <c r="Z21" i="15"/>
  <c r="Z20" i="15"/>
  <c r="Z19" i="15"/>
  <c r="Z18" i="15"/>
  <c r="Z16" i="15"/>
  <c r="Z15" i="15"/>
  <c r="Z14" i="15"/>
  <c r="Z13" i="15"/>
  <c r="Z12" i="15"/>
  <c r="Z11" i="15"/>
  <c r="Z8" i="15"/>
  <c r="Z7" i="15"/>
  <c r="Z6" i="15"/>
  <c r="Z5" i="15"/>
  <c r="Z4" i="15"/>
  <c r="Z3" i="15"/>
  <c r="M149" i="15"/>
  <c r="M148" i="15"/>
  <c r="M146" i="15"/>
  <c r="M145" i="15"/>
  <c r="M139" i="15"/>
  <c r="M138" i="15"/>
  <c r="M133" i="15"/>
  <c r="M132" i="15"/>
  <c r="M127" i="15"/>
  <c r="M126" i="15"/>
  <c r="M92" i="15"/>
  <c r="M91" i="15"/>
  <c r="M90" i="15"/>
  <c r="M89" i="15"/>
  <c r="M82" i="15"/>
  <c r="M81" i="15"/>
  <c r="M80" i="15"/>
  <c r="M79" i="15"/>
  <c r="M77" i="15"/>
  <c r="M76" i="15"/>
  <c r="M75" i="15"/>
  <c r="M74" i="15"/>
  <c r="M73" i="15"/>
  <c r="M72" i="15"/>
  <c r="M70" i="15"/>
  <c r="M69" i="15"/>
  <c r="M68" i="15"/>
  <c r="M67" i="15"/>
  <c r="M65" i="15"/>
  <c r="M64" i="15"/>
  <c r="M63" i="15"/>
  <c r="M62" i="15"/>
  <c r="M61" i="15"/>
  <c r="M60" i="15"/>
  <c r="M54" i="15"/>
  <c r="M53" i="15"/>
  <c r="M51" i="15"/>
  <c r="M50" i="15"/>
  <c r="M49" i="15"/>
  <c r="M48" i="15"/>
  <c r="M47" i="15"/>
  <c r="M46" i="15"/>
  <c r="M16" i="15"/>
  <c r="M15" i="15"/>
  <c r="M14" i="15"/>
  <c r="M13" i="15"/>
  <c r="M12" i="15"/>
  <c r="M11" i="15"/>
  <c r="M8" i="15"/>
  <c r="M7" i="15"/>
  <c r="M6" i="15"/>
  <c r="M5" i="15"/>
  <c r="M4" i="15"/>
  <c r="M3" i="15"/>
  <c r="O178" i="15"/>
  <c r="O177" i="15"/>
  <c r="O176" i="15"/>
  <c r="O175" i="15"/>
  <c r="O174" i="15"/>
  <c r="O173" i="15"/>
  <c r="O172" i="15"/>
  <c r="O171" i="15"/>
  <c r="O170" i="15"/>
  <c r="O169" i="15"/>
  <c r="O167" i="15"/>
  <c r="O166" i="15"/>
  <c r="O164" i="15"/>
  <c r="O163" i="15"/>
  <c r="O161" i="15"/>
  <c r="O160" i="15"/>
  <c r="O158" i="15"/>
  <c r="O157" i="15"/>
  <c r="O155" i="15"/>
  <c r="O154" i="15"/>
  <c r="O152" i="15"/>
  <c r="O151" i="15"/>
  <c r="O149" i="15"/>
  <c r="O148" i="15"/>
  <c r="O146" i="15"/>
  <c r="O145" i="15"/>
  <c r="O142" i="15"/>
  <c r="O141" i="15"/>
  <c r="O139" i="15"/>
  <c r="O138" i="15"/>
  <c r="O136" i="15"/>
  <c r="O135" i="15"/>
  <c r="O133" i="15"/>
  <c r="O132" i="15"/>
  <c r="O130" i="15"/>
  <c r="O129" i="15"/>
  <c r="O127" i="15"/>
  <c r="O126" i="15"/>
  <c r="O123" i="15"/>
  <c r="O122" i="15"/>
  <c r="O121" i="15"/>
  <c r="O120" i="15"/>
  <c r="O119" i="15"/>
  <c r="O118" i="15"/>
  <c r="O117" i="15"/>
  <c r="O116" i="15"/>
  <c r="O115" i="15"/>
  <c r="O114" i="15"/>
  <c r="O113" i="15"/>
  <c r="O112" i="15"/>
  <c r="O111" i="15"/>
  <c r="O110" i="15"/>
  <c r="O109" i="15"/>
  <c r="O108" i="15"/>
  <c r="O106" i="15"/>
  <c r="O105" i="15"/>
  <c r="O104" i="15"/>
  <c r="O103" i="15"/>
  <c r="O102" i="15"/>
  <c r="O101" i="15"/>
  <c r="O99" i="15"/>
  <c r="O98" i="15"/>
  <c r="O97" i="15"/>
  <c r="O96" i="15"/>
  <c r="O95" i="15"/>
  <c r="O94" i="15"/>
  <c r="O92" i="15"/>
  <c r="O91" i="15"/>
  <c r="O90" i="15"/>
  <c r="O89" i="15"/>
  <c r="O87" i="15"/>
  <c r="O86" i="15"/>
  <c r="O85" i="15"/>
  <c r="O84" i="15"/>
  <c r="O82" i="15"/>
  <c r="O81" i="15"/>
  <c r="O80" i="15"/>
  <c r="O79" i="15"/>
  <c r="O77" i="15"/>
  <c r="O76" i="15"/>
  <c r="O75" i="15"/>
  <c r="O74" i="15"/>
  <c r="O73" i="15"/>
  <c r="O72" i="15"/>
  <c r="O70" i="15"/>
  <c r="O69" i="15"/>
  <c r="O68" i="15"/>
  <c r="O67" i="15"/>
  <c r="O65" i="15"/>
  <c r="O64" i="15"/>
  <c r="O63" i="15"/>
  <c r="O62" i="15"/>
  <c r="O61" i="15"/>
  <c r="O60" i="15"/>
  <c r="O57" i="15"/>
  <c r="O56" i="15"/>
  <c r="O54" i="15"/>
  <c r="O53" i="15"/>
  <c r="O51" i="15"/>
  <c r="O50" i="15"/>
  <c r="O49" i="15"/>
  <c r="O48" i="15"/>
  <c r="O47" i="15"/>
  <c r="O46" i="15"/>
  <c r="O44" i="15"/>
  <c r="O43" i="15"/>
  <c r="O42" i="15"/>
  <c r="O41" i="15"/>
  <c r="O40" i="15"/>
  <c r="O39" i="15"/>
  <c r="O37" i="15"/>
  <c r="O36" i="15"/>
  <c r="O35" i="15"/>
  <c r="O34" i="15"/>
  <c r="O33" i="15"/>
  <c r="O32" i="15"/>
  <c r="O30" i="15"/>
  <c r="O29" i="15"/>
  <c r="O28" i="15"/>
  <c r="O27" i="15"/>
  <c r="O26" i="15"/>
  <c r="O25" i="15"/>
  <c r="O23" i="15"/>
  <c r="O22" i="15"/>
  <c r="O21" i="15"/>
  <c r="O20" i="15"/>
  <c r="O19" i="15"/>
  <c r="O18" i="15"/>
  <c r="O16" i="15"/>
  <c r="O15" i="15"/>
  <c r="O14" i="15"/>
  <c r="O13" i="15"/>
  <c r="O12" i="15"/>
  <c r="O11" i="15"/>
  <c r="O8" i="15"/>
  <c r="O7" i="15"/>
  <c r="O6" i="15"/>
  <c r="O5" i="15"/>
  <c r="O4" i="15"/>
  <c r="O3" i="15"/>
  <c r="Y86" i="14"/>
  <c r="Y85" i="14"/>
  <c r="Y83" i="14"/>
  <c r="Y82" i="14"/>
  <c r="Y64" i="14"/>
  <c r="Y63" i="14"/>
  <c r="Y29" i="14"/>
  <c r="Y28" i="14"/>
  <c r="Y26" i="14"/>
  <c r="Y25" i="14"/>
  <c r="Y4" i="14"/>
  <c r="Y3" i="14"/>
  <c r="X101" i="14"/>
  <c r="X100" i="14"/>
  <c r="X98" i="14"/>
  <c r="X97" i="14"/>
  <c r="X86" i="14"/>
  <c r="X85" i="14"/>
  <c r="X83" i="14"/>
  <c r="X82" i="14"/>
  <c r="X80" i="14"/>
  <c r="X79" i="14"/>
  <c r="X77" i="14"/>
  <c r="X76" i="14"/>
  <c r="X73" i="14"/>
  <c r="X72" i="14"/>
  <c r="X64" i="14"/>
  <c r="X63" i="14"/>
  <c r="X57" i="14"/>
  <c r="X56" i="14"/>
  <c r="X43" i="14"/>
  <c r="X42" i="14"/>
  <c r="X35" i="14"/>
  <c r="X34" i="14"/>
  <c r="X32" i="14"/>
  <c r="X31" i="14"/>
  <c r="X29" i="14"/>
  <c r="X28" i="14"/>
  <c r="X26" i="14"/>
  <c r="X25" i="14"/>
  <c r="X22" i="14"/>
  <c r="X21" i="14"/>
  <c r="X7" i="14"/>
  <c r="X6" i="14"/>
  <c r="X4" i="14"/>
  <c r="X3" i="14"/>
  <c r="Z101" i="14"/>
  <c r="Z100" i="14"/>
  <c r="Z98" i="14"/>
  <c r="Z97" i="14"/>
  <c r="Z94" i="14"/>
  <c r="Z92" i="14"/>
  <c r="Z91" i="14"/>
  <c r="Z89" i="14"/>
  <c r="Z88" i="14"/>
  <c r="Z86" i="14"/>
  <c r="Z85" i="14"/>
  <c r="Z83" i="14"/>
  <c r="Z82" i="14"/>
  <c r="Z80" i="14"/>
  <c r="Z79" i="14"/>
  <c r="Z77" i="14"/>
  <c r="Z76" i="14"/>
  <c r="Z73" i="14"/>
  <c r="Z72" i="14"/>
  <c r="Z70" i="14"/>
  <c r="Z69" i="14"/>
  <c r="Z67" i="14"/>
  <c r="Z66" i="14"/>
  <c r="Z64" i="14"/>
  <c r="Z63" i="14"/>
  <c r="Z61" i="14"/>
  <c r="Z60" i="14"/>
  <c r="Z57" i="14"/>
  <c r="Z56" i="14"/>
  <c r="Z53" i="14"/>
  <c r="Z52" i="14"/>
  <c r="Z51" i="14"/>
  <c r="Z50" i="14"/>
  <c r="Z49" i="14"/>
  <c r="Z48" i="14"/>
  <c r="Z46" i="14"/>
  <c r="Z45" i="14"/>
  <c r="Z43" i="14"/>
  <c r="Z42" i="14"/>
  <c r="Z41" i="14"/>
  <c r="Z40" i="14"/>
  <c r="Z38" i="14"/>
  <c r="Z37" i="14"/>
  <c r="Z35" i="14"/>
  <c r="Z34" i="14"/>
  <c r="Z32" i="14"/>
  <c r="Z31" i="14"/>
  <c r="Z29" i="14"/>
  <c r="Z28" i="14"/>
  <c r="Z26" i="14"/>
  <c r="Z25" i="14"/>
  <c r="Z22" i="14"/>
  <c r="Z21" i="14"/>
  <c r="Z19" i="14"/>
  <c r="Z18" i="14"/>
  <c r="Z16" i="14"/>
  <c r="Z15" i="14"/>
  <c r="Z13" i="14"/>
  <c r="Z12" i="14"/>
  <c r="Z10" i="14"/>
  <c r="Z9" i="14"/>
  <c r="Z7" i="14"/>
  <c r="Z6" i="14"/>
  <c r="Z4" i="14"/>
  <c r="Z3" i="14"/>
  <c r="M91" i="14"/>
  <c r="M86" i="14"/>
  <c r="M85" i="14"/>
  <c r="M83" i="14"/>
  <c r="M82" i="14"/>
  <c r="M80" i="14"/>
  <c r="M79" i="14"/>
  <c r="M77" i="14"/>
  <c r="M76" i="14"/>
  <c r="M73" i="14"/>
  <c r="M72" i="14"/>
  <c r="M64" i="14"/>
  <c r="M63" i="14"/>
  <c r="M57" i="14"/>
  <c r="M56" i="14"/>
  <c r="M43" i="14"/>
  <c r="M42" i="14"/>
  <c r="M40" i="14"/>
  <c r="M35" i="14"/>
  <c r="M34" i="14"/>
  <c r="M32" i="14"/>
  <c r="M31" i="14"/>
  <c r="M29" i="14"/>
  <c r="M28" i="14"/>
  <c r="M26" i="14"/>
  <c r="M25" i="14"/>
  <c r="M22" i="14"/>
  <c r="M21" i="14"/>
  <c r="M16" i="14"/>
  <c r="M15" i="14"/>
  <c r="M7" i="14"/>
  <c r="M6" i="14"/>
  <c r="M4" i="14"/>
  <c r="M3" i="14"/>
  <c r="O101" i="14"/>
  <c r="O100" i="14"/>
  <c r="O98" i="14"/>
  <c r="O97" i="14"/>
  <c r="O94" i="14"/>
  <c r="O92" i="14"/>
  <c r="O91" i="14"/>
  <c r="O89" i="14"/>
  <c r="O88" i="14"/>
  <c r="O86" i="14"/>
  <c r="O85" i="14"/>
  <c r="O83" i="14"/>
  <c r="O82" i="14"/>
  <c r="O80" i="14"/>
  <c r="O79" i="14"/>
  <c r="O77" i="14"/>
  <c r="O76" i="14"/>
  <c r="O73" i="14"/>
  <c r="O72" i="14"/>
  <c r="O70" i="14"/>
  <c r="O69" i="14"/>
  <c r="O67" i="14"/>
  <c r="O66" i="14"/>
  <c r="O64" i="14"/>
  <c r="O63" i="14"/>
  <c r="O61" i="14"/>
  <c r="O60" i="14"/>
  <c r="O57" i="14"/>
  <c r="O56" i="14"/>
  <c r="O53" i="14"/>
  <c r="O52" i="14"/>
  <c r="O51" i="14"/>
  <c r="O50" i="14"/>
  <c r="O49" i="14"/>
  <c r="O48" i="14"/>
  <c r="O46" i="14"/>
  <c r="O45" i="14"/>
  <c r="O43" i="14"/>
  <c r="O42" i="14"/>
  <c r="O41" i="14"/>
  <c r="O40" i="14"/>
  <c r="O38" i="14"/>
  <c r="O37" i="14"/>
  <c r="O35" i="14"/>
  <c r="O34" i="14"/>
  <c r="O32" i="14"/>
  <c r="O31" i="14"/>
  <c r="O29" i="14"/>
  <c r="O28" i="14"/>
  <c r="O26" i="14"/>
  <c r="O25" i="14"/>
  <c r="O22" i="14"/>
  <c r="O21" i="14"/>
  <c r="O19" i="14"/>
  <c r="O18" i="14"/>
  <c r="O16" i="14"/>
  <c r="O15" i="14"/>
  <c r="O13" i="14"/>
  <c r="O12" i="14"/>
  <c r="O10" i="14"/>
  <c r="O9" i="14"/>
  <c r="O7" i="14"/>
  <c r="O6" i="14"/>
  <c r="O4" i="14"/>
  <c r="O3" i="14"/>
  <c r="W107" i="13"/>
  <c r="W106" i="13"/>
  <c r="W104" i="13"/>
  <c r="W103" i="13"/>
  <c r="W85" i="13"/>
  <c r="W84" i="13"/>
  <c r="W33" i="13"/>
  <c r="W32" i="13"/>
  <c r="W30" i="13"/>
  <c r="W29" i="13"/>
  <c r="W4" i="13"/>
  <c r="W3" i="13"/>
  <c r="V137" i="13"/>
  <c r="V136" i="13"/>
  <c r="V134" i="13"/>
  <c r="V133" i="13"/>
  <c r="V107" i="13"/>
  <c r="V106" i="13"/>
  <c r="V104" i="13"/>
  <c r="V103" i="13"/>
  <c r="V101" i="13"/>
  <c r="V100" i="13"/>
  <c r="V98" i="13"/>
  <c r="V97" i="13"/>
  <c r="V85" i="13"/>
  <c r="V84" i="13"/>
  <c r="V82" i="13"/>
  <c r="V81" i="13"/>
  <c r="V78" i="13"/>
  <c r="V77" i="13"/>
  <c r="V75" i="13"/>
  <c r="V74" i="13"/>
  <c r="V33" i="13"/>
  <c r="V32" i="13"/>
  <c r="V30" i="13"/>
  <c r="V29" i="13"/>
  <c r="V4" i="13"/>
  <c r="V3" i="13"/>
  <c r="X137" i="13"/>
  <c r="X136" i="13"/>
  <c r="X134" i="13"/>
  <c r="X133" i="13"/>
  <c r="X131" i="13"/>
  <c r="X130" i="13"/>
  <c r="X129" i="13"/>
  <c r="X128" i="13"/>
  <c r="X127" i="13"/>
  <c r="X126" i="13"/>
  <c r="X125" i="13"/>
  <c r="X124" i="13"/>
  <c r="X122" i="13"/>
  <c r="X121" i="13"/>
  <c r="X119" i="13"/>
  <c r="X118" i="13"/>
  <c r="X116" i="13"/>
  <c r="X115" i="13"/>
  <c r="X113" i="13"/>
  <c r="X112" i="13"/>
  <c r="X110" i="13"/>
  <c r="X109" i="13"/>
  <c r="X107" i="13"/>
  <c r="X106" i="13"/>
  <c r="X104" i="13"/>
  <c r="X103" i="13"/>
  <c r="X101" i="13"/>
  <c r="X100" i="13"/>
  <c r="X98" i="13"/>
  <c r="X97" i="13"/>
  <c r="X94" i="13"/>
  <c r="X93" i="13"/>
  <c r="X91" i="13"/>
  <c r="X90" i="13"/>
  <c r="X88" i="13"/>
  <c r="X87" i="13"/>
  <c r="X85" i="13"/>
  <c r="X84" i="13"/>
  <c r="X82" i="13"/>
  <c r="X81" i="13"/>
  <c r="X78" i="13"/>
  <c r="X77" i="13"/>
  <c r="X75" i="13"/>
  <c r="X74" i="13"/>
  <c r="X72" i="13"/>
  <c r="X71" i="13"/>
  <c r="X70" i="13"/>
  <c r="X69" i="13"/>
  <c r="X68" i="13"/>
  <c r="X67" i="13"/>
  <c r="X66" i="13"/>
  <c r="X65" i="13"/>
  <c r="X63" i="13"/>
  <c r="X62" i="13"/>
  <c r="X60" i="13"/>
  <c r="X59" i="13"/>
  <c r="X58" i="13"/>
  <c r="X57" i="13"/>
  <c r="X55" i="13"/>
  <c r="X54" i="13"/>
  <c r="X52" i="13"/>
  <c r="X51" i="13"/>
  <c r="X49" i="13"/>
  <c r="X48" i="13"/>
  <c r="X45" i="13"/>
  <c r="X44" i="13"/>
  <c r="X42" i="13"/>
  <c r="X41" i="13"/>
  <c r="X39" i="13"/>
  <c r="X38" i="13"/>
  <c r="X36" i="13"/>
  <c r="X35" i="13"/>
  <c r="X33" i="13"/>
  <c r="X32" i="13"/>
  <c r="X30" i="13"/>
  <c r="X29" i="13"/>
  <c r="X25" i="13"/>
  <c r="X24" i="13"/>
  <c r="X22" i="13"/>
  <c r="X21" i="13"/>
  <c r="X19" i="13"/>
  <c r="X18" i="13"/>
  <c r="X16" i="13"/>
  <c r="X15" i="13"/>
  <c r="X13" i="13"/>
  <c r="X12" i="13"/>
  <c r="X10" i="13"/>
  <c r="X9" i="13"/>
  <c r="X7" i="13"/>
  <c r="X6" i="13"/>
  <c r="X4" i="13"/>
  <c r="X3" i="13"/>
  <c r="L125" i="13"/>
  <c r="L124" i="13"/>
  <c r="L113" i="13"/>
  <c r="L112" i="13"/>
  <c r="L107" i="13"/>
  <c r="L106" i="13"/>
  <c r="L104" i="13"/>
  <c r="L103" i="13"/>
  <c r="L101" i="13"/>
  <c r="L100" i="13"/>
  <c r="L98" i="13"/>
  <c r="L97" i="13"/>
  <c r="L85" i="13"/>
  <c r="L84" i="13"/>
  <c r="L82" i="13"/>
  <c r="L81" i="13"/>
  <c r="L66" i="13"/>
  <c r="L65" i="13"/>
  <c r="L58" i="13"/>
  <c r="L57" i="13"/>
  <c r="L33" i="13"/>
  <c r="L32" i="13"/>
  <c r="L30" i="13"/>
  <c r="L29" i="13"/>
  <c r="L4" i="13"/>
  <c r="L3" i="13"/>
  <c r="N137" i="13"/>
  <c r="N136" i="13"/>
  <c r="N134" i="13"/>
  <c r="N133" i="13"/>
  <c r="N131" i="13"/>
  <c r="N130" i="13"/>
  <c r="N129" i="13"/>
  <c r="N128" i="13"/>
  <c r="N127" i="13"/>
  <c r="N126" i="13"/>
  <c r="N125" i="13"/>
  <c r="N124" i="13"/>
  <c r="N122" i="13"/>
  <c r="N121" i="13"/>
  <c r="N119" i="13"/>
  <c r="N118" i="13"/>
  <c r="N116" i="13"/>
  <c r="N115" i="13"/>
  <c r="N113" i="13"/>
  <c r="N112" i="13"/>
  <c r="N110" i="13"/>
  <c r="N109" i="13"/>
  <c r="N107" i="13"/>
  <c r="N106" i="13"/>
  <c r="N104" i="13"/>
  <c r="N103" i="13"/>
  <c r="N101" i="13"/>
  <c r="N100" i="13"/>
  <c r="N98" i="13"/>
  <c r="N97" i="13"/>
  <c r="N94" i="13"/>
  <c r="N93" i="13"/>
  <c r="N91" i="13"/>
  <c r="N90" i="13"/>
  <c r="N88" i="13"/>
  <c r="N87" i="13"/>
  <c r="N85" i="13"/>
  <c r="N84" i="13"/>
  <c r="N82" i="13"/>
  <c r="N81" i="13"/>
  <c r="N78" i="13"/>
  <c r="N77" i="13"/>
  <c r="N75" i="13"/>
  <c r="N74" i="13"/>
  <c r="N72" i="13"/>
  <c r="N71" i="13"/>
  <c r="N70" i="13"/>
  <c r="N69" i="13"/>
  <c r="N68" i="13"/>
  <c r="N67" i="13"/>
  <c r="N66" i="13"/>
  <c r="N65" i="13"/>
  <c r="N63" i="13"/>
  <c r="N62" i="13"/>
  <c r="N60" i="13"/>
  <c r="N59" i="13"/>
  <c r="N58" i="13"/>
  <c r="N57" i="13"/>
  <c r="N55" i="13"/>
  <c r="N54" i="13"/>
  <c r="N52" i="13"/>
  <c r="N51" i="13"/>
  <c r="N49" i="13"/>
  <c r="N48" i="13"/>
  <c r="N45" i="13"/>
  <c r="N44" i="13"/>
  <c r="N42" i="13"/>
  <c r="N41" i="13"/>
  <c r="N39" i="13"/>
  <c r="N38" i="13"/>
  <c r="N36" i="13"/>
  <c r="N35" i="13"/>
  <c r="N33" i="13"/>
  <c r="N32" i="13"/>
  <c r="N30" i="13"/>
  <c r="N29" i="13"/>
  <c r="N25" i="13"/>
  <c r="N24" i="13"/>
  <c r="N22" i="13"/>
  <c r="N21" i="13"/>
  <c r="N19" i="13"/>
  <c r="N18" i="13"/>
  <c r="N16" i="13"/>
  <c r="N15" i="13"/>
  <c r="N13" i="13"/>
  <c r="N12" i="13"/>
  <c r="N10" i="13"/>
  <c r="N9" i="13"/>
  <c r="N7" i="13"/>
  <c r="N6" i="13"/>
  <c r="N4" i="13"/>
  <c r="N3" i="13"/>
  <c r="X88" i="12"/>
  <c r="X87" i="12"/>
  <c r="X85" i="12"/>
  <c r="X84" i="12"/>
  <c r="X72" i="12"/>
  <c r="X71" i="12"/>
  <c r="X35" i="12"/>
  <c r="X34" i="12"/>
  <c r="X32" i="12"/>
  <c r="X31" i="12"/>
  <c r="X25" i="12"/>
  <c r="X24" i="12"/>
  <c r="X4" i="12"/>
  <c r="X3" i="12"/>
  <c r="W118" i="12"/>
  <c r="W117" i="12"/>
  <c r="W116" i="12"/>
  <c r="W115" i="12"/>
  <c r="W88" i="12"/>
  <c r="W87" i="12"/>
  <c r="W85" i="12"/>
  <c r="W84" i="12"/>
  <c r="W81" i="12"/>
  <c r="W80" i="12"/>
  <c r="W78" i="12"/>
  <c r="W77" i="12"/>
  <c r="W72" i="12"/>
  <c r="W71" i="12"/>
  <c r="W66" i="12"/>
  <c r="W65" i="12"/>
  <c r="W47" i="12"/>
  <c r="W46" i="12"/>
  <c r="W41" i="12"/>
  <c r="W40" i="12"/>
  <c r="W38" i="12"/>
  <c r="W37" i="12"/>
  <c r="W35" i="12"/>
  <c r="W34" i="12"/>
  <c r="W32" i="12"/>
  <c r="W31" i="12"/>
  <c r="W25" i="12"/>
  <c r="W24" i="12"/>
  <c r="W7" i="12"/>
  <c r="W6" i="12"/>
  <c r="W4" i="12"/>
  <c r="W3" i="12"/>
  <c r="Y118" i="12"/>
  <c r="Y117" i="12"/>
  <c r="Y116" i="12"/>
  <c r="Y115" i="12"/>
  <c r="Y114" i="12"/>
  <c r="Y113" i="12"/>
  <c r="Y112" i="12"/>
  <c r="Y111" i="12"/>
  <c r="Y109" i="12"/>
  <c r="Y108" i="12"/>
  <c r="Y106" i="12"/>
  <c r="Y105" i="12"/>
  <c r="Y103" i="12"/>
  <c r="Y102" i="12"/>
  <c r="Y100" i="12"/>
  <c r="Y99" i="12"/>
  <c r="Y97" i="12"/>
  <c r="Y96" i="12"/>
  <c r="Y94" i="12"/>
  <c r="Y93" i="12"/>
  <c r="Y91" i="12"/>
  <c r="Y90" i="12"/>
  <c r="Y88" i="12"/>
  <c r="Y87" i="12"/>
  <c r="Y85" i="12"/>
  <c r="Y84" i="12"/>
  <c r="Y81" i="12"/>
  <c r="Y80" i="12"/>
  <c r="Y78" i="12"/>
  <c r="Y77" i="12"/>
  <c r="Y75" i="12"/>
  <c r="Y74" i="12"/>
  <c r="Y72" i="12"/>
  <c r="Y71" i="12"/>
  <c r="Y69" i="12"/>
  <c r="Y68" i="12"/>
  <c r="Y66" i="12"/>
  <c r="Y65" i="12"/>
  <c r="Y62" i="12"/>
  <c r="Y61" i="12"/>
  <c r="Y60" i="12"/>
  <c r="Y59" i="12"/>
  <c r="Y58" i="12"/>
  <c r="Y57" i="12"/>
  <c r="Y56" i="12"/>
  <c r="Y55" i="12"/>
  <c r="Y53" i="12"/>
  <c r="Y52" i="12"/>
  <c r="Y50" i="12"/>
  <c r="Y49" i="12"/>
  <c r="Y47" i="12"/>
  <c r="Y46" i="12"/>
  <c r="Y44" i="12"/>
  <c r="Y43" i="12"/>
  <c r="Y41" i="12"/>
  <c r="Y40" i="12"/>
  <c r="Y38" i="12"/>
  <c r="Y37" i="12"/>
  <c r="Y35" i="12"/>
  <c r="Y34" i="12"/>
  <c r="Y32" i="12"/>
  <c r="Y31" i="12"/>
  <c r="Y28" i="12"/>
  <c r="Y27" i="12"/>
  <c r="Y25" i="12"/>
  <c r="Y24" i="12"/>
  <c r="Y22" i="12"/>
  <c r="Y21" i="12"/>
  <c r="Y19" i="12"/>
  <c r="Y18" i="12"/>
  <c r="Y16" i="12"/>
  <c r="Y15" i="12"/>
  <c r="Y13" i="12"/>
  <c r="Y12" i="12"/>
  <c r="Y10" i="12"/>
  <c r="Y9" i="12"/>
  <c r="Y7" i="12"/>
  <c r="Y6" i="12"/>
  <c r="Y4" i="12"/>
  <c r="Y3" i="12"/>
  <c r="L88" i="12"/>
  <c r="L87" i="12"/>
  <c r="L85" i="12"/>
  <c r="L84" i="12"/>
  <c r="L78" i="12"/>
  <c r="L77" i="12"/>
  <c r="L72" i="12"/>
  <c r="L71" i="12"/>
  <c r="L66" i="12"/>
  <c r="L65" i="12"/>
  <c r="L47" i="12"/>
  <c r="L46" i="12"/>
  <c r="L41" i="12"/>
  <c r="L40" i="12"/>
  <c r="L38" i="12"/>
  <c r="L37" i="12"/>
  <c r="L35" i="12"/>
  <c r="L34" i="12"/>
  <c r="L32" i="12"/>
  <c r="L31" i="12"/>
  <c r="L25" i="12"/>
  <c r="L24" i="12"/>
  <c r="L22" i="12"/>
  <c r="L21" i="12"/>
  <c r="L7" i="12"/>
  <c r="L6" i="12"/>
  <c r="L4" i="12"/>
  <c r="L3" i="12"/>
  <c r="N118" i="12"/>
  <c r="N117" i="12"/>
  <c r="N116" i="12"/>
  <c r="N115" i="12"/>
  <c r="N114" i="12"/>
  <c r="N113" i="12"/>
  <c r="N112" i="12"/>
  <c r="N111" i="12"/>
  <c r="N109" i="12"/>
  <c r="N108" i="12"/>
  <c r="N106" i="12"/>
  <c r="N105" i="12"/>
  <c r="N103" i="12"/>
  <c r="N102" i="12"/>
  <c r="N100" i="12"/>
  <c r="N99" i="12"/>
  <c r="N97" i="12"/>
  <c r="N96" i="12"/>
  <c r="N94" i="12"/>
  <c r="N93" i="12"/>
  <c r="N91" i="12"/>
  <c r="N90" i="12"/>
  <c r="N88" i="12"/>
  <c r="N87" i="12"/>
  <c r="N85" i="12"/>
  <c r="N84" i="12"/>
  <c r="N81" i="12"/>
  <c r="N80" i="12"/>
  <c r="N78" i="12"/>
  <c r="N77" i="12"/>
  <c r="N75" i="12"/>
  <c r="N74" i="12"/>
  <c r="N72" i="12"/>
  <c r="N71" i="12"/>
  <c r="N69" i="12"/>
  <c r="N68" i="12"/>
  <c r="N66" i="12"/>
  <c r="N65" i="12"/>
  <c r="N62" i="12"/>
  <c r="N61" i="12"/>
  <c r="N60" i="12"/>
  <c r="N59" i="12"/>
  <c r="N58" i="12"/>
  <c r="N57" i="12"/>
  <c r="N56" i="12"/>
  <c r="N55" i="12"/>
  <c r="N53" i="12"/>
  <c r="N52" i="12"/>
  <c r="N50" i="12"/>
  <c r="N49" i="12"/>
  <c r="N47" i="12"/>
  <c r="N46" i="12"/>
  <c r="N44" i="12"/>
  <c r="N43" i="12"/>
  <c r="N41" i="12"/>
  <c r="N40" i="12"/>
  <c r="N38" i="12"/>
  <c r="N37" i="12"/>
  <c r="N35" i="12"/>
  <c r="N34" i="12"/>
  <c r="N32" i="12"/>
  <c r="N31" i="12"/>
  <c r="N28" i="12"/>
  <c r="N27" i="12"/>
  <c r="N25" i="12"/>
  <c r="N24" i="12"/>
  <c r="N22" i="12"/>
  <c r="N21" i="12"/>
  <c r="N19" i="12"/>
  <c r="N18" i="12"/>
  <c r="N16" i="12"/>
  <c r="N15" i="12"/>
  <c r="N13" i="12"/>
  <c r="N12" i="12"/>
  <c r="N10" i="12"/>
  <c r="N9" i="12"/>
  <c r="N7" i="12"/>
  <c r="N6" i="12"/>
  <c r="N4" i="12"/>
  <c r="N3" i="12"/>
  <c r="M171" i="10" l="1"/>
  <c r="P171" i="10" s="1"/>
  <c r="X171" i="10" s="1"/>
  <c r="K171" i="10"/>
  <c r="N171" i="10" s="1"/>
  <c r="J171" i="10"/>
  <c r="G171" i="10"/>
  <c r="F171" i="10"/>
  <c r="E171" i="10"/>
  <c r="I171" i="10"/>
  <c r="H171" i="10"/>
  <c r="Q170" i="10"/>
  <c r="P170" i="10"/>
  <c r="M170" i="10"/>
  <c r="K170" i="10"/>
  <c r="N170" i="10"/>
  <c r="H170" i="10"/>
  <c r="J170" i="10"/>
  <c r="I170" i="10"/>
  <c r="G170" i="10"/>
  <c r="E170" i="10"/>
  <c r="F170" i="10"/>
  <c r="Y171" i="10" l="1"/>
  <c r="Z171" i="10" s="1"/>
  <c r="O171" i="10"/>
  <c r="Q171" i="10"/>
  <c r="R171" i="10" s="1"/>
  <c r="T171" i="10"/>
  <c r="U171" i="10"/>
  <c r="V171" i="10" s="1"/>
  <c r="X170" i="10"/>
  <c r="O170" i="10"/>
  <c r="Y170" i="10"/>
  <c r="T170" i="10"/>
  <c r="U170" i="10"/>
  <c r="S171" i="10" l="1"/>
  <c r="AA171" i="10"/>
  <c r="W171" i="10"/>
  <c r="V170" i="10"/>
  <c r="R170" i="10"/>
  <c r="S170" i="10" s="1"/>
  <c r="Z170" i="10"/>
  <c r="W170" i="10" l="1"/>
  <c r="AA170" i="10"/>
  <c r="L30" i="11" l="1"/>
  <c r="F30" i="11"/>
  <c r="D30" i="11"/>
  <c r="M78" i="10"/>
  <c r="M77" i="10"/>
  <c r="P78" i="10"/>
  <c r="P77" i="10"/>
  <c r="P79" i="10"/>
  <c r="M145" i="10" l="1"/>
  <c r="P145" i="10" s="1"/>
  <c r="T145" i="10" s="1"/>
  <c r="K145" i="10"/>
  <c r="J145" i="10"/>
  <c r="F145" i="10"/>
  <c r="E145" i="10"/>
  <c r="N145" i="10" s="1"/>
  <c r="I145" i="10"/>
  <c r="H145" i="10"/>
  <c r="F144" i="10"/>
  <c r="M144" i="10"/>
  <c r="P144" i="10" s="1"/>
  <c r="T144" i="10" s="1"/>
  <c r="K144" i="10"/>
  <c r="U144" i="10" s="1"/>
  <c r="J144" i="10"/>
  <c r="I144" i="10"/>
  <c r="H144" i="10"/>
  <c r="E144" i="10"/>
  <c r="N144" i="10" l="1"/>
  <c r="U145" i="10"/>
  <c r="V145" i="10" s="1"/>
  <c r="W145" i="10" s="1"/>
  <c r="O145" i="10"/>
  <c r="Q145" i="10"/>
  <c r="R145" i="10" s="1"/>
  <c r="V144" i="10"/>
  <c r="W144" i="10" s="1"/>
  <c r="O144" i="10"/>
  <c r="Q144" i="10"/>
  <c r="R144" i="10" s="1"/>
  <c r="M79" i="10"/>
  <c r="S145" i="10" l="1"/>
  <c r="S144" i="10"/>
  <c r="G30" i="11"/>
  <c r="O30" i="11" s="1"/>
  <c r="E30" i="11"/>
  <c r="T77" i="10"/>
  <c r="T78" i="10"/>
  <c r="T79" i="10"/>
  <c r="K77" i="10"/>
  <c r="K78" i="10"/>
  <c r="K79" i="10"/>
  <c r="J77" i="10"/>
  <c r="J78" i="10"/>
  <c r="J79" i="10"/>
  <c r="I78" i="10"/>
  <c r="I79" i="10"/>
  <c r="I77" i="10"/>
  <c r="H78" i="10"/>
  <c r="H79" i="10"/>
  <c r="U79" i="10" s="1"/>
  <c r="V79" i="10" s="1"/>
  <c r="H77" i="10"/>
  <c r="G78" i="10"/>
  <c r="G79" i="10"/>
  <c r="G77" i="10"/>
  <c r="F79" i="10"/>
  <c r="F78" i="10"/>
  <c r="F77" i="10"/>
  <c r="E78" i="10"/>
  <c r="E79" i="10"/>
  <c r="E77" i="10"/>
  <c r="N77" i="10" s="1"/>
  <c r="P30" i="11" l="1"/>
  <c r="Q30" i="11" s="1"/>
  <c r="M30" i="11"/>
  <c r="N30" i="11" s="1"/>
  <c r="N79" i="10"/>
  <c r="Q79" i="10"/>
  <c r="U77" i="10"/>
  <c r="Q78" i="10"/>
  <c r="R78" i="10" s="1"/>
  <c r="N78" i="10"/>
  <c r="O78" i="10" s="1"/>
  <c r="S78" i="10" s="1"/>
  <c r="R79" i="10"/>
  <c r="W79" i="10" s="1"/>
  <c r="U78" i="10"/>
  <c r="V78" i="10" s="1"/>
  <c r="Q77" i="10"/>
  <c r="R77" i="10" s="1"/>
  <c r="V77" i="10"/>
  <c r="W77" i="10" s="1"/>
  <c r="O77" i="10"/>
  <c r="S77" i="10" s="1"/>
  <c r="O79" i="10"/>
  <c r="L58" i="11"/>
  <c r="F58" i="11"/>
  <c r="E58" i="11"/>
  <c r="D58" i="11"/>
  <c r="I128" i="10"/>
  <c r="I127" i="10"/>
  <c r="S79" i="10" l="1"/>
  <c r="W78" i="10"/>
  <c r="R30" i="11"/>
  <c r="P58" i="11"/>
  <c r="Q58" i="11" s="1"/>
  <c r="M58" i="11"/>
  <c r="N58" i="11" s="1"/>
  <c r="R58" i="11" l="1"/>
  <c r="M169" i="10" l="1"/>
  <c r="K169" i="10"/>
  <c r="P169" i="10" s="1"/>
  <c r="J169" i="10"/>
  <c r="H169" i="10"/>
  <c r="F169" i="10"/>
  <c r="I169" i="10"/>
  <c r="H168" i="10"/>
  <c r="I168" i="10"/>
  <c r="F168" i="10"/>
  <c r="I105" i="10"/>
  <c r="F105" i="10"/>
  <c r="Y169" i="10" l="1"/>
  <c r="N169" i="10"/>
  <c r="O169" i="10" s="1"/>
  <c r="X169" i="10"/>
  <c r="T169" i="10"/>
  <c r="U169" i="10"/>
  <c r="Z169" i="10" l="1"/>
  <c r="V169" i="10"/>
  <c r="Q169" i="10"/>
  <c r="R169" i="10" s="1"/>
  <c r="L74" i="11"/>
  <c r="G74" i="11"/>
  <c r="F74" i="11"/>
  <c r="E74" i="11"/>
  <c r="D74" i="11"/>
  <c r="L73" i="11"/>
  <c r="G73" i="11"/>
  <c r="F73" i="11"/>
  <c r="E73" i="11"/>
  <c r="D73" i="11"/>
  <c r="P75" i="10"/>
  <c r="T75" i="10" s="1"/>
  <c r="P76" i="10"/>
  <c r="T76" i="10" s="1"/>
  <c r="M76" i="10"/>
  <c r="K76" i="10"/>
  <c r="J76" i="10"/>
  <c r="I76" i="10"/>
  <c r="H76" i="10"/>
  <c r="F76" i="10"/>
  <c r="E76" i="10"/>
  <c r="M75" i="10"/>
  <c r="K75" i="10"/>
  <c r="J75" i="10"/>
  <c r="I75" i="10"/>
  <c r="H75" i="10"/>
  <c r="F75" i="10"/>
  <c r="E75" i="10"/>
  <c r="P73" i="10"/>
  <c r="T73" i="10" s="1"/>
  <c r="P74" i="10"/>
  <c r="M74" i="10"/>
  <c r="K74" i="10"/>
  <c r="J74" i="10"/>
  <c r="I74" i="10"/>
  <c r="H74" i="10"/>
  <c r="F74" i="10"/>
  <c r="E74" i="10"/>
  <c r="M73" i="10"/>
  <c r="K73" i="10"/>
  <c r="J73" i="10"/>
  <c r="I73" i="10"/>
  <c r="H73" i="10"/>
  <c r="F73" i="10"/>
  <c r="E73" i="10"/>
  <c r="P72" i="10"/>
  <c r="T72" i="10" s="1"/>
  <c r="P71" i="10"/>
  <c r="T71" i="10" s="1"/>
  <c r="M72" i="10"/>
  <c r="K72" i="10"/>
  <c r="J72" i="10"/>
  <c r="I72" i="10"/>
  <c r="H72" i="10"/>
  <c r="F72" i="10"/>
  <c r="E72" i="10"/>
  <c r="M71" i="10"/>
  <c r="K71" i="10"/>
  <c r="J71" i="10"/>
  <c r="I71" i="10"/>
  <c r="H71" i="10"/>
  <c r="F71" i="10"/>
  <c r="E71" i="10"/>
  <c r="W169" i="10" l="1"/>
  <c r="AA169" i="10"/>
  <c r="U76" i="10"/>
  <c r="V76" i="10" s="1"/>
  <c r="U75" i="10"/>
  <c r="V75" i="10" s="1"/>
  <c r="W75" i="10" s="1"/>
  <c r="Q76" i="10"/>
  <c r="R76" i="10" s="1"/>
  <c r="Q74" i="10"/>
  <c r="Q72" i="10"/>
  <c r="R72" i="10" s="1"/>
  <c r="N75" i="10"/>
  <c r="O75" i="10" s="1"/>
  <c r="Q71" i="10"/>
  <c r="R71" i="10" s="1"/>
  <c r="Q75" i="10"/>
  <c r="R75" i="10" s="1"/>
  <c r="S169" i="10"/>
  <c r="M73" i="11"/>
  <c r="N73" i="11" s="1"/>
  <c r="M74" i="11"/>
  <c r="N74" i="11" s="1"/>
  <c r="N72" i="10"/>
  <c r="O72" i="10" s="1"/>
  <c r="S72" i="10" s="1"/>
  <c r="U73" i="10"/>
  <c r="V73" i="10" s="1"/>
  <c r="W73" i="10" s="1"/>
  <c r="R74" i="10"/>
  <c r="U74" i="10"/>
  <c r="N71" i="10"/>
  <c r="O71" i="10" s="1"/>
  <c r="Q73" i="10"/>
  <c r="R73" i="10" s="1"/>
  <c r="N76" i="10"/>
  <c r="O76" i="10" s="1"/>
  <c r="T74" i="10"/>
  <c r="U71" i="10"/>
  <c r="V71" i="10" s="1"/>
  <c r="W71" i="10" s="1"/>
  <c r="U72" i="10"/>
  <c r="V72" i="10" s="1"/>
  <c r="W72" i="10" s="1"/>
  <c r="N74" i="10"/>
  <c r="O74" i="10" s="1"/>
  <c r="N73" i="10"/>
  <c r="O73" i="10" s="1"/>
  <c r="L89" i="11"/>
  <c r="G89" i="11"/>
  <c r="F89" i="11"/>
  <c r="E89" i="11"/>
  <c r="D89" i="11"/>
  <c r="L88" i="11"/>
  <c r="G88" i="11"/>
  <c r="F88" i="11"/>
  <c r="E88" i="11"/>
  <c r="D88" i="11"/>
  <c r="W76" i="10" l="1"/>
  <c r="S71" i="10"/>
  <c r="S76" i="10"/>
  <c r="S75" i="10"/>
  <c r="S73" i="10"/>
  <c r="S74" i="10"/>
  <c r="O88" i="11"/>
  <c r="M89" i="11"/>
  <c r="N89" i="11" s="1"/>
  <c r="V74" i="10"/>
  <c r="W74" i="10" s="1"/>
  <c r="M88" i="11"/>
  <c r="N88" i="11" s="1"/>
  <c r="O89" i="11"/>
  <c r="P89" i="11"/>
  <c r="P88" i="11"/>
  <c r="Q89" i="11" l="1"/>
  <c r="R89" i="11" s="1"/>
  <c r="Q88" i="11"/>
  <c r="R88" i="11" s="1"/>
  <c r="P167" i="10"/>
  <c r="P165" i="10"/>
  <c r="M167" i="10"/>
  <c r="M165" i="10"/>
  <c r="K167" i="10"/>
  <c r="K165" i="10"/>
  <c r="N206" i="10"/>
  <c r="L206" i="10"/>
  <c r="K206" i="10"/>
  <c r="J206" i="10"/>
  <c r="G206" i="10"/>
  <c r="F206" i="10"/>
  <c r="E206" i="10"/>
  <c r="K188" i="10"/>
  <c r="G188" i="10"/>
  <c r="F188" i="10"/>
  <c r="M188" i="10"/>
  <c r="P188" i="10" s="1"/>
  <c r="J188" i="10"/>
  <c r="E188" i="10"/>
  <c r="N205" i="10"/>
  <c r="Q205" i="10" s="1"/>
  <c r="L205" i="10"/>
  <c r="K205" i="10"/>
  <c r="J205" i="10"/>
  <c r="F205" i="10"/>
  <c r="E205" i="10"/>
  <c r="N204" i="10"/>
  <c r="Q204" i="10" s="1"/>
  <c r="L204" i="10"/>
  <c r="K204" i="10"/>
  <c r="J204" i="10"/>
  <c r="G204" i="10"/>
  <c r="F204" i="10"/>
  <c r="E204" i="10"/>
  <c r="M189" i="10"/>
  <c r="P189" i="10" s="1"/>
  <c r="K189" i="10"/>
  <c r="J189" i="10"/>
  <c r="F189" i="10"/>
  <c r="E189" i="10"/>
  <c r="Q206" i="10" l="1"/>
  <c r="Q189" i="10"/>
  <c r="O204" i="10"/>
  <c r="P204" i="10" s="1"/>
  <c r="R205" i="10"/>
  <c r="S205" i="10" s="1"/>
  <c r="R206" i="10"/>
  <c r="S206" i="10" s="1"/>
  <c r="O206" i="10"/>
  <c r="P206" i="10" s="1"/>
  <c r="N189" i="10"/>
  <c r="O189" i="10" s="1"/>
  <c r="O205" i="10"/>
  <c r="P205" i="10" s="1"/>
  <c r="R204" i="10"/>
  <c r="S204" i="10" s="1"/>
  <c r="N188" i="10"/>
  <c r="O188" i="10" s="1"/>
  <c r="Q188" i="10"/>
  <c r="R188" i="10" s="1"/>
  <c r="S188" i="10" s="1"/>
  <c r="R189" i="10"/>
  <c r="S189" i="10" l="1"/>
  <c r="T204" i="10"/>
  <c r="T205" i="10"/>
  <c r="T206" i="10"/>
  <c r="M168" i="10"/>
  <c r="K168" i="10"/>
  <c r="J168" i="10"/>
  <c r="L87" i="11"/>
  <c r="O87" i="11" s="1"/>
  <c r="G87" i="11"/>
  <c r="F87" i="11"/>
  <c r="E87" i="11"/>
  <c r="D87" i="11"/>
  <c r="L86" i="11"/>
  <c r="O86" i="11" s="1"/>
  <c r="G86" i="11"/>
  <c r="F86" i="11"/>
  <c r="E86" i="11"/>
  <c r="D86" i="11"/>
  <c r="P166" i="10"/>
  <c r="X166" i="10" s="1"/>
  <c r="E167" i="10"/>
  <c r="E166" i="10"/>
  <c r="M166" i="10"/>
  <c r="K166" i="10"/>
  <c r="J167" i="10"/>
  <c r="J166" i="10"/>
  <c r="F167" i="10"/>
  <c r="F166" i="10"/>
  <c r="X167" i="10"/>
  <c r="I167" i="10"/>
  <c r="H167" i="10"/>
  <c r="I166" i="10"/>
  <c r="H166" i="10"/>
  <c r="X165" i="10"/>
  <c r="T165" i="10"/>
  <c r="J165" i="10"/>
  <c r="I165" i="10"/>
  <c r="H165" i="10"/>
  <c r="F165" i="10"/>
  <c r="E165" i="10"/>
  <c r="P164" i="10"/>
  <c r="X164" i="10" s="1"/>
  <c r="M164" i="10"/>
  <c r="K164" i="10"/>
  <c r="J164" i="10"/>
  <c r="I164" i="10"/>
  <c r="H164" i="10"/>
  <c r="F164" i="10"/>
  <c r="E164" i="10"/>
  <c r="J163" i="10"/>
  <c r="M163" i="10"/>
  <c r="E163" i="10"/>
  <c r="I163" i="10"/>
  <c r="H163" i="10"/>
  <c r="F163" i="10"/>
  <c r="K163" i="10"/>
  <c r="P163" i="10" l="1"/>
  <c r="Y164" i="10"/>
  <c r="U165" i="10"/>
  <c r="V165" i="10" s="1"/>
  <c r="N167" i="10"/>
  <c r="O167" i="10" s="1"/>
  <c r="N168" i="10"/>
  <c r="O168" i="10" s="1"/>
  <c r="Y163" i="10"/>
  <c r="Y165" i="10"/>
  <c r="Z165" i="10" s="1"/>
  <c r="P87" i="11"/>
  <c r="Q87" i="11" s="1"/>
  <c r="R87" i="11" s="1"/>
  <c r="T163" i="10"/>
  <c r="X163" i="10"/>
  <c r="U163" i="10"/>
  <c r="M87" i="11"/>
  <c r="N87" i="11" s="1"/>
  <c r="N165" i="10"/>
  <c r="O165" i="10" s="1"/>
  <c r="T164" i="10"/>
  <c r="U164" i="10"/>
  <c r="N164" i="10"/>
  <c r="O164" i="10" s="1"/>
  <c r="Q167" i="10"/>
  <c r="R167" i="10" s="1"/>
  <c r="M86" i="11"/>
  <c r="N86" i="11" s="1"/>
  <c r="P168" i="10"/>
  <c r="T168" i="10" s="1"/>
  <c r="Y168" i="10"/>
  <c r="U168" i="10"/>
  <c r="P86" i="11"/>
  <c r="Q86" i="11" s="1"/>
  <c r="N166" i="10"/>
  <c r="O166" i="10" s="1"/>
  <c r="Y167" i="10"/>
  <c r="Z167" i="10" s="1"/>
  <c r="Y166" i="10"/>
  <c r="Z166" i="10" s="1"/>
  <c r="Q166" i="10"/>
  <c r="R166" i="10" s="1"/>
  <c r="U166" i="10"/>
  <c r="T167" i="10"/>
  <c r="U167" i="10"/>
  <c r="T166" i="10"/>
  <c r="Q165" i="10"/>
  <c r="R165" i="10" s="1"/>
  <c r="Z164" i="10"/>
  <c r="Q164" i="10"/>
  <c r="R164" i="10" s="1"/>
  <c r="N163" i="10"/>
  <c r="O163" i="10" s="1"/>
  <c r="I126" i="10"/>
  <c r="I125" i="10"/>
  <c r="I124" i="10"/>
  <c r="D121" i="10"/>
  <c r="Z163" i="10" l="1"/>
  <c r="S167" i="10"/>
  <c r="S166" i="10"/>
  <c r="J124" i="10"/>
  <c r="J128" i="10"/>
  <c r="F128" i="10"/>
  <c r="M127" i="10"/>
  <c r="G127" i="10"/>
  <c r="H128" i="10"/>
  <c r="E127" i="10"/>
  <c r="G128" i="10"/>
  <c r="E128" i="10"/>
  <c r="J127" i="10"/>
  <c r="F127" i="10"/>
  <c r="M128" i="10"/>
  <c r="H127" i="10"/>
  <c r="X168" i="10"/>
  <c r="Z168" i="10" s="1"/>
  <c r="V163" i="10"/>
  <c r="S164" i="10"/>
  <c r="G125" i="10"/>
  <c r="H126" i="10"/>
  <c r="Q168" i="10"/>
  <c r="R168" i="10" s="1"/>
  <c r="S168" i="10" s="1"/>
  <c r="X125" i="10"/>
  <c r="J125" i="10"/>
  <c r="X126" i="10"/>
  <c r="F126" i="10"/>
  <c r="M126" i="10"/>
  <c r="R86" i="11"/>
  <c r="T124" i="10"/>
  <c r="S165" i="10"/>
  <c r="F124" i="10"/>
  <c r="G126" i="10"/>
  <c r="J126" i="10"/>
  <c r="W165" i="10"/>
  <c r="F125" i="10"/>
  <c r="H125" i="10"/>
  <c r="M125" i="10"/>
  <c r="X124" i="10"/>
  <c r="T125" i="10"/>
  <c r="T126" i="10"/>
  <c r="AA164" i="10"/>
  <c r="AA167" i="10"/>
  <c r="AA165" i="10"/>
  <c r="V168" i="10"/>
  <c r="V167" i="10"/>
  <c r="W167" i="10" s="1"/>
  <c r="V166" i="10"/>
  <c r="W166" i="10" s="1"/>
  <c r="AA166" i="10"/>
  <c r="V164" i="10"/>
  <c r="W164" i="10" s="1"/>
  <c r="Q163" i="10"/>
  <c r="R163" i="10" s="1"/>
  <c r="S163" i="10" s="1"/>
  <c r="M124" i="10"/>
  <c r="G124" i="10"/>
  <c r="H124" i="10"/>
  <c r="Q128" i="10" l="1"/>
  <c r="R128" i="10" s="1"/>
  <c r="S128" i="10" s="1"/>
  <c r="Q127" i="10"/>
  <c r="R127" i="10" s="1"/>
  <c r="S127" i="10" s="1"/>
  <c r="N128" i="10"/>
  <c r="O128" i="10" s="1"/>
  <c r="N127" i="10"/>
  <c r="O127" i="10" s="1"/>
  <c r="AA168" i="10"/>
  <c r="W168" i="10"/>
  <c r="AA163" i="10"/>
  <c r="W163" i="10"/>
  <c r="L38" i="11"/>
  <c r="F27" i="11" l="1"/>
  <c r="D27" i="11" l="1"/>
  <c r="M29" i="11" l="1"/>
  <c r="L29" i="11"/>
  <c r="G29" i="11"/>
  <c r="P29" i="11" s="1"/>
  <c r="N70" i="10"/>
  <c r="M70" i="10"/>
  <c r="K70" i="10"/>
  <c r="Q70" i="10" s="1"/>
  <c r="P70" i="10" l="1"/>
  <c r="T70" i="10" s="1"/>
  <c r="O70" i="10"/>
  <c r="N29" i="11"/>
  <c r="U70" i="10"/>
  <c r="V70" i="10" s="1"/>
  <c r="O29" i="11"/>
  <c r="Q29" i="11" s="1"/>
  <c r="R70" i="10" l="1"/>
  <c r="W70" i="10" s="1"/>
  <c r="R29" i="11"/>
  <c r="J9" i="10"/>
  <c r="G42" i="11"/>
  <c r="O42" i="11" s="1"/>
  <c r="Q42" i="11" s="1"/>
  <c r="R42" i="11" s="1"/>
  <c r="L41" i="11"/>
  <c r="G41" i="11"/>
  <c r="F41" i="11"/>
  <c r="E41" i="11"/>
  <c r="D41" i="11"/>
  <c r="L40" i="11"/>
  <c r="G40" i="11"/>
  <c r="F40" i="11"/>
  <c r="E40" i="11"/>
  <c r="D40" i="11"/>
  <c r="O39" i="11"/>
  <c r="G39" i="11"/>
  <c r="F39" i="11"/>
  <c r="E39" i="11"/>
  <c r="D39" i="11"/>
  <c r="G38" i="11"/>
  <c r="F38" i="11"/>
  <c r="E38" i="11"/>
  <c r="D38" i="11"/>
  <c r="M28" i="11"/>
  <c r="L28" i="11"/>
  <c r="O27" i="11"/>
  <c r="L27" i="11"/>
  <c r="G27" i="11"/>
  <c r="E27" i="11"/>
  <c r="O26" i="11"/>
  <c r="L26" i="11"/>
  <c r="G26" i="11"/>
  <c r="F26" i="11"/>
  <c r="E26" i="11"/>
  <c r="D26" i="11"/>
  <c r="L25" i="11"/>
  <c r="G25" i="11"/>
  <c r="F25" i="11"/>
  <c r="E25" i="11"/>
  <c r="D25" i="11"/>
  <c r="L17" i="11"/>
  <c r="O17" i="11" s="1"/>
  <c r="F17" i="11"/>
  <c r="E17" i="11"/>
  <c r="D17" i="11"/>
  <c r="L16" i="11"/>
  <c r="O16" i="11" s="1"/>
  <c r="F16" i="11"/>
  <c r="E16" i="11"/>
  <c r="D16" i="11"/>
  <c r="P15" i="11"/>
  <c r="O15" i="11"/>
  <c r="M15" i="11"/>
  <c r="N15" i="11" s="1"/>
  <c r="P14" i="11"/>
  <c r="O14" i="11"/>
  <c r="M14" i="11"/>
  <c r="N14" i="11" s="1"/>
  <c r="L13" i="11"/>
  <c r="O13" i="11" s="1"/>
  <c r="F13" i="11"/>
  <c r="E13" i="11"/>
  <c r="D13" i="11"/>
  <c r="L12" i="11"/>
  <c r="O12" i="11" s="1"/>
  <c r="F12" i="11"/>
  <c r="E12" i="11"/>
  <c r="D12" i="11"/>
  <c r="L11" i="11"/>
  <c r="O11" i="11" s="1"/>
  <c r="F11" i="11"/>
  <c r="E11" i="11"/>
  <c r="D11" i="11"/>
  <c r="L10" i="11"/>
  <c r="F10" i="11"/>
  <c r="E10" i="11"/>
  <c r="D10" i="11"/>
  <c r="L9" i="11"/>
  <c r="O9" i="11" s="1"/>
  <c r="F9" i="11"/>
  <c r="E9" i="11"/>
  <c r="D9" i="11"/>
  <c r="L8" i="11"/>
  <c r="O8" i="11" s="1"/>
  <c r="F8" i="11"/>
  <c r="E8" i="11"/>
  <c r="D8" i="11"/>
  <c r="N106" i="10"/>
  <c r="K106" i="10"/>
  <c r="M105" i="10"/>
  <c r="K105" i="10"/>
  <c r="J105" i="10"/>
  <c r="H105" i="10"/>
  <c r="P104" i="10"/>
  <c r="X104" i="10" s="1"/>
  <c r="M104" i="10"/>
  <c r="K104" i="10"/>
  <c r="J104" i="10"/>
  <c r="I104" i="10"/>
  <c r="H104" i="10"/>
  <c r="G104" i="10"/>
  <c r="F104" i="10"/>
  <c r="E104" i="10"/>
  <c r="P103" i="10"/>
  <c r="T103" i="10" s="1"/>
  <c r="M103" i="10"/>
  <c r="K103" i="10"/>
  <c r="J103" i="10"/>
  <c r="I103" i="10"/>
  <c r="H103" i="10"/>
  <c r="G103" i="10"/>
  <c r="F103" i="10"/>
  <c r="E103" i="10"/>
  <c r="P102" i="10"/>
  <c r="X102" i="10" s="1"/>
  <c r="M102" i="10"/>
  <c r="K102" i="10"/>
  <c r="J102" i="10"/>
  <c r="I102" i="10"/>
  <c r="H102" i="10"/>
  <c r="G102" i="10"/>
  <c r="F102" i="10"/>
  <c r="E102" i="10"/>
  <c r="N101" i="10"/>
  <c r="K101" i="10"/>
  <c r="Y101" i="10" s="1"/>
  <c r="N100" i="10"/>
  <c r="O100" i="10" s="1"/>
  <c r="K100" i="10"/>
  <c r="Y100" i="10" s="1"/>
  <c r="N99" i="10"/>
  <c r="K99" i="10"/>
  <c r="Y99" i="10" s="1"/>
  <c r="M98" i="10"/>
  <c r="K98" i="10"/>
  <c r="J98" i="10"/>
  <c r="I98" i="10"/>
  <c r="H98" i="10"/>
  <c r="G98" i="10"/>
  <c r="F98" i="10"/>
  <c r="E98" i="10"/>
  <c r="P97" i="10"/>
  <c r="X97" i="10" s="1"/>
  <c r="K97" i="10"/>
  <c r="J97" i="10"/>
  <c r="I97" i="10"/>
  <c r="H97" i="10"/>
  <c r="G97" i="10"/>
  <c r="F97" i="10"/>
  <c r="E97" i="10"/>
  <c r="P96" i="10"/>
  <c r="X96" i="10" s="1"/>
  <c r="K96" i="10"/>
  <c r="J96" i="10"/>
  <c r="I96" i="10"/>
  <c r="H96" i="10"/>
  <c r="G96" i="10"/>
  <c r="F96" i="10"/>
  <c r="E96" i="10"/>
  <c r="P95" i="10"/>
  <c r="X95" i="10" s="1"/>
  <c r="M95" i="10"/>
  <c r="K95" i="10"/>
  <c r="J95" i="10"/>
  <c r="I95" i="10"/>
  <c r="H95" i="10"/>
  <c r="G95" i="10"/>
  <c r="F95" i="10"/>
  <c r="P94" i="10"/>
  <c r="X94" i="10" s="1"/>
  <c r="M94" i="10"/>
  <c r="K94" i="10"/>
  <c r="J94" i="10"/>
  <c r="I94" i="10"/>
  <c r="H94" i="10"/>
  <c r="G94" i="10"/>
  <c r="F94" i="10"/>
  <c r="P93" i="10"/>
  <c r="X93" i="10" s="1"/>
  <c r="M93" i="10"/>
  <c r="K93" i="10"/>
  <c r="J93" i="10"/>
  <c r="I93" i="10"/>
  <c r="H93" i="10"/>
  <c r="G93" i="10"/>
  <c r="F93" i="10"/>
  <c r="P92" i="10"/>
  <c r="T92" i="10" s="1"/>
  <c r="M92" i="10"/>
  <c r="K92" i="10"/>
  <c r="J92" i="10"/>
  <c r="I92" i="10"/>
  <c r="H92" i="10"/>
  <c r="G92" i="10"/>
  <c r="F92" i="10"/>
  <c r="P91" i="10"/>
  <c r="X91" i="10" s="1"/>
  <c r="M91" i="10"/>
  <c r="K91" i="10"/>
  <c r="J91" i="10"/>
  <c r="I91" i="10"/>
  <c r="H91" i="10"/>
  <c r="G91" i="10"/>
  <c r="F91" i="10"/>
  <c r="P90" i="10"/>
  <c r="X90" i="10" s="1"/>
  <c r="K90" i="10"/>
  <c r="J90" i="10"/>
  <c r="I90" i="10"/>
  <c r="H90" i="10"/>
  <c r="G90" i="10"/>
  <c r="F90" i="10"/>
  <c r="E90" i="10"/>
  <c r="P89" i="10"/>
  <c r="X89" i="10" s="1"/>
  <c r="K89" i="10"/>
  <c r="J89" i="10"/>
  <c r="I89" i="10"/>
  <c r="H89" i="10"/>
  <c r="G89" i="10"/>
  <c r="F89" i="10"/>
  <c r="E89" i="10"/>
  <c r="M88" i="10"/>
  <c r="K88" i="10"/>
  <c r="J88" i="10"/>
  <c r="I88" i="10"/>
  <c r="H88" i="10"/>
  <c r="G88" i="10"/>
  <c r="F88" i="10"/>
  <c r="E88" i="10"/>
  <c r="P69" i="10"/>
  <c r="T69" i="10" s="1"/>
  <c r="M69" i="10"/>
  <c r="K69" i="10"/>
  <c r="J69" i="10"/>
  <c r="I69" i="10"/>
  <c r="H69" i="10"/>
  <c r="G69" i="10"/>
  <c r="F69" i="10"/>
  <c r="P68" i="10"/>
  <c r="T68" i="10" s="1"/>
  <c r="M68" i="10"/>
  <c r="K68" i="10"/>
  <c r="J68" i="10"/>
  <c r="I68" i="10"/>
  <c r="H68" i="10"/>
  <c r="G68" i="10"/>
  <c r="F68" i="10"/>
  <c r="P67" i="10"/>
  <c r="T67" i="10" s="1"/>
  <c r="M67" i="10"/>
  <c r="K67" i="10"/>
  <c r="J67" i="10"/>
  <c r="I67" i="10"/>
  <c r="H67" i="10"/>
  <c r="G67" i="10"/>
  <c r="F67" i="10"/>
  <c r="P66" i="10"/>
  <c r="T66" i="10" s="1"/>
  <c r="M66" i="10"/>
  <c r="K66" i="10"/>
  <c r="J66" i="10"/>
  <c r="I66" i="10"/>
  <c r="H66" i="10"/>
  <c r="G66" i="10"/>
  <c r="F66" i="10"/>
  <c r="P65" i="10"/>
  <c r="T65" i="10" s="1"/>
  <c r="M65" i="10"/>
  <c r="K65" i="10"/>
  <c r="J65" i="10"/>
  <c r="I65" i="10"/>
  <c r="H65" i="10"/>
  <c r="G65" i="10"/>
  <c r="F65" i="10"/>
  <c r="Q64" i="10"/>
  <c r="U64" i="10" s="1"/>
  <c r="P64" i="10"/>
  <c r="T64" i="10" s="1"/>
  <c r="N64" i="10"/>
  <c r="M64" i="10"/>
  <c r="M63" i="10"/>
  <c r="K63" i="10"/>
  <c r="J63" i="10"/>
  <c r="E63" i="10"/>
  <c r="M62" i="10"/>
  <c r="K62" i="10"/>
  <c r="J62" i="10"/>
  <c r="I62" i="10"/>
  <c r="H62" i="10"/>
  <c r="G62" i="10"/>
  <c r="F62" i="10"/>
  <c r="E62" i="10"/>
  <c r="M61" i="10"/>
  <c r="K61" i="10"/>
  <c r="J61" i="10"/>
  <c r="I61" i="10"/>
  <c r="H61" i="10"/>
  <c r="G61" i="10"/>
  <c r="F61" i="10"/>
  <c r="E61" i="10"/>
  <c r="M60" i="10"/>
  <c r="K60" i="10"/>
  <c r="J60" i="10"/>
  <c r="I60" i="10"/>
  <c r="H60" i="10"/>
  <c r="G60" i="10"/>
  <c r="F60" i="10"/>
  <c r="E60" i="10"/>
  <c r="M58" i="10"/>
  <c r="K58" i="10"/>
  <c r="J58" i="10"/>
  <c r="I58" i="10"/>
  <c r="H58" i="10"/>
  <c r="G58" i="10"/>
  <c r="F58" i="10"/>
  <c r="E58" i="10"/>
  <c r="M57" i="10"/>
  <c r="K57" i="10"/>
  <c r="J57" i="10"/>
  <c r="I57" i="10"/>
  <c r="H57" i="10"/>
  <c r="G57" i="10"/>
  <c r="F57" i="10"/>
  <c r="E57" i="10"/>
  <c r="P56" i="10"/>
  <c r="T56" i="10" s="1"/>
  <c r="K56" i="10"/>
  <c r="J56" i="10"/>
  <c r="I56" i="10"/>
  <c r="H56" i="10"/>
  <c r="G56" i="10"/>
  <c r="F56" i="10"/>
  <c r="E56" i="10"/>
  <c r="P55" i="10"/>
  <c r="T55" i="10" s="1"/>
  <c r="K55" i="10"/>
  <c r="J55" i="10"/>
  <c r="I55" i="10"/>
  <c r="H55" i="10"/>
  <c r="G55" i="10"/>
  <c r="F55" i="10"/>
  <c r="E55" i="10"/>
  <c r="P54" i="10"/>
  <c r="T54" i="10" s="1"/>
  <c r="K54" i="10"/>
  <c r="J54" i="10"/>
  <c r="I54" i="10"/>
  <c r="H54" i="10"/>
  <c r="G54" i="10"/>
  <c r="F54" i="10"/>
  <c r="E54" i="10"/>
  <c r="P53" i="10"/>
  <c r="T53" i="10" s="1"/>
  <c r="K53" i="10"/>
  <c r="J53" i="10"/>
  <c r="I53" i="10"/>
  <c r="H53" i="10"/>
  <c r="G53" i="10"/>
  <c r="F53" i="10"/>
  <c r="E53" i="10"/>
  <c r="M52" i="10"/>
  <c r="K52" i="10"/>
  <c r="J52" i="10"/>
  <c r="I52" i="10"/>
  <c r="H52" i="10"/>
  <c r="G52" i="10"/>
  <c r="F52" i="10"/>
  <c r="E52" i="10"/>
  <c r="I44" i="10"/>
  <c r="H44" i="10"/>
  <c r="I43" i="10"/>
  <c r="I42" i="10"/>
  <c r="H42" i="10"/>
  <c r="I41" i="10"/>
  <c r="H41" i="10"/>
  <c r="I40" i="10"/>
  <c r="H40" i="10"/>
  <c r="N39" i="10"/>
  <c r="O39" i="10" s="1"/>
  <c r="S39" i="10" s="1"/>
  <c r="N38" i="10"/>
  <c r="O38" i="10" s="1"/>
  <c r="S38" i="10" s="1"/>
  <c r="S37" i="10"/>
  <c r="S36" i="10"/>
  <c r="S35" i="10"/>
  <c r="N34" i="10"/>
  <c r="O34" i="10" s="1"/>
  <c r="S34" i="10" s="1"/>
  <c r="N33" i="10"/>
  <c r="O33" i="10" s="1"/>
  <c r="S33" i="10" s="1"/>
  <c r="I32" i="10"/>
  <c r="H32" i="10"/>
  <c r="I31" i="10"/>
  <c r="H31" i="10"/>
  <c r="I30" i="10"/>
  <c r="H30" i="10"/>
  <c r="I29" i="10"/>
  <c r="H29" i="10"/>
  <c r="I28" i="10"/>
  <c r="I27" i="10"/>
  <c r="I26" i="10"/>
  <c r="I25" i="10"/>
  <c r="I24" i="10"/>
  <c r="I23" i="10"/>
  <c r="I22" i="10"/>
  <c r="I21" i="10"/>
  <c r="I20" i="10"/>
  <c r="I19" i="10"/>
  <c r="I18" i="10"/>
  <c r="I17" i="10"/>
  <c r="I16" i="10"/>
  <c r="I15" i="10"/>
  <c r="I14" i="10"/>
  <c r="I13" i="10"/>
  <c r="I12" i="10"/>
  <c r="I11" i="10"/>
  <c r="J10" i="10"/>
  <c r="I10" i="10"/>
  <c r="I9" i="10"/>
  <c r="J8" i="10"/>
  <c r="I8" i="10"/>
  <c r="D5" i="10"/>
  <c r="T127" i="10" s="1"/>
  <c r="S70" i="10" l="1"/>
  <c r="O41" i="11"/>
  <c r="Q15" i="11"/>
  <c r="R15" i="11" s="1"/>
  <c r="O40" i="11"/>
  <c r="X14" i="10"/>
  <c r="X127" i="10"/>
  <c r="X128" i="10"/>
  <c r="T128" i="10"/>
  <c r="U128" i="10"/>
  <c r="U127" i="10"/>
  <c r="V127" i="10" s="1"/>
  <c r="W127" i="10" s="1"/>
  <c r="Y128" i="10"/>
  <c r="Z128" i="10" s="1"/>
  <c r="AA128" i="10" s="1"/>
  <c r="Y127" i="10"/>
  <c r="E8" i="10"/>
  <c r="P105" i="10"/>
  <c r="X105" i="10" s="1"/>
  <c r="J13" i="10"/>
  <c r="X16" i="10"/>
  <c r="G20" i="10"/>
  <c r="P88" i="10"/>
  <c r="X88" i="10" s="1"/>
  <c r="M8" i="10"/>
  <c r="P8" i="10" s="1"/>
  <c r="T8" i="10" s="1"/>
  <c r="G8" i="10"/>
  <c r="F9" i="10"/>
  <c r="H11" i="10"/>
  <c r="M12" i="10"/>
  <c r="J15" i="10"/>
  <c r="E28" i="10"/>
  <c r="M29" i="10"/>
  <c r="O64" i="10"/>
  <c r="F13" i="10"/>
  <c r="T14" i="10"/>
  <c r="G16" i="10"/>
  <c r="G12" i="10"/>
  <c r="P52" i="10"/>
  <c r="T52" i="10" s="1"/>
  <c r="P58" i="10"/>
  <c r="T58" i="10" s="1"/>
  <c r="U66" i="10"/>
  <c r="V66" i="10" s="1"/>
  <c r="E124" i="10"/>
  <c r="E126" i="10"/>
  <c r="E125" i="10"/>
  <c r="H10" i="10"/>
  <c r="X12" i="10"/>
  <c r="G14" i="10"/>
  <c r="F15" i="10"/>
  <c r="X18" i="10"/>
  <c r="M20" i="10"/>
  <c r="E24" i="10"/>
  <c r="U55" i="10"/>
  <c r="V55" i="10" s="1"/>
  <c r="X92" i="10"/>
  <c r="P57" i="10"/>
  <c r="T57" i="10" s="1"/>
  <c r="P60" i="10"/>
  <c r="T60" i="10" s="1"/>
  <c r="O25" i="11"/>
  <c r="P27" i="11"/>
  <c r="Q27" i="11" s="1"/>
  <c r="M40" i="11"/>
  <c r="N40" i="11" s="1"/>
  <c r="P41" i="11"/>
  <c r="Q14" i="11"/>
  <c r="M16" i="11"/>
  <c r="M17" i="11"/>
  <c r="M8" i="11"/>
  <c r="P8" i="11" s="1"/>
  <c r="Q8" i="11" s="1"/>
  <c r="M12" i="11"/>
  <c r="N12" i="11" s="1"/>
  <c r="M13" i="11"/>
  <c r="N13" i="11" s="1"/>
  <c r="N69" i="10"/>
  <c r="O69" i="10" s="1"/>
  <c r="Y89" i="10"/>
  <c r="Z89" i="10" s="1"/>
  <c r="U91" i="10"/>
  <c r="P99" i="10"/>
  <c r="X99" i="10" s="1"/>
  <c r="Z99" i="10" s="1"/>
  <c r="Q104" i="10"/>
  <c r="R104" i="10" s="1"/>
  <c r="M44" i="10"/>
  <c r="F10" i="10"/>
  <c r="F11" i="10"/>
  <c r="H13" i="10"/>
  <c r="M16" i="10"/>
  <c r="M18" i="10"/>
  <c r="E26" i="10"/>
  <c r="M31" i="10"/>
  <c r="P62" i="10"/>
  <c r="T62" i="10" s="1"/>
  <c r="Q90" i="10"/>
  <c r="R90" i="10" s="1"/>
  <c r="S90" i="10" s="1"/>
  <c r="Q91" i="10"/>
  <c r="R91" i="10" s="1"/>
  <c r="N94" i="10"/>
  <c r="O94" i="10" s="1"/>
  <c r="Q102" i="10"/>
  <c r="R102" i="10" s="1"/>
  <c r="T42" i="10"/>
  <c r="X44" i="10"/>
  <c r="U52" i="10"/>
  <c r="U54" i="10"/>
  <c r="V54" i="10" s="1"/>
  <c r="U58" i="10"/>
  <c r="Q95" i="10"/>
  <c r="R95" i="10" s="1"/>
  <c r="R14" i="11"/>
  <c r="X29" i="10"/>
  <c r="F42" i="10"/>
  <c r="N52" i="10"/>
  <c r="O52" i="10" s="1"/>
  <c r="Q53" i="10"/>
  <c r="R53" i="10" s="1"/>
  <c r="S53" i="10" s="1"/>
  <c r="Q54" i="10"/>
  <c r="R54" i="10" s="1"/>
  <c r="S54" i="10" s="1"/>
  <c r="N58" i="10"/>
  <c r="O58" i="10" s="1"/>
  <c r="P61" i="10"/>
  <c r="T61" i="10" s="1"/>
  <c r="U62" i="10"/>
  <c r="P63" i="10"/>
  <c r="T63" i="10" s="1"/>
  <c r="Q65" i="10"/>
  <c r="R65" i="10" s="1"/>
  <c r="N66" i="10"/>
  <c r="O66" i="10" s="1"/>
  <c r="Y92" i="10"/>
  <c r="Y98" i="10"/>
  <c r="P98" i="10"/>
  <c r="X98" i="10" s="1"/>
  <c r="Q101" i="10"/>
  <c r="P12" i="11"/>
  <c r="Q12" i="11" s="1"/>
  <c r="N16" i="11"/>
  <c r="N17" i="11"/>
  <c r="P17" i="11"/>
  <c r="Q17" i="11" s="1"/>
  <c r="M38" i="11"/>
  <c r="N38" i="11" s="1"/>
  <c r="O38" i="11"/>
  <c r="Q55" i="10"/>
  <c r="R55" i="10" s="1"/>
  <c r="S55" i="10" s="1"/>
  <c r="U56" i="10"/>
  <c r="V56" i="10" s="1"/>
  <c r="U57" i="10"/>
  <c r="N61" i="10"/>
  <c r="O61" i="10" s="1"/>
  <c r="U63" i="10"/>
  <c r="V64" i="10"/>
  <c r="U65" i="10"/>
  <c r="V65" i="10" s="1"/>
  <c r="Q66" i="10"/>
  <c r="R66" i="10" s="1"/>
  <c r="Q69" i="10"/>
  <c r="R69" i="10" s="1"/>
  <c r="Q89" i="10"/>
  <c r="R89" i="10" s="1"/>
  <c r="S89" i="10" s="1"/>
  <c r="U89" i="10"/>
  <c r="N91" i="10"/>
  <c r="O91" i="10" s="1"/>
  <c r="P101" i="10"/>
  <c r="N105" i="10"/>
  <c r="O105" i="10" s="1"/>
  <c r="P9" i="11"/>
  <c r="Q9" i="11" s="1"/>
  <c r="P16" i="11"/>
  <c r="M27" i="11"/>
  <c r="N27" i="11" s="1"/>
  <c r="P13" i="11"/>
  <c r="Q13" i="11" s="1"/>
  <c r="M9" i="10"/>
  <c r="P9" i="10" s="1"/>
  <c r="T9" i="10" s="1"/>
  <c r="J11" i="10"/>
  <c r="T12" i="10"/>
  <c r="M14" i="10"/>
  <c r="H15" i="10"/>
  <c r="G18" i="10"/>
  <c r="X20" i="10"/>
  <c r="T23" i="10"/>
  <c r="T25" i="10"/>
  <c r="T27" i="10"/>
  <c r="Y37" i="10"/>
  <c r="N57" i="10"/>
  <c r="O57" i="10" s="1"/>
  <c r="R64" i="10"/>
  <c r="S64" i="10" s="1"/>
  <c r="N65" i="10"/>
  <c r="O65" i="10" s="1"/>
  <c r="Y90" i="10"/>
  <c r="Z90" i="10" s="1"/>
  <c r="Y91" i="10"/>
  <c r="Z91" i="10" s="1"/>
  <c r="Q92" i="10"/>
  <c r="R92" i="10" s="1"/>
  <c r="Y94" i="10"/>
  <c r="Z94" i="10" s="1"/>
  <c r="Y95" i="10"/>
  <c r="Z95" i="10" s="1"/>
  <c r="Y102" i="10"/>
  <c r="Z102" i="10" s="1"/>
  <c r="X103" i="10"/>
  <c r="Y104" i="10"/>
  <c r="Z104" i="10" s="1"/>
  <c r="M10" i="11"/>
  <c r="N10" i="11" s="1"/>
  <c r="R10" i="11" s="1"/>
  <c r="M11" i="11"/>
  <c r="N11" i="11" s="1"/>
  <c r="P11" i="11"/>
  <c r="Q11" i="11" s="1"/>
  <c r="M25" i="11"/>
  <c r="N25" i="11" s="1"/>
  <c r="P26" i="11"/>
  <c r="Q26" i="11" s="1"/>
  <c r="N28" i="11"/>
  <c r="P39" i="11"/>
  <c r="Q39" i="11" s="1"/>
  <c r="R39" i="11" s="1"/>
  <c r="P40" i="11"/>
  <c r="Q40" i="11" s="1"/>
  <c r="W55" i="10"/>
  <c r="F8" i="10"/>
  <c r="E9" i="10"/>
  <c r="E10" i="10"/>
  <c r="G11" i="10"/>
  <c r="M11" i="10"/>
  <c r="T11" i="10"/>
  <c r="X11" i="10"/>
  <c r="F12" i="10"/>
  <c r="J12" i="10"/>
  <c r="H14" i="10"/>
  <c r="G15" i="10"/>
  <c r="M15" i="10"/>
  <c r="T16" i="10"/>
  <c r="E19" i="10"/>
  <c r="T20" i="10"/>
  <c r="H22" i="10"/>
  <c r="M23" i="10"/>
  <c r="G25" i="10"/>
  <c r="X25" i="10"/>
  <c r="M27" i="10"/>
  <c r="G29" i="10"/>
  <c r="T29" i="10"/>
  <c r="G31" i="10"/>
  <c r="T31" i="10"/>
  <c r="X42" i="10"/>
  <c r="Q56" i="10"/>
  <c r="R56" i="10" s="1"/>
  <c r="S56" i="10" s="1"/>
  <c r="U61" i="10"/>
  <c r="U67" i="10"/>
  <c r="V67" i="10" s="1"/>
  <c r="U69" i="10"/>
  <c r="V69" i="10" s="1"/>
  <c r="Y88" i="10"/>
  <c r="Q94" i="10"/>
  <c r="R94" i="10" s="1"/>
  <c r="N95" i="10"/>
  <c r="O95" i="10" s="1"/>
  <c r="U95" i="10"/>
  <c r="N98" i="10"/>
  <c r="O99" i="10"/>
  <c r="Q99" i="10"/>
  <c r="N102" i="10"/>
  <c r="O102" i="10" s="1"/>
  <c r="Y103" i="10"/>
  <c r="N104" i="10"/>
  <c r="O104" i="10" s="1"/>
  <c r="Y105" i="10"/>
  <c r="Z105" i="10" s="1"/>
  <c r="P106" i="10"/>
  <c r="Y106" i="10"/>
  <c r="U106" i="10"/>
  <c r="Q106" i="10"/>
  <c r="Q16" i="11"/>
  <c r="X31" i="10"/>
  <c r="T34" i="10"/>
  <c r="E43" i="10"/>
  <c r="N60" i="10"/>
  <c r="U68" i="10"/>
  <c r="V68" i="10" s="1"/>
  <c r="N88" i="10"/>
  <c r="Y93" i="10"/>
  <c r="Z93" i="10" s="1"/>
  <c r="Y96" i="10"/>
  <c r="Z96" i="10" s="1"/>
  <c r="Q97" i="10"/>
  <c r="R97" i="10" s="1"/>
  <c r="S97" i="10" s="1"/>
  <c r="Y97" i="10"/>
  <c r="Z97" i="10" s="1"/>
  <c r="U98" i="10"/>
  <c r="Q103" i="10"/>
  <c r="R103" i="10" s="1"/>
  <c r="E44" i="10"/>
  <c r="X43" i="10"/>
  <c r="T43" i="10"/>
  <c r="M43" i="10"/>
  <c r="G43" i="10"/>
  <c r="J41" i="10"/>
  <c r="E41" i="10"/>
  <c r="X40" i="10"/>
  <c r="T40" i="10"/>
  <c r="M40" i="10"/>
  <c r="F40" i="10"/>
  <c r="Y39" i="10"/>
  <c r="U39" i="10"/>
  <c r="X38" i="10"/>
  <c r="T38" i="10"/>
  <c r="X36" i="10"/>
  <c r="T36" i="10"/>
  <c r="Y35" i="10"/>
  <c r="U35" i="10"/>
  <c r="Y33" i="10"/>
  <c r="U33" i="10"/>
  <c r="X32" i="10"/>
  <c r="T32" i="10"/>
  <c r="M32" i="10"/>
  <c r="G32" i="10"/>
  <c r="E31" i="10"/>
  <c r="X30" i="10"/>
  <c r="T30" i="10"/>
  <c r="M30" i="10"/>
  <c r="G30" i="10"/>
  <c r="E29" i="10"/>
  <c r="X28" i="10"/>
  <c r="T28" i="10"/>
  <c r="M28" i="10"/>
  <c r="G28" i="10"/>
  <c r="E27" i="10"/>
  <c r="X26" i="10"/>
  <c r="T26" i="10"/>
  <c r="M26" i="10"/>
  <c r="G26" i="10"/>
  <c r="E25" i="10"/>
  <c r="X24" i="10"/>
  <c r="T24" i="10"/>
  <c r="M24" i="10"/>
  <c r="G24" i="10"/>
  <c r="E23" i="10"/>
  <c r="J22" i="10"/>
  <c r="F22" i="10"/>
  <c r="M21" i="10"/>
  <c r="P21" i="10" s="1"/>
  <c r="G21" i="10"/>
  <c r="E20" i="10"/>
  <c r="X19" i="10"/>
  <c r="T19" i="10"/>
  <c r="M19" i="10"/>
  <c r="G19" i="10"/>
  <c r="E18" i="10"/>
  <c r="X17" i="10"/>
  <c r="T17" i="10"/>
  <c r="M17" i="10"/>
  <c r="G17" i="10"/>
  <c r="J43" i="10"/>
  <c r="F43" i="10"/>
  <c r="J40" i="10"/>
  <c r="E40" i="10"/>
  <c r="X39" i="10"/>
  <c r="T39" i="10"/>
  <c r="X35" i="10"/>
  <c r="T35" i="10"/>
  <c r="Y34" i="10"/>
  <c r="U34" i="10"/>
  <c r="X33" i="10"/>
  <c r="T33" i="10"/>
  <c r="J32" i="10"/>
  <c r="F32" i="10"/>
  <c r="J30" i="10"/>
  <c r="F30" i="10"/>
  <c r="J28" i="10"/>
  <c r="F28" i="10"/>
  <c r="H27" i="10"/>
  <c r="J26" i="10"/>
  <c r="F26" i="10"/>
  <c r="H25" i="10"/>
  <c r="J24" i="10"/>
  <c r="F24" i="10"/>
  <c r="H23" i="10"/>
  <c r="E22" i="10"/>
  <c r="J21" i="10"/>
  <c r="F21" i="10"/>
  <c r="H20" i="10"/>
  <c r="J19" i="10"/>
  <c r="F19" i="10"/>
  <c r="H18" i="10"/>
  <c r="J17" i="10"/>
  <c r="F17" i="10"/>
  <c r="H16" i="10"/>
  <c r="J44" i="10"/>
  <c r="F44" i="10"/>
  <c r="H43" i="10"/>
  <c r="J42" i="10"/>
  <c r="E42" i="10"/>
  <c r="X41" i="10"/>
  <c r="T41" i="10"/>
  <c r="M41" i="10"/>
  <c r="F41" i="10"/>
  <c r="Y38" i="10"/>
  <c r="U38" i="10"/>
  <c r="X37" i="10"/>
  <c r="T37" i="10"/>
  <c r="Y36" i="10"/>
  <c r="U36" i="10"/>
  <c r="J31" i="10"/>
  <c r="F31" i="10"/>
  <c r="J29" i="10"/>
  <c r="F29" i="10"/>
  <c r="H28" i="10"/>
  <c r="J27" i="10"/>
  <c r="F27" i="10"/>
  <c r="H26" i="10"/>
  <c r="J25" i="10"/>
  <c r="F25" i="10"/>
  <c r="H24" i="10"/>
  <c r="J23" i="10"/>
  <c r="F23" i="10"/>
  <c r="M22" i="10"/>
  <c r="P22" i="10" s="1"/>
  <c r="G22" i="10"/>
  <c r="H21" i="10"/>
  <c r="J20" i="10"/>
  <c r="F20" i="10"/>
  <c r="H19" i="10"/>
  <c r="J18" i="10"/>
  <c r="F18" i="10"/>
  <c r="H17" i="10"/>
  <c r="J16" i="10"/>
  <c r="F16" i="10"/>
  <c r="X15" i="10"/>
  <c r="T15" i="10"/>
  <c r="H8" i="10"/>
  <c r="H9" i="10"/>
  <c r="G10" i="10"/>
  <c r="M10" i="10"/>
  <c r="T10" i="10"/>
  <c r="X10" i="10"/>
  <c r="E11" i="10"/>
  <c r="H12" i="10"/>
  <c r="Y12" i="10" s="1"/>
  <c r="Z12" i="10" s="1"/>
  <c r="AA12" i="10" s="1"/>
  <c r="G13" i="10"/>
  <c r="M13" i="10"/>
  <c r="T13" i="10"/>
  <c r="X13" i="10"/>
  <c r="F14" i="10"/>
  <c r="J14" i="10"/>
  <c r="E17" i="10"/>
  <c r="T18" i="10"/>
  <c r="E21" i="10"/>
  <c r="G23" i="10"/>
  <c r="X23" i="10"/>
  <c r="M25" i="10"/>
  <c r="G27" i="10"/>
  <c r="X27" i="10"/>
  <c r="E30" i="10"/>
  <c r="E32" i="10"/>
  <c r="X34" i="10"/>
  <c r="U37" i="10"/>
  <c r="M42" i="10"/>
  <c r="G44" i="10"/>
  <c r="T44" i="10"/>
  <c r="U53" i="10"/>
  <c r="V53" i="10" s="1"/>
  <c r="W53" i="10" s="1"/>
  <c r="U60" i="10"/>
  <c r="N62" i="10"/>
  <c r="N63" i="10"/>
  <c r="Q67" i="10"/>
  <c r="R67" i="10" s="1"/>
  <c r="N92" i="10"/>
  <c r="O92" i="10" s="1"/>
  <c r="Q96" i="10"/>
  <c r="R96" i="10" s="1"/>
  <c r="S96" i="10" s="1"/>
  <c r="T105" i="10"/>
  <c r="M9" i="11"/>
  <c r="N9" i="11" s="1"/>
  <c r="P25" i="11"/>
  <c r="P38" i="11"/>
  <c r="N67" i="10"/>
  <c r="O67" i="10" s="1"/>
  <c r="Q68" i="10"/>
  <c r="R68" i="10" s="1"/>
  <c r="N68" i="10"/>
  <c r="O68" i="10" s="1"/>
  <c r="Q93" i="10"/>
  <c r="R93" i="10" s="1"/>
  <c r="N93" i="10"/>
  <c r="O93" i="10" s="1"/>
  <c r="N103" i="10"/>
  <c r="O103" i="10" s="1"/>
  <c r="T89" i="10"/>
  <c r="U90" i="10"/>
  <c r="T91" i="10"/>
  <c r="U94" i="10"/>
  <c r="T95" i="10"/>
  <c r="U96" i="10"/>
  <c r="U99" i="10"/>
  <c r="O101" i="10"/>
  <c r="U102" i="10"/>
  <c r="U104" i="10"/>
  <c r="M26" i="11"/>
  <c r="N26" i="11" s="1"/>
  <c r="M41" i="11"/>
  <c r="N41" i="11" s="1"/>
  <c r="U88" i="10"/>
  <c r="U92" i="10"/>
  <c r="V92" i="10" s="1"/>
  <c r="T93" i="10"/>
  <c r="T97" i="10"/>
  <c r="P100" i="10"/>
  <c r="U101" i="10"/>
  <c r="U103" i="10"/>
  <c r="V103" i="10" s="1"/>
  <c r="U105" i="10"/>
  <c r="T90" i="10"/>
  <c r="U93" i="10"/>
  <c r="T94" i="10"/>
  <c r="T96" i="10"/>
  <c r="U97" i="10"/>
  <c r="Q100" i="10"/>
  <c r="U100" i="10"/>
  <c r="T102" i="10"/>
  <c r="T104" i="10"/>
  <c r="Z127" i="10" l="1"/>
  <c r="AA127" i="10" s="1"/>
  <c r="S94" i="10"/>
  <c r="S69" i="10"/>
  <c r="R12" i="11"/>
  <c r="S104" i="10"/>
  <c r="AA104" i="10"/>
  <c r="Q41" i="11"/>
  <c r="V58" i="10"/>
  <c r="Q25" i="11"/>
  <c r="R25" i="11" s="1"/>
  <c r="Q38" i="11"/>
  <c r="R38" i="11" s="1"/>
  <c r="V128" i="10"/>
  <c r="W128" i="10" s="1"/>
  <c r="V91" i="10"/>
  <c r="W91" i="10" s="1"/>
  <c r="T98" i="10"/>
  <c r="X8" i="10"/>
  <c r="W92" i="10"/>
  <c r="N13" i="10"/>
  <c r="O13" i="10" s="1"/>
  <c r="S13" i="10" s="1"/>
  <c r="Z103" i="10"/>
  <c r="R41" i="11"/>
  <c r="N8" i="11"/>
  <c r="R8" i="11" s="1"/>
  <c r="T99" i="10"/>
  <c r="S91" i="10"/>
  <c r="S92" i="10"/>
  <c r="V60" i="10"/>
  <c r="W69" i="10"/>
  <c r="X9" i="10"/>
  <c r="AA91" i="10"/>
  <c r="W65" i="10"/>
  <c r="V57" i="10"/>
  <c r="W66" i="10"/>
  <c r="S66" i="10"/>
  <c r="U43" i="10"/>
  <c r="V43" i="10" s="1"/>
  <c r="W43" i="10" s="1"/>
  <c r="R99" i="10"/>
  <c r="AA99" i="10" s="1"/>
  <c r="S95" i="10"/>
  <c r="Q58" i="10"/>
  <c r="R58" i="10" s="1"/>
  <c r="W58" i="10" s="1"/>
  <c r="AA95" i="10"/>
  <c r="R101" i="10"/>
  <c r="S101" i="10" s="1"/>
  <c r="V52" i="10"/>
  <c r="W103" i="10"/>
  <c r="R106" i="10"/>
  <c r="S106" i="10" s="1"/>
  <c r="Y40" i="10"/>
  <c r="Z40" i="10" s="1"/>
  <c r="AA40" i="10" s="1"/>
  <c r="U30" i="10"/>
  <c r="V30" i="10" s="1"/>
  <c r="W30" i="10" s="1"/>
  <c r="Q105" i="10"/>
  <c r="R105" i="10" s="1"/>
  <c r="AA105" i="10" s="1"/>
  <c r="U40" i="10"/>
  <c r="V40" i="10" s="1"/>
  <c r="W40" i="10" s="1"/>
  <c r="Z88" i="10"/>
  <c r="Q57" i="10"/>
  <c r="R57" i="10" s="1"/>
  <c r="N11" i="10"/>
  <c r="O11" i="10" s="1"/>
  <c r="S11" i="10" s="1"/>
  <c r="T88" i="10"/>
  <c r="V88" i="10" s="1"/>
  <c r="V38" i="10"/>
  <c r="W38" i="10" s="1"/>
  <c r="Y41" i="10"/>
  <c r="Z41" i="10" s="1"/>
  <c r="AA41" i="10" s="1"/>
  <c r="S99" i="10"/>
  <c r="Z98" i="10"/>
  <c r="V90" i="10"/>
  <c r="W90" i="10" s="1"/>
  <c r="S102" i="10"/>
  <c r="V62" i="10"/>
  <c r="AA89" i="10"/>
  <c r="W64" i="10"/>
  <c r="V33" i="10"/>
  <c r="W33" i="10" s="1"/>
  <c r="N124" i="10"/>
  <c r="O124" i="10" s="1"/>
  <c r="S124" i="10" s="1"/>
  <c r="U124" i="10"/>
  <c r="V124" i="10" s="1"/>
  <c r="W124" i="10" s="1"/>
  <c r="Y124" i="10"/>
  <c r="Z124" i="10" s="1"/>
  <c r="AA124" i="10" s="1"/>
  <c r="V37" i="10"/>
  <c r="W37" i="10" s="1"/>
  <c r="U10" i="10"/>
  <c r="V89" i="10"/>
  <c r="W89" i="10" s="1"/>
  <c r="Y29" i="10"/>
  <c r="Z29" i="10" s="1"/>
  <c r="AA29" i="10" s="1"/>
  <c r="N42" i="10"/>
  <c r="O42" i="10" s="1"/>
  <c r="S42" i="10" s="1"/>
  <c r="R40" i="11"/>
  <c r="Z92" i="10"/>
  <c r="AA92" i="10" s="1"/>
  <c r="N125" i="10"/>
  <c r="O125" i="10" s="1"/>
  <c r="S125" i="10" s="1"/>
  <c r="U125" i="10"/>
  <c r="V125" i="10" s="1"/>
  <c r="W125" i="10" s="1"/>
  <c r="Y125" i="10"/>
  <c r="Z125" i="10" s="1"/>
  <c r="AA125" i="10" s="1"/>
  <c r="Y17" i="10"/>
  <c r="Z17" i="10" s="1"/>
  <c r="AA17" i="10" s="1"/>
  <c r="U23" i="10"/>
  <c r="V23" i="10" s="1"/>
  <c r="W23" i="10" s="1"/>
  <c r="AA90" i="10"/>
  <c r="R13" i="11"/>
  <c r="R11" i="11"/>
  <c r="U12" i="10"/>
  <c r="V12" i="10" s="1"/>
  <c r="W12" i="10" s="1"/>
  <c r="Y22" i="10"/>
  <c r="Z38" i="10"/>
  <c r="AA38" i="10" s="1"/>
  <c r="AA97" i="10"/>
  <c r="R17" i="11"/>
  <c r="U126" i="10"/>
  <c r="V126" i="10" s="1"/>
  <c r="W126" i="10" s="1"/>
  <c r="Y126" i="10"/>
  <c r="Z126" i="10" s="1"/>
  <c r="AA126" i="10" s="1"/>
  <c r="N126" i="10"/>
  <c r="O126" i="10" s="1"/>
  <c r="S126" i="10" s="1"/>
  <c r="R16" i="11"/>
  <c r="R28" i="11"/>
  <c r="Y43" i="10"/>
  <c r="Z43" i="10" s="1"/>
  <c r="AA43" i="10" s="1"/>
  <c r="V63" i="10"/>
  <c r="Y20" i="10"/>
  <c r="Z20" i="10" s="1"/>
  <c r="AA20" i="10" s="1"/>
  <c r="U22" i="10"/>
  <c r="Y31" i="10"/>
  <c r="Z31" i="10" s="1"/>
  <c r="AA31" i="10" s="1"/>
  <c r="Y16" i="10"/>
  <c r="Z16" i="10" s="1"/>
  <c r="AA16" i="10" s="1"/>
  <c r="N15" i="10"/>
  <c r="O15" i="10" s="1"/>
  <c r="S15" i="10" s="1"/>
  <c r="AA102" i="10"/>
  <c r="U28" i="10"/>
  <c r="V28" i="10" s="1"/>
  <c r="W28" i="10" s="1"/>
  <c r="V95" i="10"/>
  <c r="W95" i="10" s="1"/>
  <c r="W54" i="10"/>
  <c r="U19" i="10"/>
  <c r="V19" i="10" s="1"/>
  <c r="W19" i="10" s="1"/>
  <c r="Y14" i="10"/>
  <c r="Z14" i="10" s="1"/>
  <c r="AA14" i="10" s="1"/>
  <c r="Z37" i="10"/>
  <c r="AA37" i="10" s="1"/>
  <c r="S93" i="10"/>
  <c r="Y24" i="10"/>
  <c r="Z24" i="10" s="1"/>
  <c r="AA24" i="10" s="1"/>
  <c r="U26" i="10"/>
  <c r="V26" i="10" s="1"/>
  <c r="W26" i="10" s="1"/>
  <c r="V36" i="10"/>
  <c r="W36" i="10" s="1"/>
  <c r="Y30" i="10"/>
  <c r="Z30" i="10" s="1"/>
  <c r="AA30" i="10" s="1"/>
  <c r="N26" i="10"/>
  <c r="O26" i="10" s="1"/>
  <c r="S26" i="10" s="1"/>
  <c r="Y27" i="10"/>
  <c r="Z27" i="10" s="1"/>
  <c r="AA27" i="10" s="1"/>
  <c r="Z33" i="10"/>
  <c r="AA33" i="10" s="1"/>
  <c r="Z39" i="10"/>
  <c r="AA39" i="10" s="1"/>
  <c r="N8" i="10"/>
  <c r="Q52" i="10"/>
  <c r="R52" i="10" s="1"/>
  <c r="S52" i="10" s="1"/>
  <c r="Q61" i="10"/>
  <c r="R61" i="10" s="1"/>
  <c r="S61" i="10" s="1"/>
  <c r="S65" i="10"/>
  <c r="V105" i="10"/>
  <c r="W105" i="10" s="1"/>
  <c r="V94" i="10"/>
  <c r="W94" i="10" s="1"/>
  <c r="N21" i="10"/>
  <c r="Q21" i="10" s="1"/>
  <c r="N14" i="10"/>
  <c r="O14" i="10" s="1"/>
  <c r="S14" i="10" s="1"/>
  <c r="V10" i="10"/>
  <c r="W10" i="10" s="1"/>
  <c r="U17" i="10"/>
  <c r="V17" i="10" s="1"/>
  <c r="W17" i="10" s="1"/>
  <c r="Y19" i="10"/>
  <c r="Z19" i="10" s="1"/>
  <c r="AA19" i="10" s="1"/>
  <c r="Y21" i="10"/>
  <c r="U24" i="10"/>
  <c r="V24" i="10" s="1"/>
  <c r="W24" i="10" s="1"/>
  <c r="U20" i="10"/>
  <c r="V20" i="10" s="1"/>
  <c r="W20" i="10" s="1"/>
  <c r="U27" i="10"/>
  <c r="V27" i="10" s="1"/>
  <c r="W27" i="10" s="1"/>
  <c r="U29" i="10"/>
  <c r="V29" i="10" s="1"/>
  <c r="W29" i="10" s="1"/>
  <c r="V35" i="10"/>
  <c r="W35" i="10" s="1"/>
  <c r="S105" i="10"/>
  <c r="V61" i="10"/>
  <c r="T101" i="10"/>
  <c r="V101" i="10" s="1"/>
  <c r="X101" i="10"/>
  <c r="Z101" i="10" s="1"/>
  <c r="R100" i="10"/>
  <c r="S100" i="10" s="1"/>
  <c r="R26" i="11"/>
  <c r="V99" i="10"/>
  <c r="W99" i="10" s="1"/>
  <c r="R9" i="11"/>
  <c r="U44" i="10"/>
  <c r="V44" i="10" s="1"/>
  <c r="W44" i="10" s="1"/>
  <c r="N32" i="10"/>
  <c r="O32" i="10" s="1"/>
  <c r="S32" i="10" s="1"/>
  <c r="N16" i="10"/>
  <c r="O16" i="10" s="1"/>
  <c r="S16" i="10" s="1"/>
  <c r="U18" i="10"/>
  <c r="V18" i="10" s="1"/>
  <c r="W18" i="10" s="1"/>
  <c r="Y23" i="10"/>
  <c r="Z23" i="10" s="1"/>
  <c r="AA23" i="10" s="1"/>
  <c r="U25" i="10"/>
  <c r="V25" i="10" s="1"/>
  <c r="W25" i="10" s="1"/>
  <c r="N28" i="10"/>
  <c r="O28" i="10" s="1"/>
  <c r="S28" i="10" s="1"/>
  <c r="V34" i="10"/>
  <c r="W34" i="10" s="1"/>
  <c r="W68" i="10"/>
  <c r="R27" i="11"/>
  <c r="O63" i="10"/>
  <c r="Q63" i="10"/>
  <c r="R63" i="10" s="1"/>
  <c r="V93" i="10"/>
  <c r="W93" i="10" s="1"/>
  <c r="N24" i="10"/>
  <c r="O24" i="10" s="1"/>
  <c r="S24" i="10" s="1"/>
  <c r="Q62" i="10"/>
  <c r="R62" i="10" s="1"/>
  <c r="W62" i="10" s="1"/>
  <c r="O62" i="10"/>
  <c r="V97" i="10"/>
  <c r="W97" i="10" s="1"/>
  <c r="X100" i="10"/>
  <c r="Z100" i="10" s="1"/>
  <c r="T100" i="10"/>
  <c r="V102" i="10"/>
  <c r="W102" i="10" s="1"/>
  <c r="S68" i="10"/>
  <c r="X22" i="10"/>
  <c r="T22" i="10"/>
  <c r="Y26" i="10"/>
  <c r="Z26" i="10" s="1"/>
  <c r="AA26" i="10" s="1"/>
  <c r="U32" i="10"/>
  <c r="V32" i="10" s="1"/>
  <c r="W32" i="10" s="1"/>
  <c r="Y18" i="10"/>
  <c r="Z18" i="10" s="1"/>
  <c r="AA18" i="10" s="1"/>
  <c r="N22" i="10"/>
  <c r="Y25" i="10"/>
  <c r="Z25" i="10" s="1"/>
  <c r="AA25" i="10" s="1"/>
  <c r="U31" i="10"/>
  <c r="V31" i="10" s="1"/>
  <c r="W31" i="10" s="1"/>
  <c r="N40" i="10"/>
  <c r="O40" i="10" s="1"/>
  <c r="S40" i="10" s="1"/>
  <c r="N18" i="10"/>
  <c r="O18" i="10" s="1"/>
  <c r="S18" i="10" s="1"/>
  <c r="U21" i="10"/>
  <c r="N23" i="10"/>
  <c r="O23" i="10" s="1"/>
  <c r="S23" i="10" s="1"/>
  <c r="N31" i="10"/>
  <c r="O31" i="10" s="1"/>
  <c r="S31" i="10" s="1"/>
  <c r="Z35" i="10"/>
  <c r="AA35" i="10" s="1"/>
  <c r="Y13" i="10"/>
  <c r="Z13" i="10" s="1"/>
  <c r="AA13" i="10" s="1"/>
  <c r="AA96" i="10"/>
  <c r="Q60" i="10"/>
  <c r="R60" i="10" s="1"/>
  <c r="O60" i="10"/>
  <c r="AA103" i="10"/>
  <c r="Y15" i="10"/>
  <c r="Z15" i="10" s="1"/>
  <c r="AA15" i="10" s="1"/>
  <c r="U14" i="10"/>
  <c r="V14" i="10" s="1"/>
  <c r="W14" i="10" s="1"/>
  <c r="N10" i="10"/>
  <c r="O10" i="10" s="1"/>
  <c r="S10" i="10" s="1"/>
  <c r="Y11" i="10"/>
  <c r="Z11" i="10" s="1"/>
  <c r="AA11" i="10" s="1"/>
  <c r="U13" i="10"/>
  <c r="V13" i="10" s="1"/>
  <c r="W13" i="10" s="1"/>
  <c r="S67" i="10"/>
  <c r="Y28" i="10"/>
  <c r="Z28" i="10" s="1"/>
  <c r="AA28" i="10" s="1"/>
  <c r="Y32" i="10"/>
  <c r="Z32" i="10" s="1"/>
  <c r="AA32" i="10" s="1"/>
  <c r="N20" i="10"/>
  <c r="O20" i="10" s="1"/>
  <c r="S20" i="10" s="1"/>
  <c r="N25" i="10"/>
  <c r="O25" i="10" s="1"/>
  <c r="S25" i="10" s="1"/>
  <c r="V39" i="10"/>
  <c r="W39" i="10" s="1"/>
  <c r="N44" i="10"/>
  <c r="O44" i="10" s="1"/>
  <c r="S44" i="10" s="1"/>
  <c r="V98" i="10"/>
  <c r="AA93" i="10"/>
  <c r="Q88" i="10"/>
  <c r="R88" i="10" s="1"/>
  <c r="O88" i="10"/>
  <c r="X106" i="10"/>
  <c r="Z106" i="10" s="1"/>
  <c r="AA106" i="10" s="1"/>
  <c r="T106" i="10"/>
  <c r="V106" i="10" s="1"/>
  <c r="O98" i="10"/>
  <c r="Q98" i="10"/>
  <c r="R98" i="10" s="1"/>
  <c r="N9" i="10"/>
  <c r="S58" i="10"/>
  <c r="U9" i="10"/>
  <c r="V9" i="10" s="1"/>
  <c r="Y9" i="10"/>
  <c r="N27" i="10"/>
  <c r="O27" i="10" s="1"/>
  <c r="S27" i="10" s="1"/>
  <c r="N43" i="10"/>
  <c r="O43" i="10" s="1"/>
  <c r="S43" i="10" s="1"/>
  <c r="U11" i="10"/>
  <c r="V11" i="10" s="1"/>
  <c r="W11" i="10" s="1"/>
  <c r="N19" i="10"/>
  <c r="O19" i="10" s="1"/>
  <c r="S19" i="10" s="1"/>
  <c r="U15" i="10"/>
  <c r="V15" i="10" s="1"/>
  <c r="W15" i="10" s="1"/>
  <c r="W56" i="10"/>
  <c r="V100" i="10"/>
  <c r="U16" i="10"/>
  <c r="V16" i="10" s="1"/>
  <c r="W16" i="10" s="1"/>
  <c r="U42" i="10"/>
  <c r="V42" i="10" s="1"/>
  <c r="W42" i="10" s="1"/>
  <c r="V104" i="10"/>
  <c r="W104" i="10" s="1"/>
  <c r="V96" i="10"/>
  <c r="W96" i="10" s="1"/>
  <c r="N30" i="10"/>
  <c r="O30" i="10" s="1"/>
  <c r="S30" i="10" s="1"/>
  <c r="N17" i="10"/>
  <c r="O17" i="10" s="1"/>
  <c r="S17" i="10" s="1"/>
  <c r="Y8" i="10"/>
  <c r="Z8" i="10" s="1"/>
  <c r="U8" i="10"/>
  <c r="V8" i="10" s="1"/>
  <c r="Z36" i="10"/>
  <c r="AA36" i="10" s="1"/>
  <c r="Z34" i="10"/>
  <c r="AA34" i="10" s="1"/>
  <c r="Y42" i="10"/>
  <c r="Z42" i="10" s="1"/>
  <c r="AA42" i="10" s="1"/>
  <c r="Y44" i="10"/>
  <c r="Z44" i="10" s="1"/>
  <c r="AA44" i="10" s="1"/>
  <c r="X21" i="10"/>
  <c r="Z21" i="10" s="1"/>
  <c r="T21" i="10"/>
  <c r="N29" i="10"/>
  <c r="O29" i="10" s="1"/>
  <c r="S29" i="10" s="1"/>
  <c r="N41" i="10"/>
  <c r="O41" i="10" s="1"/>
  <c r="S41" i="10" s="1"/>
  <c r="S103" i="10"/>
  <c r="U41" i="10"/>
  <c r="V41" i="10" s="1"/>
  <c r="W41" i="10" s="1"/>
  <c r="W67" i="10"/>
  <c r="N12" i="10"/>
  <c r="O12" i="10" s="1"/>
  <c r="S12" i="10" s="1"/>
  <c r="AA94" i="10"/>
  <c r="Y10" i="10"/>
  <c r="Z10" i="10" s="1"/>
  <c r="AA10" i="10" s="1"/>
  <c r="W101" i="10" l="1"/>
  <c r="W57" i="10"/>
  <c r="Z22" i="10"/>
  <c r="Z9" i="10"/>
  <c r="O21" i="10"/>
  <c r="R21" i="10" s="1"/>
  <c r="S21" i="10" s="1"/>
  <c r="W106" i="10"/>
  <c r="V22" i="10"/>
  <c r="AA101" i="10"/>
  <c r="S57" i="10"/>
  <c r="O8" i="10"/>
  <c r="Q8" i="10"/>
  <c r="R8" i="10" s="1"/>
  <c r="AA8" i="10"/>
  <c r="W100" i="10"/>
  <c r="W88" i="10"/>
  <c r="S60" i="10"/>
  <c r="AA88" i="10"/>
  <c r="AA100" i="10"/>
  <c r="W61" i="10"/>
  <c r="W8" i="10"/>
  <c r="S98" i="10"/>
  <c r="S62" i="10"/>
  <c r="W52" i="10"/>
  <c r="Q9" i="10"/>
  <c r="R9" i="10" s="1"/>
  <c r="O9" i="10"/>
  <c r="S88" i="10"/>
  <c r="W98" i="10"/>
  <c r="V21" i="10"/>
  <c r="W60" i="10"/>
  <c r="O22" i="10"/>
  <c r="R22" i="10" s="1"/>
  <c r="S22" i="10" s="1"/>
  <c r="Q22" i="10"/>
  <c r="S63" i="10"/>
  <c r="W63" i="10"/>
  <c r="AA98" i="10"/>
  <c r="W21" i="10" l="1"/>
  <c r="AA9" i="10"/>
  <c r="AA21" i="10"/>
  <c r="S8" i="10"/>
  <c r="W22" i="10"/>
  <c r="S9" i="10"/>
  <c r="W9" i="10"/>
  <c r="AA22" i="10"/>
</calcChain>
</file>

<file path=xl/sharedStrings.xml><?xml version="1.0" encoding="utf-8"?>
<sst xmlns="http://schemas.openxmlformats.org/spreadsheetml/2006/main" count="10658" uniqueCount="1029">
  <si>
    <t>Date</t>
  </si>
  <si>
    <t>Version</t>
  </si>
  <si>
    <t>Company</t>
  </si>
  <si>
    <t>Comments</t>
  </si>
  <si>
    <t>2018.7.24</t>
  </si>
  <si>
    <t>Huawei</t>
  </si>
  <si>
    <t>Document created.</t>
  </si>
  <si>
    <t>2018.8.09</t>
  </si>
  <si>
    <t xml:space="preserve">Intel </t>
  </si>
  <si>
    <t>Results Updated</t>
  </si>
  <si>
    <t>2018.8.13</t>
  </si>
  <si>
    <t>mediatek</t>
  </si>
  <si>
    <t>Result Updated</t>
  </si>
  <si>
    <t>2018.8.16</t>
  </si>
  <si>
    <t>CATT</t>
  </si>
  <si>
    <t>Ericsson</t>
  </si>
  <si>
    <t>Results added</t>
  </si>
  <si>
    <t>Motorola Mobility / Lenovo</t>
  </si>
  <si>
    <t>Added NR FR1 downlink results</t>
  </si>
  <si>
    <t>2018.8.17</t>
  </si>
  <si>
    <t>NTT DOCOMO</t>
  </si>
  <si>
    <t>Mediatek</t>
  </si>
  <si>
    <t>update rural UL results for 4GHz</t>
  </si>
  <si>
    <t>LGE</t>
  </si>
  <si>
    <t>NEC</t>
  </si>
  <si>
    <t>ITRI</t>
  </si>
  <si>
    <t>CAICT</t>
  </si>
  <si>
    <t>Rural Result Updated</t>
  </si>
  <si>
    <t>OPPO</t>
  </si>
  <si>
    <t>2018.8.18</t>
  </si>
  <si>
    <t>CMCC</t>
  </si>
  <si>
    <t>2018.8.19</t>
  </si>
  <si>
    <t>ZTE</t>
  </si>
  <si>
    <t>Upload results</t>
  </si>
  <si>
    <t>2018.8.20</t>
  </si>
  <si>
    <t>China Telecom</t>
  </si>
  <si>
    <t>Samsung</t>
  </si>
  <si>
    <t>1. Add results for TDD 15kHz SCS and update results for TDD 30kHz SCS based on non-precoded CSI-RS measurement
2. Add results for new antenna configuration, i.e. 16Tx for DL and 4Tx for UL</t>
  </si>
  <si>
    <t>Nokia</t>
  </si>
  <si>
    <t>2018.8.22</t>
  </si>
  <si>
    <t>Qualcomm</t>
  </si>
  <si>
    <t>2018.8.23</t>
  </si>
  <si>
    <t>Parameters updated</t>
  </si>
  <si>
    <t>Updated results and Config-A's TxRP's antenna</t>
  </si>
  <si>
    <t>2018.8.24</t>
  </si>
  <si>
    <t>Motorola Mobility/Lenovo</t>
  </si>
  <si>
    <t>DL LMLC results updated</t>
  </si>
  <si>
    <t>2018.8.27</t>
  </si>
  <si>
    <t>1. Adjust formats and add a column to indicate the antenna and TXRU mapping in the result sheets.
2. Merge the overhead calculation sheet based on the newest version v36 into the result collection excel.</t>
  </si>
  <si>
    <t>2018.8.28</t>
  </si>
  <si>
    <t>Updated results of TDD DL LMLC</t>
  </si>
  <si>
    <t>Result updated</t>
  </si>
  <si>
    <t>update UL OH parameters</t>
  </si>
  <si>
    <t>update OH parameter and corresponding results</t>
  </si>
  <si>
    <t>2018.8.29</t>
  </si>
  <si>
    <t>Results updated</t>
  </si>
  <si>
    <t>2018.8.30</t>
  </si>
  <si>
    <t>Updated</t>
  </si>
  <si>
    <t>CEWIT</t>
  </si>
  <si>
    <t>2018.9.01</t>
  </si>
  <si>
    <t>1. Update the overhead calculation for larger bandwidth taking into account the guard band ratio and PDCCH overhead reduction in DL.
2. Add new sheets for the spectral efficiency results of the larger bandwidth.</t>
  </si>
  <si>
    <t>Rural - eMBB</t>
  </si>
  <si>
    <t>Technical configuration Parameters</t>
  </si>
  <si>
    <t>Reference value</t>
  </si>
  <si>
    <t>Intel</t>
  </si>
  <si>
    <t>CEWiT</t>
  </si>
  <si>
    <t>NR FDD</t>
  </si>
  <si>
    <t>NR TDD</t>
  </si>
  <si>
    <t>LTE FDD</t>
  </si>
  <si>
    <t>LTE TDD</t>
  </si>
  <si>
    <t>Multiple access</t>
  </si>
  <si>
    <t>OFDMA</t>
  </si>
  <si>
    <t>Aligned with reference</t>
  </si>
  <si>
    <t>Duplexing</t>
  </si>
  <si>
    <t>FDD</t>
  </si>
  <si>
    <t>TDD</t>
  </si>
  <si>
    <t>Network synchronization</t>
  </si>
  <si>
    <t>Modulation</t>
  </si>
  <si>
    <t>Up to 256 QAM</t>
  </si>
  <si>
    <t>Coding on PDSCH</t>
  </si>
  <si>
    <t>LDPC
Max code-block size=8448bit 
[with BP decoding]</t>
  </si>
  <si>
    <t>Turbo</t>
  </si>
  <si>
    <t>Numerology</t>
  </si>
  <si>
    <t>15 kHz / 30 kHz,
14 OFDM symbol slot</t>
  </si>
  <si>
    <t>15 kHz SCS,
14 OFDM symbol slot</t>
  </si>
  <si>
    <t>15/30 kHz SCS,
14 OFDM symbol slot</t>
  </si>
  <si>
    <t>15 / 30 kHz SCS,
14 OFDM symbol slot</t>
  </si>
  <si>
    <t>30 kHz SCS,
14 OFDM symbol slot</t>
  </si>
  <si>
    <t>30 kHz SCS, 14 symbol OFDM symbol slot</t>
  </si>
  <si>
    <t>Guard band ratio on simulation bandwidth</t>
  </si>
  <si>
    <t>FDD: 6.4% (for 10 MHz bandwidth)
TDD: 8.2% (51 RB for 30kHz SCS and  20 MHz bandwidth)
TDD: 4.6% (106 RB for 15kHz SCS and  20 MHz bandwidth)</t>
  </si>
  <si>
    <t>54 RBs per 30 kHz SCS, 20MHz BW</t>
  </si>
  <si>
    <t>Simulation bandwdith</t>
  </si>
  <si>
    <t>FDD: 10 MHz
TDD: 20 MHz</t>
  </si>
  <si>
    <t>TDD: 20 MHz</t>
  </si>
  <si>
    <t>Frame structure</t>
  </si>
  <si>
    <t>Full downlink</t>
  </si>
  <si>
    <t>DDDSU</t>
  </si>
  <si>
    <t>DSUUD</t>
  </si>
  <si>
    <t>DSUUD
DDDSU</t>
  </si>
  <si>
    <t>DDSU</t>
  </si>
  <si>
    <t>Transmission scheme</t>
  </si>
  <si>
    <t>Closed SU/MU-MIMO adaptation</t>
  </si>
  <si>
    <t>closed SU/MU-MIMO adaptation</t>
  </si>
  <si>
    <t>closed SU-MIMO adaptation</t>
  </si>
  <si>
    <t>MU-MIMO</t>
  </si>
  <si>
    <t>DL CSI measurement</t>
  </si>
  <si>
    <t>Non-precoded CSI-RS  based</t>
  </si>
  <si>
    <t xml:space="preserve"> -- Precoded CSI-RS based
 -- Non-precoded CSI-RS based</t>
  </si>
  <si>
    <t>Precoded CSI-RS based, non-PMI</t>
  </si>
  <si>
    <t>Non-PMI feedback</t>
  </si>
  <si>
    <t>Non-precoded CSI-RS</t>
  </si>
  <si>
    <t>DL codebook</t>
  </si>
  <si>
    <t>Type II codebook;
4 beams, WB+SB amplitude quantization, 8 PSK phase quantization</t>
  </si>
  <si>
    <t>LTE Advanced-CSI codebook;
2 beams, WB amplitude quantization, QPSK phase quantization</t>
  </si>
  <si>
    <t>Type II codebook;
4beam, wb+sb, 8psk</t>
  </si>
  <si>
    <t>Type II codebook;
4 beams, WB+SB, 8 PSK</t>
  </si>
  <si>
    <t xml:space="preserve"> -- For precoded CSI-RS based, non-PMI, N.A.
 -- For non-precoded CSI-RS, Type II codebook;4 beams, WB+SB, 8 PSK</t>
  </si>
  <si>
    <t>LTE Advanced-CSI codebook;
2 beams, WB+SB, QPSK</t>
  </si>
  <si>
    <t xml:space="preserve"> -- For precoded CSI-RS based, non-PMI, N.A.
 -- For non-precoded CSI-RS, LTE Advanced-CSI codebook; 2 beams, WB+SB, QPSK</t>
  </si>
  <si>
    <t xml:space="preserve">Ideal </t>
  </si>
  <si>
    <t>Type II codebook;
4 beams, WB only, 8 PSK</t>
  </si>
  <si>
    <t>Type I codebook;</t>
  </si>
  <si>
    <t>N/A</t>
  </si>
  <si>
    <t>Type I codebook (single panel) ;</t>
  </si>
  <si>
    <t>Type II codebook;</t>
  </si>
  <si>
    <t>PRB bundling</t>
  </si>
  <si>
    <t>4 PRBs</t>
  </si>
  <si>
    <t>3 PRBs</t>
  </si>
  <si>
    <t>2 PRBs</t>
  </si>
  <si>
    <t>MU dimension</t>
  </si>
  <si>
    <t>Up to 8 layers for 8Tx;
Up to 12 layers for 16Tx;</t>
  </si>
  <si>
    <t>Up to 8 layers for 8T;</t>
  </si>
  <si>
    <t>Up to 12 layers</t>
  </si>
  <si>
    <t>Up to 8 layers</t>
  </si>
  <si>
    <t>Upto 12 layers</t>
  </si>
  <si>
    <t>SU dimension</t>
  </si>
  <si>
    <t>For 2Rx: Up to 2 layers</t>
  </si>
  <si>
    <t>For 2Rx: Up to 2 layers;</t>
  </si>
  <si>
    <t>For 4Rx: Up to 4 layers</t>
  </si>
  <si>
    <t xml:space="preserve">For 2Rx and 4Rx: Up to 2 layers
</t>
  </si>
  <si>
    <t>Codeword (CW)-to-layer mapping</t>
  </si>
  <si>
    <t>For 1~4 layers, CW1;
For 5 layers or more, two CWs</t>
  </si>
  <si>
    <t>For larger than or equal to 2 layers, two CWs.</t>
  </si>
  <si>
    <t>SRS transmission</t>
  </si>
  <si>
    <t>Companies to Report:
• Precoded or non-precoded SRS transmission;
• SRS switch or not for 1T4R/2T4R/1T2R
• SRS bandwidth
• Number of OFDM symbols within 1 slot for SRS transmission per UE</t>
  </si>
  <si>
    <t>For UE 2 Tx ports: Non-precoded SRS, 2 SRS ports (with 2 SRS resources),
2 symbols in every 10 slots</t>
  </si>
  <si>
    <t>For UE 2 Tx ports: Non-precoded SRS, 2 SRS ports (with 2 SRS resources),
2 symbols in special slot for SRS,
8 PRBs per symbol</t>
  </si>
  <si>
    <t>For UE 2 Tx ports: Non-precoded SRS, 2 SRS ports (with 2 SRS resources),
2 symbols in every 10 ms</t>
  </si>
  <si>
    <t>• non-precoded SRS transmission;</t>
  </si>
  <si>
    <t>Non-precoded CSI-RS, 4 SRS ports, 20 MHz SRS BW, SRS sent during the S/U slots only</t>
  </si>
  <si>
    <t>CSI feedback</t>
  </si>
  <si>
    <t xml:space="preserve">PMI, CQI: every 5 slot; RI: every 5 slot;
Subband based </t>
  </si>
  <si>
    <t xml:space="preserve">CQI: every 5 slot; RI: every 5 slot, CRI: every 5 slot
Subband based </t>
  </si>
  <si>
    <t xml:space="preserve">PMI, CQI: every 10 slot; RI: every 10 slot;
Subband based </t>
  </si>
  <si>
    <t xml:space="preserve">CQI: every 10 slot; RI: every 10 slot, CRI: every 10 slot; PMI: every 10 slot; 
Subband based </t>
  </si>
  <si>
    <t xml:space="preserve">PMI, CQI: every 10 subframes; RI: every 10 subframes;
Subband based </t>
  </si>
  <si>
    <t xml:space="preserve">CQI: every 10 subframes; RI: every 10 subframes, CRI: every 10 subframes; PMI: every 10 subframes; 
Subband based </t>
  </si>
  <si>
    <t>S/U slots</t>
  </si>
  <si>
    <t>Interference measurement</t>
  </si>
  <si>
    <t>SU-CQI; CSI-IM for inter-cell interference measurement</t>
  </si>
  <si>
    <t>SU-CQI; CRS for inter-cell interference measurement</t>
  </si>
  <si>
    <t xml:space="preserve">CSI-IM </t>
  </si>
  <si>
    <t>SU-CQI</t>
  </si>
  <si>
    <t>CBG</t>
  </si>
  <si>
    <t>ACK/NACK delay</t>
  </si>
  <si>
    <t>The next available UL slot</t>
  </si>
  <si>
    <t>N+4</t>
  </si>
  <si>
    <t>AT least N+4</t>
  </si>
  <si>
    <t>1 slot</t>
  </si>
  <si>
    <t>Re-transmission delay</t>
  </si>
  <si>
    <t>the next available DL slot after receiving NACK</t>
  </si>
  <si>
    <t>N+8</t>
  </si>
  <si>
    <t>3 slots</t>
  </si>
  <si>
    <t>Antenna configuration at TRxP</t>
  </si>
  <si>
    <t>(M, N, P, Mg, Ng; Mp, Np)
- M: Number of vertical antenna elements within a panel, on one polarization
- N: Number of horizontal antenna elements within a panel, on one polarization
- P: Number of polarizations
- Mg: Number of panels in a column;
- Ng: Number of panels in a row;
- Mp: Number of vertical TXRUs within a panel, on one polarization
- Np: Number of horizontal TXRUs within a panel, on one polarization</t>
  </si>
  <si>
    <t>For 8T: (M,N,P,Mg,Ng; Mp,Np) = (8,4,2,1,1;1,4);
For 16T: (M,N,P,Mg,Ng; Mp,Np) = (8,4,2,1,1;2,4);
(dH, dV)=(0.5, 0.8)λ</t>
  </si>
  <si>
    <t xml:space="preserve">For 8T: (M,N,P,Mg,Ng; Mp,Np) = (8,4,2,1,1;1,4)
(dH, dV)=(0.5, 0.8)λ;
</t>
  </si>
  <si>
    <t>For 16T: (M,N,P,Mg,Ng; Mp,Np) = (4,8,2,1,1;1,8)
(dH, dV)=(0.5, 0.8)λ</t>
  </si>
  <si>
    <t>For 8T: (M,N,P,Mg,Ng; Mp,Np) = (8,4,2,1,1;1,4)
(dH, dV)=(0.5, 0.8)λ</t>
  </si>
  <si>
    <t xml:space="preserve"> 8T: (M,N,P,Mg,Ng; Mp,Np) = (8,4,2,1,1;1,4)
(dH, dV)=(0.5, 0.8)λ</t>
  </si>
  <si>
    <t>For 8T: (M,N,P,Mg,Ng; Mp,Np) = (8,4,2,1,1;1,4)
For 16T: (M,N,P,Mg,Ng; Mp,Np) = (4,8,2,1,1;1,8)
(dH, dV)=(0.5, 0.8)λ</t>
  </si>
  <si>
    <t>For 8T: (M,N,P,Mg,Ng; Mp,Np) = (8,4,2,1,1;1,4)
(dH, dV)=(0.5, 0.9)λ</t>
  </si>
  <si>
    <t xml:space="preserve">For 8T: (M,N,P,Mg,Ng; Mp,Np) = (8,4,2,1,1;1,4)
(dH, dV)=(0.5, 0.8)λ
</t>
  </si>
  <si>
    <t>For 16T (M,N,P,Mg,Ng,Mp,Np) = (4,8,2,1,1,1,8)</t>
  </si>
  <si>
    <t>Antenna configuration at UE</t>
  </si>
  <si>
    <t>(M, N, P, Mg, Ng; Mp, Np)
- M: Number of vertical antenna elements within a panel, on one polarization
- N: Number of horizontal antenna elements within a panel, on one polarization
- P: Number of polarizations
- Mg: Number of panels;
- Ng: default: 1
- Mp: Number of vertical TXRUs within a panel, on one polarization
- Np: Number of horizontal TXRUs within a panel, on one polarization</t>
  </si>
  <si>
    <t>For 2R: (M,N,P,Mg,Ng; Mp,Np) = (1,1,2,1,1; 1,1)</t>
  </si>
  <si>
    <t>For 2R: (M,N,P,Mg,Ng; Mp,Np) = (1,1,2,1,1; 1,1);</t>
  </si>
  <si>
    <t>For 4R: (M,N,P,Mg,Ng; Mp,Np) = (1,2,2,1,1; 1,2)</t>
  </si>
  <si>
    <t xml:space="preserve"> 2R: (M,N,P,Mg,Ng; Mp,Np) = (1,1,2,1,1; 1,1)</t>
  </si>
  <si>
    <t>For 2R: (M,N,P,Mg,Ng; Mp,Np) = (1,1,2,1,1; 1,1)
For 4R: (M,N,P,Mg,Ng; Mp,Np) = (1,2,2,1,1; 1,1)</t>
  </si>
  <si>
    <t>For 2R: (M,N,P,Mg,Ng; Mp,Np) = (1,1,2,1,1; 1,2)</t>
  </si>
  <si>
    <t>For 4 R: (M,N,P,Mg,Ng,Mp,Np) = (1,2,2,1,1,1,2)</t>
  </si>
  <si>
    <t>Scheduling</t>
  </si>
  <si>
    <t>PF</t>
  </si>
  <si>
    <t>Receiver</t>
  </si>
  <si>
    <t>MMSE-IRC</t>
  </si>
  <si>
    <t>Channel estimation</t>
  </si>
  <si>
    <t>Non-ideal</t>
  </si>
  <si>
    <t>ideal</t>
  </si>
  <si>
    <t>Ideal</t>
  </si>
  <si>
    <t>System configuration parameters</t>
  </si>
  <si>
    <t>Reference Value</t>
  </si>
  <si>
    <t xml:space="preserve">Mechanic tilt </t>
  </si>
  <si>
    <t>90° in GCS (pointing to horizontal direction)</t>
  </si>
  <si>
    <t>Electronic tilt</t>
  </si>
  <si>
    <t>[100°] in LCS</t>
  </si>
  <si>
    <t>100 degree</t>
  </si>
  <si>
    <t>96 deg</t>
  </si>
  <si>
    <t>Handover margin (dB)</t>
  </si>
  <si>
    <t>UT attachment</t>
  </si>
  <si>
    <t>Based on RSRP (formula (8.1-1) in TR36.873) from port 0</t>
  </si>
  <si>
    <t>Wrapping around method</t>
  </si>
  <si>
    <t>Geographical distance based wrapping</t>
  </si>
  <si>
    <t>Beam set at TRxP
(Constraints for the range of selective analog beams per TRxP)</t>
  </si>
  <si>
    <t>-</t>
  </si>
  <si>
    <t>Beam set at UE
(Constraints for the range of selective analog beams for UE)</t>
  </si>
  <si>
    <t>Criteria for selection for serving TRxP</t>
  </si>
  <si>
    <t xml:space="preserve">Maximizing RSRP where the digital beamforming is not considered </t>
  </si>
  <si>
    <t>Criteria for analog beam selection for serving TRxP</t>
  </si>
  <si>
    <t>Criteria for analog beam selection for interfering TRxP</t>
  </si>
  <si>
    <t>Other system configuration parameters align with Report ITU-R M.2412</t>
  </si>
  <si>
    <t>SCFDMA</t>
  </si>
  <si>
    <t>Up to 256QAM</t>
  </si>
  <si>
    <t>Coding on PUSCH</t>
  </si>
  <si>
    <t>30 KHz SCS, 14 OFDM symbol slot</t>
  </si>
  <si>
    <t>Aligned with reference (20 MHz)</t>
  </si>
  <si>
    <t>Full uplink</t>
  </si>
  <si>
    <t>SIMO</t>
  </si>
  <si>
    <t>SU-MIMO with rank adaptation</t>
  </si>
  <si>
    <t>closed loop SU/MU-MIMO with rank adapation</t>
  </si>
  <si>
    <t xml:space="preserve">UL codebook-based MU-MIMO </t>
  </si>
  <si>
    <t>UL codebook</t>
  </si>
  <si>
    <r>
      <rPr>
        <sz val="10"/>
        <rFont val="Arial"/>
        <family val="2"/>
      </rPr>
      <t>N</t>
    </r>
    <r>
      <rPr>
        <sz val="10"/>
        <rFont val="Arial"/>
        <family val="2"/>
      </rPr>
      <t>/A</t>
    </r>
  </si>
  <si>
    <t>Non-codebook based</t>
  </si>
  <si>
    <t>UL 4Tx Codebook</t>
  </si>
  <si>
    <t>For 2Tx: NR 2Tx codebook</t>
  </si>
  <si>
    <t>For 2Tx: LTE 2Tx codebook</t>
  </si>
  <si>
    <t>UL 2Tx Codebook</t>
  </si>
  <si>
    <t>NR R15 4 Tx codebook (fully-coherent)</t>
  </si>
  <si>
    <t>Up to 12 layers at gNB</t>
  </si>
  <si>
    <t>For 1 Tx: Up to 1 layer;
For 2Tx: Up to 2 layers</t>
  </si>
  <si>
    <t>For 2 Tx: Up to 2 layer</t>
  </si>
  <si>
    <t>For 1 Tx: Up to 1 layer</t>
  </si>
  <si>
    <t>For 4 Tx: Up to 4 layers</t>
  </si>
  <si>
    <t>Up to 2 layer</t>
  </si>
  <si>
    <t>1 CW</t>
  </si>
  <si>
    <t>For UE 1 Tx ports: Non-precoded SRS, 1 SRS ports (with 1 SRS resources);
For UE 2 Tx ports: Non-precoded SRS, 2 SRS ports (with 2 SRS resources),
2 symbols for SRS in every 5 slots;
8 PRBs per symbol</t>
  </si>
  <si>
    <t>For UE 2 Tx ports: Non-precoded SRS, 2 SRS ports (with 2 SRS resources),
2 symbols  for SRS,
8 PRBs per symbol</t>
  </si>
  <si>
    <t>For UE 1 Tx ports: Non-precoded SRS, 1 SRS ports (with 1 SRS resources),
1 symbols for SRS in every 5 slots,
8 PRBs per symbol</t>
  </si>
  <si>
    <t>4 port non-precoded SRS 
(1 SRS resource)</t>
  </si>
  <si>
    <t>4 port non-precoded 
(1 SRS resource)</t>
  </si>
  <si>
    <t>For UE 1 Tx ports: Non-precoded SRS, 1 SRS ports (with 1 SRS resources),
2 symbols for SRS in every 5 slots,
8 PRBs per symbol</t>
  </si>
  <si>
    <t>For UE 2 Tx ports: Non-precoded SRS, 2 SRS ports (with 1 SRS resources),
2 symbols for SRS in every 10 slots,</t>
  </si>
  <si>
    <t>2 port non-precoded 
(1 SRS resource)</t>
  </si>
  <si>
    <t>2 SRS ports : Non-precoded SRS, 
2 symbols for SRS in every 10 slots,</t>
  </si>
  <si>
    <t>2 Tx Ports: Non precoded SRS, 2 SRS ports, 1 symbol per S/U subframe</t>
  </si>
  <si>
    <t>Non-precoded SRS, 2 SRS ports (with 1 SRS resource);
2 symbols for SRS in every 5 slots.</t>
  </si>
  <si>
    <t>For 8R: (M,N,P,Mg,Ng; Mp,Np) = (8,4,2,1,1; 1,4)
(dH, dV)=(0.5, 0.8)λ</t>
  </si>
  <si>
    <t>For 16R: (M,N,P,Mg,Ng; Mp,Np) = (4,8,2,1,1;1,8)
(dH, dV)=(0.5, 0.8)λ</t>
  </si>
  <si>
    <t xml:space="preserve">64Rx cross-polarized antenna
(M,N,P,Mg,Ng) (8,4,2,1,1)
8TXRU
(Mp,Np,P,Mg,Ng)  (1,4,2,1,1)
</t>
  </si>
  <si>
    <t>16R (M,N,P,Mg,Ng,Mp,Np) = (4, 8, 2, 1, 1, 1, 8)</t>
  </si>
  <si>
    <t>For 2T:  (M,N,P,Mg,Ng; Mp,Np)=  (1,1,2,1,1; 1,2)
(dH, dV)=( N/A, N/A)λ</t>
  </si>
  <si>
    <t>For 1T:  (M,N,P,Mg,Ng; Mp,Np)= (1,1,1,1,1; 1,1)
(dH, dV)=( N/A, N/A)λ</t>
  </si>
  <si>
    <t>For 4T: (M,N,P,Mg,Ng; Mp,Np) = (1,2,2,1,1; 1,2)</t>
  </si>
  <si>
    <t>For 2T:  (M,N,P,Mg,Ng; Mp,Np)=  (1,1,2,1,1; 1,1)
(dH, dV)=( N/A, N/A)λ</t>
  </si>
  <si>
    <t>For 2T: (M,N,P,Mg,Ng; Mp,Np) = (1,1,2,1,1; 1,1)</t>
  </si>
  <si>
    <t>For 2T:  (M,N,P,Mg,Ng; Mp,Np)= (1,1,2,1,1; 1,1)
(dH, dV)=( N/A, N/A)λ</t>
  </si>
  <si>
    <t>2Tx cross-polarized antenna
(M,N,P,Mg,Ng)  (1,1,2,1,1)
2TXRU
(Mp,Np,P,Mg,Ng)  (1,1,2,1,1)
Omni</t>
  </si>
  <si>
    <t>2T: (M, N, P, Mg, Ng, Mp, Np) = (1, 1, 2, 1, 1, 1, 1)</t>
  </si>
  <si>
    <t>Max CBG number</t>
  </si>
  <si>
    <t>UL re-transmission delay</t>
  </si>
  <si>
    <t>Next available UL slot after reiving retransmission indication</t>
  </si>
  <si>
    <t>at leat N+8</t>
  </si>
  <si>
    <t>Next available UL slot after 2 slot processing delay</t>
  </si>
  <si>
    <t>Power control parameter</t>
  </si>
  <si>
    <t>P0=-76, alpha = 0.8</t>
  </si>
  <si>
    <t>P0=-80, alpha = 0.8</t>
  </si>
  <si>
    <t>P0=-85, alpha = 0.8</t>
  </si>
  <si>
    <t>P0=-60, alpha = 0.6</t>
  </si>
  <si>
    <t>P0=-80, alpha = 0.7</t>
  </si>
  <si>
    <t>P0 = -96.4, alpha = 0.9</t>
  </si>
  <si>
    <t>Power backoff model</t>
  </si>
  <si>
    <t>Continuous RB allocation: follow TS 38.101 for FR1;
Non-continuous RB allocation: additional 2 dB reduction</t>
  </si>
  <si>
    <t>Continuous RB allocation: follow TS 36.101 in Section 6.2.3;</t>
  </si>
  <si>
    <t>Continuous RB allocation: follow TS 38.101 for FR1;
Non-continuous RB allocation:[R1-1806322]</t>
  </si>
  <si>
    <t>N.A.</t>
  </si>
  <si>
    <t>Continuous RB allocation: follow TS 
38.101 for FR1;</t>
  </si>
  <si>
    <t>Synchronized</t>
  </si>
  <si>
    <t>15kHz SCS,
14 OFDM symbol slot</t>
  </si>
  <si>
    <t>30kHz SCS,
14 OFDM symbol slot</t>
  </si>
  <si>
    <t>30 kHz, 14 OFDM symbol slot</t>
  </si>
  <si>
    <t>TDD: 8.2% (51 RB for 30 kHz 20 MHz); 1.72% (273 RB for 30 kHz 100 MHz)</t>
  </si>
  <si>
    <t>54 RBs per 20 MHz</t>
  </si>
  <si>
    <t>10 MHz</t>
  </si>
  <si>
    <t>20 MHz</t>
  </si>
  <si>
    <t>20MHz</t>
  </si>
  <si>
    <t xml:space="preserve">TDD Config 1: [DDDDDDDSUU], S(6DL:4GP:4UL) 
TDD Config 2: [DDSUUUUUUU], S(6DL:4GP:4UL) </t>
  </si>
  <si>
    <t>DDDSU
DSUUD</t>
  </si>
  <si>
    <t>FDD: Full downlink</t>
  </si>
  <si>
    <t xml:space="preserve"> Precoded CSI-RS based</t>
  </si>
  <si>
    <t>Precoded CSI-RS based</t>
  </si>
  <si>
    <t>SRS-Based</t>
  </si>
  <si>
    <t>CSI-RS based</t>
  </si>
  <si>
    <t>Type II codebook;
4beam, wb only, 8psk</t>
  </si>
  <si>
    <t>Type II codebook</t>
  </si>
  <si>
    <t>For 4Rx: Up to 2 layers;</t>
  </si>
  <si>
    <t>For 4Rx: Up to 2 layers</t>
  </si>
  <si>
    <t>1 layer</t>
  </si>
  <si>
    <t>For UE 4 Tx ports: Non-precoded SRS, 4 SRS ports (with 4 SRS resources),
2 symbols in special slot for SRS,
8 PRBs per symbol</t>
  </si>
  <si>
    <t>• non-precoded SRS transmission;
• SRS switch for 2T4R
• adaptive SRS bandwidth per UE 
• 2 symbols within 1 slot for SRS transmission per UE</t>
  </si>
  <si>
    <t>Non-precoded SRS transmitted during S/U slots only, 4 ports, 20 MHz</t>
  </si>
  <si>
    <t xml:space="preserve">CQI: every 10 slot; RI: every 10 slot, CRI: every 10 slot
Subband based </t>
  </si>
  <si>
    <t>PMI, CQI: every 5 slot; RI: every 5 slot;
Subband based , 5 slot delay</t>
  </si>
  <si>
    <t>CQI: every 20 slots; RI: every 20 slots;
Subband based, 5 slot delay</t>
  </si>
  <si>
    <t>Every S/U slot</t>
  </si>
  <si>
    <t>CSI-IM</t>
  </si>
  <si>
    <t>The next available DL slot after receiving NACK</t>
  </si>
  <si>
    <t>For 32T: (M,N,P,Mg,Ng; Mp,Np) = (8,8,2,1,1;2,8)
(dH, dV)=(0.5, 0.8)λ</t>
  </si>
  <si>
    <t>For 32T: (M,N,P,Mg,Ng; Mp,Np) = (8,16,2,1,1;1,16)
(dH, dV)=(0.5, 0.8)λ</t>
  </si>
  <si>
    <r>
      <rPr>
        <sz val="9"/>
        <rFont val="Arial"/>
        <family val="2"/>
      </rPr>
      <t>32T: (M,N,P,Mg,Ng; Mp,Np) = (8,8,2,1,1;</t>
    </r>
    <r>
      <rPr>
        <sz val="9"/>
        <color theme="1"/>
        <rFont val="Arial"/>
        <family val="2"/>
      </rPr>
      <t>2,8</t>
    </r>
    <r>
      <rPr>
        <sz val="9"/>
        <rFont val="Arial"/>
        <family val="2"/>
      </rPr>
      <t>)
(dH, dV)=(0.5, 0.8)λ</t>
    </r>
  </si>
  <si>
    <t>For 32T: (M,N,P,Mg,Ng; Mp,Np) = (8,16,2,1,1;1,16)
For 32T: (M,N,P,Mg,Ng; Mp,Np) = (8,8,2,1,1;2,8)
(dH, dV)=(0.5, 0.8)λ</t>
  </si>
  <si>
    <t>For 32T: (M,N,P,Mg,Ng; Mp,Np) = (8,8,2,1,1;2,8)
For 64T: (M,N,P,Mg,Ng; Mp,Np) = (12,8,2,1,1;4,8)
(dH, dV)=(0.5, 0.8)λ</t>
  </si>
  <si>
    <t>For 16T: (M,N,P,Mg,Ng; Mp,Np) = (8,8,2,1,1;1,8)
(dH, dV)=(0.5, 0.8)λ</t>
  </si>
  <si>
    <t>For 64T:  (M,N,P,Mg,Ng; Mp,Np) = (12,8,2,1,1;4,8)
(dH, dV)=(0.5, 0.8)λ;</t>
  </si>
  <si>
    <r>
      <rPr>
        <sz val="9"/>
        <rFont val="Arial"/>
        <family val="2"/>
      </rPr>
      <t>For 64T: (M,N,P,Mg,Ng; Mp,Np) = (12,8,2,1,1;</t>
    </r>
    <r>
      <rPr>
        <sz val="9"/>
        <color theme="1"/>
        <rFont val="Arial"/>
        <family val="2"/>
      </rPr>
      <t>4,8</t>
    </r>
    <r>
      <rPr>
        <sz val="9"/>
        <rFont val="Arial"/>
        <family val="2"/>
      </rPr>
      <t>)
(dH, dV)=(0.5, 0.8)λ</t>
    </r>
  </si>
  <si>
    <t>For 128 T: (M,N,P,Mg,Ng,Mp,Np) = (4,32,2,1,1,2,32)</t>
  </si>
  <si>
    <t>For 4R: (M,N,P,Mg,Ng; Mp,Np) =  (1,2,2,1,1; 1,2)</t>
  </si>
  <si>
    <t>4R:  (M,N,P,Mg,Ng; Mp,Np)= (1,2,2,1,1; 1,2)
(dH, dV)=(0.5, 0.5)λ</t>
  </si>
  <si>
    <t>For 4R: (M,N,P,Mg,Ng; Mp,Np) = (1,2,2,1,1; 1,1)</t>
  </si>
  <si>
    <t>For 4R:  (M,N,P,Mg,Ng; Mp,Np)= (1,2,2,1,1; 1,2)
(dH, dV)=(0.5, N/A)λ</t>
  </si>
  <si>
    <t>For 4R:  (M,N,P,Mg,Ng; Mp,Np)= (1,2,2,1,1; 1,2)
(dH, dV)=(0.5, 0.5)λ</t>
  </si>
  <si>
    <t>For 8R:  (M,N,P,Mg,Ng; Mp,Np)= (1,4,2,1,1; 1,4)
(dH, dV)=(0.5, N/A)λ</t>
  </si>
  <si>
    <t>For 4R: (M,N,P,Mg,Ng,Mp,Np) = (1,2,2,1,1,1,2)</t>
  </si>
  <si>
    <t>MMSE</t>
  </si>
  <si>
    <t>100 degrees</t>
  </si>
  <si>
    <t xml:space="preserve">Full uplink </t>
  </si>
  <si>
    <t>SU-MIMO</t>
  </si>
  <si>
    <t>SU/MU-MIMO with rank adaptation</t>
  </si>
  <si>
    <t>Closed-loop UL MU-MIMO with rank adaptation</t>
  </si>
  <si>
    <t>4T UL Codebook</t>
  </si>
  <si>
    <t>For 4Tx: NR 4Tx codebook</t>
  </si>
  <si>
    <t>Up to 6 users</t>
  </si>
  <si>
    <t>For 1Tx: Up to 1 layers
For 4Tx: Up to 2 layers</t>
  </si>
  <si>
    <t>For 4Tx: Up to 4 layers</t>
  </si>
  <si>
    <t>Up to 2 layers per user</t>
  </si>
  <si>
    <t>For UE 1 Tx ports: Non-precoded SRS, 1 SRS ports (with 1 SRS resources);
For UE 4 Tx ports: Non-precoded SRS, 4 SRS ports (with 4 SRS resources);
2 symbols for SRS in every 5 slots,
8 PRBs per symbol</t>
  </si>
  <si>
    <t>For UE 4Tx ports: Non-precoded SRS, 4 SRS ports
4 symbols every 10ms</t>
  </si>
  <si>
    <t>Non-precoded SRS, 4 SRS ports (with 1 SRS resource);
2 symbols for SRS in every 5 slots.</t>
  </si>
  <si>
    <t>For 32R:  (M, N, P, Mg, Ng; Mp, Np) = (8,8,2,1,1; 2,8)
(dH, dV)=(0.5, 0.8)λ</t>
  </si>
  <si>
    <t>For 32R: (M,N,P,Mg,Ng; Mp,Np) = (8,16,2,1,1;1,16)
(dH, dV)=(0.5, 0.8)λ</t>
  </si>
  <si>
    <t>For 16R:  (M, N, P, Mg, Ng; Mp, Np) = (8,8,2,1,1; 1,8)
(dH, dV)=(0.5, 0.8)λ</t>
  </si>
  <si>
    <t>For 16R: (M,N,P,Mg,Ng; Mp,Np) = (8,8,2,1,1;1,8)
(dH, dV)=(0.5, 0.8)λ</t>
  </si>
  <si>
    <t xml:space="preserve">192Rx cross-polarized antenna
(M,N,P,Mg,Ng) (12,8,2,1,1)
Alt-1:64TXRU
(Mp,Np,P,Mg,Ng)  (4,8,2,1,1)
Alt-2:32TXRU
(Mp,Np,P,Mg,Ng) (4,4,2,1,1)
</t>
  </si>
  <si>
    <t>For 32R, (M,N,P,Mg,Ng; Mp,Np) = (8,16,2,1,1;1,16)
 (dH,dV) = (0.5, 0.8)λ</t>
  </si>
  <si>
    <r>
      <rPr>
        <sz val="9"/>
        <rFont val="Arial"/>
        <family val="2"/>
      </rPr>
      <t>128R (M, N, P, Mg, Ng, Mp, Np) = (8, 16, 2, 1, 1, 4, 16)
(dH, dV) = (0.5, 0.8)</t>
    </r>
    <r>
      <rPr>
        <sz val="9"/>
        <rFont val="Calibri"/>
        <family val="2"/>
      </rPr>
      <t>λ</t>
    </r>
  </si>
  <si>
    <t xml:space="preserve">For 1T:  (M, N, P, Mg, Ng; Mp, Np) = (1,1,1,1,1; 1,1)
(dH, dV)=( N/A, N/A)λ;
For 4T: (M,N,P,Mg,Ng; Mp,Np) =  (1,2,2,1,1; 1,2)
dH, dV)=( 0.5, N/A)λ;
</t>
  </si>
  <si>
    <t>For 4T: (M,N,P,Mg,Ng; Mp,Np) =  (1,2,2,1,1; 1,2)</t>
  </si>
  <si>
    <t>For 1T:  (M, N, P, Mg, Ng; Mp, Np) = (1,1,1,1,1; 1,1)
(dH, dV)=( N/A, N/A)λ
For 4T: (M,N,P,Mg,Ng; Mp,Np) =  (1,2,2,1,1; 1,2)
dH, dV)=( 0.5, N/A)λ;</t>
  </si>
  <si>
    <t>For 1T:  (M, N, P, Mg, Ng; Mp, Np) = (1,1,1,1,1; 1,1)
(dH, dV)=( N/A, N/A)λ
For 2T:  (M,N,P,Mg,Ng; Mp,Np)=  (1,1,2,1,1; 1,1)
(dH, dV)=( N/A, N/A)λ</t>
  </si>
  <si>
    <t>For 4T:  (M, N, P, Mg, Ng; Mp, Np) = (1,2,2,1,1; 1,2)
(dH, dV)=( N/A, N/A)λ</t>
  </si>
  <si>
    <t>2Tx cross-polarized antenna
(M,N,P,Mg,Ng) (1,1,2,1,1)
2TXRU
(Mp,Np,P,Mg,Ng) (1,1,2,1,1)
Omni</t>
  </si>
  <si>
    <t>For 4T, (M,N,P,Mg,Ng; Mp,Np) = (1,2,2,1,1; 1,2)
(dH, dV)=( 0.5, - )λ</t>
  </si>
  <si>
    <t>For 8T, (M,N,P,Mg,Ng; Mp,Np) = (1,4,2,1,1; 1,4)
(dH, dV)=( 0.5, - )λ</t>
  </si>
  <si>
    <t>Next available UL slot after receiving retransmission indication</t>
  </si>
  <si>
    <t>P0=-70, alpha = 0.6</t>
  </si>
  <si>
    <t>P0=-95, alpha = 0.8</t>
  </si>
  <si>
    <t>P0=-105.4, alpha = 0.9</t>
  </si>
  <si>
    <t>Up to 8 layers for 8Tx;
Up to 12 layers for 16Tx</t>
  </si>
  <si>
    <t>Up to 8 layers;</t>
  </si>
  <si>
    <t>Up to 2 layers</t>
  </si>
  <si>
    <t>Up to 4 layers</t>
  </si>
  <si>
    <t>For UE 4 Tx ports: Non-precoded SRS, 4 SRS ports (with 4 SRS resources),
2 symbols per 10ms</t>
  </si>
  <si>
    <t>PMI, CQI: every 5 slot; RI: every 5 slot;
Subband based, 5 slot delay</t>
  </si>
  <si>
    <t>CQI: every 10 slots; RI: every 10 slots,
Subband based, 5 slot delay</t>
  </si>
  <si>
    <t>8T: (M,N,P,Mg,Ng; Mp,Np) = (8,4,2,1,1;1,4)
(dH, dV)=(0.5, 0.8)λ</t>
  </si>
  <si>
    <t>64Tx cross-polarized antenna
(M,N,P,Mg,Ng) = (8,4,2,1,1)
8TXRU:Vertical 1-to-8
(dH, dV)=(0.5, 0.8)λ</t>
  </si>
  <si>
    <t>For 4R, (M,N,P,Mg,Ng; Mp,Np) = (1,2,2,1,1; 1,2)
(dH, dV)=(0.5, N/A)λ</t>
  </si>
  <si>
    <t>4R, (M,N,P,Mg,Ng; Mp,Np) = (1,2,2,1,1; 1,2)
(dH, dV)=(0.5, N/A)λ</t>
  </si>
  <si>
    <t>[96°] in LCS</t>
  </si>
  <si>
    <t>92 degree</t>
  </si>
  <si>
    <t>96 degree</t>
  </si>
  <si>
    <t>96 degrees</t>
  </si>
  <si>
    <t>For 2Tx: NR 2Tx codebook
For 4Tx: NR 4Tx codebook</t>
  </si>
  <si>
    <t>For 8Tx: Ideal</t>
  </si>
  <si>
    <t>For 2Tx/4Tx: Up to 2 layers</t>
  </si>
  <si>
    <t>For 2Tx: Up to 2 layers</t>
  </si>
  <si>
    <t>For 8Tx: Up to 4 layers</t>
  </si>
  <si>
    <t>For UE 2 Tx ports: Non-precoded SRS, 2 SRS ports (with 2 SRS resources);
For UE 4 Tx ports: Non-precoded SRS, 4 SRS ports (with 4 SRS resources);
2 symbols for SRS in every 5 slots,
8 PRBs per symbol</t>
  </si>
  <si>
    <t>For UE 2 Tx ports: Non-precoded SRS, 2 SRS ports,
1 symbol for SRS in every 5 slots,
8 PRBs per symbol</t>
  </si>
  <si>
    <t>For UE 2 Tx ports: Non-precoded SRS, 2 SRS ports (with 2 SRS resources),
2 symbols for SRS in every 5 slots,
8 PRBs per symbol</t>
  </si>
  <si>
    <t xml:space="preserve">64Rx cross-polarized antenna
(M,N,P,Mg,Ng) (8,4,2,1,1)
8TXRU
(Mp,Np,P,Mg,Ng)  (1,4,2,1,1)
</t>
  </si>
  <si>
    <t>For 16R, (M,N,P,Mg,Ng; Mp,Np) = (4,8,2,1,1;1,8)
 (dH,dV) = (0.5, 0.8)λ</t>
  </si>
  <si>
    <t>For 64R, (M,N,P,Mg,Ng; Mp,Np) = (4,8,2,1,1;1,8)
 (dH,dV) = (0.5, 0.8)λ</t>
  </si>
  <si>
    <t>For 2T:  (M,N,P,Mg,Ng; Mp,Np)=  (1,1,2,1,1; 1,2)
(dH, dV)=( N/A, N/A)λ
For 4T: (M,N,P,Mg,Ng; Mp,Np) =  (1,2,2,1,1; 1,2)
dH, dV)=( 0.5, N/A)λ;</t>
  </si>
  <si>
    <t>For 2T:  (M,N,P,Mg,Ng; Mp,Np)=  (1,1,2,1,1; 1,2)
(dH, dV)=( N/A, N/A)λ;
For 4T: (M,N,P,Mg,Ng; Mp,Np) =  (1,2,2,1,1; 1,2)
dH, dV)=( 0.5, N/A)λ;</t>
  </si>
  <si>
    <t>For 8T: (M,N,P,Mg,Ng; Mp,Np) = (2,2,2,1,1; 2,2)</t>
  </si>
  <si>
    <t>For 4T:  (M,N,P,Mg,Ng; Mp,Np)= (1,2,2,1,1; 1,2)
(dH, dV)=( 0.5, N/A)λ</t>
  </si>
  <si>
    <t>(M,N,P,Mg,Ng) (1,2,2,1,1)
4TXRU
(Mp,Np,P,Mg,Ng) (1,2,2,1,1)
Omni</t>
  </si>
  <si>
    <t>P0=-100, alpha = 0.8</t>
  </si>
  <si>
    <t>P0=-90, alpha = 0.7</t>
  </si>
  <si>
    <t>93 degree</t>
  </si>
  <si>
    <t>92 deg</t>
  </si>
  <si>
    <t>NOTE: This table is a place-holder. The content will be from Intel's excel sheet on overhead.</t>
  </si>
  <si>
    <t>Overhead assumption</t>
  </si>
  <si>
    <t>FR1</t>
  </si>
  <si>
    <t>PDCCH</t>
  </si>
  <si>
    <t>2 symbols</t>
  </si>
  <si>
    <t>3 symbols in normal subframe, 2 symbols in MBSFN subframes</t>
  </si>
  <si>
    <t>2 complete symbols</t>
  </si>
  <si>
    <t>SSB</t>
  </si>
  <si>
    <t>1 SSB / 20ms</t>
  </si>
  <si>
    <t>1 SSB/20ms</t>
  </si>
  <si>
    <t>8 SSB / 20ms</t>
  </si>
  <si>
    <t>CSI-RS for CM</t>
  </si>
  <si>
    <t>5 slots period;
8 ports for 8Tx;</t>
  </si>
  <si>
    <t>5 slots period;
8 ports for 8Tx; 
16 ports for 16Tx;
32 ports for 32Tx</t>
  </si>
  <si>
    <t>5 slots period;
8 ports for 8Tx</t>
  </si>
  <si>
    <t>5 slots period;
32 ports for 32Tx;</t>
  </si>
  <si>
    <t>5 slots period;
32 ports for 32Tx;
8 ports for 8Tx.</t>
  </si>
  <si>
    <t>10 slots period;
8 ports for 8Tx; 16 ports for 16Tx; 32 ports for 32 Tx</t>
  </si>
  <si>
    <t xml:space="preserve"> -- Precoded CSI-RS: for 2RX: 2*10 ports with 10 slots period (UE-specific beformed csi-rs, 2 ports per UE)
for 4RX: 4*10 ports with 10 slots period (UE-specific beformed csi-rs, 4 ports per UE)
 -- Non-precoded CSI-RS: 8 ports for 8Tx; 16 ports for 16Tx; 32 ports for 32 Tx</t>
  </si>
  <si>
    <t>10 slots period;
16 ports for 16Tx; 32 ports for 32 Tx</t>
  </si>
  <si>
    <t xml:space="preserve"> -- Precoded CSI-RS: for 2RX: 2*10 ports with 10 slots period (UE-specific beformed csi-rs, 2 ports per UE)
for 4RX: 4*10 ports with 10 slots period (UE-specific beformed csi-rs, 4 ports per UE)
 -- Non-precoded CSI-RS: 16 ports for 16Tx; 32 ports for 32 Tx</t>
  </si>
  <si>
    <t>5 slots period;
16 ports for 16Tx;</t>
  </si>
  <si>
    <t>32  ports with 5slots period</t>
  </si>
  <si>
    <t>5 slots period;
10*4ports for 4Rx; 10*2ports for 2Rx</t>
  </si>
  <si>
    <t>5 ms period;
32 ports for 32Tx,8 ports for 8Tx
 1RE/port/PRB</t>
  </si>
  <si>
    <t>5 ms period;
4*10 ports, 1RE/port/PRB</t>
  </si>
  <si>
    <t xml:space="preserve">
4*8 ports with 5ms(10 slots) period (4 ports beamformed csi-rs)</t>
  </si>
  <si>
    <t>8*4 ports with 10 slots period</t>
  </si>
  <si>
    <t>CSI-RS for IM</t>
  </si>
  <si>
    <t>ZP CSI-RS with 5 slots period;
4 RE/PRB/5 slots</t>
  </si>
  <si>
    <t>ZP CSI-RS with 5 slots period;
4 RE/PRB/10 slots</t>
  </si>
  <si>
    <t>ZP CSI-RS with 10 slots period;
4 RE/PRB/5 slots</t>
  </si>
  <si>
    <t>4 RE/PRB/10slots</t>
  </si>
  <si>
    <t>ZP CSI-RS with 5 ms period;
4 REs/PRB/5 ms</t>
  </si>
  <si>
    <t>DMRS</t>
  </si>
  <si>
    <t>Type II dynamic;
For 8Tx: Up to 8 ports;</t>
  </si>
  <si>
    <t>Type II dynamic;
For 8Tx: Up to 8 ports;
For 16Tx: Up to 12 ports;
For 32Tx: Up to 12 ports;</t>
  </si>
  <si>
    <t>12 RE/PRB</t>
  </si>
  <si>
    <t>Type II, up to 12 ports, dynamic</t>
  </si>
  <si>
    <t>24 RE/PRB/slot</t>
  </si>
  <si>
    <t>Type II, For 8Tx: 8 ports; For 32Tx:12 ports;</t>
  </si>
  <si>
    <t>24 RE/RB pair</t>
  </si>
  <si>
    <t>Type II dynamic;
For 8Tx: , Up to 8 ports;</t>
  </si>
  <si>
    <r>
      <rPr>
        <sz val="9"/>
        <rFont val="Arial"/>
        <family val="2"/>
      </rPr>
      <t xml:space="preserve">Type </t>
    </r>
    <r>
      <rPr>
        <sz val="9"/>
        <rFont val="宋体"/>
        <family val="3"/>
        <charset val="134"/>
      </rPr>
      <t>Ⅱ，</t>
    </r>
    <r>
      <rPr>
        <sz val="9"/>
        <rFont val="Arial"/>
        <family val="2"/>
      </rPr>
      <t>24RE/PRB/slot</t>
    </r>
  </si>
  <si>
    <t>Type II, up to 12 ports for 32Tx 
and 8 ports for 8Tx, dynamic</t>
  </si>
  <si>
    <t>Type II dynamic;
For 8Tx: , Up to 8 ports;
For 16Tx: Up to 12 ports</t>
  </si>
  <si>
    <t>TRS</t>
  </si>
  <si>
    <t>20ms period;
maximal bandwidth with 52 PRB;
burst length with 2 slots
12 RE/PRB/20ms</t>
  </si>
  <si>
    <t>2 consecutive slots per 20ms, 1 port, 50 PRB</t>
  </si>
  <si>
    <t>8 RE/PRB/20ms with 52 RBs</t>
  </si>
  <si>
    <t>Four periodic NZP CSI-RS resources with 80ms period, bandwidth 52 PRB
12 RE/PRB/80ms</t>
  </si>
  <si>
    <t>4 CSI-RS resource in 2 consecutive slots per 20ms, 50PRB</t>
  </si>
  <si>
    <t>2(burst length)*4 RE/PRB/periodicity;
8 RE/PRB/20ms</t>
  </si>
  <si>
    <t>12 REs/PRB with 20ms period;
maximal bandwidth with 52 PRB;</t>
  </si>
  <si>
    <t>12 REs/PRB with 20ms period;
maximal bandwidth with 51 PRB;</t>
  </si>
  <si>
    <t>20ms period;
maximal bandwidth with 52 PRB;
burst length with 2 slots
6 RE/PRB/20ms</t>
  </si>
  <si>
    <t>GP</t>
  </si>
  <si>
    <t>2 symbols in 10ms</t>
  </si>
  <si>
    <t>4 symbols per 5ms(10 slot)</t>
  </si>
  <si>
    <t>PSS/SSS</t>
  </si>
  <si>
    <t>288 REs per 10 ms</t>
  </si>
  <si>
    <t>PBCH</t>
  </si>
  <si>
    <t>240 REs per 10 ms</t>
  </si>
  <si>
    <t>FFS</t>
  </si>
  <si>
    <t>CRS</t>
  </si>
  <si>
    <t>2 ports</t>
  </si>
  <si>
    <t>4 ports</t>
  </si>
  <si>
    <t>MBSFN number</t>
  </si>
  <si>
    <t>6 MBSFN in 10 subframes</t>
  </si>
  <si>
    <t>2 MBSFN in 4 DL subframes</t>
  </si>
  <si>
    <t>UM</t>
  </si>
  <si>
    <t>PUCCH</t>
  </si>
  <si>
    <t xml:space="preserve">2 PRBs and 14 OS for the slots without SRS transmission; 2 PRBs and 12 OS for the slots with SRS  </t>
  </si>
  <si>
    <t xml:space="preserve">2 PRBs and 14 OS for the slots without SRS transmission; 2 PRBs and 13 OS for the slots with SRS  </t>
  </si>
  <si>
    <t xml:space="preserve">1 slot with (3 PRB, 14 OS) and 9 slots with (1 PRB, 2 OS) </t>
  </si>
  <si>
    <t xml:space="preserve">1 slot with (3 PRB, 14 OS) and  3 slots with (1 PRB, 2 OS) </t>
  </si>
  <si>
    <t>1 subframe with 4 PRB pair and 9 subframes with 2PRB pairs</t>
  </si>
  <si>
    <t>1 subframe with 4 PRB pair and 3 subframes with 2PRB pairs</t>
  </si>
  <si>
    <t>2 PRBs and 14 OS for the slots without SRS transmission</t>
  </si>
  <si>
    <t>Type II, 2  symbols (including one additional DMRS symbol), multiplexing with PUSCH</t>
  </si>
  <si>
    <t>2 complete DMRS symbols</t>
  </si>
  <si>
    <t>Type II, 1 additional DMRS symbol, and no FDM with PUSCH</t>
  </si>
  <si>
    <t>Type II, 2  symbols</t>
  </si>
  <si>
    <t>Type II, 1 symbol, multiplexing with PUSCH</t>
  </si>
  <si>
    <t>TypeII, 4 ports</t>
  </si>
  <si>
    <t>SRS</t>
  </si>
  <si>
    <t>2 symbols per 5 slots</t>
  </si>
  <si>
    <t>1 symbol per 5 slots</t>
  </si>
  <si>
    <t>2 symbols per 10 slots</t>
  </si>
  <si>
    <t>1 symbol per 5 subframes</t>
  </si>
  <si>
    <t>2 symbols in UpPTS with 5ms period</t>
  </si>
  <si>
    <t>Frequency Range 1 - FDD</t>
  </si>
  <si>
    <t>Assumption: 10MHz BW, 15kHz SCS, 10ms duration</t>
  </si>
  <si>
    <t>Simulation BW&amp;RB#</t>
  </si>
  <si>
    <t>Scale BW1&amp;RB#</t>
  </si>
  <si>
    <t>Scale BW2&amp;RB#</t>
  </si>
  <si>
    <t>Total bandwidth [MHz]</t>
  </si>
  <si>
    <t>TOTAL PRBs</t>
  </si>
  <si>
    <t>Antenna configuration</t>
  </si>
  <si>
    <t>CSI-RS</t>
  </si>
  <si>
    <t>Total RE
w/ OH1</t>
  </si>
  <si>
    <t>Total OH RE w/ OH1</t>
  </si>
  <si>
    <t>Total OH (%) w/ OH1</t>
  </si>
  <si>
    <t>Total RE
w/ OH2</t>
  </si>
  <si>
    <t>Total OH RE
w/ OH2</t>
  </si>
  <si>
    <t>Total OH (%) w/ OH2</t>
  </si>
  <si>
    <t>Adjust factor for OH1 and OH2</t>
  </si>
  <si>
    <t>Total RE
w/ OH3 (20MHz)</t>
  </si>
  <si>
    <t>Total OH RE
w/ OH3
(20MHz)</t>
  </si>
  <si>
    <t>Total OH (%) w/ OH3 (20MHz)</t>
  </si>
  <si>
    <t>Adjust factor for OH2 and OH3</t>
  </si>
  <si>
    <t>Total RE
w/ OH4 (40MHz)</t>
  </si>
  <si>
    <t>Total OH RE
w/ OH4
(40MHz)</t>
  </si>
  <si>
    <t>Total OH (%) w/ OH4 (40MHz)</t>
  </si>
  <si>
    <t>Adjust factor for OH2 and OH4</t>
  </si>
  <si>
    <t>16T4R/32T4R</t>
  </si>
  <si>
    <t>8T2R/8T4R</t>
  </si>
  <si>
    <t>32T4R</t>
  </si>
  <si>
    <t>8T2R</t>
  </si>
  <si>
    <t>16T2R</t>
  </si>
  <si>
    <t>8T4R</t>
  </si>
  <si>
    <t>16T4R</t>
  </si>
  <si>
    <t>32T8R</t>
  </si>
  <si>
    <t>`</t>
  </si>
  <si>
    <t>Frequency Range 1 - TDD</t>
  </si>
  <si>
    <t>Assumption: 20 MHz BW, 15kHz SCS, 10ms duration</t>
  </si>
  <si>
    <t>Total PRBs</t>
  </si>
  <si>
    <t>TDD Frame Structure</t>
  </si>
  <si>
    <t>GP(50%)</t>
  </si>
  <si>
    <t>Total RE
w/ OH3 (40MHz)</t>
  </si>
  <si>
    <t>Total OH RE
w/ OH3
(40MHz)</t>
  </si>
  <si>
    <t>Total OH (%) w/ OH3 (40MHz)</t>
  </si>
  <si>
    <t>DSUUD; S (6D,2G,6U)</t>
  </si>
  <si>
    <t>CATT(non-precoded CSIRS)</t>
  </si>
  <si>
    <t>DSUUD; S (11D,1G,2U)</t>
  </si>
  <si>
    <t>CATT(precoded CSIRS)</t>
  </si>
  <si>
    <t>DSUUD; S (11D,1G,3U)</t>
  </si>
  <si>
    <t>32T8R/16T4R</t>
  </si>
  <si>
    <t>Ericsson (100 PRBs)</t>
  </si>
  <si>
    <t>DDDSU;S(10D,2G,2U)</t>
  </si>
  <si>
    <t>Assumption: 20 MHz BW, 30kHz SCS, 10ms duration</t>
  </si>
  <si>
    <t>Total RE
w/ OH4 (100MHz)</t>
  </si>
  <si>
    <t>Total OH RE
w/ OH4
(100MHz)</t>
  </si>
  <si>
    <t>Total OH (%) w/ OH4 (100MHz)</t>
  </si>
  <si>
    <t>8T2R/64T4R/8T4R</t>
  </si>
  <si>
    <t>DDDSU; S (10D,2G,2U)</t>
  </si>
  <si>
    <t>8T2R (Rural conf.A)</t>
  </si>
  <si>
    <t>8T4R (Rural conf.C)</t>
  </si>
  <si>
    <t>DDDSU; S (11D,1G,2U)</t>
  </si>
  <si>
    <t>64T4R</t>
  </si>
  <si>
    <t xml:space="preserve">DDDDD DDSUU;  S(6D,4G,4U) </t>
  </si>
  <si>
    <t>16T4R (Rural conf.A)
128T4R (Rural conf.B)</t>
  </si>
  <si>
    <t>DDSU; S(10D,2G,2U)</t>
  </si>
  <si>
    <t>Assumption: 10 MHz BW, 15kHz SCS, 10ms duration</t>
  </si>
  <si>
    <t>2T</t>
  </si>
  <si>
    <t>4T</t>
  </si>
  <si>
    <t>DDSU; S (10D,2G,2U)</t>
  </si>
  <si>
    <t>Channel model A</t>
  </si>
  <si>
    <t>RIT</t>
  </si>
  <si>
    <t>Antenna and TXRU mapping</t>
  </si>
  <si>
    <t>Antenna config &amp; Tx scheme</t>
  </si>
  <si>
    <t>Req.</t>
  </si>
  <si>
    <t>Mean</t>
  </si>
  <si>
    <t>Var</t>
  </si>
  <si>
    <t>Number of samples</t>
  </si>
  <si>
    <t>Channel model B</t>
  </si>
  <si>
    <t>DL Spectral efficiency</t>
  </si>
  <si>
    <t>NR</t>
  </si>
  <si>
    <t>gNB: (M,N,P,Mg,Ng; Mp,Np) = (8,4,2,1,1;1,4)</t>
  </si>
  <si>
    <t xml:space="preserve">8x2 MU-MIMO Type II Codebook </t>
  </si>
  <si>
    <t>15 kHz SCS</t>
  </si>
  <si>
    <t>Average [bit/s/Hz/TRxP]</t>
  </si>
  <si>
    <t>5th percentile [bit/s/Hz]</t>
  </si>
  <si>
    <t>LTE</t>
  </si>
  <si>
    <t>gNB: (M,N,P,Mg,Ng; Mp,Np) = (8,4,2,1,1;2,4)</t>
  </si>
  <si>
    <t xml:space="preserve">16x2 MU-MIMO Type II Codebook </t>
  </si>
  <si>
    <t xml:space="preserve">8x4 MU-MIMO Type II Codebook </t>
  </si>
  <si>
    <t>(M,N,P,Mg,Ng; Mp,Np) = (4,8,2,1,1;1,8)</t>
  </si>
  <si>
    <t xml:space="preserve">16x4 MU-MIMO Type II Codebook </t>
  </si>
  <si>
    <t>gNB: (M,N,P,Mg,Ng; Mp,Np) = (4,8,2,1,1;1,8)</t>
  </si>
  <si>
    <t>8x2 MU-MIMO ideal CSI feedback</t>
  </si>
  <si>
    <t>8x2 MU-MIMO Type I codebook</t>
  </si>
  <si>
    <t>8x2 MU-MIMO,  2T SRS</t>
  </si>
  <si>
    <t>30 kHz SCS</t>
  </si>
  <si>
    <t>16x2 MU-MIMO,  2T SRS</t>
  </si>
  <si>
    <t>16x4 MU-MIMO, 4T SRS</t>
  </si>
  <si>
    <t>UL spectral efficiency</t>
  </si>
  <si>
    <t>1x8 SU-MIMO, OFDMA</t>
  </si>
  <si>
    <t>1x8 SU-MIMO, Codebook based, DFT-S-OFDM</t>
  </si>
  <si>
    <t>4x16 MU-MIMO, OFDMA</t>
  </si>
  <si>
    <t>2x8 SU-MIMO, OFDMA</t>
  </si>
  <si>
    <t>2x8 SU-MIMO, Codebook based, OFDMA</t>
  </si>
  <si>
    <t>4x16 MU-MIMO, Codebook based, OFDMA</t>
  </si>
  <si>
    <t>2x8 SU-MIMO, Non-codebook based, OFDMA</t>
  </si>
  <si>
    <t>gNB: (M,N,P,Mg,Ng; Mp,Np) = (8,8,2,1,1;2,8)</t>
  </si>
  <si>
    <t xml:space="preserve">32x4 MU-MIMO Type II Codebook </t>
  </si>
  <si>
    <t>(M,N,P,Mg,Ng; Mp,Np) = (8,16,2,1,1;1,16)</t>
  </si>
  <si>
    <t>32x4 MU-MIMO Type II Codebook</t>
  </si>
  <si>
    <t>gNB: (M,N,P,Mg,Ng; Mp,Np) = (8,8,2,1,1;1,8)</t>
  </si>
  <si>
    <t>16x4 MU-MIMO Type II Codebook</t>
  </si>
  <si>
    <t>32x4 MU-MIMO Type I codebook</t>
  </si>
  <si>
    <t>16x4 MU-MIMO Type I codebook</t>
  </si>
  <si>
    <t>16x4 MU-MIMO ideal CSI feedback</t>
  </si>
  <si>
    <t xml:space="preserve">32x8 MU-MIMO Type II Codebook </t>
  </si>
  <si>
    <t>32x4 MU-MIMO,  4T SRS</t>
  </si>
  <si>
    <t>gNB: (M,N,P,Mg,Ng; Mp,Np) = (8,16,2,1,1;1,16)</t>
  </si>
  <si>
    <t>32x4 MU-MIMO,  Type II Codebook</t>
  </si>
  <si>
    <t>gNB: (M,N,P,Mg,Ng; Mp,Np) = (4,32,2,1,1;1,32)</t>
  </si>
  <si>
    <t>64x8 MU-MIMO,  8T SRS</t>
  </si>
  <si>
    <t>gNB: (M,N,P,Mg,Ng; Mp,Np) = (12,8,2,1,1;4,8)</t>
  </si>
  <si>
    <t>64x4 MU-MIMO,  4T SRS (192Tx@gNB)</t>
  </si>
  <si>
    <t>DDDDD DDSUU</t>
  </si>
  <si>
    <t>16x4 MU-MIMO,  4T SRS</t>
  </si>
  <si>
    <t>gNB: (M,N,P,Mg,Ng; Mp,Np) = (4,32,2,1,1;2,32)</t>
  </si>
  <si>
    <t>128x4 MU-MIMO, 4T SRS</t>
  </si>
  <si>
    <t>1x32 SU-MIMO, OFDMA</t>
  </si>
  <si>
    <t>4x32 SU-MIMO, OFDMA</t>
  </si>
  <si>
    <t>4x32 MU-MIMO, OFDMA</t>
  </si>
  <si>
    <t>2x32 SU-MIMO, OFDMA</t>
  </si>
  <si>
    <t>4x16 SU-MIMO, OFDMA</t>
  </si>
  <si>
    <t>1x32 SU-MIMO, Codebook based, OFDMA</t>
  </si>
  <si>
    <t>4x32 SU-MIMO, Codebook based, OFDMA</t>
  </si>
  <si>
    <t>4x32 MU-MIMO, Codebook based, OFDMA</t>
  </si>
  <si>
    <t>8x64 SU-MIMO, Codebook based, OFDMA</t>
  </si>
  <si>
    <t>UUUUU</t>
  </si>
  <si>
    <t>2x64 SU-MIMO, Codebook based, OFDMA</t>
  </si>
  <si>
    <t>gNB: (M,N,P,Mg,Ng; Mp,Np) = (8,16,2,1,1;4,16)</t>
  </si>
  <si>
    <t>2x128, MU-MIMO, Codebook-based, OFDMA</t>
  </si>
  <si>
    <t>gNB: (M,N,P,Mg,Ng; Mp,Np) = (8,4,2,1,1;1,4);</t>
  </si>
  <si>
    <t>gNB: (M,N,P,Mg,Ng; Mp,Np) = (8,4,2,1,1;2,4);</t>
  </si>
  <si>
    <t>gNB: (M,N,P,Mg,Ng; Mp,Np) = (4,8,2,1,1;1,8);</t>
  </si>
  <si>
    <t>8x4 MU-MIMO ideal CSI feedback</t>
  </si>
  <si>
    <t>8x4 MU-MIMO Type I codebook</t>
  </si>
  <si>
    <t>8x4 MU-MIMO,  4T SRS</t>
  </si>
  <si>
    <t>16x4 MU-MIMO,  Type II Codebook</t>
  </si>
  <si>
    <t>64x8 MU-MIMO,   4T SRS (256Tx@gNB)</t>
  </si>
  <si>
    <t>4x8 SU-MIMO, OFDMA</t>
  </si>
  <si>
    <t>2x8 SU-MIMO, Codebook based, DFT-S-OFDM</t>
  </si>
  <si>
    <t>8x8 SU-MIMO</t>
  </si>
  <si>
    <t>4x8 SU-MIMO, Codebook based, OFDMA</t>
  </si>
  <si>
    <t>4x16 SU-MIMO, Codebook based, OFDMA</t>
  </si>
  <si>
    <t>8x64 MU-MIMO, Codebook based, OFDMA</t>
  </si>
  <si>
    <t>Bandwidth</t>
  </si>
  <si>
    <r>
      <rPr>
        <sz val="10"/>
        <rFont val="Arial"/>
        <family val="2"/>
      </rPr>
      <t>8x4 MU-MIMO,  4T SRS</t>
    </r>
  </si>
  <si>
    <r>
      <t>2</t>
    </r>
    <r>
      <rPr>
        <sz val="10"/>
        <rFont val="Arial"/>
        <family val="2"/>
      </rPr>
      <t>018.9.03</t>
    </r>
    <phoneticPr fontId="9" type="noConversion"/>
  </si>
  <si>
    <r>
      <t>Z</t>
    </r>
    <r>
      <rPr>
        <sz val="10"/>
        <rFont val="Arial"/>
        <family val="2"/>
      </rPr>
      <t>TE</t>
    </r>
    <phoneticPr fontId="9" type="noConversion"/>
  </si>
  <si>
    <r>
      <t>U</t>
    </r>
    <r>
      <rPr>
        <sz val="10"/>
        <rFont val="Arial"/>
        <family val="2"/>
      </rPr>
      <t>pdate UL results in model B</t>
    </r>
    <phoneticPr fontId="9" type="noConversion"/>
  </si>
  <si>
    <t>2018.9.04</t>
    <phoneticPr fontId="42" type="noConversion"/>
  </si>
  <si>
    <t>Mediatek</t>
    <phoneticPr fontId="42" type="noConversion"/>
  </si>
  <si>
    <t>Update DL_OH parameter and PDCCH ratio</t>
    <phoneticPr fontId="42" type="noConversion"/>
  </si>
  <si>
    <t>Update 4GHz and 700MHZ DL&amp;UL (step1) results</t>
  </si>
  <si>
    <t>16x4 MU-MIMO,  Type II codebook</t>
    <phoneticPr fontId="9" type="noConversion"/>
  </si>
  <si>
    <t>2018.9.07</t>
  </si>
  <si>
    <t>Adjust formats</t>
    <phoneticPr fontId="9" type="noConversion"/>
  </si>
  <si>
    <r>
      <t>D</t>
    </r>
    <r>
      <rPr>
        <sz val="10"/>
        <rFont val="Arial"/>
        <family val="2"/>
      </rPr>
      <t>DDSU</t>
    </r>
    <phoneticPr fontId="9" type="noConversion"/>
  </si>
  <si>
    <r>
      <t>D</t>
    </r>
    <r>
      <rPr>
        <sz val="10"/>
        <rFont val="Arial"/>
        <family val="2"/>
      </rPr>
      <t>SUDD</t>
    </r>
    <phoneticPr fontId="9" type="noConversion"/>
  </si>
  <si>
    <t>2018.9.10</t>
  </si>
  <si>
    <t>32x4 MU-MIMO,  4T SRS</t>
    <phoneticPr fontId="9" type="noConversion"/>
  </si>
  <si>
    <r>
      <t xml:space="preserve">8x4 MU-MIMO Type I codebook
</t>
    </r>
    <r>
      <rPr>
        <sz val="10"/>
        <rFont val="Arial"/>
        <family val="2"/>
      </rPr>
      <t>(Optimized for cell edge)</t>
    </r>
    <phoneticPr fontId="9" type="noConversion"/>
  </si>
  <si>
    <r>
      <t xml:space="preserve">8x4 MU-MIMO Type I codebook
</t>
    </r>
    <r>
      <rPr>
        <sz val="10"/>
        <rFont val="Arial"/>
        <family val="2"/>
      </rPr>
      <t>(Optimized for cell edge)</t>
    </r>
    <phoneticPr fontId="9" type="noConversion"/>
  </si>
  <si>
    <t>For 64T: (M,N,P,Mg,Ng; Mp,Np) = (12,8,2,1,1;4,8)
(dH, dV)=(0.5, 0.8)λ</t>
  </si>
  <si>
    <t>Guard band ratio</t>
    <phoneticPr fontId="9" type="noConversion"/>
  </si>
  <si>
    <t>SIMO or SU-MIMO with rank adaptation</t>
    <phoneticPr fontId="9" type="noConversion"/>
  </si>
  <si>
    <t>Ideal</t>
    <phoneticPr fontId="9" type="noConversion"/>
  </si>
  <si>
    <r>
      <rPr>
        <strike/>
        <sz val="9"/>
        <color rgb="FF00B050"/>
        <rFont val="Arial"/>
        <family val="2"/>
      </rPr>
      <t>Ideal</t>
    </r>
    <r>
      <rPr>
        <sz val="9"/>
        <color rgb="FF00B050"/>
        <rFont val="Arial"/>
        <family val="2"/>
      </rPr>
      <t xml:space="preserve">
Non-ideal</t>
    </r>
    <phoneticPr fontId="9" type="noConversion"/>
  </si>
  <si>
    <t>2018.4.09</t>
  </si>
  <si>
    <t>46_r1</t>
    <phoneticPr fontId="9" type="noConversion"/>
  </si>
  <si>
    <r>
      <t>16T4R</t>
    </r>
    <r>
      <rPr>
        <sz val="10"/>
        <rFont val="Arial"/>
        <family val="2"/>
      </rPr>
      <t>/32T4R</t>
    </r>
    <r>
      <rPr>
        <sz val="10"/>
        <rFont val="Arial"/>
        <family val="2"/>
      </rPr>
      <t xml:space="preserve"> (Rural conf.B)</t>
    </r>
    <phoneticPr fontId="9" type="noConversion"/>
  </si>
  <si>
    <r>
      <t xml:space="preserve">For 16T: (M,N,P,Mg,Ng; Mp,Np) = (8,8,2,1,1;1,8)
</t>
    </r>
    <r>
      <rPr>
        <sz val="9"/>
        <color theme="9"/>
        <rFont val="Arial"/>
        <family val="2"/>
      </rPr>
      <t>For 32T: (M,N,P,Mg,Ng; Mp,Np) = (8,8,2,1,1;2,8)</t>
    </r>
    <r>
      <rPr>
        <sz val="9"/>
        <rFont val="Arial"/>
        <family val="2"/>
      </rPr>
      <t xml:space="preserve">
(dH, dV)=(0.5, 0.8)λ</t>
    </r>
    <phoneticPr fontId="9" type="noConversion"/>
  </si>
  <si>
    <t>China Telecom</t>
    <phoneticPr fontId="9" type="noConversion"/>
  </si>
  <si>
    <t>NR FDD</t>
    <phoneticPr fontId="9" type="noConversion"/>
  </si>
  <si>
    <t xml:space="preserve">For 8T: (M,N,P,Mg,Ng; Mp,Np) = (8,4,2,1,1;1,4);
</t>
    <phoneticPr fontId="9" type="noConversion"/>
  </si>
  <si>
    <r>
      <rPr>
        <strike/>
        <sz val="9"/>
        <color rgb="FF00B050"/>
        <rFont val="Arial"/>
        <family val="2"/>
      </rPr>
      <t>Ideal</t>
    </r>
    <r>
      <rPr>
        <sz val="9"/>
        <color rgb="FF00B050"/>
        <rFont val="Arial"/>
        <family val="2"/>
      </rPr>
      <t xml:space="preserve">
Non-ideal</t>
    </r>
    <phoneticPr fontId="9" type="noConversion"/>
  </si>
  <si>
    <t>96 degree</t>
    <phoneticPr fontId="9" type="noConversion"/>
  </si>
  <si>
    <r>
      <t>3</t>
    </r>
    <r>
      <rPr>
        <sz val="10"/>
        <rFont val="Arial"/>
        <family val="2"/>
      </rPr>
      <t>2</t>
    </r>
    <r>
      <rPr>
        <sz val="10"/>
        <rFont val="Arial"/>
        <family val="2"/>
      </rPr>
      <t>T</t>
    </r>
    <r>
      <rPr>
        <sz val="10"/>
        <rFont val="Arial"/>
        <family val="2"/>
      </rPr>
      <t>4</t>
    </r>
    <r>
      <rPr>
        <sz val="10"/>
        <rFont val="Arial"/>
        <family val="2"/>
      </rPr>
      <t>R</t>
    </r>
    <phoneticPr fontId="9" type="noConversion"/>
  </si>
  <si>
    <t>8T4R</t>
    <phoneticPr fontId="9" type="noConversion"/>
  </si>
  <si>
    <t>Overhead calculation for additional configuration after the first submission</t>
    <phoneticPr fontId="9" type="noConversion"/>
  </si>
  <si>
    <t>32T4R</t>
    <phoneticPr fontId="9" type="noConversion"/>
  </si>
  <si>
    <r>
      <t>For 64T: (M,N,P,Mg,Ng; Mp,Np) = (12,8,2,1,1;</t>
    </r>
    <r>
      <rPr>
        <sz val="9"/>
        <color theme="1"/>
        <rFont val="Arial"/>
        <family val="2"/>
      </rPr>
      <t>4,8</t>
    </r>
    <r>
      <rPr>
        <sz val="9"/>
        <rFont val="Arial"/>
        <family val="2"/>
      </rPr>
      <t xml:space="preserve">);
</t>
    </r>
    <r>
      <rPr>
        <sz val="9"/>
        <color theme="9" tint="-0.249977111117893"/>
        <rFont val="Arial"/>
        <family val="2"/>
      </rPr>
      <t>For 32T:  (M,N,P,Mg,Ng; Mp,Np) = (8,8,2,1,1;2,8);</t>
    </r>
    <r>
      <rPr>
        <sz val="9"/>
        <rFont val="Arial"/>
        <family val="2"/>
      </rPr>
      <t xml:space="preserve">
(dH, dV)=(0.5, 0.8)λ</t>
    </r>
    <phoneticPr fontId="9" type="noConversion"/>
  </si>
  <si>
    <t>DDDDDDDSUU</t>
    <phoneticPr fontId="9" type="noConversion"/>
  </si>
  <si>
    <t>DDDSUDDSUU</t>
    <phoneticPr fontId="9" type="noConversion"/>
  </si>
  <si>
    <t>8T2R</t>
    <phoneticPr fontId="9" type="noConversion"/>
  </si>
  <si>
    <t>32T4R/64T4R</t>
    <phoneticPr fontId="9" type="noConversion"/>
  </si>
  <si>
    <r>
      <t xml:space="preserve">DDDSU;
DSUUD;
</t>
    </r>
    <r>
      <rPr>
        <sz val="9"/>
        <color theme="9" tint="-0.249977111117893"/>
        <rFont val="Arial"/>
        <family val="2"/>
      </rPr>
      <t>DDDSUDDSUU;
DDDDDDDSUU</t>
    </r>
    <phoneticPr fontId="9" type="noConversion"/>
  </si>
  <si>
    <t>gNB: (M,N,P,Mg,Ng; Mp,Np) = (8,8,2,1,1;2,8)</t>
    <phoneticPr fontId="9" type="noConversion"/>
  </si>
  <si>
    <t>32x4 MU-MIMO,  4T SRS (128Tx@gNB)</t>
    <phoneticPr fontId="9" type="noConversion"/>
  </si>
  <si>
    <t>DDDSU DDSUU</t>
    <phoneticPr fontId="9" type="noConversion"/>
  </si>
  <si>
    <r>
      <t xml:space="preserve">DDDSU;
DSUUD;
</t>
    </r>
    <r>
      <rPr>
        <sz val="9"/>
        <color theme="9" tint="-0.249977111117893"/>
        <rFont val="Arial"/>
        <family val="2"/>
      </rPr>
      <t>DDDSUDDSUU;
DDDDDDDSUU</t>
    </r>
    <phoneticPr fontId="9" type="noConversion"/>
  </si>
  <si>
    <t>ZTE</t>
    <phoneticPr fontId="39" type="noConversion"/>
  </si>
  <si>
    <t>DDDSUDDSUU; S (10D,2G,2U)</t>
    <phoneticPr fontId="39" type="noConversion"/>
  </si>
  <si>
    <t>ZTE</t>
    <phoneticPr fontId="39" type="noConversion"/>
  </si>
  <si>
    <t>DDDDDDDSUU; S (6D,4G,4U)</t>
    <phoneticPr fontId="39" type="noConversion"/>
  </si>
  <si>
    <t>DDDSUDDSUU</t>
    <phoneticPr fontId="39" type="noConversion"/>
  </si>
  <si>
    <t>DDDDDDDSUU</t>
    <phoneticPr fontId="39" type="noConversion"/>
  </si>
  <si>
    <t>TDD: 8.2% (51 RB for 30 kHz 20 MHz); 1.72% (273 RB for 30 kHz 100 MHz)</t>
    <phoneticPr fontId="9" type="noConversion"/>
  </si>
  <si>
    <t>DDDSU</t>
    <phoneticPr fontId="9" type="noConversion"/>
  </si>
  <si>
    <t>Up to 8 layers</t>
    <phoneticPr fontId="9" type="noConversion"/>
  </si>
  <si>
    <t>• non-precoded SRS transmission;
• adaptive SRS bandwidth per UE 
• 2 symbols within 1 slot for SRS transmission per UE</t>
    <phoneticPr fontId="9" type="noConversion"/>
  </si>
  <si>
    <t>For 2R:  (M,N,P,Mg,Ng; Mp,Np)= (1,1,2,1,1; 1,1)
(dH, dV)=(0.5, N/A)λ</t>
    <phoneticPr fontId="9" type="noConversion"/>
  </si>
  <si>
    <t>For 8T:  (M,N,P,Mg,Ng; Mp,Np) = (8,4,2,1,1;1,4)
(dH, dV)=(0.5, 0.8)λ;</t>
    <phoneticPr fontId="9" type="noConversion"/>
  </si>
  <si>
    <t>For 4R:  (M,N,P,Mg,Ng; Mp,Np)= (1,2,2,1,1; 1,2)
(dH, dV)=(0.5, N/A)λ</t>
    <phoneticPr fontId="9" type="noConversion"/>
  </si>
  <si>
    <t>For 4Rx: Up to 2 layers</t>
    <phoneticPr fontId="9" type="noConversion"/>
  </si>
  <si>
    <t>For 2Rx: Up to 2 layers</t>
    <phoneticPr fontId="9" type="noConversion"/>
  </si>
  <si>
    <t>92 degree</t>
    <phoneticPr fontId="9" type="noConversion"/>
  </si>
  <si>
    <t>CMCC</t>
    <phoneticPr fontId="9" type="noConversion"/>
  </si>
  <si>
    <t>CMCC</t>
    <phoneticPr fontId="9" type="noConversion"/>
  </si>
  <si>
    <t>30 kHz SCS,
14 OFDM symbol slot</t>
    <phoneticPr fontId="9" type="noConversion"/>
  </si>
  <si>
    <t>N/A</t>
    <phoneticPr fontId="9" type="noConversion"/>
  </si>
  <si>
    <t>For UE 4 Tx ports: Non-precoded SRS</t>
    <phoneticPr fontId="9" type="noConversion"/>
  </si>
  <si>
    <t>For 8R: (M,N,P,Mg,Ng; Mp,Np) = (8,8,2,1,1; 1,8)
(dH, dV)=(0.5, 0.8)λ</t>
    <phoneticPr fontId="9" type="noConversion"/>
  </si>
  <si>
    <t>For 4T:  (M,N,P,Mg,Ng; Mp,Np)=  (1,2,2,1,1; 1,2)
(dH, dV)=( N/A, N/A)λ</t>
    <phoneticPr fontId="9" type="noConversion"/>
  </si>
  <si>
    <t>For 2T:  (M,N,P,Mg,Ng; Mp,Np)=  (1,1,2,1,1; 1,1)
(dH, dV)=( N/A, N/A)λ</t>
    <phoneticPr fontId="9" type="noConversion"/>
  </si>
  <si>
    <r>
      <t>For 1T:  (M,N,P,Mg,Ng; Mp,Np)= (1,1,1,1,1; 1,1);
For 2T:  (M,N,P,Mg,Ng; Mp,Np)=  (1,1,2,1,1; 1,</t>
    </r>
    <r>
      <rPr>
        <sz val="10"/>
        <rFont val="Arial"/>
        <family val="2"/>
      </rPr>
      <t>1</t>
    </r>
    <r>
      <rPr>
        <sz val="10"/>
        <rFont val="Arial"/>
        <family val="2"/>
      </rPr>
      <t>)
(dH, dV)=( N/A, N/A)λ</t>
    </r>
    <phoneticPr fontId="9" type="noConversion"/>
  </si>
  <si>
    <t>CMCC (2T8R)</t>
    <phoneticPr fontId="9" type="noConversion"/>
  </si>
  <si>
    <t>GP(50%)</t>
    <phoneticPr fontId="9" type="noConversion"/>
  </si>
  <si>
    <t>CMCC (4T16R)</t>
    <phoneticPr fontId="9" type="noConversion"/>
  </si>
  <si>
    <t>4x16 SU-MIMO, Codebook based, OFDMA</t>
    <phoneticPr fontId="9" type="noConversion"/>
  </si>
  <si>
    <t>gNB: (M,N,P,Mg,Ng; Mp,Np) = (8,8,2,1,1;1,8)</t>
    <phoneticPr fontId="9" type="noConversion"/>
  </si>
  <si>
    <r>
      <t xml:space="preserve">2x8 SU-MIMO, </t>
    </r>
    <r>
      <rPr>
        <sz val="10"/>
        <rFont val="Arial"/>
        <family val="2"/>
      </rPr>
      <t>DFT-S-OFDM</t>
    </r>
    <phoneticPr fontId="9" type="noConversion"/>
  </si>
  <si>
    <r>
      <t xml:space="preserve">8x2 MU-MIMO </t>
    </r>
    <r>
      <rPr>
        <sz val="10"/>
        <rFont val="Arial"/>
        <family val="2"/>
      </rPr>
      <t>advanced CSI codebook</t>
    </r>
    <phoneticPr fontId="9" type="noConversion"/>
  </si>
  <si>
    <r>
      <t xml:space="preserve">16x2 MU-MIMO </t>
    </r>
    <r>
      <rPr>
        <sz val="10"/>
        <rFont val="Arial"/>
        <family val="2"/>
      </rPr>
      <t>advanced CSI codebook</t>
    </r>
    <phoneticPr fontId="9" type="noConversion"/>
  </si>
  <si>
    <r>
      <t xml:space="preserve">32x4 MU-MIMO </t>
    </r>
    <r>
      <rPr>
        <sz val="10"/>
        <rFont val="Arial"/>
        <family val="2"/>
      </rPr>
      <t>advanced CSI codebook</t>
    </r>
    <phoneticPr fontId="9" type="noConversion"/>
  </si>
  <si>
    <t>8x64 SU-MIMO, Codebook based, DFT-S-OFDM</t>
    <phoneticPr fontId="9" type="noConversion"/>
  </si>
  <si>
    <t>2x8 SU-MIMO, Non-codebook based, OFDMA</t>
    <phoneticPr fontId="9" type="noConversion"/>
  </si>
  <si>
    <r>
      <t xml:space="preserve">2x8 SU-MIMO, </t>
    </r>
    <r>
      <rPr>
        <sz val="10"/>
        <rFont val="Arial"/>
        <family val="2"/>
      </rPr>
      <t>C</t>
    </r>
    <r>
      <rPr>
        <sz val="10"/>
        <rFont val="Arial"/>
        <family val="2"/>
      </rPr>
      <t>odebook based, OFDMA</t>
    </r>
    <phoneticPr fontId="9" type="noConversion"/>
  </si>
  <si>
    <t>2x8 SU-MIMO, Codebook based, OFDMA</t>
    <phoneticPr fontId="9" type="noConversion"/>
  </si>
  <si>
    <r>
      <t xml:space="preserve">2x16 MU-MIMO, Codebook based, </t>
    </r>
    <r>
      <rPr>
        <sz val="10"/>
        <rFont val="Arial"/>
        <family val="2"/>
      </rPr>
      <t>OFDMA</t>
    </r>
    <phoneticPr fontId="9" type="noConversion"/>
  </si>
  <si>
    <t>2x8 SU-MIMO, Codebook based, DFT-S-OFDM</t>
    <phoneticPr fontId="9" type="noConversion"/>
  </si>
  <si>
    <r>
      <t xml:space="preserve">8x4 MU-MIMO </t>
    </r>
    <r>
      <rPr>
        <sz val="10"/>
        <rFont val="Arial"/>
        <family val="2"/>
      </rPr>
      <t>advanced CSI codebook</t>
    </r>
    <phoneticPr fontId="9" type="noConversion"/>
  </si>
  <si>
    <r>
      <t xml:space="preserve">16x2 MU-MIMO </t>
    </r>
    <r>
      <rPr>
        <sz val="10"/>
        <rFont val="Arial"/>
        <family val="2"/>
      </rPr>
      <t>advanced CSI codebook</t>
    </r>
    <phoneticPr fontId="9" type="noConversion"/>
  </si>
  <si>
    <r>
      <t xml:space="preserve">2x16 MU-MIMO, </t>
    </r>
    <r>
      <rPr>
        <sz val="10"/>
        <rFont val="Arial"/>
        <family val="2"/>
      </rPr>
      <t xml:space="preserve">Codebook based, </t>
    </r>
    <r>
      <rPr>
        <sz val="10"/>
        <rFont val="Arial"/>
        <family val="2"/>
      </rPr>
      <t>OFDMA</t>
    </r>
    <phoneticPr fontId="9" type="noConversion"/>
  </si>
  <si>
    <r>
      <t xml:space="preserve">2x8 SU-MIMO, </t>
    </r>
    <r>
      <rPr>
        <sz val="10"/>
        <rFont val="Arial"/>
        <family val="2"/>
      </rPr>
      <t>Codebook based, DFT-S-OFDM</t>
    </r>
    <phoneticPr fontId="9" type="noConversion"/>
  </si>
  <si>
    <r>
      <t xml:space="preserve">8x64 SU-MIMO, Codebook based, </t>
    </r>
    <r>
      <rPr>
        <sz val="10"/>
        <rFont val="Arial"/>
        <family val="2"/>
      </rPr>
      <t>DFT-S-OFDM</t>
    </r>
    <phoneticPr fontId="9" type="noConversion"/>
  </si>
  <si>
    <r>
      <t xml:space="preserve">2x8 SU-MIMO, </t>
    </r>
    <r>
      <rPr>
        <sz val="10"/>
        <rFont val="Arial"/>
        <family val="2"/>
      </rPr>
      <t>Codebook based, DFT-S-</t>
    </r>
    <r>
      <rPr>
        <sz val="10"/>
        <rFont val="Arial"/>
        <family val="2"/>
      </rPr>
      <t>OFDM</t>
    </r>
    <phoneticPr fontId="9" type="noConversion"/>
  </si>
  <si>
    <t>DSUDD</t>
    <phoneticPr fontId="9" type="noConversion"/>
  </si>
  <si>
    <t>Non-precoded CSI-RS  based</t>
    <phoneticPr fontId="9" type="noConversion"/>
  </si>
  <si>
    <t xml:space="preserve">CQI: every 5 subframes; RI: every 5 subframes, CRI: every 5 subframes; PMI: every 5 subframes; 
Subband based </t>
    <phoneticPr fontId="9" type="noConversion"/>
  </si>
  <si>
    <t>For UE 2 Tx ports: Non-precoded SRS, 2 SRS ports (with 2 SRS resources), 5ms period</t>
    <phoneticPr fontId="9" type="noConversion"/>
  </si>
  <si>
    <t>For 8T: (M,N,P,Mg,Ng; Mp,Np) = (8,4,2,1,1;1,4);
(dH, dV)=(0.5, 0.8)λ</t>
    <phoneticPr fontId="9" type="noConversion"/>
  </si>
  <si>
    <t>Up to 4 layers</t>
    <phoneticPr fontId="9" type="noConversion"/>
  </si>
  <si>
    <t>For UE 4 Tx ports: Non-precoded SRS, 4 SRS ports (with 4 SRS resources),
2 symbols in special slot for SRS,
8 PRBs per symbol</t>
    <phoneticPr fontId="9" type="noConversion"/>
  </si>
  <si>
    <t>For UE 4 Tx ports: Non-precoded SRS, 5ms period</t>
    <phoneticPr fontId="9" type="noConversion"/>
  </si>
  <si>
    <t>For 32T: (M,N,P,Mg,Ng; Mp,Np) = (8,8,2,1,1;2,8);
(dH, dV)=(0.5, 0.8)λ</t>
    <phoneticPr fontId="9" type="noConversion"/>
  </si>
  <si>
    <t>Aligned with reference</t>
    <phoneticPr fontId="9" type="noConversion"/>
  </si>
  <si>
    <t>LTE TDD</t>
    <phoneticPr fontId="9" type="noConversion"/>
  </si>
  <si>
    <t>For 4Rx: Up to 4 layers;</t>
    <phoneticPr fontId="9" type="noConversion"/>
  </si>
  <si>
    <t>For UE 4 Tx ports: Non-precoded SRS,  5ms period</t>
    <phoneticPr fontId="9" type="noConversion"/>
  </si>
  <si>
    <t>For 4R: (M,N,P,Mg,Ng; Mp,Np) = (1,2,2,1,1; 1,2);</t>
    <phoneticPr fontId="9" type="noConversion"/>
  </si>
  <si>
    <t>SU-CQI; CSI-IM for inter-cell interference measurement</t>
    <phoneticPr fontId="9" type="noConversion"/>
  </si>
  <si>
    <t>Frequency Range 1 - FDD (LTE)</t>
    <phoneticPr fontId="9" type="noConversion"/>
  </si>
  <si>
    <t>Total bandwidth</t>
  </si>
  <si>
    <t>Guard band ratio</t>
    <phoneticPr fontId="9" type="noConversion"/>
  </si>
  <si>
    <t>PSS/SSS</t>
    <phoneticPr fontId="9" type="noConversion"/>
  </si>
  <si>
    <t>PBCH</t>
    <phoneticPr fontId="9" type="noConversion"/>
  </si>
  <si>
    <t>CRS</t>
    <phoneticPr fontId="9" type="noConversion"/>
  </si>
  <si>
    <t>CATT</t>
    <phoneticPr fontId="51" type="noConversion"/>
  </si>
  <si>
    <t>Frequency Range 1 - TDD (LTE)</t>
    <phoneticPr fontId="9" type="noConversion"/>
  </si>
  <si>
    <t>Guard band ratio</t>
    <phoneticPr fontId="9" type="noConversion"/>
  </si>
  <si>
    <t>PSS/SSS</t>
    <phoneticPr fontId="9" type="noConversion"/>
  </si>
  <si>
    <t>PBCH</t>
    <phoneticPr fontId="9" type="noConversion"/>
  </si>
  <si>
    <t>CRS</t>
    <phoneticPr fontId="9" type="noConversion"/>
  </si>
  <si>
    <t>GP(50%)</t>
    <phoneticPr fontId="9" type="noConversion"/>
  </si>
  <si>
    <t>Huawei</t>
    <phoneticPr fontId="9" type="noConversion"/>
  </si>
  <si>
    <t>DSUDD ;S(10D,2G,2U)</t>
    <phoneticPr fontId="9" type="noConversion"/>
  </si>
  <si>
    <t>CATT</t>
    <phoneticPr fontId="9" type="noConversion"/>
  </si>
  <si>
    <t>DSUUD ;S(11D,1G,2U)</t>
    <phoneticPr fontId="9" type="noConversion"/>
  </si>
  <si>
    <t>Huawei</t>
    <phoneticPr fontId="51" type="noConversion"/>
  </si>
  <si>
    <t>16T2R/32T4R</t>
    <phoneticPr fontId="51" type="noConversion"/>
  </si>
  <si>
    <t>8T2R/8T4R</t>
    <phoneticPr fontId="9" type="noConversion"/>
  </si>
  <si>
    <t>64T2R</t>
    <phoneticPr fontId="9" type="noConversion"/>
  </si>
  <si>
    <t>32T4R</t>
    <phoneticPr fontId="9" type="noConversion"/>
  </si>
  <si>
    <r>
      <t>C</t>
    </r>
    <r>
      <rPr>
        <sz val="10"/>
        <color theme="9" tint="-0.249977111117893"/>
        <rFont val="Arial"/>
        <family val="2"/>
      </rPr>
      <t>hina Telecom</t>
    </r>
    <phoneticPr fontId="9" type="noConversion"/>
  </si>
  <si>
    <t>8T4R/32T4R</t>
    <phoneticPr fontId="9" type="noConversion"/>
  </si>
  <si>
    <t>DSUDD</t>
    <phoneticPr fontId="9" type="noConversion"/>
  </si>
  <si>
    <t>eNB: (M,N,P,Mg,Ng; Mp,Np) = (8,8,2,1,1;2,8)</t>
    <phoneticPr fontId="9" type="noConversion"/>
  </si>
  <si>
    <t>eNB: (M,N,P,Mg,Ng; Mp,Np) = (4,32,2,1,1;1,32)</t>
    <phoneticPr fontId="9" type="noConversion"/>
  </si>
  <si>
    <t>LTE</t>
    <phoneticPr fontId="9" type="noConversion"/>
  </si>
  <si>
    <t>eNB: (M,N,P,Mg,Ng; Mp,Np) = (8,4,2,1,1;1,4)</t>
    <phoneticPr fontId="9" type="noConversion"/>
  </si>
  <si>
    <t>gNB: (M,N,P,Mg,Ng; Mp,Np) = (8,8,2,1,1;2,8)</t>
    <phoneticPr fontId="9" type="noConversion"/>
  </si>
  <si>
    <t>eNB: (M,N,P,Mg,Ng; Mp,Np) = (12,8,2,1,1;4,8)</t>
    <phoneticPr fontId="9" type="noConversion"/>
  </si>
  <si>
    <t>eNB: (M,N,P,Mg,Ng; Mp,Np) = (8,8,2,1,1;1,8)</t>
    <phoneticPr fontId="9" type="noConversion"/>
  </si>
  <si>
    <t>eNB: (M,N,P,Mg,Ng; Mp,Np) = (8,4,2,1,1;1,4);</t>
    <phoneticPr fontId="9" type="noConversion"/>
  </si>
  <si>
    <t>eNB: (M,N,P,Mg,Ng; Mp,Np) = (4,8,2,1,1;1,8)</t>
    <phoneticPr fontId="9" type="noConversion"/>
  </si>
  <si>
    <t>DDDDDDDSUU; S (6D,4G,4U)</t>
    <phoneticPr fontId="39" type="noConversion"/>
  </si>
  <si>
    <t>DDDDDDDSUU; S (6D,4G,4U)</t>
    <phoneticPr fontId="39" type="noConversion"/>
  </si>
  <si>
    <t>DDDSU; S (10D,2G,2U)</t>
    <phoneticPr fontId="9" type="noConversion"/>
  </si>
  <si>
    <t>DDDSUDDSUU;S(10D,2G,2U)</t>
    <phoneticPr fontId="9" type="noConversion"/>
  </si>
  <si>
    <t>15 kHz SCS,
14 OFDM symbol per subframe</t>
    <phoneticPr fontId="9" type="noConversion"/>
  </si>
  <si>
    <t>Up to 8 layers for 8Tx;</t>
    <phoneticPr fontId="9" type="noConversion"/>
  </si>
  <si>
    <t>Up to 12 layers</t>
    <phoneticPr fontId="9" type="noConversion"/>
  </si>
  <si>
    <t>At least N+4</t>
    <phoneticPr fontId="9" type="noConversion"/>
  </si>
  <si>
    <t>1. Add LTE results for Rural A and Rural C test environments.
2. Update UL channel estimation and DMRS overhead taking into account the tradeoff between the DMRS overhead and the accuracy of channel estimation.</t>
  </si>
  <si>
    <t>1. Update the overhead calculation according to the agreed GP/PDCCH/PUCCH assumption in the overhead sheet.
2. Update the spectral efficiency results according to the adjusted overhead.</t>
  </si>
  <si>
    <t>Note: OH1 is the original overhead provided by each company. OH2 is the adjusted overhead according to the agreed GP and PDCCH assumption. OH3 and OH4 is the further adjusted overhead for the larger bandwidth taking into account the guard band ratio and PDCCH overhead reduction.</t>
  </si>
  <si>
    <t>Note: OH1 is the original overhead provided by each company. OH2 is the adjusted overhead according to the agreed GP and PUCCH assumption.</t>
  </si>
  <si>
    <t>This is a temp version used to update the results after the first submission. The ideal channel estimation results are updated marked by green color. The results for the existing configuration are updated marked by purple color. The results for the new configuration are updated marked by orange color. The values marked by red color are still needed to be further updated by contributors.</t>
    <phoneticPr fontId="9" type="noConversion"/>
  </si>
  <si>
    <t>Update the frame structure DDDSU and the overhead calculation for Ericsson. The SE results are also updated.</t>
    <phoneticPr fontId="9" type="noConversion"/>
  </si>
  <si>
    <t>Non-precoded CSI-RS  based</t>
    <phoneticPr fontId="9" type="noConversion"/>
  </si>
  <si>
    <t xml:space="preserve"> -- For non-precoded CSI-RS, LTE advanced CSI codebook based;</t>
    <phoneticPr fontId="9" type="noConversion"/>
  </si>
  <si>
    <t xml:space="preserve"> -- For non-precoded CSI-RS, LTE advanced CSI codebook based</t>
    <phoneticPr fontId="9" type="noConversion"/>
  </si>
  <si>
    <t xml:space="preserve"> -- For non-precoded CSI-RS, LTE advanced CSI codebook based</t>
    <phoneticPr fontId="9" type="noConversion"/>
  </si>
  <si>
    <t>46_r2</t>
  </si>
  <si>
    <r>
      <t>2018.</t>
    </r>
    <r>
      <rPr>
        <sz val="10"/>
        <rFont val="Arial"/>
        <family val="2"/>
      </rPr>
      <t>5</t>
    </r>
    <r>
      <rPr>
        <sz val="10"/>
        <rFont val="Arial"/>
        <family val="2"/>
      </rPr>
      <t>.</t>
    </r>
    <r>
      <rPr>
        <sz val="10"/>
        <rFont val="Arial"/>
        <family val="2"/>
      </rPr>
      <t>07</t>
    </r>
    <phoneticPr fontId="9" type="noConversion"/>
  </si>
  <si>
    <t>China Telecom</t>
    <phoneticPr fontId="9" type="noConversion"/>
  </si>
  <si>
    <t>2019.5.07</t>
  </si>
  <si>
    <t>Update simulation assumptions in red; Update simulation results and mark as non-ideal in orange.</t>
  </si>
  <si>
    <t>DDDDDDDSUU; S (6D,4G,4U)</t>
    <phoneticPr fontId="9" type="noConversion"/>
  </si>
  <si>
    <t>DDDDDDDSUU; S (6D,4G,4U)</t>
    <phoneticPr fontId="9" type="noConversion"/>
  </si>
  <si>
    <t>DDDDDDDSUU</t>
  </si>
  <si>
    <t>SU-MIMO with rank 1</t>
  </si>
  <si>
    <t>For 4 Tx: 1 layer</t>
  </si>
  <si>
    <t>For UE 2 Tx ports: Non-precoded SRS</t>
  </si>
  <si>
    <t>For 2T: SU-MIMO with rank 1</t>
  </si>
  <si>
    <t>2019.5.13</t>
  </si>
  <si>
    <t>46_r4</t>
    <phoneticPr fontId="9" type="noConversion"/>
  </si>
  <si>
    <t>NR TDD</t>
    <phoneticPr fontId="9" type="noConversion"/>
  </si>
  <si>
    <t>TDD</t>
    <phoneticPr fontId="9" type="noConversion"/>
  </si>
  <si>
    <t>DSUUD
DDDSU</t>
    <phoneticPr fontId="9" type="noConversion"/>
  </si>
  <si>
    <t>Non-ideal</t>
    <phoneticPr fontId="9" type="noConversion"/>
  </si>
  <si>
    <t>DSUUD; S  (11D,1G,2U)</t>
    <phoneticPr fontId="39" type="noConversion"/>
  </si>
  <si>
    <t>DDDSU; S (10D,2G,2U)</t>
    <phoneticPr fontId="39" type="noConversion"/>
  </si>
  <si>
    <t xml:space="preserve">8T2R </t>
    <phoneticPr fontId="9" type="noConversion"/>
  </si>
  <si>
    <t xml:space="preserve">16T4R </t>
    <phoneticPr fontId="9" type="noConversion"/>
  </si>
  <si>
    <t xml:space="preserve">8T4R </t>
    <phoneticPr fontId="9" type="noConversion"/>
  </si>
  <si>
    <t>NTT DOCOMO</t>
    <phoneticPr fontId="39" type="noConversion"/>
  </si>
  <si>
    <t>32T4R DSUUD; S (11D,1G,2U)</t>
    <phoneticPr fontId="51" type="noConversion"/>
  </si>
  <si>
    <t>32T4R  DDDSU; S (10D,2G,2U)</t>
    <phoneticPr fontId="51" type="noConversion"/>
  </si>
  <si>
    <t>DDDSU</t>
    <phoneticPr fontId="9" type="noConversion"/>
  </si>
  <si>
    <t>NR</t>
    <phoneticPr fontId="9" type="noConversion"/>
  </si>
  <si>
    <t>16x4 MU-MIMO,  4T SRS</t>
    <phoneticPr fontId="9" type="noConversion"/>
  </si>
  <si>
    <t>15 kHz SCS</t>
    <phoneticPr fontId="9" type="noConversion"/>
  </si>
  <si>
    <t>4x16 SU-MIMO, Non-codebook based, OFDMA</t>
    <phoneticPr fontId="9" type="noConversion"/>
  </si>
  <si>
    <t>4x8 SU-MIMO, Non-codebook based, OFDMA</t>
    <phoneticPr fontId="9" type="noConversion"/>
  </si>
  <si>
    <t>DSUUD</t>
    <phoneticPr fontId="9" type="noConversion"/>
  </si>
  <si>
    <t>Update DL_OH parameter ; Update overhead in DL_OH; Update simulation results for downlink.</t>
    <phoneticPr fontId="9" type="noConversion"/>
  </si>
  <si>
    <t>2019.5.16</t>
    <phoneticPr fontId="9" type="noConversion"/>
  </si>
  <si>
    <t>46_r5</t>
    <phoneticPr fontId="9" type="noConversion"/>
  </si>
  <si>
    <r>
      <rPr>
        <sz val="9"/>
        <color theme="9" tint="-0.249977111117893"/>
        <rFont val="Arial"/>
        <family val="2"/>
      </rPr>
      <t>8</t>
    </r>
    <r>
      <rPr>
        <sz val="9"/>
        <rFont val="Arial"/>
        <family val="2"/>
      </rPr>
      <t xml:space="preserve"> SSB / 20ms</t>
    </r>
    <phoneticPr fontId="9" type="noConversion"/>
  </si>
  <si>
    <t>8T2R</t>
    <phoneticPr fontId="9" type="noConversion"/>
  </si>
  <si>
    <t>8T4R</t>
    <phoneticPr fontId="9" type="noConversion"/>
  </si>
  <si>
    <r>
      <t>46_</t>
    </r>
    <r>
      <rPr>
        <sz val="10"/>
        <rFont val="Arial"/>
        <family val="2"/>
      </rPr>
      <t>r</t>
    </r>
    <r>
      <rPr>
        <sz val="10"/>
        <rFont val="Arial"/>
        <family val="2"/>
      </rPr>
      <t>3</t>
    </r>
    <phoneticPr fontId="9" type="noConversion"/>
  </si>
  <si>
    <t>2019.5.16</t>
  </si>
  <si>
    <t>vivo</t>
  </si>
  <si>
    <t>Add DL and UL results for 700MHz and 4GHz.</t>
  </si>
  <si>
    <t>Up to 12 layers for 16Tx;</t>
  </si>
  <si>
    <t>For 16T: (M,N,P,Mg,Ng; Mp,Np) = (8,4,2,1,1;2,4);
(dH, dV)=(0.5, 0.8)λ</t>
  </si>
  <si>
    <t>SIMO or SU-MIMO with rank adaptation</t>
  </si>
  <si>
    <t>For 1T:  (M,N,P,Mg,Ng; Mp,Np)= (1,1,1,1,1; 1,1);
For 2T:  (M,N,P,Mg,Ng; Mp,Np)=  (1,1,2,1,1; 1,1)
(dH, dV)=( N/A, N/A)λ</t>
  </si>
  <si>
    <t>vivo</t>
    <phoneticPr fontId="9" type="noConversion"/>
  </si>
  <si>
    <t>16T2R</t>
    <phoneticPr fontId="9" type="noConversion"/>
  </si>
  <si>
    <t>NR TDD</t>
    <phoneticPr fontId="9" type="noConversion"/>
  </si>
  <si>
    <t>NR FDD</t>
    <phoneticPr fontId="9" type="noConversion"/>
  </si>
  <si>
    <t>LTE TDD</t>
    <phoneticPr fontId="9" type="noConversion"/>
  </si>
  <si>
    <t>15 kHz SCS,
14 OFDM symbol slot</t>
    <phoneticPr fontId="9" type="noConversion"/>
  </si>
  <si>
    <t>closed SU-MIMO adaptation</t>
    <phoneticPr fontId="9" type="noConversion"/>
  </si>
  <si>
    <t>N/A</t>
    <phoneticPr fontId="9" type="noConversion"/>
  </si>
  <si>
    <t>NR TDD</t>
    <phoneticPr fontId="9" type="noConversion"/>
  </si>
  <si>
    <t>15 kHz SCS,
14 OFDM symbol slot</t>
    <phoneticPr fontId="9" type="noConversion"/>
  </si>
  <si>
    <t>DDDSU;</t>
    <phoneticPr fontId="9" type="noConversion"/>
  </si>
  <si>
    <t>2 SRS ports : Non-precoded SRS, 
2 symbols for SRS in every 5 slots,</t>
    <phoneticPr fontId="9" type="noConversion"/>
  </si>
  <si>
    <t>15 kHz SCS,
14 OFDM symbol slot</t>
    <phoneticPr fontId="9" type="noConversion"/>
  </si>
  <si>
    <t>closed SU-MIMO adaptation</t>
    <phoneticPr fontId="9" type="noConversion"/>
  </si>
  <si>
    <t>For UE 4 Tx ports: Non-precoded SRS, 4 SRS ports (with 4 SRS resources),
4 symbols per 5 slots;</t>
    <phoneticPr fontId="9" type="noConversion"/>
  </si>
  <si>
    <t xml:space="preserve">CQI: every 5 slot; RI: every 5 slot;
Subband based </t>
    <phoneticPr fontId="9" type="noConversion"/>
  </si>
  <si>
    <t>For UE 2 Tx ports: Non-precoded SRS, 2 SRS ports (with 2 SRS resources),
4 symbols per 5 slots;</t>
    <phoneticPr fontId="9" type="noConversion"/>
  </si>
  <si>
    <t>For UE 2 Tx ports: Non-precoded SRS, 2 SRS ports (with 2 SRS resources),
2 symbols per 5 slots;</t>
    <phoneticPr fontId="9" type="noConversion"/>
  </si>
  <si>
    <t xml:space="preserve">CQI: every 5 slot; RI: every 5 slot, 
Subband based </t>
    <phoneticPr fontId="9" type="noConversion"/>
  </si>
  <si>
    <t>15kHz SCS,
14 OFDM symbol slot</t>
    <phoneticPr fontId="9" type="noConversion"/>
  </si>
  <si>
    <t>Precoded CSI-RS based , non PMI</t>
    <phoneticPr fontId="9" type="noConversion"/>
  </si>
  <si>
    <t>For 8T:  (M,N,P,Mg,Ng; Mp,Np) = (8,4,2,1,1;1,4)
(dH, dV)=(0.5, 0.8)λ;</t>
    <phoneticPr fontId="9" type="noConversion"/>
  </si>
  <si>
    <t>For UE 4 Tx ports: Non-precoded SRS, 4 SRS ports (with 4 SRS resources)
2 symbols per 5 slots for 30kHz SCS;
4 symbols per 5 slots for 15kHz SCS;</t>
    <phoneticPr fontId="9" type="noConversion"/>
  </si>
  <si>
    <t>For UE 4 Tx ports: Non-precoded SRS, 4 SRS ports (with 4 SRS resources)
4 symbols per 5 slots for 15kHz SCS;</t>
    <phoneticPr fontId="9" type="noConversion"/>
  </si>
  <si>
    <t xml:space="preserve">CQI: every 5 slot; RI: every 5 slot, 
Subband based </t>
    <phoneticPr fontId="9" type="noConversion"/>
  </si>
  <si>
    <t>The next available UL slot</t>
    <phoneticPr fontId="9" type="noConversion"/>
  </si>
  <si>
    <t>The next available UL slot</t>
    <phoneticPr fontId="9" type="noConversion"/>
  </si>
  <si>
    <t>P0=-95, alpha = 0.8</t>
    <phoneticPr fontId="9" type="noConversion"/>
  </si>
  <si>
    <t>Next available UL slot after reiving retransmission indication</t>
    <phoneticPr fontId="9" type="noConversion"/>
  </si>
  <si>
    <t>Next available UL slot after reiving retransmission indication</t>
    <phoneticPr fontId="9" type="noConversion"/>
  </si>
  <si>
    <t>Next available UL slot after reiving retransmission indication</t>
    <phoneticPr fontId="9" type="noConversion"/>
  </si>
  <si>
    <t>ITRI</t>
    <phoneticPr fontId="9" type="noConversion"/>
  </si>
  <si>
    <t>8T2R</t>
    <phoneticPr fontId="9" type="noConversion"/>
  </si>
  <si>
    <t>NR TDD</t>
    <phoneticPr fontId="9" type="noConversion"/>
  </si>
  <si>
    <t>10*4ports per 5 slots for 4Rx</t>
    <phoneticPr fontId="9" type="noConversion"/>
  </si>
  <si>
    <t>10*4ports per 5 slots for 4Rx</t>
    <phoneticPr fontId="9" type="noConversion"/>
  </si>
  <si>
    <r>
      <t xml:space="preserve">Type </t>
    </r>
    <r>
      <rPr>
        <sz val="9"/>
        <rFont val="宋体"/>
        <family val="3"/>
        <charset val="134"/>
      </rPr>
      <t>Ⅱ，</t>
    </r>
    <r>
      <rPr>
        <sz val="9"/>
        <rFont val="Arial"/>
        <family val="2"/>
      </rPr>
      <t>24RE/PRB/slot</t>
    </r>
    <phoneticPr fontId="9" type="noConversion"/>
  </si>
  <si>
    <t>NR FDD</t>
    <phoneticPr fontId="9" type="noConversion"/>
  </si>
  <si>
    <t>4 PRBs, 14 OS</t>
    <phoneticPr fontId="9" type="noConversion"/>
  </si>
  <si>
    <t>2 PRBs and 14 OS for 30kHz SCS for the slots without SRS transmission;
4 PRBs and 14 OS for 15kHz  SCS for the slots without SRS transmission</t>
    <phoneticPr fontId="9" type="noConversion"/>
  </si>
  <si>
    <t>4 PRBs and 14 OS for 15kHz  SCS for the slots without SRS transmission</t>
    <phoneticPr fontId="9" type="noConversion"/>
  </si>
  <si>
    <t>2 symbols per 5 slots</t>
    <phoneticPr fontId="9" type="noConversion"/>
  </si>
  <si>
    <t>Type II, 2  symbols (including one additional DMRS symbol), multiplexing with PUSCH</t>
    <phoneticPr fontId="9" type="noConversion"/>
  </si>
  <si>
    <t>DDDSU;S(10D,2G,2U)</t>
    <phoneticPr fontId="9" type="noConversion"/>
  </si>
  <si>
    <t>DSUUD; S  (11D,1G,2U)</t>
    <phoneticPr fontId="39" type="noConversion"/>
  </si>
  <si>
    <t>Type II dynamic;
For 8Tx: , Up to 8 ports;</t>
    <phoneticPr fontId="9" type="noConversion"/>
  </si>
  <si>
    <t>DDDSU;S(10D,2G,2U)</t>
    <phoneticPr fontId="9" type="noConversion"/>
  </si>
  <si>
    <t>DDDSU;S(10D,2G,2U)</t>
    <phoneticPr fontId="9" type="noConversion"/>
  </si>
  <si>
    <t>ITRI</t>
    <phoneticPr fontId="9" type="noConversion"/>
  </si>
  <si>
    <r>
      <t>2</t>
    </r>
    <r>
      <rPr>
        <sz val="10"/>
        <rFont val="Arial"/>
        <family val="2"/>
      </rPr>
      <t>019.5.17</t>
    </r>
    <phoneticPr fontId="9" type="noConversion"/>
  </si>
  <si>
    <r>
      <t>I</t>
    </r>
    <r>
      <rPr>
        <sz val="10"/>
        <rFont val="Arial"/>
        <family val="2"/>
      </rPr>
      <t>TRI</t>
    </r>
    <phoneticPr fontId="9" type="noConversion"/>
  </si>
  <si>
    <t>Update simulation assumptions of UL_Para_700MHz and UL_Para_4GHz; Update overhead in UL_OH; Update simulation results for uplink.</t>
    <phoneticPr fontId="9" type="noConversion"/>
  </si>
  <si>
    <t>add TDD results under non-ideal channel estimation</t>
    <phoneticPr fontId="9" type="noConversion"/>
  </si>
  <si>
    <r>
      <t>Add TDD simulation assumptions of D</t>
    </r>
    <r>
      <rPr>
        <sz val="10"/>
        <rFont val="Arial"/>
        <family val="2"/>
      </rPr>
      <t>L_Para_700MHz</t>
    </r>
    <r>
      <rPr>
        <sz val="10"/>
        <rFont val="Arial"/>
        <family val="2"/>
      </rPr>
      <t>,</t>
    </r>
    <r>
      <rPr>
        <sz val="10"/>
        <rFont val="Arial"/>
        <family val="2"/>
      </rPr>
      <t xml:space="preserve"> </t>
    </r>
    <r>
      <rPr>
        <sz val="10"/>
        <rFont val="Arial"/>
        <family val="2"/>
      </rPr>
      <t>UL_Para_700MHz,</t>
    </r>
    <r>
      <rPr>
        <sz val="10"/>
        <rFont val="Arial"/>
        <family val="2"/>
      </rPr>
      <t xml:space="preserve"> </t>
    </r>
    <r>
      <rPr>
        <sz val="10"/>
        <rFont val="Arial"/>
        <family val="2"/>
      </rPr>
      <t>D</t>
    </r>
    <r>
      <rPr>
        <sz val="10"/>
        <rFont val="Arial"/>
        <family val="2"/>
      </rPr>
      <t>L_Para_4GHz</t>
    </r>
    <r>
      <rPr>
        <sz val="10"/>
        <rFont val="Arial"/>
        <family val="2"/>
      </rPr>
      <t>,DL_Para_LMLC, UL_Para_LMLC</t>
    </r>
    <r>
      <rPr>
        <sz val="10"/>
        <rFont val="Arial"/>
        <family val="2"/>
      </rPr>
      <t xml:space="preserve">; </t>
    </r>
    <r>
      <rPr>
        <sz val="10"/>
        <rFont val="Arial"/>
        <family val="2"/>
      </rPr>
      <t>Add</t>
    </r>
    <r>
      <rPr>
        <sz val="10"/>
        <rFont val="Arial"/>
        <family val="2"/>
      </rPr>
      <t xml:space="preserve"> overhead in </t>
    </r>
    <r>
      <rPr>
        <sz val="10"/>
        <rFont val="Arial"/>
        <family val="2"/>
      </rPr>
      <t xml:space="preserve">DL_OH and </t>
    </r>
    <r>
      <rPr>
        <sz val="10"/>
        <rFont val="Arial"/>
        <family val="2"/>
      </rPr>
      <t xml:space="preserve">UL_OH; Update simulation results for </t>
    </r>
    <r>
      <rPr>
        <sz val="10"/>
        <rFont val="Arial"/>
        <family val="2"/>
      </rPr>
      <t>FDD.Add TDD results under non-ideal channel estimation.</t>
    </r>
    <phoneticPr fontId="9" type="noConversion"/>
  </si>
  <si>
    <t>46_r6</t>
    <phoneticPr fontId="9" type="noConversion"/>
  </si>
  <si>
    <t>46_r7</t>
    <phoneticPr fontId="9" type="noConversion"/>
  </si>
  <si>
    <t>2019.5.17</t>
  </si>
  <si>
    <t>46_r8</t>
  </si>
  <si>
    <t>Updated results and parameters</t>
  </si>
  <si>
    <t>For 8T: (M,N,P,Mg,Ng; Mp,Np) = (8,4,2,1,1;1,4);
(dH, dV)=(0.5, 0.8)λ</t>
  </si>
  <si>
    <t>Radio-distance based</t>
  </si>
  <si>
    <t>For UE 2 Tx ports: Non-precoded SRS, 2 SRS ports (with 2 SRS resources),
2 symbols for SRS,
8 PRBs per symbol</t>
  </si>
  <si>
    <t>For UE 4 Tx ports: Non-precoded SRS, 4 SRS ports, 2 symbols per 5 slots;</t>
  </si>
  <si>
    <t>For UE 4 Tx ports: Non-precoded SRS, 4 SRS ports (with 4 SRS resources);
2 symbols for SRS in every 5 slots,
8 PRBs per symbol</t>
  </si>
  <si>
    <t xml:space="preserve">For 4T: (M,N,P,Mg,Ng; Mp,Np) =  (1,2,2,1,1; 1,2)
dH, dV)=( 0.5, N/A)λ;
</t>
  </si>
  <si>
    <t>For UE 4 Tx ports: Non-precoded SRS, 4 SRS ports,
2 symbols per 5 slots</t>
  </si>
  <si>
    <t>5 slots period;
8 ports for 8Tx; 
32 ports for 32Tx</t>
  </si>
  <si>
    <t>Type II, 24RE/PRB/slot</t>
  </si>
  <si>
    <t>2 PRBs and 14 OS for the slots without SRS transmission, and 14-number of slots for SRS when SRS is used</t>
  </si>
  <si>
    <t xml:space="preserve">Type II, 2  symbols </t>
  </si>
  <si>
    <t>8T2R/8T4R</t>
    <phoneticPr fontId="9" type="noConversion"/>
  </si>
  <si>
    <r>
      <t>8x</t>
    </r>
    <r>
      <rPr>
        <sz val="10"/>
        <rFont val="Arial"/>
        <family val="2"/>
      </rPr>
      <t>2</t>
    </r>
    <r>
      <rPr>
        <sz val="10"/>
        <rFont val="Arial"/>
        <family val="2"/>
      </rPr>
      <t xml:space="preserve"> MU-MIMO,  </t>
    </r>
    <r>
      <rPr>
        <sz val="10"/>
        <rFont val="Arial"/>
        <family val="2"/>
      </rPr>
      <t>2</t>
    </r>
    <r>
      <rPr>
        <sz val="10"/>
        <rFont val="Arial"/>
        <family val="2"/>
      </rPr>
      <t>T SRS</t>
    </r>
    <phoneticPr fontId="9" type="noConversion"/>
  </si>
  <si>
    <t>8x2 MU-MIMO,  2T SRS</t>
    <phoneticPr fontId="9" type="noConversion"/>
  </si>
  <si>
    <t xml:space="preserve">Up to 8 layers for 8Tx;
</t>
    <phoneticPr fontId="9" type="noConversion"/>
  </si>
  <si>
    <t xml:space="preserve">For 8T: (M,N,P,Mg,Ng; Mp,Np) = (8,4,2,1,1;1,4);
</t>
    <phoneticPr fontId="9" type="noConversion"/>
  </si>
  <si>
    <t>CEWiT</t>
    <phoneticPr fontId="9" type="noConversion"/>
  </si>
  <si>
    <t>For 2Rx: Up to 2 layers</t>
    <phoneticPr fontId="9" type="noConversion"/>
  </si>
  <si>
    <t xml:space="preserve">For UE 2 Tx ports: Non-precoded SRS, 2 SRS ports,
</t>
    <phoneticPr fontId="9" type="noConversion"/>
  </si>
  <si>
    <r>
      <t xml:space="preserve">For </t>
    </r>
    <r>
      <rPr>
        <sz val="10"/>
        <rFont val="Arial"/>
        <family val="2"/>
      </rPr>
      <t>2</t>
    </r>
    <r>
      <rPr>
        <sz val="10"/>
        <rFont val="Arial"/>
        <family val="2"/>
      </rPr>
      <t>R, (M,N,P,Mg,Ng; Mp,Np) = (1,</t>
    </r>
    <r>
      <rPr>
        <sz val="10"/>
        <rFont val="Arial"/>
        <family val="2"/>
      </rPr>
      <t>1</t>
    </r>
    <r>
      <rPr>
        <sz val="10"/>
        <rFont val="Arial"/>
        <family val="2"/>
      </rPr>
      <t>,2,1,1; 1,</t>
    </r>
    <r>
      <rPr>
        <sz val="10"/>
        <rFont val="Arial"/>
        <family val="2"/>
      </rPr>
      <t>1</t>
    </r>
    <r>
      <rPr>
        <sz val="10"/>
        <rFont val="Arial"/>
        <family val="2"/>
      </rPr>
      <t>)
(dH, dV)=(0.5, N/A)λ</t>
    </r>
    <phoneticPr fontId="9" type="noConversion"/>
  </si>
  <si>
    <t>2019.5.22</t>
  </si>
  <si>
    <t>46_r9</t>
  </si>
  <si>
    <t>For UE 8 Tx ports: Non-precoded SRS, 2 SRS ports, 4 symbols per frame</t>
  </si>
  <si>
    <t>For UE 4Tx ports: Non-precoded SRS, 2 SRS ports
4 symbols every 10ms</t>
  </si>
  <si>
    <r>
      <t xml:space="preserve">32x8 MU-MIMO,  </t>
    </r>
    <r>
      <rPr>
        <sz val="10"/>
        <rFont val="Arial"/>
        <family val="2"/>
      </rPr>
      <t>2</t>
    </r>
    <r>
      <rPr>
        <sz val="10"/>
        <rFont val="Arial"/>
        <family val="2"/>
      </rPr>
      <t>T SRS</t>
    </r>
    <phoneticPr fontId="9" type="noConversion"/>
  </si>
  <si>
    <t>32x8 MU-MIMO,  2T SRS</t>
    <phoneticPr fontId="9" type="noConversion"/>
  </si>
  <si>
    <t>16x4 MU-MIMO,  2T SRS</t>
    <phoneticPr fontId="9" type="noConversion"/>
  </si>
  <si>
    <t>2019.5.23</t>
    <phoneticPr fontId="9" type="noConversion"/>
  </si>
  <si>
    <t>46_r10</t>
    <phoneticPr fontId="9" type="noConversion"/>
  </si>
  <si>
    <t>Update results (especially the results in large bandwidth) and parameters according to the new input in RAN1#97.</t>
    <phoneticPr fontId="9" type="noConversion"/>
  </si>
  <si>
    <t>2019.05.28</t>
  </si>
  <si>
    <t>46_r11</t>
  </si>
  <si>
    <t>Updated UL SE results based on Contiguous Scheduling</t>
  </si>
  <si>
    <t>Continuous RB allocation: follow TS 38.101 for FR1;Mean IOT&lt;10dB</t>
  </si>
  <si>
    <t>Continuous RB allocation: follow TS 38.101 for FR1; Mean IOT&lt;10dB</t>
  </si>
  <si>
    <t>2019.05.29</t>
    <phoneticPr fontId="9" type="noConversion"/>
  </si>
  <si>
    <t>44_r12</t>
    <phoneticPr fontId="9" type="noConversion"/>
  </si>
  <si>
    <r>
      <t>H</t>
    </r>
    <r>
      <rPr>
        <sz val="10"/>
        <rFont val="Arial"/>
        <family val="2"/>
      </rPr>
      <t>uawei</t>
    </r>
    <phoneticPr fontId="9" type="noConversion"/>
  </si>
  <si>
    <t>Update the averaged results. Some samples are not calculated into averaged results.</t>
  </si>
  <si>
    <t>2019.05.29</t>
  </si>
  <si>
    <t>44_r13</t>
  </si>
  <si>
    <t>Corrected Nokia's 4GHz DL LMLC results for both FDD and TDD.</t>
  </si>
  <si>
    <t>Ericsson</t>
    <phoneticPr fontId="9" type="noConversion"/>
  </si>
  <si>
    <t>8T2R/8T4R</t>
    <phoneticPr fontId="9" type="noConversion"/>
  </si>
  <si>
    <t>32T4R</t>
    <phoneticPr fontId="9" type="noConversion"/>
  </si>
  <si>
    <t>2019.05.31</t>
    <phoneticPr fontId="9" type="noConversion"/>
  </si>
  <si>
    <t>44_r14</t>
    <phoneticPr fontId="9" type="noConversion"/>
  </si>
  <si>
    <r>
      <t>U</t>
    </r>
    <r>
      <rPr>
        <sz val="10"/>
        <rFont val="Arial"/>
        <family val="2"/>
      </rPr>
      <t>pdate some formats.</t>
    </r>
    <phoneticPr fontId="9" type="noConversion"/>
  </si>
  <si>
    <t>vs. Req.</t>
    <phoneticPr fontId="9" type="noConversion"/>
  </si>
  <si>
    <t>GRET</t>
    <phoneticPr fontId="9" type="noConversion"/>
  </si>
  <si>
    <t>GRET</t>
    <phoneticPr fontId="9" type="noConversion"/>
  </si>
  <si>
    <t>--- N/A ---</t>
    <phoneticPr fontId="9" type="noConversion"/>
  </si>
  <si>
    <t>--- N/A ---</t>
    <phoneticPr fontId="9" type="noConversion"/>
  </si>
  <si>
    <t>--- N/A ---</t>
    <phoneticPr fontId="9" type="noConversion"/>
  </si>
  <si>
    <t>--- N/A ---</t>
    <phoneticPr fontId="9" type="noConversion"/>
  </si>
  <si>
    <t>GRET</t>
    <phoneticPr fontId="9" type="noConversion"/>
  </si>
  <si>
    <t>EQUL</t>
    <phoneticPr fontId="9" type="noConversion"/>
  </si>
  <si>
    <t>GRET</t>
    <phoneticPr fontId="9" type="noConversion"/>
  </si>
  <si>
    <t>GRET</t>
    <phoneticPr fontId="9" type="noConversion"/>
  </si>
  <si>
    <t>--- N/A ---</t>
    <phoneticPr fontId="9" type="noConversion"/>
  </si>
  <si>
    <t>--- N/A ---</t>
    <phoneticPr fontId="9" type="noConversion"/>
  </si>
  <si>
    <t>--- N/A ---</t>
    <phoneticPr fontId="9" type="noConversion"/>
  </si>
  <si>
    <t>--- N/A ---</t>
    <phoneticPr fontId="9" type="noConversion"/>
  </si>
  <si>
    <t>GRET</t>
    <phoneticPr fontId="9" type="noConversion"/>
  </si>
  <si>
    <t>--- N/A ---</t>
    <phoneticPr fontId="9" type="noConversion"/>
  </si>
  <si>
    <t>--- N/A ---</t>
    <phoneticPr fontId="9" type="noConversion"/>
  </si>
  <si>
    <t>GRET</t>
    <phoneticPr fontId="9" type="noConversion"/>
  </si>
  <si>
    <t>GRET</t>
    <phoneticPr fontId="9" type="noConversion"/>
  </si>
  <si>
    <t>GRET</t>
    <phoneticPr fontId="9" type="noConversion"/>
  </si>
  <si>
    <t>--- N/A ---</t>
    <phoneticPr fontId="9" type="noConversion"/>
  </si>
  <si>
    <t>GRET</t>
    <phoneticPr fontId="9" type="noConversion"/>
  </si>
  <si>
    <t>GRET</t>
    <phoneticPr fontId="9" type="noConversion"/>
  </si>
  <si>
    <t>--- N/A ---</t>
    <phoneticPr fontId="9" type="noConversion"/>
  </si>
  <si>
    <t>GRET</t>
    <phoneticPr fontId="9" type="noConversion"/>
  </si>
  <si>
    <t>--- N/A ---</t>
    <phoneticPr fontId="9" type="noConversion"/>
  </si>
  <si>
    <t>GRET</t>
    <phoneticPr fontId="9" type="noConversion"/>
  </si>
  <si>
    <t>vs. Req.</t>
    <phoneticPr fontId="9" type="noConversion"/>
  </si>
  <si>
    <t>--- N/A ---</t>
    <phoneticPr fontId="9" type="noConversion"/>
  </si>
  <si>
    <t>--- N/A ---</t>
    <phoneticPr fontId="9" type="noConversion"/>
  </si>
  <si>
    <t>--- N/A ---</t>
    <phoneticPr fontId="9" type="noConversion"/>
  </si>
  <si>
    <t>--- N/A ---</t>
    <phoneticPr fontId="9" type="noConversion"/>
  </si>
  <si>
    <t>GRET</t>
    <phoneticPr fontId="9" type="noConversion"/>
  </si>
  <si>
    <t>GRET</t>
    <phoneticPr fontId="9" type="noConversion"/>
  </si>
  <si>
    <t>GRET</t>
    <phoneticPr fontId="9" type="noConversion"/>
  </si>
  <si>
    <t>GRET</t>
    <phoneticPr fontId="9" type="noConversion"/>
  </si>
  <si>
    <t>--- N/A ---</t>
    <phoneticPr fontId="9" type="noConversion"/>
  </si>
  <si>
    <t>--- N/A ---</t>
    <phoneticPr fontId="9" type="noConversion"/>
  </si>
  <si>
    <t>--- N/A ---</t>
    <phoneticPr fontId="9" type="noConversion"/>
  </si>
  <si>
    <t>--- N/A ---</t>
    <phoneticPr fontId="9" type="noConversion"/>
  </si>
  <si>
    <t>LESS</t>
    <phoneticPr fontId="9" type="noConversion"/>
  </si>
  <si>
    <t>vs. Req.</t>
    <phoneticPr fontId="9" type="noConversion"/>
  </si>
  <si>
    <t>GRET</t>
    <phoneticPr fontId="9" type="noConversion"/>
  </si>
  <si>
    <t>EQUL</t>
    <phoneticPr fontId="9" type="noConversion"/>
  </si>
  <si>
    <t>GRET</t>
    <phoneticPr fontId="9" type="noConversion"/>
  </si>
  <si>
    <t>--- N/A ---</t>
    <phoneticPr fontId="9" type="noConversion"/>
  </si>
  <si>
    <t>--- N/A ---</t>
    <phoneticPr fontId="9" type="noConversion"/>
  </si>
  <si>
    <t>vs. Req.</t>
    <phoneticPr fontId="9" type="noConversion"/>
  </si>
  <si>
    <t>--- N/A ---</t>
    <phoneticPr fontId="9" type="noConversion"/>
  </si>
  <si>
    <t>GRET</t>
    <phoneticPr fontId="9" type="noConversion"/>
  </si>
  <si>
    <t>--- N/A ---</t>
    <phoneticPr fontId="9" type="noConversion"/>
  </si>
  <si>
    <t>--- N/A ---</t>
    <phoneticPr fontId="9" type="noConversion"/>
  </si>
  <si>
    <t>GRET</t>
    <phoneticPr fontId="9" type="noConversion"/>
  </si>
  <si>
    <t>vs. Req.</t>
    <phoneticPr fontId="9" type="noConversion"/>
  </si>
  <si>
    <t>--- N/A ---</t>
    <phoneticPr fontId="9" type="noConversion"/>
  </si>
  <si>
    <t>--- N/A ---</t>
    <phoneticPr fontId="9" type="noConversion"/>
  </si>
  <si>
    <t>--- N/A ---</t>
    <phoneticPr fontId="9" type="noConversion"/>
  </si>
  <si>
    <t>vs. Req.</t>
    <phoneticPr fontId="9" type="noConversion"/>
  </si>
  <si>
    <t>GRET</t>
    <phoneticPr fontId="9" type="noConversion"/>
  </si>
  <si>
    <t>GRET</t>
    <phoneticPr fontId="9" type="noConversion"/>
  </si>
  <si>
    <t>vs. Req.</t>
    <phoneticPr fontId="9" type="noConversion"/>
  </si>
  <si>
    <t>GRET</t>
    <phoneticPr fontId="9" type="noConversion"/>
  </si>
  <si>
    <t>GRET</t>
    <phoneticPr fontId="9" type="noConversion"/>
  </si>
  <si>
    <t>GRET</t>
    <phoneticPr fontId="9" type="noConversion"/>
  </si>
  <si>
    <t>GRET</t>
    <phoneticPr fontId="9" type="noConversion"/>
  </si>
  <si>
    <t>GRET</t>
    <phoneticPr fontId="9" type="noConversion"/>
  </si>
  <si>
    <t>--- N/A ---</t>
    <phoneticPr fontId="9" type="noConversion"/>
  </si>
  <si>
    <t>--- N/A ---</t>
    <phoneticPr fontId="9" type="noConversion"/>
  </si>
  <si>
    <t>GRET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</si>
</sst>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0_);[Red]\(0.000\)"/>
    <numFmt numFmtId="178" formatCode="0.000"/>
    <numFmt numFmtId="180" formatCode="0.000_ "/>
  </numFmts>
  <fonts count="60">
    <font>
      <sz val="10"/>
      <name val="Arial"/>
      <charset val="134"/>
    </font>
    <font>
      <sz val="10"/>
      <color rgb="FFFF0000"/>
      <name val="Arial"/>
      <family val="2"/>
    </font>
    <font>
      <b/>
      <sz val="10"/>
      <name val="Arial"/>
      <family val="2"/>
    </font>
    <font>
      <sz val="10"/>
      <color theme="1"/>
      <name val="Arial"/>
      <family val="2"/>
    </font>
    <font>
      <b/>
      <sz val="11"/>
      <color theme="1"/>
      <name val="ＭＳ Ｐゴシック"/>
      <family val="3"/>
      <charset val="134"/>
      <scheme val="minor"/>
    </font>
    <font>
      <sz val="11"/>
      <color theme="1"/>
      <name val="ＭＳ Ｐゴシック"/>
      <family val="3"/>
      <charset val="134"/>
      <scheme val="minor"/>
    </font>
    <font>
      <sz val="11"/>
      <color theme="1"/>
      <name val="ＭＳ Ｐゴシック"/>
      <family val="3"/>
      <charset val="134"/>
      <scheme val="minor"/>
    </font>
    <font>
      <sz val="11"/>
      <color rgb="FFC00000"/>
      <name val="Arial"/>
      <family val="2"/>
    </font>
    <font>
      <sz val="12"/>
      <name val="宋体"/>
      <family val="3"/>
      <charset val="134"/>
    </font>
    <font>
      <sz val="9"/>
      <name val="Arial"/>
      <family val="2"/>
    </font>
    <font>
      <b/>
      <sz val="9"/>
      <color rgb="FF0000FF"/>
      <name val="Arial"/>
      <family val="2"/>
    </font>
    <font>
      <b/>
      <sz val="11"/>
      <color rgb="FFFF0000"/>
      <name val="Arial"/>
      <family val="2"/>
    </font>
    <font>
      <sz val="9"/>
      <color theme="1"/>
      <name val="Arial"/>
      <family val="2"/>
    </font>
    <font>
      <b/>
      <sz val="9"/>
      <color rgb="FFFF0000"/>
      <name val="Arial"/>
      <family val="2"/>
    </font>
    <font>
      <sz val="9"/>
      <name val="Arial"/>
      <family val="2"/>
    </font>
    <font>
      <sz val="9"/>
      <color rgb="FF000000"/>
      <name val="Arial"/>
      <family val="2"/>
    </font>
    <font>
      <sz val="10"/>
      <name val="Times New Roman"/>
      <family val="1"/>
    </font>
    <font>
      <sz val="11"/>
      <color theme="0"/>
      <name val="ＭＳ Ｐゴシック"/>
      <family val="3"/>
      <charset val="134"/>
      <scheme val="minor"/>
    </font>
    <font>
      <b/>
      <sz val="11"/>
      <color theme="0"/>
      <name val="ＭＳ Ｐゴシック"/>
      <family val="3"/>
      <charset val="134"/>
      <scheme val="minor"/>
    </font>
    <font>
      <i/>
      <sz val="11"/>
      <color rgb="FF7F7F7F"/>
      <name val="ＭＳ Ｐゴシック"/>
      <family val="3"/>
      <charset val="134"/>
      <scheme val="minor"/>
    </font>
    <font>
      <sz val="12"/>
      <color theme="1"/>
      <name val="ＭＳ Ｐゴシック"/>
      <family val="3"/>
      <charset val="134"/>
      <scheme val="minor"/>
    </font>
    <font>
      <b/>
      <sz val="18"/>
      <color theme="3"/>
      <name val="ＭＳ Ｐゴシック"/>
      <family val="3"/>
      <charset val="134"/>
      <scheme val="major"/>
    </font>
    <font>
      <b/>
      <sz val="11"/>
      <color theme="3"/>
      <name val="ＭＳ Ｐゴシック"/>
      <family val="3"/>
      <charset val="134"/>
      <scheme val="minor"/>
    </font>
    <font>
      <b/>
      <sz val="11"/>
      <color rgb="FF3F3F3F"/>
      <name val="ＭＳ Ｐゴシック"/>
      <family val="3"/>
      <charset val="134"/>
      <scheme val="minor"/>
    </font>
    <font>
      <b/>
      <sz val="13"/>
      <color theme="3"/>
      <name val="ＭＳ Ｐゴシック"/>
      <family val="3"/>
      <charset val="134"/>
      <scheme val="minor"/>
    </font>
    <font>
      <sz val="11"/>
      <color rgb="FFFF0000"/>
      <name val="ＭＳ Ｐゴシック"/>
      <family val="3"/>
      <charset val="134"/>
      <scheme val="minor"/>
    </font>
    <font>
      <sz val="11"/>
      <color rgb="FF3F3F76"/>
      <name val="ＭＳ Ｐゴシック"/>
      <family val="3"/>
      <charset val="134"/>
      <scheme val="minor"/>
    </font>
    <font>
      <sz val="11"/>
      <color rgb="FF9C6500"/>
      <name val="ＭＳ Ｐゴシック"/>
      <family val="3"/>
      <charset val="134"/>
      <scheme val="minor"/>
    </font>
    <font>
      <sz val="11"/>
      <color rgb="FFFA7D00"/>
      <name val="ＭＳ Ｐゴシック"/>
      <family val="3"/>
      <charset val="134"/>
      <scheme val="minor"/>
    </font>
    <font>
      <sz val="11"/>
      <color rgb="FF9C0006"/>
      <name val="ＭＳ Ｐゴシック"/>
      <family val="3"/>
      <charset val="134"/>
      <scheme val="minor"/>
    </font>
    <font>
      <b/>
      <sz val="11"/>
      <color rgb="FFFA7D00"/>
      <name val="ＭＳ Ｐゴシック"/>
      <family val="3"/>
      <charset val="134"/>
      <scheme val="minor"/>
    </font>
    <font>
      <sz val="11"/>
      <color rgb="FF006100"/>
      <name val="ＭＳ Ｐゴシック"/>
      <family val="3"/>
      <charset val="134"/>
      <scheme val="minor"/>
    </font>
    <font>
      <sz val="11"/>
      <color rgb="FF006100"/>
      <name val="ＭＳ Ｐゴシック"/>
      <family val="3"/>
      <charset val="134"/>
      <scheme val="minor"/>
    </font>
    <font>
      <b/>
      <sz val="15"/>
      <color theme="3"/>
      <name val="ＭＳ Ｐゴシック"/>
      <family val="3"/>
      <charset val="134"/>
      <scheme val="minor"/>
    </font>
    <font>
      <sz val="12"/>
      <color theme="1"/>
      <name val="ＭＳ Ｐゴシック"/>
      <family val="3"/>
      <charset val="134"/>
      <scheme val="minor"/>
    </font>
    <font>
      <sz val="10"/>
      <name val="Droid Sans"/>
      <family val="1"/>
    </font>
    <font>
      <sz val="12"/>
      <color rgb="FF000000"/>
      <name val="ＭＳ Ｐゴシック"/>
      <family val="2"/>
    </font>
    <font>
      <sz val="11"/>
      <color rgb="FF9C0006"/>
      <name val="ＭＳ Ｐゴシック"/>
      <family val="3"/>
      <charset val="134"/>
      <scheme val="minor"/>
    </font>
    <font>
      <sz val="11"/>
      <color rgb="FF000000"/>
      <name val="ＭＳ Ｐゴシック"/>
      <family val="2"/>
    </font>
    <font>
      <sz val="9"/>
      <name val="宋体"/>
      <family val="3"/>
      <charset val="134"/>
    </font>
    <font>
      <sz val="9"/>
      <name val="Calibri"/>
      <family val="2"/>
    </font>
    <font>
      <sz val="10"/>
      <name val="Arial"/>
      <family val="2"/>
    </font>
    <font>
      <sz val="9"/>
      <name val="細明體"/>
      <family val="3"/>
      <charset val="136"/>
    </font>
    <font>
      <sz val="9"/>
      <color rgb="FFC00000"/>
      <name val="Arial"/>
      <family val="2"/>
    </font>
    <font>
      <sz val="9"/>
      <color rgb="FF00B050"/>
      <name val="Arial"/>
      <family val="2"/>
    </font>
    <font>
      <strike/>
      <sz val="9"/>
      <color rgb="FF00B050"/>
      <name val="Arial"/>
      <family val="2"/>
    </font>
    <font>
      <sz val="10"/>
      <color theme="9"/>
      <name val="Arial"/>
      <family val="2"/>
    </font>
    <font>
      <sz val="9"/>
      <color theme="9"/>
      <name val="Arial"/>
      <family val="2"/>
    </font>
    <font>
      <sz val="9"/>
      <color theme="9" tint="-0.249977111117893"/>
      <name val="Arial"/>
      <family val="2"/>
    </font>
    <font>
      <b/>
      <sz val="9"/>
      <color theme="9" tint="-0.249977111117893"/>
      <name val="Arial"/>
      <family val="2"/>
    </font>
    <font>
      <sz val="10"/>
      <color theme="9" tint="-0.249977111117893"/>
      <name val="Arial"/>
      <family val="2"/>
    </font>
    <font>
      <sz val="9"/>
      <name val="ＭＳ Ｐゴシック"/>
      <family val="3"/>
      <charset val="134"/>
      <scheme val="minor"/>
    </font>
    <font>
      <sz val="11"/>
      <color theme="9" tint="-0.249977111117893"/>
      <name val="Arial"/>
      <family val="2"/>
    </font>
    <font>
      <sz val="11"/>
      <color theme="1"/>
      <name val="Arial"/>
      <family val="2"/>
    </font>
    <font>
      <sz val="11"/>
      <color theme="9" tint="-0.249977111117893"/>
      <name val="ＭＳ Ｐゴシック"/>
      <family val="3"/>
      <charset val="134"/>
      <scheme val="minor"/>
    </font>
    <font>
      <sz val="9"/>
      <name val="Arial"/>
      <family val="2"/>
      <charset val="134"/>
    </font>
    <font>
      <sz val="9"/>
      <color rgb="FFFF0000"/>
      <name val="Arial"/>
      <family val="2"/>
    </font>
    <font>
      <sz val="9"/>
      <color rgb="FFFF0000"/>
      <name val="Arial"/>
      <family val="2"/>
      <charset val="134"/>
    </font>
    <font>
      <sz val="10"/>
      <color rgb="FFFF0000"/>
      <name val="Arial"/>
      <family val="2"/>
      <charset val="134"/>
    </font>
    <font>
      <sz val="11"/>
      <name val="Arial"/>
      <family val="2"/>
    </font>
  </fonts>
  <fills count="38">
    <fill>
      <patternFill patternType="none"/>
    </fill>
    <fill>
      <patternFill patternType="gray125"/>
    </fill>
    <fill>
      <patternFill patternType="solid">
        <fgColor theme="9" tint="0.59999389629810485"/>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D8D8D8"/>
        <bgColor indexed="64"/>
      </patternFill>
    </fill>
    <fill>
      <patternFill patternType="solid">
        <fgColor theme="0" tint="-0.14993743705557422"/>
        <bgColor indexed="64"/>
      </patternFill>
    </fill>
    <fill>
      <patternFill patternType="solid">
        <fgColor theme="0"/>
        <bgColor indexed="64"/>
      </patternFill>
    </fill>
    <fill>
      <patternFill patternType="solid">
        <fgColor theme="8" tint="0.59999389629810485"/>
        <bgColor indexed="64"/>
      </patternFill>
    </fill>
    <fill>
      <patternFill patternType="solid">
        <fgColor theme="8"/>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6"/>
        <bgColor indexed="64"/>
      </patternFill>
    </fill>
    <fill>
      <patternFill patternType="solid">
        <fgColor theme="6" tint="0.39994506668294322"/>
        <bgColor indexed="64"/>
      </patternFill>
    </fill>
    <fill>
      <patternFill patternType="solid">
        <fgColor theme="5" tint="0.79995117038483843"/>
        <bgColor indexed="64"/>
      </patternFill>
    </fill>
    <fill>
      <patternFill patternType="solid">
        <fgColor theme="4" tint="0.39994506668294322"/>
        <bgColor indexed="64"/>
      </patternFill>
    </fill>
    <fill>
      <patternFill patternType="solid">
        <fgColor theme="5"/>
        <bgColor indexed="64"/>
      </patternFill>
    </fill>
    <fill>
      <patternFill patternType="solid">
        <fgColor theme="4" tint="0.79995117038483843"/>
        <bgColor indexed="64"/>
      </patternFill>
    </fill>
    <fill>
      <patternFill patternType="solid">
        <fgColor rgb="FFA5A5A5"/>
        <bgColor indexed="64"/>
      </patternFill>
    </fill>
    <fill>
      <patternFill patternType="solid">
        <fgColor theme="7" tint="0.59999389629810485"/>
        <bgColor indexed="64"/>
      </patternFill>
    </fill>
    <fill>
      <patternFill patternType="solid">
        <fgColor rgb="FFF2F2F2"/>
        <bgColor indexed="64"/>
      </patternFill>
    </fill>
    <fill>
      <patternFill patternType="solid">
        <fgColor theme="9" tint="0.79995117038483843"/>
        <bgColor indexed="64"/>
      </patternFill>
    </fill>
    <fill>
      <patternFill patternType="solid">
        <fgColor theme="9" tint="0.39994506668294322"/>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bgColor indexed="64"/>
      </patternFill>
    </fill>
    <fill>
      <patternFill patternType="solid">
        <fgColor rgb="FFFFFFCC"/>
        <bgColor indexed="64"/>
      </patternFill>
    </fill>
    <fill>
      <patternFill patternType="solid">
        <fgColor theme="5" tint="0.39994506668294322"/>
        <bgColor indexed="64"/>
      </patternFill>
    </fill>
    <fill>
      <patternFill patternType="solid">
        <fgColor theme="4"/>
        <bgColor indexed="64"/>
      </patternFill>
    </fill>
    <fill>
      <patternFill patternType="solid">
        <fgColor theme="7"/>
        <bgColor indexed="64"/>
      </patternFill>
    </fill>
    <fill>
      <patternFill patternType="solid">
        <fgColor theme="7" tint="0.39994506668294322"/>
        <bgColor indexed="64"/>
      </patternFill>
    </fill>
    <fill>
      <patternFill patternType="solid">
        <fgColor theme="9"/>
        <bgColor indexed="64"/>
      </patternFill>
    </fill>
    <fill>
      <patternFill patternType="solid">
        <fgColor theme="0" tint="-0.14999847407452621"/>
        <bgColor indexed="64"/>
      </patternFill>
    </fill>
  </fills>
  <borders count="25">
    <border>
      <left/>
      <right/>
      <top/>
      <bottom/>
      <diagonal/>
    </border>
    <border>
      <left/>
      <right/>
      <top/>
      <bottom style="medium">
        <color auto="1"/>
      </bottom>
      <diagonal/>
    </border>
    <border>
      <left/>
      <right/>
      <top style="medium">
        <color auto="1"/>
      </top>
      <bottom/>
      <diagonal/>
    </border>
    <border>
      <left/>
      <right/>
      <top style="thin">
        <color theme="4"/>
      </top>
      <bottom style="double">
        <color theme="4"/>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450666829432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auto="1"/>
      </left>
      <right/>
      <top/>
      <bottom style="thin">
        <color auto="1"/>
      </bottom>
      <diagonal/>
    </border>
    <border>
      <left/>
      <right/>
      <top style="thin">
        <color indexed="64"/>
      </top>
      <bottom/>
      <diagonal/>
    </border>
    <border>
      <left/>
      <right/>
      <top/>
      <bottom style="thin">
        <color auto="1"/>
      </bottom>
      <diagonal/>
    </border>
  </borders>
  <cellStyleXfs count="188">
    <xf numFmtId="0" fontId="0" fillId="0" borderId="0"/>
    <xf numFmtId="0" fontId="6" fillId="13" borderId="0" applyNumberFormat="0" applyBorder="0" applyAlignment="0" applyProtection="0"/>
    <xf numFmtId="0" fontId="5" fillId="10" borderId="0" applyNumberFormat="0" applyBorder="0" applyAlignment="0" applyProtection="0"/>
    <xf numFmtId="0" fontId="30" fillId="22" borderId="17" applyNumberFormat="0" applyAlignment="0" applyProtection="0">
      <alignment vertical="center"/>
    </xf>
    <xf numFmtId="0" fontId="32" fillId="30" borderId="0" applyNumberFormat="0" applyBorder="0" applyAlignment="0" applyProtection="0"/>
    <xf numFmtId="0" fontId="5" fillId="6"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xf numFmtId="0" fontId="5" fillId="6" borderId="0" applyNumberFormat="0" applyBorder="0" applyAlignment="0" applyProtection="0"/>
    <xf numFmtId="0" fontId="5" fillId="31" borderId="20" applyNumberFormat="0" applyFont="0" applyAlignment="0" applyProtection="0"/>
    <xf numFmtId="0" fontId="5" fillId="21" borderId="0" applyNumberFormat="0" applyBorder="0" applyAlignment="0" applyProtection="0"/>
    <xf numFmtId="0" fontId="5" fillId="23"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xf numFmtId="0" fontId="4" fillId="0" borderId="3" applyNumberFormat="0" applyFill="0" applyAlignment="0" applyProtection="0"/>
    <xf numFmtId="0" fontId="5" fillId="6" borderId="0" applyNumberFormat="0" applyBorder="0" applyAlignment="0" applyProtection="0">
      <alignment vertical="center"/>
    </xf>
    <xf numFmtId="0" fontId="5" fillId="6" borderId="0" applyNumberFormat="0" applyBorder="0" applyAlignment="0" applyProtection="0"/>
    <xf numFmtId="0" fontId="5" fillId="19" borderId="0" applyNumberFormat="0" applyBorder="0" applyAlignment="0" applyProtection="0"/>
    <xf numFmtId="0" fontId="6" fillId="0" borderId="0"/>
    <xf numFmtId="0" fontId="5" fillId="2" borderId="0" applyNumberFormat="0" applyBorder="0" applyAlignment="0" applyProtection="0"/>
    <xf numFmtId="0" fontId="5" fillId="13" borderId="0" applyNumberFormat="0" applyBorder="0" applyAlignment="0" applyProtection="0"/>
    <xf numFmtId="0" fontId="6" fillId="6" borderId="0" applyNumberFormat="0" applyBorder="0" applyAlignment="0" applyProtection="0"/>
    <xf numFmtId="0" fontId="5" fillId="21" borderId="0" applyNumberFormat="0" applyBorder="0" applyAlignment="0" applyProtection="0">
      <alignment vertical="center"/>
    </xf>
    <xf numFmtId="0" fontId="23" fillId="22" borderId="15" applyNumberForma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xf numFmtId="0" fontId="27" fillId="2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xf numFmtId="0" fontId="5" fillId="29" borderId="0" applyNumberFormat="0" applyBorder="0" applyAlignment="0" applyProtection="0"/>
    <xf numFmtId="0" fontId="6" fillId="16" borderId="0" applyNumberFormat="0" applyBorder="0" applyAlignment="0" applyProtection="0"/>
    <xf numFmtId="0" fontId="5" fillId="19" borderId="0" applyNumberFormat="0" applyBorder="0" applyAlignment="0" applyProtection="0">
      <alignment vertical="center"/>
    </xf>
    <xf numFmtId="0" fontId="5" fillId="19" borderId="0" applyNumberFormat="0" applyBorder="0" applyAlignment="0" applyProtection="0"/>
    <xf numFmtId="0" fontId="6" fillId="19"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alignment vertical="center"/>
    </xf>
    <xf numFmtId="0" fontId="5" fillId="6" borderId="0" applyNumberFormat="0" applyBorder="0" applyAlignment="0" applyProtection="0"/>
    <xf numFmtId="0" fontId="35" fillId="0" borderId="0"/>
    <xf numFmtId="0" fontId="5" fillId="12" borderId="0" applyNumberFormat="0" applyBorder="0" applyAlignment="0" applyProtection="0">
      <alignment vertical="center"/>
    </xf>
    <xf numFmtId="0" fontId="5" fillId="12"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xf numFmtId="0" fontId="5" fillId="0" borderId="0"/>
    <xf numFmtId="0" fontId="6" fillId="12" borderId="0" applyNumberFormat="0" applyBorder="0" applyAlignment="0" applyProtection="0"/>
    <xf numFmtId="0" fontId="17" fillId="32" borderId="0" applyNumberFormat="0" applyBorder="0" applyAlignment="0" applyProtection="0">
      <alignment vertical="center"/>
    </xf>
    <xf numFmtId="0" fontId="5" fillId="12" borderId="0" applyNumberFormat="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xf numFmtId="0" fontId="17" fillId="15" borderId="0" applyNumberFormat="0" applyBorder="0" applyAlignment="0" applyProtection="0">
      <alignment vertical="center"/>
    </xf>
    <xf numFmtId="0" fontId="5" fillId="13" borderId="0" applyNumberFormat="0" applyBorder="0" applyAlignment="0" applyProtection="0"/>
    <xf numFmtId="0" fontId="5" fillId="23" borderId="0" applyNumberFormat="0" applyBorder="0" applyAlignment="0" applyProtection="0">
      <alignment vertical="center"/>
    </xf>
    <xf numFmtId="0" fontId="5" fillId="23" borderId="0" applyNumberFormat="0" applyBorder="0" applyAlignment="0" applyProtection="0"/>
    <xf numFmtId="0" fontId="6" fillId="5" borderId="0" applyNumberFormat="0" applyBorder="0" applyAlignment="0" applyProtection="0"/>
    <xf numFmtId="0" fontId="5" fillId="23" borderId="0" applyNumberFormat="0" applyBorder="0" applyAlignment="0" applyProtection="0">
      <alignment vertical="center"/>
    </xf>
    <xf numFmtId="0" fontId="5" fillId="23" borderId="0" applyNumberFormat="0" applyBorder="0" applyAlignment="0" applyProtection="0"/>
    <xf numFmtId="0" fontId="6" fillId="23" borderId="0" applyNumberFormat="0" applyBorder="0" applyAlignment="0" applyProtection="0"/>
    <xf numFmtId="0" fontId="17" fillId="35" borderId="0" applyNumberFormat="0" applyBorder="0" applyAlignment="0" applyProtection="0">
      <alignment vertical="center"/>
    </xf>
    <xf numFmtId="0" fontId="5" fillId="23" borderId="0" applyNumberFormat="0" applyBorder="0" applyAlignment="0" applyProtection="0"/>
    <xf numFmtId="0" fontId="5" fillId="31" borderId="20" applyNumberFormat="0" applyFont="0" applyAlignment="0" applyProtection="0"/>
    <xf numFmtId="0" fontId="5" fillId="19" borderId="0" applyNumberFormat="0" applyBorder="0" applyAlignment="0" applyProtection="0"/>
    <xf numFmtId="0" fontId="5" fillId="19"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0" borderId="0"/>
    <xf numFmtId="0" fontId="5" fillId="19" borderId="0" applyNumberFormat="0" applyBorder="0" applyAlignment="0" applyProtection="0"/>
    <xf numFmtId="0" fontId="5" fillId="16" borderId="0" applyNumberFormat="0" applyBorder="0" applyAlignment="0" applyProtection="0"/>
    <xf numFmtId="0" fontId="5" fillId="6" borderId="0" applyNumberFormat="0" applyBorder="0" applyAlignment="0" applyProtection="0"/>
    <xf numFmtId="0" fontId="5" fillId="0" borderId="0">
      <alignment vertical="center"/>
    </xf>
    <xf numFmtId="0" fontId="5" fillId="1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6" fillId="28"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6" fillId="2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0" borderId="0" applyNumberFormat="0" applyBorder="0" applyAlignment="0" applyProtection="0"/>
    <xf numFmtId="0" fontId="5" fillId="2" borderId="0" applyNumberFormat="0" applyBorder="0" applyAlignment="0" applyProtection="0"/>
    <xf numFmtId="0" fontId="6" fillId="0" borderId="0"/>
    <xf numFmtId="0" fontId="5" fillId="2" borderId="0" applyNumberFormat="0" applyBorder="0" applyAlignment="0" applyProtection="0"/>
    <xf numFmtId="0" fontId="20" fillId="0" borderId="0">
      <alignment vertical="center"/>
    </xf>
    <xf numFmtId="0" fontId="5" fillId="28" borderId="0" applyNumberFormat="0" applyBorder="0" applyAlignment="0" applyProtection="0"/>
    <xf numFmtId="0" fontId="20" fillId="0" borderId="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5"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10" borderId="0" applyNumberFormat="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17" fillId="3" borderId="0" applyNumberFormat="0" applyBorder="0" applyAlignment="0" applyProtection="0">
      <alignment vertical="center"/>
    </xf>
    <xf numFmtId="0" fontId="17" fillId="24" borderId="0" applyNumberFormat="0" applyBorder="0" applyAlignment="0" applyProtection="0">
      <alignment vertical="center"/>
    </xf>
    <xf numFmtId="0" fontId="5" fillId="31" borderId="20" applyNumberFormat="0" applyFont="0" applyAlignment="0" applyProtection="0"/>
    <xf numFmtId="0" fontId="5" fillId="31" borderId="20" applyNumberFormat="0" applyFont="0" applyAlignment="0" applyProtection="0"/>
    <xf numFmtId="0" fontId="5"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41"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6" fillId="0" borderId="0"/>
    <xf numFmtId="0" fontId="36" fillId="0" borderId="0">
      <alignment vertical="center"/>
    </xf>
    <xf numFmtId="0" fontId="38" fillId="0" borderId="0">
      <alignment vertical="center"/>
    </xf>
    <xf numFmtId="0" fontId="33" fillId="0" borderId="21" applyNumberFormat="0" applyFill="0" applyAlignment="0" applyProtection="0">
      <alignment vertical="center"/>
    </xf>
    <xf numFmtId="0" fontId="24" fillId="0" borderId="16"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27" borderId="0" applyNumberFormat="0" applyBorder="0" applyAlignment="0" applyProtection="0">
      <alignment vertical="center"/>
    </xf>
    <xf numFmtId="0" fontId="37" fillId="27" borderId="0" applyNumberFormat="0" applyBorder="0" applyAlignment="0" applyProtection="0"/>
    <xf numFmtId="0" fontId="8" fillId="0" borderId="0">
      <alignment vertical="center"/>
    </xf>
    <xf numFmtId="0" fontId="5" fillId="0" borderId="0">
      <alignment vertical="center"/>
    </xf>
    <xf numFmtId="0" fontId="31" fillId="30" borderId="0" applyNumberFormat="0" applyBorder="0" applyAlignment="0" applyProtection="0">
      <alignment vertical="center"/>
    </xf>
    <xf numFmtId="0" fontId="4" fillId="0" borderId="3" applyNumberFormat="0" applyFill="0" applyAlignment="0" applyProtection="0">
      <alignment vertical="center"/>
    </xf>
    <xf numFmtId="0" fontId="18" fillId="20" borderId="14" applyNumberFormat="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8" applyNumberFormat="0" applyFill="0" applyAlignment="0" applyProtection="0">
      <alignment vertical="center"/>
    </xf>
    <xf numFmtId="0" fontId="17" fillId="33" borderId="0" applyNumberFormat="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17" fillId="34" borderId="0" applyNumberFormat="0" applyBorder="0" applyAlignment="0" applyProtection="0">
      <alignment vertical="center"/>
    </xf>
    <xf numFmtId="0" fontId="17" fillId="11" borderId="0" applyNumberFormat="0" applyBorder="0" applyAlignment="0" applyProtection="0">
      <alignment vertical="center"/>
    </xf>
    <xf numFmtId="0" fontId="17" fillId="36" borderId="0" applyNumberFormat="0" applyBorder="0" applyAlignment="0" applyProtection="0">
      <alignment vertical="center"/>
    </xf>
    <xf numFmtId="0" fontId="26" fillId="25" borderId="17" applyNumberFormat="0" applyAlignment="0" applyProtection="0">
      <alignment vertical="center"/>
    </xf>
    <xf numFmtId="0" fontId="20" fillId="0" borderId="0">
      <alignment vertical="center"/>
    </xf>
    <xf numFmtId="0" fontId="20" fillId="0" borderId="0">
      <alignment vertical="center"/>
    </xf>
    <xf numFmtId="0" fontId="34" fillId="0" borderId="0">
      <alignment vertical="center"/>
    </xf>
    <xf numFmtId="0" fontId="5" fillId="31" borderId="20" applyNumberFormat="0" applyFont="0" applyAlignment="0" applyProtection="0">
      <alignment vertical="center"/>
    </xf>
    <xf numFmtId="0" fontId="5" fillId="31" borderId="20" applyNumberFormat="0" applyFont="0" applyAlignment="0" applyProtection="0">
      <alignment vertical="center"/>
    </xf>
    <xf numFmtId="0" fontId="5" fillId="23" borderId="0" applyNumberFormat="0" applyBorder="0" applyAlignment="0" applyProtection="0"/>
    <xf numFmtId="0" fontId="41" fillId="0" borderId="0"/>
  </cellStyleXfs>
  <cellXfs count="425">
    <xf numFmtId="0" fontId="0" fillId="0" borderId="0" xfId="0"/>
    <xf numFmtId="0" fontId="0" fillId="0" borderId="1" xfId="0" applyFont="1" applyFill="1" applyBorder="1" applyAlignment="1">
      <alignment vertical="center" wrapText="1"/>
    </xf>
    <xf numFmtId="177"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0" fillId="4" borderId="0" xfId="0" applyFont="1" applyFill="1" applyBorder="1" applyAlignment="1">
      <alignment vertical="center" wrapText="1"/>
    </xf>
    <xf numFmtId="0" fontId="0" fillId="2" borderId="0" xfId="0" applyFont="1" applyFill="1" applyBorder="1" applyAlignment="1">
      <alignment vertical="center" wrapText="1"/>
    </xf>
    <xf numFmtId="0" fontId="0" fillId="3" borderId="0" xfId="0" applyFont="1" applyFill="1" applyBorder="1" applyAlignment="1">
      <alignment vertical="center" wrapText="1"/>
    </xf>
    <xf numFmtId="0" fontId="0" fillId="0" borderId="0" xfId="0" applyFont="1" applyAlignment="1">
      <alignment vertical="center"/>
    </xf>
    <xf numFmtId="177" fontId="3" fillId="0" borderId="0" xfId="75" applyNumberFormat="1" applyFont="1" applyFill="1" applyBorder="1" applyAlignment="1">
      <alignment vertical="center" wrapText="1"/>
    </xf>
    <xf numFmtId="0" fontId="0" fillId="0" borderId="0" xfId="0" applyFill="1" applyBorder="1" applyAlignment="1">
      <alignment vertical="center" wrapText="1"/>
    </xf>
    <xf numFmtId="0" fontId="0" fillId="5"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ont="1" applyBorder="1" applyAlignment="1">
      <alignment vertical="center"/>
    </xf>
    <xf numFmtId="0" fontId="0" fillId="5" borderId="0" xfId="0" applyFont="1" applyFill="1" applyBorder="1" applyAlignment="1">
      <alignment vertical="center" wrapText="1"/>
    </xf>
    <xf numFmtId="0" fontId="0" fillId="0" borderId="0" xfId="0" applyFont="1" applyFill="1" applyAlignment="1">
      <alignment vertical="center"/>
    </xf>
    <xf numFmtId="0" fontId="0" fillId="0" borderId="0" xfId="0" applyFill="1"/>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xf numFmtId="0" fontId="4" fillId="0" borderId="3" xfId="14" applyAlignment="1">
      <alignment horizontal="center"/>
    </xf>
    <xf numFmtId="0" fontId="4" fillId="0" borderId="3" xfId="14" applyAlignment="1">
      <alignment horizontal="left"/>
    </xf>
    <xf numFmtId="0" fontId="5" fillId="0" borderId="0" xfId="20" applyFill="1" applyAlignment="1">
      <alignment horizontal="center"/>
    </xf>
    <xf numFmtId="0" fontId="5" fillId="0" borderId="0" xfId="20" applyFill="1" applyAlignment="1">
      <alignment horizontal="left"/>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xf numFmtId="0" fontId="0" fillId="0" borderId="0" xfId="0" applyFont="1" applyFill="1" applyAlignment="1">
      <alignment horizontal="center"/>
    </xf>
    <xf numFmtId="0" fontId="0" fillId="0" borderId="0" xfId="0" applyFont="1" applyFill="1"/>
    <xf numFmtId="0" fontId="0" fillId="0" borderId="0" xfId="20" applyFont="1" applyFill="1" applyAlignment="1">
      <alignment horizontal="center"/>
    </xf>
    <xf numFmtId="0" fontId="0" fillId="0" borderId="0" xfId="20" applyFont="1" applyFill="1" applyAlignment="1">
      <alignment horizontal="left"/>
    </xf>
    <xf numFmtId="0" fontId="6" fillId="0" borderId="0" xfId="78" applyFont="1" applyFill="1" applyAlignment="1">
      <alignment horizontal="center"/>
    </xf>
    <xf numFmtId="0" fontId="0" fillId="0" borderId="0" xfId="78" applyFont="1" applyFill="1" applyAlignment="1">
      <alignment horizontal="left"/>
    </xf>
    <xf numFmtId="0" fontId="0" fillId="0" borderId="0" xfId="78" applyFont="1" applyFill="1" applyAlignment="1">
      <alignment horizontal="center"/>
    </xf>
    <xf numFmtId="0" fontId="0" fillId="0" borderId="0" xfId="11" applyFont="1" applyFill="1" applyAlignment="1">
      <alignment horizontal="center"/>
    </xf>
    <xf numFmtId="0" fontId="4" fillId="0" borderId="3" xfId="14" applyAlignment="1">
      <alignment horizontal="center" wrapText="1"/>
    </xf>
    <xf numFmtId="0" fontId="4" fillId="6" borderId="3" xfId="14" applyFill="1" applyAlignment="1">
      <alignment horizontal="center" wrapText="1"/>
    </xf>
    <xf numFmtId="178" fontId="5" fillId="0" borderId="0" xfId="20" applyNumberFormat="1" applyFill="1" applyAlignment="1">
      <alignment horizontal="center"/>
    </xf>
    <xf numFmtId="2" fontId="0" fillId="0" borderId="0" xfId="0" applyNumberFormat="1" applyFill="1" applyAlignment="1">
      <alignment horizontal="center"/>
    </xf>
    <xf numFmtId="180" fontId="0" fillId="0" borderId="0" xfId="0" applyNumberFormat="1" applyFill="1" applyAlignment="1">
      <alignment horizontal="center"/>
    </xf>
    <xf numFmtId="177" fontId="0" fillId="0" borderId="0" xfId="0" applyNumberFormat="1" applyFill="1" applyAlignment="1">
      <alignment horizontal="center"/>
    </xf>
    <xf numFmtId="177" fontId="0" fillId="0" borderId="0" xfId="0" applyNumberFormat="1" applyAlignment="1">
      <alignment horizontal="center"/>
    </xf>
    <xf numFmtId="178" fontId="0" fillId="0" borderId="0" xfId="0" applyNumberFormat="1" applyFill="1" applyAlignment="1">
      <alignment horizontal="center"/>
    </xf>
    <xf numFmtId="0" fontId="6" fillId="0" borderId="0" xfId="77" applyFont="1" applyFill="1" applyAlignment="1">
      <alignment horizontal="center"/>
    </xf>
    <xf numFmtId="178" fontId="6" fillId="0" borderId="0" xfId="77" applyNumberFormat="1" applyFont="1" applyFill="1" applyAlignment="1">
      <alignment horizontal="center"/>
    </xf>
    <xf numFmtId="180" fontId="0" fillId="0" borderId="0" xfId="11" applyNumberFormat="1" applyFont="1" applyFill="1" applyAlignment="1">
      <alignment horizontal="center"/>
    </xf>
    <xf numFmtId="177" fontId="4" fillId="6" borderId="3" xfId="14" applyNumberFormat="1" applyFill="1" applyAlignment="1">
      <alignment horizontal="center" wrapText="1"/>
    </xf>
    <xf numFmtId="177" fontId="4" fillId="2" borderId="3" xfId="14" applyNumberFormat="1" applyFill="1" applyAlignment="1">
      <alignment horizontal="center" wrapText="1"/>
    </xf>
    <xf numFmtId="178" fontId="5" fillId="0" borderId="0" xfId="80" applyNumberFormat="1" applyFill="1" applyAlignment="1">
      <alignment horizontal="center"/>
    </xf>
    <xf numFmtId="180" fontId="0" fillId="0" borderId="0" xfId="0" applyNumberFormat="1" applyFill="1"/>
    <xf numFmtId="177" fontId="0" fillId="0" borderId="0" xfId="0" applyNumberFormat="1" applyFill="1" applyAlignment="1">
      <alignment horizontal="right"/>
    </xf>
    <xf numFmtId="177" fontId="0" fillId="0" borderId="0" xfId="0" applyNumberFormat="1" applyFill="1"/>
    <xf numFmtId="177" fontId="0" fillId="0" borderId="0" xfId="0" applyNumberFormat="1"/>
    <xf numFmtId="0" fontId="0" fillId="0" borderId="0" xfId="0" applyFont="1" applyAlignment="1">
      <alignment horizontal="center"/>
    </xf>
    <xf numFmtId="0" fontId="4" fillId="0" borderId="0" xfId="0" applyFont="1"/>
    <xf numFmtId="10" fontId="0" fillId="0" borderId="0" xfId="0" applyNumberFormat="1" applyAlignment="1">
      <alignment horizontal="center"/>
    </xf>
    <xf numFmtId="0" fontId="5" fillId="0" borderId="0" xfId="20" applyFont="1" applyFill="1" applyAlignment="1">
      <alignment horizontal="center"/>
    </xf>
    <xf numFmtId="0" fontId="0" fillId="0" borderId="0" xfId="14" applyFont="1" applyFill="1" applyBorder="1" applyAlignment="1">
      <alignment horizontal="center"/>
    </xf>
    <xf numFmtId="0" fontId="0" fillId="0" borderId="0" xfId="14" applyFont="1" applyBorder="1" applyAlignment="1">
      <alignment horizontal="center"/>
    </xf>
    <xf numFmtId="177" fontId="5" fillId="0" borderId="0" xfId="20" applyNumberFormat="1" applyFill="1" applyAlignment="1">
      <alignment horizontal="center"/>
    </xf>
    <xf numFmtId="177" fontId="0" fillId="0" borderId="0" xfId="0" applyNumberFormat="1" applyFont="1" applyFill="1" applyAlignment="1">
      <alignment horizontal="center"/>
    </xf>
    <xf numFmtId="0" fontId="3" fillId="0" borderId="0" xfId="79" applyFont="1" applyFill="1" applyAlignment="1">
      <alignment horizontal="center"/>
    </xf>
    <xf numFmtId="0" fontId="0" fillId="0" borderId="0" xfId="14" applyFont="1" applyFill="1" applyBorder="1" applyAlignment="1">
      <alignment horizontal="center" wrapText="1"/>
    </xf>
    <xf numFmtId="0" fontId="0" fillId="0" borderId="0" xfId="14" applyFont="1" applyBorder="1" applyAlignment="1">
      <alignment horizontal="center" wrapText="1"/>
    </xf>
    <xf numFmtId="176" fontId="0" fillId="0" borderId="0" xfId="0" applyNumberFormat="1" applyAlignment="1">
      <alignment horizontal="center"/>
    </xf>
    <xf numFmtId="0" fontId="0" fillId="0" borderId="0" xfId="11" applyFont="1" applyFill="1" applyAlignment="1">
      <alignment horizontal="left"/>
    </xf>
    <xf numFmtId="0" fontId="6" fillId="0" borderId="0" xfId="11" applyFont="1"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180" fontId="0" fillId="0" borderId="0" xfId="0" applyNumberFormat="1" applyAlignment="1">
      <alignment horizontal="center"/>
    </xf>
    <xf numFmtId="177" fontId="0" fillId="0" borderId="0" xfId="11" applyNumberFormat="1" applyFont="1" applyFill="1" applyAlignment="1">
      <alignment horizontal="center"/>
    </xf>
    <xf numFmtId="178" fontId="0" fillId="0" borderId="0" xfId="78" applyNumberFormat="1" applyFont="1" applyFill="1" applyAlignment="1">
      <alignment horizontal="center"/>
    </xf>
    <xf numFmtId="0" fontId="6" fillId="0" borderId="0" xfId="79" applyFont="1" applyFill="1" applyAlignment="1">
      <alignment horizontal="center"/>
    </xf>
    <xf numFmtId="0" fontId="8" fillId="0" borderId="0" xfId="166">
      <alignment vertical="center"/>
    </xf>
    <xf numFmtId="0" fontId="9" fillId="0" borderId="0" xfId="166" applyFont="1">
      <alignment vertical="center"/>
    </xf>
    <xf numFmtId="0" fontId="10" fillId="7" borderId="0" xfId="0" applyFont="1" applyFill="1" applyBorder="1" applyAlignment="1">
      <alignment horizontal="center" wrapText="1"/>
    </xf>
    <xf numFmtId="0" fontId="10" fillId="7" borderId="4" xfId="0" applyFont="1" applyFill="1" applyBorder="1" applyAlignment="1">
      <alignment horizontal="center" wrapText="1"/>
    </xf>
    <xf numFmtId="0" fontId="11" fillId="0" borderId="0" xfId="166" applyFont="1" applyAlignment="1">
      <alignment vertical="center" wrapText="1"/>
    </xf>
    <xf numFmtId="0" fontId="9" fillId="7" borderId="5" xfId="0" applyFont="1" applyFill="1" applyBorder="1" applyAlignment="1">
      <alignment horizontal="center" wrapText="1"/>
    </xf>
    <xf numFmtId="0" fontId="9" fillId="4" borderId="6" xfId="166" applyFont="1" applyFill="1" applyBorder="1" applyAlignment="1">
      <alignment horizontal="center" vertical="center"/>
    </xf>
    <xf numFmtId="0" fontId="9" fillId="4" borderId="5" xfId="166" applyFont="1" applyFill="1" applyBorder="1" applyAlignment="1">
      <alignment horizontal="center" vertical="center"/>
    </xf>
    <xf numFmtId="0" fontId="9" fillId="7" borderId="0" xfId="0" applyFont="1" applyFill="1" applyBorder="1" applyAlignment="1">
      <alignment horizontal="center" wrapText="1"/>
    </xf>
    <xf numFmtId="0" fontId="12" fillId="4" borderId="5" xfId="166" applyFont="1" applyFill="1" applyBorder="1" applyAlignment="1">
      <alignment horizontal="center" vertical="center"/>
    </xf>
    <xf numFmtId="0" fontId="9" fillId="0" borderId="8" xfId="166" applyFont="1" applyFill="1" applyBorder="1" applyAlignment="1">
      <alignment vertical="center" wrapText="1"/>
    </xf>
    <xf numFmtId="0" fontId="0" fillId="0" borderId="5" xfId="0" applyBorder="1" applyAlignment="1">
      <alignment horizontal="justify" vertical="center" wrapText="1"/>
    </xf>
    <xf numFmtId="0" fontId="9" fillId="0" borderId="5" xfId="166" applyFont="1" applyBorder="1" applyAlignment="1">
      <alignment vertical="center" wrapText="1"/>
    </xf>
    <xf numFmtId="0" fontId="9" fillId="0" borderId="5" xfId="166" applyFont="1" applyFill="1" applyBorder="1" applyAlignment="1">
      <alignment vertical="center" wrapText="1"/>
    </xf>
    <xf numFmtId="0" fontId="9" fillId="0" borderId="5" xfId="166" applyFont="1" applyBorder="1">
      <alignment vertical="center"/>
    </xf>
    <xf numFmtId="0" fontId="8" fillId="0" borderId="5" xfId="166" applyBorder="1">
      <alignment vertical="center"/>
    </xf>
    <xf numFmtId="0" fontId="9" fillId="0" borderId="8" xfId="0" applyFont="1" applyFill="1" applyBorder="1" applyAlignment="1">
      <alignment wrapText="1"/>
    </xf>
    <xf numFmtId="0" fontId="9" fillId="0" borderId="5" xfId="0" applyFont="1" applyFill="1" applyBorder="1" applyAlignment="1">
      <alignment wrapText="1"/>
    </xf>
    <xf numFmtId="0" fontId="10" fillId="0" borderId="8" xfId="0" applyFont="1" applyFill="1" applyBorder="1" applyAlignment="1">
      <alignment horizontal="left" wrapText="1"/>
    </xf>
    <xf numFmtId="0" fontId="8" fillId="0" borderId="0" xfId="166" applyFill="1">
      <alignment vertical="center"/>
    </xf>
    <xf numFmtId="0" fontId="10" fillId="0" borderId="8" xfId="0" applyFont="1" applyFill="1" applyBorder="1" applyAlignment="1">
      <alignment horizontal="center" wrapText="1"/>
    </xf>
    <xf numFmtId="0" fontId="9" fillId="0" borderId="5" xfId="0" applyFont="1" applyFill="1" applyBorder="1" applyAlignment="1">
      <alignment horizontal="center" wrapText="1"/>
    </xf>
    <xf numFmtId="0" fontId="9" fillId="0" borderId="8" xfId="0" applyFont="1" applyFill="1" applyBorder="1" applyAlignment="1">
      <alignment vertical="top" wrapText="1"/>
    </xf>
    <xf numFmtId="0" fontId="9" fillId="0" borderId="5" xfId="0" applyFont="1" applyFill="1" applyBorder="1" applyAlignment="1">
      <alignment vertical="top" wrapText="1"/>
    </xf>
    <xf numFmtId="0" fontId="9" fillId="0" borderId="5" xfId="0" applyFont="1" applyFill="1" applyBorder="1" applyAlignment="1">
      <alignment horizontal="center" vertical="top" wrapText="1"/>
    </xf>
    <xf numFmtId="0" fontId="13" fillId="0" borderId="5" xfId="0" applyFont="1" applyFill="1" applyBorder="1" applyAlignment="1">
      <alignment horizontal="center" wrapText="1"/>
    </xf>
    <xf numFmtId="0" fontId="14" fillId="0" borderId="5" xfId="0" applyFont="1" applyFill="1" applyBorder="1" applyAlignment="1">
      <alignment wrapText="1"/>
    </xf>
    <xf numFmtId="0" fontId="15" fillId="0" borderId="5" xfId="0" applyFont="1" applyFill="1" applyBorder="1" applyAlignment="1">
      <alignment horizontal="center" wrapText="1"/>
    </xf>
    <xf numFmtId="0" fontId="9" fillId="4" borderId="5" xfId="166" applyFont="1" applyFill="1" applyBorder="1">
      <alignment vertical="center"/>
    </xf>
    <xf numFmtId="0" fontId="9" fillId="8" borderId="5" xfId="166" applyFont="1" applyFill="1" applyBorder="1" applyAlignment="1">
      <alignment horizontal="center" vertical="center"/>
    </xf>
    <xf numFmtId="0" fontId="9" fillId="0" borderId="5" xfId="166" applyFont="1" applyFill="1" applyBorder="1" applyAlignment="1">
      <alignment vertical="center"/>
    </xf>
    <xf numFmtId="0" fontId="0" fillId="0" borderId="6" xfId="139" applyFont="1" applyFill="1" applyBorder="1" applyAlignment="1">
      <alignment horizontal="justify" vertical="center" wrapText="1"/>
    </xf>
    <xf numFmtId="0" fontId="10" fillId="7" borderId="0" xfId="0" applyFont="1" applyFill="1" applyBorder="1" applyAlignment="1">
      <alignment wrapText="1"/>
    </xf>
    <xf numFmtId="0" fontId="10" fillId="7" borderId="4" xfId="0" applyFont="1" applyFill="1" applyBorder="1" applyAlignment="1">
      <alignment wrapText="1"/>
    </xf>
    <xf numFmtId="0" fontId="9" fillId="0" borderId="8" xfId="166" applyFont="1" applyBorder="1" applyAlignment="1">
      <alignment vertical="center" wrapText="1"/>
    </xf>
    <xf numFmtId="0" fontId="12" fillId="0" borderId="5" xfId="166" applyFont="1" applyBorder="1" applyAlignment="1">
      <alignment vertical="center" wrapText="1"/>
    </xf>
    <xf numFmtId="0" fontId="9" fillId="0" borderId="5" xfId="166" applyFont="1" applyFill="1" applyBorder="1">
      <alignment vertical="center"/>
    </xf>
    <xf numFmtId="0" fontId="9" fillId="0" borderId="0" xfId="166" applyFont="1" applyFill="1">
      <alignment vertical="center"/>
    </xf>
    <xf numFmtId="0" fontId="12" fillId="0" borderId="5" xfId="166" applyFont="1" applyFill="1" applyBorder="1" applyAlignment="1">
      <alignment vertical="center" wrapText="1"/>
    </xf>
    <xf numFmtId="0" fontId="16" fillId="0" borderId="5" xfId="42" applyFont="1" applyBorder="1" applyAlignment="1">
      <alignment vertical="center" wrapText="1"/>
    </xf>
    <xf numFmtId="0" fontId="9" fillId="0" borderId="0" xfId="166" applyFont="1" applyAlignment="1">
      <alignment horizontal="center" vertical="center"/>
    </xf>
    <xf numFmtId="0" fontId="9" fillId="0" borderId="5" xfId="166" applyFont="1" applyFill="1" applyBorder="1" applyAlignment="1">
      <alignment horizontal="center" vertical="center" wrapText="1"/>
    </xf>
    <xf numFmtId="0" fontId="12" fillId="0" borderId="5" xfId="166" applyFont="1" applyFill="1" applyBorder="1" applyAlignment="1">
      <alignment horizontal="center" vertical="center" wrapText="1"/>
    </xf>
    <xf numFmtId="0" fontId="9" fillId="0" borderId="5" xfId="166" applyFont="1" applyFill="1" applyBorder="1" applyAlignment="1">
      <alignment horizontal="center" vertical="center"/>
    </xf>
    <xf numFmtId="0" fontId="16" fillId="0" borderId="5" xfId="42" applyFont="1" applyBorder="1" applyAlignment="1">
      <alignment horizontal="left" vertical="center" wrapText="1"/>
    </xf>
    <xf numFmtId="0" fontId="9" fillId="9" borderId="5" xfId="166" applyFont="1" applyFill="1" applyBorder="1" applyAlignment="1">
      <alignment horizontal="center" vertical="center"/>
    </xf>
    <xf numFmtId="0" fontId="0" fillId="0" borderId="0" xfId="166" applyFont="1">
      <alignment vertical="center"/>
    </xf>
    <xf numFmtId="0" fontId="9" fillId="0" borderId="0" xfId="166" applyFont="1" applyAlignment="1">
      <alignment horizontal="left" vertical="center" wrapText="1"/>
    </xf>
    <xf numFmtId="0" fontId="10" fillId="7" borderId="5" xfId="0" applyFont="1" applyFill="1" applyBorder="1" applyAlignment="1">
      <alignment horizontal="center" wrapText="1"/>
    </xf>
    <xf numFmtId="0" fontId="9" fillId="4" borderId="6" xfId="166" applyFont="1" applyFill="1" applyBorder="1" applyAlignment="1">
      <alignment horizontal="center" vertical="center" wrapText="1"/>
    </xf>
    <xf numFmtId="0" fontId="10" fillId="4" borderId="6" xfId="166" applyFont="1" applyFill="1" applyBorder="1" applyAlignment="1">
      <alignment horizontal="left" vertical="center" wrapText="1"/>
    </xf>
    <xf numFmtId="0" fontId="10" fillId="4" borderId="8" xfId="166" applyFont="1" applyFill="1" applyBorder="1" applyAlignment="1">
      <alignment horizontal="left" vertical="center" wrapText="1"/>
    </xf>
    <xf numFmtId="0" fontId="9" fillId="0" borderId="5" xfId="166" applyFont="1" applyBorder="1" applyAlignment="1">
      <alignment vertical="center"/>
    </xf>
    <xf numFmtId="0" fontId="9" fillId="0" borderId="5" xfId="166" applyFont="1" applyBorder="1" applyAlignment="1">
      <alignment horizontal="left" vertical="center" wrapText="1"/>
    </xf>
    <xf numFmtId="0" fontId="16" fillId="0" borderId="0" xfId="0" applyFont="1"/>
    <xf numFmtId="0" fontId="12" fillId="0" borderId="5" xfId="0" applyFont="1" applyBorder="1" applyAlignment="1">
      <alignment horizontal="left" vertical="center" wrapText="1"/>
    </xf>
    <xf numFmtId="9" fontId="9" fillId="0" borderId="5" xfId="166" applyNumberFormat="1" applyFont="1" applyBorder="1" applyAlignment="1">
      <alignment horizontal="left" vertical="center"/>
    </xf>
    <xf numFmtId="0" fontId="9" fillId="0" borderId="5" xfId="0" applyFont="1" applyBorder="1" applyAlignment="1">
      <alignment horizontal="left" vertical="center" wrapText="1"/>
    </xf>
    <xf numFmtId="0" fontId="9" fillId="0" borderId="5" xfId="166" applyFont="1" applyFill="1" applyBorder="1" applyAlignment="1">
      <alignment horizontal="left" vertical="center" wrapText="1"/>
    </xf>
    <xf numFmtId="0" fontId="0" fillId="0" borderId="5" xfId="166" applyFont="1" applyFill="1" applyBorder="1" applyAlignment="1">
      <alignment horizontal="left" vertical="center" wrapText="1"/>
    </xf>
    <xf numFmtId="0" fontId="9" fillId="0" borderId="5" xfId="0" applyFont="1" applyFill="1" applyBorder="1" applyAlignment="1">
      <alignment horizontal="left" wrapText="1"/>
    </xf>
    <xf numFmtId="0" fontId="9" fillId="0" borderId="5" xfId="0" applyFont="1" applyBorder="1" applyAlignment="1">
      <alignment horizontal="left" wrapText="1"/>
    </xf>
    <xf numFmtId="0" fontId="13" fillId="0" borderId="5" xfId="0" applyFont="1" applyFill="1" applyBorder="1" applyAlignment="1">
      <alignment horizontal="left" wrapText="1"/>
    </xf>
    <xf numFmtId="0" fontId="8" fillId="0" borderId="0" xfId="166" applyAlignment="1">
      <alignment horizontal="left" vertical="center"/>
    </xf>
    <xf numFmtId="0" fontId="9" fillId="0" borderId="0" xfId="166" applyFont="1" applyAlignment="1">
      <alignment horizontal="left" vertical="center"/>
    </xf>
    <xf numFmtId="0" fontId="10" fillId="4" borderId="6" xfId="166" applyFont="1" applyFill="1" applyBorder="1" applyAlignment="1">
      <alignment horizontal="center" vertical="center" wrapText="1"/>
    </xf>
    <xf numFmtId="0" fontId="10" fillId="4" borderId="12" xfId="166" applyFont="1" applyFill="1" applyBorder="1" applyAlignment="1">
      <alignment horizontal="center" vertical="center" wrapText="1"/>
    </xf>
    <xf numFmtId="0" fontId="9" fillId="9" borderId="5" xfId="166" applyFont="1" applyFill="1" applyBorder="1">
      <alignment vertical="center"/>
    </xf>
    <xf numFmtId="0" fontId="9" fillId="9" borderId="5" xfId="166" applyFont="1" applyFill="1" applyBorder="1" applyAlignment="1">
      <alignment vertical="center" wrapText="1"/>
    </xf>
    <xf numFmtId="0" fontId="9" fillId="9" borderId="5" xfId="166" applyFont="1" applyFill="1" applyBorder="1" applyAlignment="1">
      <alignment horizontal="center" vertical="center" wrapText="1"/>
    </xf>
    <xf numFmtId="0" fontId="12" fillId="0" borderId="5" xfId="166" applyFont="1" applyBorder="1">
      <alignment vertical="center"/>
    </xf>
    <xf numFmtId="0" fontId="0"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166" applyFont="1" applyFill="1" applyBorder="1" applyAlignment="1">
      <alignment vertical="center" wrapText="1"/>
    </xf>
    <xf numFmtId="0" fontId="12" fillId="0" borderId="5" xfId="166" applyFont="1" applyFill="1" applyBorder="1" applyAlignment="1">
      <alignment horizontal="left" vertical="center" wrapText="1"/>
    </xf>
    <xf numFmtId="0" fontId="9" fillId="0" borderId="5" xfId="166" applyFont="1" applyBorder="1" applyAlignment="1">
      <alignment horizontal="left" vertical="center"/>
    </xf>
    <xf numFmtId="0" fontId="9" fillId="9" borderId="5" xfId="166" applyFont="1" applyFill="1" applyBorder="1" applyAlignment="1">
      <alignment horizontal="left" vertical="center"/>
    </xf>
    <xf numFmtId="0" fontId="9" fillId="9" borderId="5" xfId="0" applyFont="1" applyFill="1" applyBorder="1" applyAlignment="1">
      <alignment horizontal="left" wrapText="1"/>
    </xf>
    <xf numFmtId="0" fontId="9" fillId="9" borderId="5" xfId="0" applyFont="1" applyFill="1" applyBorder="1" applyAlignment="1">
      <alignment horizontal="center" vertical="center" wrapText="1"/>
    </xf>
    <xf numFmtId="0" fontId="9" fillId="9" borderId="5" xfId="0" applyFont="1" applyFill="1" applyBorder="1" applyAlignment="1">
      <alignment horizontal="left" vertical="center" wrapText="1"/>
    </xf>
    <xf numFmtId="0" fontId="0" fillId="0" borderId="5" xfId="0" applyBorder="1" applyAlignment="1">
      <alignment vertical="center" wrapText="1"/>
    </xf>
    <xf numFmtId="0" fontId="0" fillId="0" borderId="5" xfId="0" applyFont="1" applyBorder="1" applyAlignment="1">
      <alignment vertical="center" wrapText="1"/>
    </xf>
    <xf numFmtId="0" fontId="9" fillId="0" borderId="5" xfId="0" applyFont="1" applyBorder="1" applyAlignment="1">
      <alignment vertical="center" wrapText="1"/>
    </xf>
    <xf numFmtId="0" fontId="0" fillId="0" borderId="5" xfId="166" applyFont="1" applyBorder="1" applyAlignment="1">
      <alignment horizontal="left" vertical="center" wrapText="1"/>
    </xf>
    <xf numFmtId="0" fontId="9" fillId="0" borderId="11" xfId="166" applyFont="1" applyBorder="1" applyAlignment="1">
      <alignment horizontal="left" vertical="center" wrapText="1"/>
    </xf>
    <xf numFmtId="0" fontId="9" fillId="9" borderId="5" xfId="166" applyFont="1" applyFill="1" applyBorder="1" applyAlignment="1">
      <alignment horizontal="left" vertical="center" wrapText="1"/>
    </xf>
    <xf numFmtId="0" fontId="0" fillId="9" borderId="5" xfId="166" applyFont="1" applyFill="1" applyBorder="1">
      <alignment vertical="center"/>
    </xf>
    <xf numFmtId="0" fontId="0" fillId="9" borderId="5" xfId="166" applyFont="1" applyFill="1" applyBorder="1" applyAlignment="1">
      <alignment vertical="center" wrapText="1"/>
    </xf>
    <xf numFmtId="0" fontId="10" fillId="4" borderId="8" xfId="166" applyFont="1" applyFill="1" applyBorder="1" applyAlignment="1">
      <alignment horizontal="center" vertical="center" wrapText="1"/>
    </xf>
    <xf numFmtId="0" fontId="10" fillId="4" borderId="12" xfId="166" applyFont="1" applyFill="1" applyBorder="1" applyAlignment="1">
      <alignment vertical="center" wrapText="1"/>
    </xf>
    <xf numFmtId="0" fontId="10" fillId="4" borderId="13" xfId="166" applyFont="1" applyFill="1" applyBorder="1" applyAlignment="1">
      <alignment vertical="center" wrapText="1"/>
    </xf>
    <xf numFmtId="0" fontId="9" fillId="0" borderId="5" xfId="0" applyFont="1" applyFill="1" applyBorder="1" applyAlignment="1">
      <alignment horizontal="center" vertical="center" wrapText="1"/>
    </xf>
    <xf numFmtId="0" fontId="16" fillId="0" borderId="0" xfId="0" applyFont="1" applyAlignment="1">
      <alignment horizontal="center" vertical="center"/>
    </xf>
    <xf numFmtId="0" fontId="9" fillId="0" borderId="5" xfId="0" applyFont="1" applyFill="1" applyBorder="1" applyAlignment="1">
      <alignment horizontal="left" vertical="center" wrapText="1"/>
    </xf>
    <xf numFmtId="0" fontId="9" fillId="0" borderId="5" xfId="166" applyFont="1" applyFill="1" applyBorder="1" applyAlignment="1">
      <alignment horizontal="left" vertical="center"/>
    </xf>
    <xf numFmtId="0" fontId="9" fillId="0" borderId="5" xfId="166" applyFont="1" applyBorder="1" applyAlignment="1">
      <alignment horizontal="center" vertical="center" wrapText="1"/>
    </xf>
    <xf numFmtId="0" fontId="9" fillId="0" borderId="5" xfId="0" applyFont="1" applyBorder="1" applyAlignment="1">
      <alignment horizontal="center" wrapText="1"/>
    </xf>
    <xf numFmtId="0" fontId="0" fillId="0" borderId="5" xfId="166" applyFont="1" applyBorder="1" applyAlignment="1">
      <alignment vertical="center" wrapText="1"/>
    </xf>
    <xf numFmtId="0" fontId="9" fillId="7" borderId="5" xfId="0" applyFont="1" applyFill="1" applyBorder="1" applyAlignment="1">
      <alignment horizontal="left" wrapText="1"/>
    </xf>
    <xf numFmtId="0" fontId="9" fillId="0" borderId="0" xfId="166" applyFont="1" applyFill="1" applyAlignment="1">
      <alignment horizontal="left" vertical="center" wrapText="1"/>
    </xf>
    <xf numFmtId="0" fontId="9" fillId="9" borderId="0" xfId="166" applyFont="1" applyFill="1" applyAlignment="1">
      <alignment vertical="center" wrapText="1"/>
    </xf>
    <xf numFmtId="0" fontId="9" fillId="9" borderId="5" xfId="166" applyFont="1" applyFill="1" applyBorder="1" applyAlignment="1"/>
    <xf numFmtId="0" fontId="10" fillId="4" borderId="13" xfId="166" applyFont="1" applyFill="1" applyBorder="1" applyAlignment="1">
      <alignment horizontal="center" vertical="center" wrapText="1"/>
    </xf>
    <xf numFmtId="0" fontId="9" fillId="0" borderId="5" xfId="166" applyFont="1" applyFill="1" applyBorder="1" applyAlignment="1">
      <alignment horizontal="center" wrapText="1"/>
    </xf>
    <xf numFmtId="0" fontId="10" fillId="4" borderId="5" xfId="166" applyFont="1" applyFill="1" applyBorder="1" applyAlignment="1">
      <alignment horizontal="center" vertical="center"/>
    </xf>
    <xf numFmtId="0" fontId="8" fillId="0" borderId="5" xfId="166" applyBorder="1" applyAlignment="1">
      <alignment horizontal="left" vertical="center"/>
    </xf>
    <xf numFmtId="0" fontId="8" fillId="0" borderId="0" xfId="166" applyAlignment="1">
      <alignment horizontal="center" vertical="center"/>
    </xf>
    <xf numFmtId="0" fontId="9" fillId="0" borderId="5" xfId="166" applyFont="1" applyBorder="1" applyAlignment="1">
      <alignment horizontal="center" vertical="center"/>
    </xf>
    <xf numFmtId="0" fontId="9" fillId="0" borderId="5" xfId="0" applyFont="1" applyBorder="1" applyAlignment="1">
      <alignment horizontal="center" vertical="center" wrapText="1"/>
    </xf>
    <xf numFmtId="14" fontId="0" fillId="0" borderId="0" xfId="0" applyNumberFormat="1" applyAlignment="1">
      <alignment horizontal="left"/>
    </xf>
    <xf numFmtId="14" fontId="0" fillId="0" borderId="0" xfId="0" applyNumberFormat="1"/>
    <xf numFmtId="0" fontId="0" fillId="0" borderId="0" xfId="0" applyAlignment="1">
      <alignment wrapText="1"/>
    </xf>
    <xf numFmtId="14" fontId="0" fillId="0" borderId="0" xfId="0" applyNumberFormat="1" applyFont="1"/>
    <xf numFmtId="0" fontId="0" fillId="0" borderId="0" xfId="0" applyFont="1" applyAlignment="1">
      <alignment horizontal="left"/>
    </xf>
    <xf numFmtId="0" fontId="0" fillId="0" borderId="0" xfId="0" applyFont="1"/>
    <xf numFmtId="0" fontId="0" fillId="0" borderId="0" xfId="0" applyFont="1" applyAlignment="1">
      <alignment wrapText="1"/>
    </xf>
    <xf numFmtId="14" fontId="41" fillId="0" borderId="0" xfId="0" applyNumberFormat="1" applyFont="1"/>
    <xf numFmtId="0" fontId="41" fillId="0" borderId="0" xfId="0" applyFont="1"/>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41" fillId="0" borderId="0" xfId="0" applyFont="1" applyFill="1" applyBorder="1" applyAlignment="1">
      <alignment vertical="center" wrapText="1"/>
    </xf>
    <xf numFmtId="0" fontId="0" fillId="37" borderId="0" xfId="0" applyFont="1" applyFill="1" applyBorder="1" applyAlignment="1">
      <alignment vertical="center" wrapText="1"/>
    </xf>
    <xf numFmtId="0" fontId="41" fillId="0" borderId="0" xfId="0" applyFont="1" applyAlignment="1">
      <alignment wrapText="1"/>
    </xf>
    <xf numFmtId="178" fontId="0" fillId="0" borderId="0" xfId="0" applyNumberFormat="1" applyFont="1" applyFill="1" applyAlignment="1">
      <alignment horizontal="center"/>
    </xf>
    <xf numFmtId="0" fontId="0" fillId="0" borderId="0" xfId="0" applyFont="1" applyFill="1" applyAlignment="1">
      <alignment horizontal="right"/>
    </xf>
    <xf numFmtId="0" fontId="0" fillId="0" borderId="0" xfId="0" applyFont="1" applyFill="1" applyAlignment="1"/>
    <xf numFmtId="178" fontId="0" fillId="0" borderId="0" xfId="0" applyNumberFormat="1" applyFont="1" applyFill="1" applyAlignment="1"/>
    <xf numFmtId="0" fontId="0" fillId="0" borderId="0" xfId="0" applyAlignment="1">
      <alignment horizontal="left"/>
    </xf>
    <xf numFmtId="0" fontId="0" fillId="5"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41" fillId="0" borderId="0" xfId="0" applyFont="1" applyAlignment="1">
      <alignment horizontal="center"/>
    </xf>
    <xf numFmtId="0" fontId="0" fillId="0" borderId="0" xfId="0" applyAlignment="1">
      <alignment horizontal="left"/>
    </xf>
    <xf numFmtId="0" fontId="41" fillId="0" borderId="0" xfId="0" applyFont="1" applyAlignment="1">
      <alignment horizontal="left"/>
    </xf>
    <xf numFmtId="0" fontId="43" fillId="0" borderId="5" xfId="166" applyFont="1" applyFill="1" applyBorder="1" applyAlignment="1">
      <alignment vertical="center" wrapText="1"/>
    </xf>
    <xf numFmtId="0" fontId="44" fillId="0" borderId="5" xfId="166" applyFont="1" applyBorder="1" applyAlignment="1">
      <alignment horizontal="left" vertical="center" wrapText="1"/>
    </xf>
    <xf numFmtId="0" fontId="9" fillId="4" borderId="6" xfId="166" applyFont="1" applyFill="1" applyBorder="1" applyAlignment="1">
      <alignment horizontal="center" vertical="center" wrapText="1"/>
    </xf>
    <xf numFmtId="0" fontId="9" fillId="4" borderId="7" xfId="166" applyFont="1" applyFill="1" applyBorder="1" applyAlignment="1">
      <alignment horizontal="center" vertical="center" wrapText="1"/>
    </xf>
    <xf numFmtId="0" fontId="9" fillId="4" borderId="8" xfId="166" applyFont="1" applyFill="1" applyBorder="1" applyAlignment="1">
      <alignment horizontal="center" vertical="center" wrapText="1"/>
    </xf>
    <xf numFmtId="0" fontId="9" fillId="0" borderId="9" xfId="0" applyFont="1" applyFill="1" applyBorder="1" applyAlignment="1">
      <alignment horizontal="left" wrapText="1"/>
    </xf>
    <xf numFmtId="0" fontId="9" fillId="0" borderId="11" xfId="0" applyFont="1" applyFill="1" applyBorder="1" applyAlignment="1">
      <alignment horizontal="left" wrapText="1"/>
    </xf>
    <xf numFmtId="0" fontId="9" fillId="0" borderId="5" xfId="0" applyFont="1" applyFill="1" applyBorder="1" applyAlignment="1">
      <alignment horizontal="left" wrapText="1"/>
    </xf>
    <xf numFmtId="0" fontId="9" fillId="4" borderId="7" xfId="166" applyFont="1" applyFill="1" applyBorder="1" applyAlignment="1">
      <alignment horizontal="center" vertical="center"/>
    </xf>
    <xf numFmtId="0" fontId="0" fillId="0" borderId="0" xfId="0" applyAlignment="1">
      <alignment horizontal="left"/>
    </xf>
    <xf numFmtId="0" fontId="0" fillId="5"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41" fillId="0" borderId="0" xfId="0" applyFont="1" applyFill="1" applyAlignment="1">
      <alignment horizontal="center"/>
    </xf>
    <xf numFmtId="0" fontId="9" fillId="0" borderId="0" xfId="0" applyFont="1" applyFill="1" applyBorder="1" applyAlignment="1">
      <alignment horizontal="left" wrapText="1"/>
    </xf>
    <xf numFmtId="0" fontId="9" fillId="0" borderId="8" xfId="0" applyFont="1" applyFill="1" applyBorder="1" applyAlignment="1">
      <alignment horizontal="left" wrapText="1"/>
    </xf>
    <xf numFmtId="0" fontId="44" fillId="0" borderId="5" xfId="166" applyFont="1" applyFill="1" applyBorder="1" applyAlignment="1">
      <alignment vertical="center" wrapText="1"/>
    </xf>
    <xf numFmtId="0" fontId="48" fillId="4" borderId="5" xfId="166" applyFont="1" applyFill="1" applyBorder="1" applyAlignment="1">
      <alignment horizontal="center" vertical="center"/>
    </xf>
    <xf numFmtId="0" fontId="49" fillId="4" borderId="6" xfId="166" applyFont="1" applyFill="1" applyBorder="1" applyAlignment="1">
      <alignment horizontal="left" vertical="center" wrapText="1"/>
    </xf>
    <xf numFmtId="0" fontId="9" fillId="0" borderId="0" xfId="166" applyFont="1" applyBorder="1" applyAlignment="1">
      <alignment horizontal="left" vertical="center" wrapText="1"/>
    </xf>
    <xf numFmtId="0" fontId="9" fillId="0" borderId="6" xfId="0" applyFont="1" applyFill="1" applyBorder="1" applyAlignment="1">
      <alignment horizontal="center" wrapText="1"/>
    </xf>
    <xf numFmtId="0" fontId="46" fillId="0" borderId="0" xfId="0" applyFont="1" applyAlignment="1">
      <alignment horizontal="center"/>
    </xf>
    <xf numFmtId="0" fontId="50" fillId="0" borderId="0" xfId="0" applyFont="1" applyFill="1" applyAlignment="1">
      <alignment horizontal="center"/>
    </xf>
    <xf numFmtId="0" fontId="50" fillId="0" borderId="0" xfId="0" applyFont="1"/>
    <xf numFmtId="0" fontId="50" fillId="0" borderId="0" xfId="0" applyFont="1" applyAlignment="1">
      <alignment horizontal="center"/>
    </xf>
    <xf numFmtId="0" fontId="41" fillId="0" borderId="0" xfId="11" applyFont="1" applyFill="1" applyAlignment="1">
      <alignment horizontal="center"/>
    </xf>
    <xf numFmtId="0" fontId="41" fillId="0" borderId="0" xfId="11" applyFont="1" applyFill="1" applyAlignment="1">
      <alignment horizontal="left"/>
    </xf>
    <xf numFmtId="0" fontId="41" fillId="0" borderId="0" xfId="79" applyFont="1" applyFill="1" applyAlignment="1">
      <alignment horizontal="center" wrapText="1"/>
    </xf>
    <xf numFmtId="0" fontId="50" fillId="0" borderId="0" xfId="0" applyFont="1" applyFill="1" applyBorder="1" applyAlignment="1">
      <alignment vertical="center" wrapText="1"/>
    </xf>
    <xf numFmtId="0" fontId="50" fillId="0" borderId="0" xfId="11" applyFont="1" applyFill="1" applyAlignment="1">
      <alignment horizontal="center"/>
    </xf>
    <xf numFmtId="0" fontId="50" fillId="0" borderId="0" xfId="78" applyFont="1" applyFill="1" applyAlignment="1">
      <alignment horizontal="center" wrapText="1"/>
    </xf>
    <xf numFmtId="0" fontId="0" fillId="0" borderId="0" xfId="78" applyFont="1" applyFill="1" applyAlignment="1">
      <alignment horizontal="left" wrapText="1"/>
    </xf>
    <xf numFmtId="0" fontId="41" fillId="0" borderId="0" xfId="78" applyFont="1" applyFill="1" applyAlignment="1">
      <alignment horizontal="center"/>
    </xf>
    <xf numFmtId="0" fontId="3" fillId="0" borderId="0" xfId="77" applyFont="1" applyFill="1" applyAlignment="1">
      <alignment horizontal="center"/>
    </xf>
    <xf numFmtId="178" fontId="3" fillId="0" borderId="0" xfId="77" applyNumberFormat="1" applyFont="1" applyFill="1" applyAlignment="1">
      <alignment horizontal="center"/>
    </xf>
    <xf numFmtId="0" fontId="41" fillId="0" borderId="0" xfId="0" applyFont="1" applyFill="1"/>
    <xf numFmtId="180" fontId="41" fillId="0" borderId="0" xfId="0" applyNumberFormat="1" applyFont="1" applyFill="1" applyAlignment="1">
      <alignment horizontal="right"/>
    </xf>
    <xf numFmtId="177" fontId="41" fillId="0" borderId="0" xfId="0" applyNumberFormat="1" applyFont="1" applyAlignment="1">
      <alignment horizontal="center"/>
    </xf>
    <xf numFmtId="0" fontId="9" fillId="0" borderId="5" xfId="166" applyFont="1" applyBorder="1" applyAlignment="1">
      <alignment horizontal="left" wrapText="1"/>
    </xf>
    <xf numFmtId="176" fontId="0" fillId="4" borderId="0" xfId="0" applyNumberFormat="1" applyFont="1" applyFill="1" applyBorder="1" applyAlignment="1">
      <alignment vertical="center" wrapText="1"/>
    </xf>
    <xf numFmtId="0" fontId="41" fillId="0" borderId="5" xfId="166" applyFont="1" applyFill="1" applyBorder="1" applyAlignment="1">
      <alignment horizontal="left" vertical="center" wrapText="1"/>
    </xf>
    <xf numFmtId="0" fontId="49" fillId="4" borderId="8" xfId="166" applyFont="1" applyFill="1" applyBorder="1" applyAlignment="1">
      <alignment horizontal="left" vertical="center" wrapText="1"/>
    </xf>
    <xf numFmtId="0" fontId="9" fillId="0" borderId="22" xfId="0" applyFont="1" applyFill="1" applyBorder="1" applyAlignment="1">
      <alignment horizontal="left" wrapText="1"/>
    </xf>
    <xf numFmtId="0" fontId="8" fillId="0" borderId="12" xfId="166" applyBorder="1" applyAlignment="1">
      <alignment horizontal="center" vertical="center"/>
    </xf>
    <xf numFmtId="0" fontId="9" fillId="0" borderId="13" xfId="166" applyFont="1" applyBorder="1">
      <alignment vertical="center"/>
    </xf>
    <xf numFmtId="0" fontId="49" fillId="4" borderId="8" xfId="166" applyFont="1" applyFill="1" applyBorder="1" applyAlignment="1">
      <alignment horizontal="center" vertical="center" wrapText="1"/>
    </xf>
    <xf numFmtId="0" fontId="9" fillId="0" borderId="23" xfId="0" applyFont="1" applyFill="1" applyBorder="1" applyAlignment="1">
      <alignment horizontal="left" wrapText="1"/>
    </xf>
    <xf numFmtId="0" fontId="8" fillId="0" borderId="23" xfId="166" applyBorder="1">
      <alignment vertical="center"/>
    </xf>
    <xf numFmtId="0" fontId="9" fillId="0" borderId="23" xfId="166" applyFont="1" applyBorder="1">
      <alignment vertical="center"/>
    </xf>
    <xf numFmtId="0" fontId="10" fillId="4" borderId="5" xfId="166" applyFont="1" applyFill="1" applyBorder="1" applyAlignment="1">
      <alignment vertical="center" wrapText="1"/>
    </xf>
    <xf numFmtId="0" fontId="41" fillId="0" borderId="0" xfId="0" applyFont="1" applyAlignment="1">
      <alignment horizontal="center" wrapText="1"/>
    </xf>
    <xf numFmtId="0" fontId="53" fillId="0" borderId="0" xfId="80" applyFont="1" applyFill="1" applyAlignment="1">
      <alignment horizontal="center"/>
    </xf>
    <xf numFmtId="177" fontId="41" fillId="0" borderId="0" xfId="0" applyNumberFormat="1" applyFont="1" applyFill="1" applyAlignment="1">
      <alignment horizontal="center"/>
    </xf>
    <xf numFmtId="0" fontId="50" fillId="2" borderId="0" xfId="0" applyFont="1" applyFill="1" applyBorder="1" applyAlignment="1">
      <alignment horizontal="center" vertical="center" wrapText="1"/>
    </xf>
    <xf numFmtId="0" fontId="53" fillId="0" borderId="0" xfId="11" applyFont="1" applyFill="1" applyAlignment="1">
      <alignment horizontal="center"/>
    </xf>
    <xf numFmtId="177" fontId="41" fillId="0" borderId="0" xfId="11" applyNumberFormat="1" applyFont="1" applyFill="1" applyAlignment="1">
      <alignment horizontal="center"/>
    </xf>
    <xf numFmtId="0" fontId="53" fillId="0" borderId="0" xfId="20" applyFont="1" applyFill="1" applyAlignment="1">
      <alignment horizontal="center"/>
    </xf>
    <xf numFmtId="177" fontId="53" fillId="0" borderId="0" xfId="20" applyNumberFormat="1" applyFont="1" applyFill="1" applyAlignment="1">
      <alignment horizontal="center"/>
    </xf>
    <xf numFmtId="176" fontId="41" fillId="0" borderId="0" xfId="0" applyNumberFormat="1" applyFont="1" applyAlignment="1">
      <alignment horizontal="center"/>
    </xf>
    <xf numFmtId="0" fontId="41" fillId="0" borderId="0" xfId="79" applyFont="1" applyFill="1" applyAlignment="1">
      <alignment horizontal="center"/>
    </xf>
    <xf numFmtId="0" fontId="53" fillId="0" borderId="0" xfId="79" applyFont="1" applyFill="1" applyAlignment="1">
      <alignment horizontal="center"/>
    </xf>
    <xf numFmtId="0" fontId="41" fillId="0" borderId="0" xfId="186" applyFont="1" applyFill="1" applyAlignment="1">
      <alignment horizontal="center"/>
    </xf>
    <xf numFmtId="178" fontId="41" fillId="0" borderId="0" xfId="79" applyNumberFormat="1" applyFont="1" applyFill="1" applyAlignment="1">
      <alignment horizontal="center"/>
    </xf>
    <xf numFmtId="0" fontId="41" fillId="0" borderId="0" xfId="78" applyFont="1" applyFill="1" applyAlignment="1">
      <alignment horizontal="left" wrapText="1"/>
    </xf>
    <xf numFmtId="0" fontId="52" fillId="0" borderId="0" xfId="0" applyFont="1" applyAlignment="1">
      <alignment horizontal="center"/>
    </xf>
    <xf numFmtId="0" fontId="41" fillId="0" borderId="5" xfId="0" applyFont="1" applyBorder="1" applyAlignment="1">
      <alignment horizontal="left" vertical="center" wrapText="1"/>
    </xf>
    <xf numFmtId="0" fontId="1" fillId="0" borderId="5" xfId="0" applyFont="1" applyBorder="1" applyAlignment="1">
      <alignment horizontal="left" vertical="center" wrapText="1"/>
    </xf>
    <xf numFmtId="0" fontId="41" fillId="0" borderId="0" xfId="0" applyFont="1" applyFill="1" applyAlignment="1">
      <alignment horizontal="left" wrapText="1"/>
    </xf>
    <xf numFmtId="0" fontId="9" fillId="0" borderId="5" xfId="0" applyFont="1" applyFill="1" applyBorder="1" applyAlignment="1">
      <alignment horizontal="left" wrapText="1"/>
    </xf>
    <xf numFmtId="0" fontId="0" fillId="5"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47" fillId="0" borderId="5" xfId="166" applyFont="1" applyBorder="1">
      <alignment vertical="center"/>
    </xf>
    <xf numFmtId="0" fontId="47" fillId="9" borderId="5" xfId="166" applyFont="1" applyFill="1" applyBorder="1">
      <alignment vertical="center"/>
    </xf>
    <xf numFmtId="0" fontId="46" fillId="0" borderId="0" xfId="0" applyFont="1" applyFill="1" applyAlignment="1">
      <alignment horizontal="center"/>
    </xf>
    <xf numFmtId="0" fontId="48" fillId="0" borderId="5" xfId="166" applyFont="1" applyBorder="1">
      <alignment vertical="center"/>
    </xf>
    <xf numFmtId="0" fontId="48" fillId="0" borderId="5" xfId="166" applyFont="1" applyBorder="1" applyAlignment="1">
      <alignment horizontal="left" vertical="center" wrapText="1"/>
    </xf>
    <xf numFmtId="0" fontId="50" fillId="0" borderId="0" xfId="166" applyFont="1" applyFill="1" applyAlignment="1">
      <alignment horizontal="center"/>
    </xf>
    <xf numFmtId="0" fontId="50" fillId="0" borderId="0" xfId="79" applyFont="1" applyFill="1" applyAlignment="1">
      <alignment horizontal="center"/>
    </xf>
    <xf numFmtId="177" fontId="50" fillId="0" borderId="0" xfId="0" applyNumberFormat="1" applyFont="1" applyFill="1" applyAlignment="1">
      <alignment horizontal="center"/>
    </xf>
    <xf numFmtId="177" fontId="50" fillId="0" borderId="0" xfId="0" applyNumberFormat="1" applyFont="1" applyAlignment="1">
      <alignment horizontal="center"/>
    </xf>
    <xf numFmtId="176" fontId="50" fillId="0" borderId="0" xfId="0" applyNumberFormat="1" applyFont="1" applyAlignment="1">
      <alignment horizontal="center"/>
    </xf>
    <xf numFmtId="0" fontId="50" fillId="0" borderId="0" xfId="166" applyFont="1" applyFill="1" applyAlignment="1"/>
    <xf numFmtId="180" fontId="50" fillId="0" borderId="0" xfId="166" applyNumberFormat="1" applyFont="1" applyFill="1" applyAlignment="1">
      <alignment horizontal="center"/>
    </xf>
    <xf numFmtId="176" fontId="50" fillId="0" borderId="0" xfId="0" applyNumberFormat="1" applyFont="1" applyFill="1" applyAlignment="1">
      <alignment horizontal="center"/>
    </xf>
    <xf numFmtId="178" fontId="50" fillId="0" borderId="0" xfId="166" applyNumberFormat="1" applyFont="1" applyFill="1" applyAlignment="1">
      <alignment horizontal="center"/>
    </xf>
    <xf numFmtId="0" fontId="50" fillId="0" borderId="0" xfId="166" applyFont="1" applyFill="1" applyAlignment="1">
      <alignment horizontal="right"/>
    </xf>
    <xf numFmtId="178" fontId="50" fillId="0" borderId="0" xfId="166" applyNumberFormat="1" applyFont="1" applyFill="1" applyAlignment="1"/>
    <xf numFmtId="177" fontId="50" fillId="0" borderId="0" xfId="166" applyNumberFormat="1" applyFont="1" applyFill="1" applyAlignment="1">
      <alignment horizontal="center"/>
    </xf>
    <xf numFmtId="0" fontId="50" fillId="5" borderId="0" xfId="0" applyFont="1" applyFill="1" applyBorder="1" applyAlignment="1">
      <alignment horizontal="center" vertical="center" wrapText="1"/>
    </xf>
    <xf numFmtId="0" fontId="50" fillId="0" borderId="0" xfId="0" applyFont="1" applyAlignment="1">
      <alignment vertical="center"/>
    </xf>
    <xf numFmtId="0" fontId="50" fillId="4" borderId="0" xfId="0" applyFont="1" applyFill="1" applyBorder="1" applyAlignment="1">
      <alignment vertical="center" wrapText="1"/>
    </xf>
    <xf numFmtId="0" fontId="0" fillId="5"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37" borderId="0" xfId="0" applyFont="1" applyFill="1" applyAlignment="1">
      <alignment vertical="center"/>
    </xf>
    <xf numFmtId="0" fontId="48" fillId="0" borderId="5" xfId="0" applyFont="1" applyBorder="1" applyAlignment="1">
      <alignment horizontal="left" vertical="center" wrapText="1"/>
    </xf>
    <xf numFmtId="0" fontId="48" fillId="0" borderId="5" xfId="166" applyFont="1" applyFill="1" applyBorder="1" applyAlignment="1">
      <alignment horizontal="center" vertical="center" wrapText="1"/>
    </xf>
    <xf numFmtId="0" fontId="48" fillId="4" borderId="13" xfId="166" applyFont="1" applyFill="1" applyBorder="1" applyAlignment="1">
      <alignment horizontal="center" vertical="center" wrapText="1"/>
    </xf>
    <xf numFmtId="0" fontId="48" fillId="0" borderId="5" xfId="0" applyFont="1" applyBorder="1" applyAlignment="1">
      <alignment vertical="center" wrapText="1"/>
    </xf>
    <xf numFmtId="0" fontId="48" fillId="0" borderId="5" xfId="166" applyFont="1" applyBorder="1" applyAlignment="1">
      <alignment vertical="center" wrapText="1"/>
    </xf>
    <xf numFmtId="0" fontId="48" fillId="0" borderId="5" xfId="166" applyFont="1" applyFill="1" applyBorder="1" applyAlignment="1">
      <alignment horizontal="left" vertical="center" wrapText="1"/>
    </xf>
    <xf numFmtId="0" fontId="48" fillId="0" borderId="11" xfId="166" applyFont="1" applyBorder="1" applyAlignment="1">
      <alignment horizontal="left" vertical="center" wrapText="1"/>
    </xf>
    <xf numFmtId="0" fontId="48" fillId="0" borderId="5" xfId="0" applyFont="1" applyBorder="1" applyAlignment="1">
      <alignment horizontal="left" wrapText="1"/>
    </xf>
    <xf numFmtId="0" fontId="48" fillId="0" borderId="5" xfId="0" applyFont="1" applyFill="1" applyBorder="1" applyAlignment="1">
      <alignment horizontal="left" wrapText="1"/>
    </xf>
    <xf numFmtId="0" fontId="48" fillId="0" borderId="9" xfId="0" applyFont="1" applyFill="1" applyBorder="1" applyAlignment="1">
      <alignment horizontal="left" wrapText="1"/>
    </xf>
    <xf numFmtId="0" fontId="48" fillId="0" borderId="11" xfId="0" applyFont="1" applyFill="1" applyBorder="1" applyAlignment="1">
      <alignment horizontal="left" wrapText="1"/>
    </xf>
    <xf numFmtId="0" fontId="48" fillId="4" borderId="8" xfId="166" applyFont="1" applyFill="1" applyBorder="1" applyAlignment="1">
      <alignment horizontal="center" vertical="center" wrapText="1"/>
    </xf>
    <xf numFmtId="0" fontId="50" fillId="0" borderId="5" xfId="0" applyFont="1" applyBorder="1" applyAlignment="1">
      <alignment horizontal="left" vertical="center" wrapText="1"/>
    </xf>
    <xf numFmtId="0" fontId="50" fillId="0" borderId="5" xfId="166" applyFont="1" applyFill="1" applyBorder="1" applyAlignment="1">
      <alignment horizontal="left" vertical="center" wrapText="1"/>
    </xf>
    <xf numFmtId="0" fontId="48" fillId="4" borderId="5" xfId="166" applyFont="1" applyFill="1" applyBorder="1" applyAlignment="1">
      <alignment horizontal="center" vertical="center" wrapText="1"/>
    </xf>
    <xf numFmtId="0" fontId="50" fillId="0" borderId="5" xfId="0" applyFont="1" applyBorder="1" applyAlignment="1">
      <alignment vertical="center" wrapText="1"/>
    </xf>
    <xf numFmtId="0" fontId="50" fillId="0" borderId="5" xfId="166" applyFont="1" applyBorder="1" applyAlignment="1">
      <alignment vertical="center" wrapText="1"/>
    </xf>
    <xf numFmtId="0" fontId="50" fillId="0" borderId="5" xfId="187" applyFont="1" applyBorder="1" applyAlignment="1">
      <alignment horizontal="justify" vertical="center" wrapText="1"/>
    </xf>
    <xf numFmtId="0" fontId="50" fillId="0" borderId="0" xfId="0" applyFont="1" applyFill="1"/>
    <xf numFmtId="0" fontId="54" fillId="0" borderId="0" xfId="20" applyFont="1" applyFill="1" applyAlignment="1">
      <alignment horizontal="center"/>
    </xf>
    <xf numFmtId="0" fontId="54" fillId="0" borderId="0" xfId="20" applyFont="1" applyFill="1" applyAlignment="1">
      <alignment horizontal="left"/>
    </xf>
    <xf numFmtId="0" fontId="50" fillId="0" borderId="0" xfId="0" applyFont="1" applyFill="1" applyBorder="1" applyAlignment="1">
      <alignment horizontal="center"/>
    </xf>
    <xf numFmtId="180" fontId="50" fillId="0" borderId="0" xfId="0" applyNumberFormat="1" applyFont="1" applyFill="1" applyAlignment="1">
      <alignment horizontal="center"/>
    </xf>
    <xf numFmtId="0" fontId="9" fillId="9" borderId="9" xfId="166" applyFont="1" applyFill="1" applyBorder="1" applyAlignment="1">
      <alignment horizontal="left" vertical="center"/>
    </xf>
    <xf numFmtId="0" fontId="9" fillId="9" borderId="11" xfId="166" applyFont="1" applyFill="1" applyBorder="1" applyAlignment="1">
      <alignment horizontal="left" vertical="center"/>
    </xf>
    <xf numFmtId="0" fontId="9" fillId="9" borderId="9" xfId="166" applyFont="1" applyFill="1" applyBorder="1" applyAlignment="1">
      <alignment horizontal="center" vertical="center"/>
    </xf>
    <xf numFmtId="0" fontId="9" fillId="9" borderId="11" xfId="166" applyFont="1" applyFill="1" applyBorder="1" applyAlignment="1">
      <alignment horizontal="center" vertical="center"/>
    </xf>
    <xf numFmtId="0" fontId="48" fillId="0" borderId="5" xfId="166" applyFont="1" applyFill="1" applyBorder="1" applyAlignment="1">
      <alignment vertical="center" wrapText="1"/>
    </xf>
    <xf numFmtId="0" fontId="48" fillId="0" borderId="5" xfId="166" applyFont="1" applyFill="1" applyBorder="1">
      <alignment vertical="center"/>
    </xf>
    <xf numFmtId="0" fontId="9" fillId="9" borderId="0" xfId="166" applyFont="1" applyFill="1">
      <alignment vertical="center"/>
    </xf>
    <xf numFmtId="0" fontId="9" fillId="9" borderId="5" xfId="0" applyFont="1" applyFill="1" applyBorder="1" applyAlignment="1">
      <alignment vertical="center" wrapText="1"/>
    </xf>
    <xf numFmtId="0" fontId="9" fillId="9" borderId="9" xfId="0" applyFont="1" applyFill="1" applyBorder="1" applyAlignment="1">
      <alignment horizontal="left" wrapText="1"/>
    </xf>
    <xf numFmtId="0" fontId="9" fillId="9" borderId="11" xfId="0" applyFont="1" applyFill="1" applyBorder="1" applyAlignment="1">
      <alignment horizontal="left" wrapText="1"/>
    </xf>
    <xf numFmtId="0" fontId="49" fillId="37" borderId="6" xfId="166" applyFont="1" applyFill="1" applyBorder="1" applyAlignment="1">
      <alignment horizontal="center" vertical="center" wrapText="1"/>
    </xf>
    <xf numFmtId="0" fontId="41" fillId="9" borderId="5" xfId="0" applyFont="1" applyFill="1" applyBorder="1" applyAlignment="1">
      <alignment vertical="center" wrapText="1"/>
    </xf>
    <xf numFmtId="0" fontId="49" fillId="37" borderId="8" xfId="166" applyFont="1" applyFill="1" applyBorder="1" applyAlignment="1">
      <alignment horizontal="center" vertical="center" wrapText="1"/>
    </xf>
    <xf numFmtId="0" fontId="49" fillId="37" borderId="13" xfId="166" applyFont="1" applyFill="1" applyBorder="1" applyAlignment="1">
      <alignment horizontal="center" vertical="center" wrapText="1"/>
    </xf>
    <xf numFmtId="0" fontId="41" fillId="0" borderId="5" xfId="0" applyFont="1" applyBorder="1" applyAlignment="1">
      <alignment horizontal="justify" vertical="center" wrapText="1"/>
    </xf>
    <xf numFmtId="0" fontId="9" fillId="0" borderId="5" xfId="0" applyFont="1" applyFill="1" applyBorder="1" applyAlignment="1">
      <alignment horizontal="left" wrapText="1"/>
    </xf>
    <xf numFmtId="0" fontId="9" fillId="0" borderId="5" xfId="0" applyFont="1" applyFill="1" applyBorder="1" applyAlignment="1">
      <alignment horizontal="left" wrapText="1"/>
    </xf>
    <xf numFmtId="0" fontId="0" fillId="2" borderId="0" xfId="0" applyFont="1" applyFill="1" applyBorder="1" applyAlignment="1">
      <alignment horizontal="center" vertical="center" wrapText="1"/>
    </xf>
    <xf numFmtId="0" fontId="41" fillId="0" borderId="5" xfId="166" applyFont="1" applyBorder="1" applyAlignment="1">
      <alignment vertical="center" wrapText="1"/>
    </xf>
    <xf numFmtId="0" fontId="55" fillId="0" borderId="0" xfId="166" applyFont="1" applyAlignment="1">
      <alignment vertical="center"/>
    </xf>
    <xf numFmtId="0" fontId="56" fillId="4" borderId="5" xfId="166" applyFont="1" applyFill="1" applyBorder="1" applyAlignment="1">
      <alignment horizontal="center" vertical="center"/>
    </xf>
    <xf numFmtId="0" fontId="56" fillId="0" borderId="5" xfId="166" applyFont="1" applyBorder="1" applyAlignment="1">
      <alignment vertical="center" wrapText="1"/>
    </xf>
    <xf numFmtId="0" fontId="56" fillId="0" borderId="5" xfId="166" applyFont="1" applyBorder="1" applyAlignment="1">
      <alignment vertical="center"/>
    </xf>
    <xf numFmtId="0" fontId="55" fillId="0" borderId="5" xfId="166" applyFont="1" applyBorder="1" applyAlignment="1">
      <alignment vertical="center"/>
    </xf>
    <xf numFmtId="0" fontId="57" fillId="0" borderId="5" xfId="0" applyFont="1" applyBorder="1" applyAlignment="1">
      <alignment horizontal="justify" vertical="center" wrapText="1"/>
    </xf>
    <xf numFmtId="0" fontId="57" fillId="0" borderId="5" xfId="166" applyFont="1" applyBorder="1" applyAlignment="1">
      <alignment vertical="center" wrapText="1"/>
    </xf>
    <xf numFmtId="0" fontId="58" fillId="0" borderId="5" xfId="0" applyFont="1" applyBorder="1" applyAlignment="1">
      <alignment horizontal="justify" vertical="center" wrapText="1"/>
    </xf>
    <xf numFmtId="0" fontId="50" fillId="0" borderId="0" xfId="14" applyFont="1" applyBorder="1" applyAlignment="1">
      <alignment horizontal="center"/>
    </xf>
    <xf numFmtId="0" fontId="41" fillId="0" borderId="5" xfId="0" applyFont="1" applyBorder="1" applyAlignment="1">
      <alignment vertical="center" wrapText="1"/>
    </xf>
    <xf numFmtId="0" fontId="41" fillId="0" borderId="5" xfId="166" applyFont="1" applyBorder="1" applyAlignment="1">
      <alignment horizontal="left" vertical="center" wrapText="1"/>
    </xf>
    <xf numFmtId="178" fontId="50" fillId="0" borderId="0" xfId="0" applyNumberFormat="1" applyFont="1" applyFill="1" applyAlignment="1"/>
    <xf numFmtId="0" fontId="44" fillId="0" borderId="5" xfId="166" applyFont="1" applyBorder="1" applyAlignment="1">
      <alignment vertical="center" wrapText="1"/>
    </xf>
    <xf numFmtId="0" fontId="44" fillId="0" borderId="5" xfId="166" applyFont="1" applyFill="1" applyBorder="1" applyAlignment="1">
      <alignment horizontal="left" vertical="center" wrapText="1"/>
    </xf>
    <xf numFmtId="0" fontId="41" fillId="37" borderId="0" xfId="0" applyFont="1" applyFill="1" applyBorder="1" applyAlignment="1">
      <alignment vertical="center" wrapText="1"/>
    </xf>
    <xf numFmtId="0" fontId="41" fillId="0" borderId="0" xfId="0" applyFont="1" applyAlignment="1">
      <alignment horizontal="left"/>
    </xf>
    <xf numFmtId="0" fontId="41" fillId="0" borderId="0" xfId="0" applyFont="1" applyAlignment="1">
      <alignment horizontal="left"/>
    </xf>
    <xf numFmtId="14" fontId="41" fillId="0" borderId="0" xfId="0" applyNumberFormat="1" applyFont="1" applyAlignment="1">
      <alignment horizontal="left"/>
    </xf>
    <xf numFmtId="0" fontId="41" fillId="0" borderId="0" xfId="0" applyFont="1" applyAlignment="1">
      <alignment horizontal="left" wrapText="1"/>
    </xf>
    <xf numFmtId="0" fontId="41" fillId="0" borderId="0" xfId="0" applyFont="1" applyAlignment="1">
      <alignment horizontal="left"/>
    </xf>
    <xf numFmtId="0" fontId="59" fillId="0" borderId="0" xfId="11" applyFont="1" applyFill="1" applyAlignment="1">
      <alignment horizontal="center"/>
    </xf>
    <xf numFmtId="0" fontId="59" fillId="0" borderId="0" xfId="79" applyFont="1" applyFill="1" applyAlignment="1">
      <alignment horizontal="center"/>
    </xf>
    <xf numFmtId="0" fontId="9" fillId="0" borderId="9" xfId="0" applyFont="1" applyFill="1" applyBorder="1" applyAlignment="1">
      <alignment horizontal="left" wrapText="1"/>
    </xf>
    <xf numFmtId="0" fontId="9" fillId="0" borderId="11" xfId="0" applyFont="1" applyFill="1" applyBorder="1" applyAlignment="1">
      <alignment horizontal="left" wrapText="1"/>
    </xf>
    <xf numFmtId="0" fontId="9" fillId="0" borderId="9" xfId="0" applyFont="1" applyFill="1" applyBorder="1" applyAlignment="1">
      <alignment wrapText="1"/>
    </xf>
    <xf numFmtId="0" fontId="9" fillId="0" borderId="11" xfId="0" applyFont="1" applyFill="1" applyBorder="1" applyAlignment="1">
      <alignment wrapText="1"/>
    </xf>
    <xf numFmtId="0" fontId="9" fillId="4" borderId="6" xfId="166" applyFont="1" applyFill="1" applyBorder="1" applyAlignment="1">
      <alignment horizontal="center" vertical="center" wrapText="1"/>
    </xf>
    <xf numFmtId="0" fontId="9" fillId="4" borderId="7" xfId="166" applyFont="1" applyFill="1" applyBorder="1" applyAlignment="1">
      <alignment horizontal="center" vertical="center" wrapText="1"/>
    </xf>
    <xf numFmtId="0" fontId="9" fillId="4" borderId="8" xfId="166" applyFont="1" applyFill="1" applyBorder="1" applyAlignment="1">
      <alignment horizontal="center" vertical="center" wrapText="1"/>
    </xf>
    <xf numFmtId="0" fontId="9" fillId="4" borderId="6" xfId="166" applyFont="1" applyFill="1" applyBorder="1" applyAlignment="1">
      <alignment horizontal="center" vertical="center"/>
    </xf>
    <xf numFmtId="0" fontId="9" fillId="4" borderId="8" xfId="166" applyFont="1" applyFill="1" applyBorder="1" applyAlignment="1">
      <alignment horizontal="center" vertical="center"/>
    </xf>
    <xf numFmtId="0" fontId="9" fillId="9" borderId="9" xfId="166" applyFont="1" applyFill="1" applyBorder="1" applyAlignment="1">
      <alignment horizontal="left" vertical="center"/>
    </xf>
    <xf numFmtId="0" fontId="9" fillId="9" borderId="11" xfId="166" applyFont="1" applyFill="1" applyBorder="1" applyAlignment="1">
      <alignment horizontal="left" vertical="center"/>
    </xf>
    <xf numFmtId="0" fontId="9" fillId="0" borderId="9"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0" fontId="9" fillId="0" borderId="22" xfId="0" applyFont="1" applyFill="1" applyBorder="1" applyAlignment="1">
      <alignment horizontal="center" wrapText="1"/>
    </xf>
    <xf numFmtId="0" fontId="9" fillId="37" borderId="6" xfId="166" applyFont="1" applyFill="1" applyBorder="1" applyAlignment="1">
      <alignment horizontal="center" vertical="center"/>
    </xf>
    <xf numFmtId="0" fontId="9" fillId="37" borderId="8" xfId="166" applyFont="1" applyFill="1" applyBorder="1" applyAlignment="1">
      <alignment horizontal="center" vertical="center"/>
    </xf>
    <xf numFmtId="0" fontId="9" fillId="0" borderId="5" xfId="0" applyFont="1" applyFill="1" applyBorder="1" applyAlignment="1">
      <alignment wrapText="1"/>
    </xf>
    <xf numFmtId="0" fontId="9" fillId="0" borderId="5" xfId="0" applyFont="1" applyFill="1" applyBorder="1" applyAlignment="1">
      <alignment horizontal="left" wrapText="1"/>
    </xf>
    <xf numFmtId="0" fontId="9" fillId="0" borderId="9" xfId="0" applyFont="1" applyBorder="1" applyAlignment="1">
      <alignment horizontal="left" wrapText="1"/>
    </xf>
    <xf numFmtId="0" fontId="9" fillId="0" borderId="11" xfId="0" applyFont="1" applyBorder="1" applyAlignment="1">
      <alignment horizontal="left" wrapText="1"/>
    </xf>
    <xf numFmtId="0" fontId="9" fillId="8" borderId="6" xfId="166" applyFont="1" applyFill="1" applyBorder="1" applyAlignment="1">
      <alignment horizontal="center" vertical="center"/>
    </xf>
    <xf numFmtId="0" fontId="9" fillId="8" borderId="8" xfId="166" applyFont="1" applyFill="1" applyBorder="1" applyAlignment="1">
      <alignment horizontal="center" vertical="center"/>
    </xf>
    <xf numFmtId="0" fontId="9" fillId="9" borderId="9" xfId="166" applyFont="1" applyFill="1" applyBorder="1" applyAlignment="1">
      <alignment horizontal="left" vertical="center" wrapText="1"/>
    </xf>
    <xf numFmtId="0" fontId="9" fillId="9" borderId="11" xfId="166" applyFont="1" applyFill="1" applyBorder="1" applyAlignment="1">
      <alignment horizontal="left" vertical="center" wrapText="1"/>
    </xf>
    <xf numFmtId="0" fontId="48" fillId="37" borderId="6" xfId="166" applyFont="1" applyFill="1" applyBorder="1" applyAlignment="1">
      <alignment horizontal="center" vertical="center"/>
    </xf>
    <xf numFmtId="0" fontId="48" fillId="37" borderId="8" xfId="166" applyFont="1" applyFill="1" applyBorder="1" applyAlignment="1">
      <alignment horizontal="center" vertical="center"/>
    </xf>
    <xf numFmtId="0" fontId="9" fillId="0" borderId="8" xfId="0" applyFont="1" applyFill="1" applyBorder="1" applyAlignment="1">
      <alignment horizontal="left" wrapText="1"/>
    </xf>
    <xf numFmtId="0" fontId="9" fillId="9" borderId="9" xfId="166" applyFont="1" applyFill="1" applyBorder="1" applyAlignment="1">
      <alignment horizontal="center" vertical="center"/>
    </xf>
    <xf numFmtId="0" fontId="9" fillId="9" borderId="11" xfId="166" applyFont="1" applyFill="1" applyBorder="1" applyAlignment="1">
      <alignment horizontal="center" vertical="center"/>
    </xf>
    <xf numFmtId="0" fontId="8" fillId="0" borderId="9" xfId="166" applyBorder="1" applyAlignment="1">
      <alignment horizontal="center" vertical="center"/>
    </xf>
    <xf numFmtId="0" fontId="8" fillId="0" borderId="10" xfId="166" applyBorder="1" applyAlignment="1">
      <alignment horizontal="center" vertical="center"/>
    </xf>
    <xf numFmtId="0" fontId="8" fillId="0" borderId="11" xfId="166" applyBorder="1" applyAlignment="1">
      <alignment horizontal="center" vertical="center"/>
    </xf>
    <xf numFmtId="0" fontId="9" fillId="0" borderId="8" xfId="0" applyFont="1" applyFill="1" applyBorder="1" applyAlignment="1">
      <alignment vertical="top" wrapText="1"/>
    </xf>
    <xf numFmtId="0" fontId="9" fillId="0" borderId="5" xfId="0" applyFont="1" applyFill="1" applyBorder="1" applyAlignment="1">
      <alignment vertical="top" wrapText="1"/>
    </xf>
    <xf numFmtId="0" fontId="10" fillId="7" borderId="0" xfId="0" applyFont="1" applyFill="1" applyBorder="1" applyAlignment="1">
      <alignment horizontal="center" wrapText="1"/>
    </xf>
    <xf numFmtId="0" fontId="10" fillId="7" borderId="4" xfId="0" applyFont="1" applyFill="1" applyBorder="1" applyAlignment="1">
      <alignment horizontal="center" wrapText="1"/>
    </xf>
    <xf numFmtId="0" fontId="9" fillId="4" borderId="7" xfId="166" applyFont="1" applyFill="1" applyBorder="1" applyAlignment="1">
      <alignment horizontal="center" vertical="center"/>
    </xf>
    <xf numFmtId="0" fontId="56" fillId="4" borderId="22" xfId="166" applyFont="1" applyFill="1" applyBorder="1" applyAlignment="1">
      <alignment horizontal="center" vertical="center"/>
    </xf>
    <xf numFmtId="0" fontId="56" fillId="4" borderId="24" xfId="166" applyFont="1" applyFill="1" applyBorder="1" applyAlignment="1">
      <alignment horizontal="center" vertical="center"/>
    </xf>
    <xf numFmtId="0" fontId="9" fillId="0" borderId="5" xfId="0" applyFont="1" applyFill="1" applyBorder="1" applyAlignment="1"/>
    <xf numFmtId="0" fontId="9" fillId="7" borderId="9" xfId="0" applyFont="1" applyFill="1" applyBorder="1" applyAlignment="1">
      <alignment horizontal="center" wrapText="1"/>
    </xf>
    <xf numFmtId="0" fontId="9" fillId="7" borderId="10" xfId="0" applyFont="1" applyFill="1" applyBorder="1" applyAlignment="1">
      <alignment horizontal="center" wrapText="1"/>
    </xf>
    <xf numFmtId="0" fontId="9" fillId="0" borderId="5" xfId="0" applyFont="1" applyFill="1" applyBorder="1" applyAlignment="1">
      <alignment horizontal="center" wrapText="1"/>
    </xf>
    <xf numFmtId="0" fontId="56" fillId="8" borderId="6" xfId="166" applyFont="1" applyFill="1" applyBorder="1" applyAlignment="1">
      <alignment horizontal="center" vertical="center"/>
    </xf>
    <xf numFmtId="0" fontId="56" fillId="8" borderId="8" xfId="166" applyFont="1" applyFill="1" applyBorder="1" applyAlignment="1">
      <alignment horizontal="center" vertical="center"/>
    </xf>
    <xf numFmtId="0" fontId="7" fillId="0" borderId="0" xfId="0" applyFont="1" applyAlignment="1">
      <alignment horizontal="left" wrapText="1"/>
    </xf>
    <xf numFmtId="0" fontId="41" fillId="0" borderId="0" xfId="0" applyFont="1" applyAlignment="1">
      <alignment horizontal="left"/>
    </xf>
    <xf numFmtId="0" fontId="0" fillId="0" borderId="0" xfId="0" applyAlignment="1">
      <alignment horizontal="left"/>
    </xf>
    <xf numFmtId="0" fontId="0" fillId="5"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2" borderId="0" xfId="0" applyFont="1" applyFill="1" applyBorder="1" applyAlignment="1">
      <alignment horizontal="center" vertical="center" wrapText="1"/>
    </xf>
    <xf numFmtId="0" fontId="0" fillId="2" borderId="2" xfId="0" applyFont="1" applyFill="1" applyBorder="1" applyAlignment="1">
      <alignment horizontal="center" vertical="center" wrapText="1"/>
    </xf>
  </cellXfs>
  <cellStyles count="188">
    <cellStyle name="20% - Accent1 2" xfId="25"/>
    <cellStyle name="20% - Accent1 2 2" xfId="32"/>
    <cellStyle name="20% - Accent1 2_UMi-70GHz" xfId="33"/>
    <cellStyle name="20% - Accent1 3" xfId="17"/>
    <cellStyle name="20% - Accent2 2" xfId="13"/>
    <cellStyle name="20% - Accent2 2 2" xfId="7"/>
    <cellStyle name="20% - Accent2 2_UMi-70GHz" xfId="30"/>
    <cellStyle name="20% - Accent2 3" xfId="34"/>
    <cellStyle name="20% - Accent3 2" xfId="16"/>
    <cellStyle name="20% - Accent3 2 2" xfId="28"/>
    <cellStyle name="20% - Accent3 2_UMi-70GHz" xfId="21"/>
    <cellStyle name="20% - Accent3 3" xfId="36"/>
    <cellStyle name="20% - Accent4 2" xfId="39"/>
    <cellStyle name="20% - Accent4 2 2" xfId="41"/>
    <cellStyle name="20% - Accent4 2_UMi-70GHz" xfId="43"/>
    <cellStyle name="20% - Accent4 3" xfId="45"/>
    <cellStyle name="20% - Accent5 2" xfId="47"/>
    <cellStyle name="20% - Accent5 2 2" xfId="49"/>
    <cellStyle name="20% - Accent5 2_UMi-70GHz" xfId="1"/>
    <cellStyle name="20% - Accent5 3" xfId="51"/>
    <cellStyle name="20% - Accent6 2" xfId="53"/>
    <cellStyle name="20% - Accent6 2 2" xfId="56"/>
    <cellStyle name="20% - Accent6 2_UMi-70GHz" xfId="57"/>
    <cellStyle name="20% - Accent6 3" xfId="59"/>
    <cellStyle name="20% - アクセント 5" xfId="20" builtinId="46"/>
    <cellStyle name="20% - アクセント 6" xfId="11" builtinId="50"/>
    <cellStyle name="20% - 강조색1 2" xfId="61"/>
    <cellStyle name="20% - 강조색1 3" xfId="62"/>
    <cellStyle name="20% - 강조색2 2" xfId="63"/>
    <cellStyle name="20% - 강조색2 3" xfId="64"/>
    <cellStyle name="20% - 강조색3 2" xfId="8"/>
    <cellStyle name="20% - 강조색3 3" xfId="5"/>
    <cellStyle name="20% - 강조색4 2" xfId="65"/>
    <cellStyle name="20% - 강조색4 3" xfId="66"/>
    <cellStyle name="20% - 강조색5 2" xfId="67"/>
    <cellStyle name="20% - 강조색5 3" xfId="68"/>
    <cellStyle name="20% - 강조색6 2" xfId="69"/>
    <cellStyle name="20% - 강조색6 3" xfId="70"/>
    <cellStyle name="20% - 着色 5 2" xfId="80"/>
    <cellStyle name="20% - 着色 6 2" xfId="186"/>
    <cellStyle name="20% - 强调文字颜色 1 2" xfId="72"/>
    <cellStyle name="20% - 强调文字颜色 1 3" xfId="24"/>
    <cellStyle name="20% - 强调文字颜色 1 3 2" xfId="31"/>
    <cellStyle name="20% - 强调文字颜色 2 2" xfId="73"/>
    <cellStyle name="20% - 强调文字颜色 2 3" xfId="12"/>
    <cellStyle name="20% - 强调文字颜色 2 3 2" xfId="6"/>
    <cellStyle name="20% - 强调文字颜色 3 2" xfId="74"/>
    <cellStyle name="20% - 强调文字颜色 3 3" xfId="15"/>
    <cellStyle name="20% - 强调文字颜色 3 3 2" xfId="27"/>
    <cellStyle name="20% - 强调文字颜色 4 2" xfId="76"/>
    <cellStyle name="20% - 强调文字颜色 4 3" xfId="38"/>
    <cellStyle name="20% - 强调文字颜色 4 3 2" xfId="40"/>
    <cellStyle name="20% - 强调文字颜色 5 2" xfId="77"/>
    <cellStyle name="20% - 强调文字颜色 5 3" xfId="46"/>
    <cellStyle name="20% - 强调文字颜色 5 3 2" xfId="48"/>
    <cellStyle name="20% - 强调文字颜色 6 2" xfId="78"/>
    <cellStyle name="20% - 强调文字颜色 6 2 2" xfId="79"/>
    <cellStyle name="20% - 强调文字颜色 6 3" xfId="52"/>
    <cellStyle name="20% - 强调文字颜色 6 3 2" xfId="55"/>
    <cellStyle name="40% - Accent1 2" xfId="81"/>
    <cellStyle name="40% - Accent1 2 2" xfId="82"/>
    <cellStyle name="40% - Accent1 2_UMi-70GHz" xfId="83"/>
    <cellStyle name="40% - Accent1 3" xfId="84"/>
    <cellStyle name="40% - Accent2 2" xfId="85"/>
    <cellStyle name="40% - Accent2 2 2" xfId="86"/>
    <cellStyle name="40% - Accent2 2_UMi-70GHz" xfId="87"/>
    <cellStyle name="40% - Accent2 3" xfId="29"/>
    <cellStyle name="40% - Accent3 2" xfId="88"/>
    <cellStyle name="40% - Accent3 2 2" xfId="89"/>
    <cellStyle name="40% - Accent3 2_UMi-70GHz" xfId="54"/>
    <cellStyle name="40% - Accent3 3" xfId="90"/>
    <cellStyle name="40% - Accent4 2" xfId="91"/>
    <cellStyle name="40% - Accent4 2 2" xfId="92"/>
    <cellStyle name="40% - Accent4 2_UMi-70GHz" xfId="93"/>
    <cellStyle name="40% - Accent4 3" xfId="94"/>
    <cellStyle name="40% - Accent5 2" xfId="95"/>
    <cellStyle name="40% - Accent5 2 2" xfId="96"/>
    <cellStyle name="40% - Accent5 2_UMi-70GHz" xfId="97"/>
    <cellStyle name="40% - Accent5 3" xfId="98"/>
    <cellStyle name="40% - Accent6 2" xfId="99"/>
    <cellStyle name="40% - Accent6 2 2" xfId="19"/>
    <cellStyle name="40% - Accent6 2_UMi-70GHz" xfId="100"/>
    <cellStyle name="40% - Accent6 3" xfId="101"/>
    <cellStyle name="40% - 강조색1 2" xfId="102"/>
    <cellStyle name="40% - 강조색1 3" xfId="103"/>
    <cellStyle name="40% - 강조색2 2" xfId="104"/>
    <cellStyle name="40% - 강조색2 3" xfId="105"/>
    <cellStyle name="40% - 강조색3 2" xfId="106"/>
    <cellStyle name="40% - 강조색3 3" xfId="107"/>
    <cellStyle name="40% - 강조색4 2" xfId="108"/>
    <cellStyle name="40% - 강조색4 3" xfId="109"/>
    <cellStyle name="40% - 강조색5 2" xfId="110"/>
    <cellStyle name="40% - 강조색5 3" xfId="2"/>
    <cellStyle name="40% - 강조색6 2" xfId="111"/>
    <cellStyle name="40% - 강조색6 3" xfId="113"/>
    <cellStyle name="40% - 强调文字颜色 1 2" xfId="115"/>
    <cellStyle name="40% - 强调文字颜色 1 3" xfId="117"/>
    <cellStyle name="40% - 强调文字颜色 1 3 2" xfId="118"/>
    <cellStyle name="40% - 强调文字颜色 2 2" xfId="119"/>
    <cellStyle name="40% - 强调文字颜色 2 3" xfId="120"/>
    <cellStyle name="40% - 强调文字颜色 2 3 2" xfId="121"/>
    <cellStyle name="40% - 强调文字颜色 3 2" xfId="122"/>
    <cellStyle name="40% - 强调文字颜色 3 3" xfId="123"/>
    <cellStyle name="40% - 强调文字颜色 3 3 2" xfId="124"/>
    <cellStyle name="40% - 强调文字颜色 4 2" xfId="10"/>
    <cellStyle name="40% - 强调文字颜色 4 3" xfId="125"/>
    <cellStyle name="40% - 强调文字颜色 4 3 2" xfId="22"/>
    <cellStyle name="40% - 强调文字颜色 5 2" xfId="126"/>
    <cellStyle name="40% - 强调文字颜色 5 3" xfId="127"/>
    <cellStyle name="40% - 强调文字颜色 5 3 2" xfId="128"/>
    <cellStyle name="40% - 强调文字颜色 6 2" xfId="129"/>
    <cellStyle name="40% - 强调文字颜色 6 3" xfId="130"/>
    <cellStyle name="40% - 强调文字颜色 6 3 2" xfId="131"/>
    <cellStyle name="60% - 强调文字颜色 1 2" xfId="35"/>
    <cellStyle name="60% - 强调文字颜色 2 2" xfId="44"/>
    <cellStyle name="60% - 强调文字颜色 3 2" xfId="50"/>
    <cellStyle name="60% - 强调文字颜色 4 2" xfId="58"/>
    <cellStyle name="60% - 强调文字颜色 5 2" xfId="132"/>
    <cellStyle name="60% - 强调文字颜色 6 2" xfId="133"/>
    <cellStyle name="Commentaire 2" xfId="134"/>
    <cellStyle name="Commentaire 2 2" xfId="135"/>
    <cellStyle name="Commentaire 2 2 2" xfId="9"/>
    <cellStyle name="Commentaire 2 3" xfId="60"/>
    <cellStyle name="Normal 2" xfId="136"/>
    <cellStyle name="Normal 2 2" xfId="137"/>
    <cellStyle name="Normal 2 2 2" xfId="42"/>
    <cellStyle name="Normal 2 2 2 2" xfId="138"/>
    <cellStyle name="Normal 2 2 2_UMi-70GHz" xfId="139"/>
    <cellStyle name="Normal 2 2 3" xfId="140"/>
    <cellStyle name="Normal 2 2_UMi-70GHz" xfId="141"/>
    <cellStyle name="Normal 2 3" xfId="142"/>
    <cellStyle name="Normal 2 3 2" xfId="143"/>
    <cellStyle name="Normal 2 3_UMi-70GHz" xfId="112"/>
    <cellStyle name="Normal 2 4" xfId="144"/>
    <cellStyle name="Normal 2_UMi-70GHz" xfId="145"/>
    <cellStyle name="Normal 3" xfId="146"/>
    <cellStyle name="Normal 3 2" xfId="147"/>
    <cellStyle name="Normal 3 3" xfId="148"/>
    <cellStyle name="Normal 3 3 2" xfId="149"/>
    <cellStyle name="Normal 3 3_UMi-70GHz" xfId="150"/>
    <cellStyle name="Normal 3 4" xfId="71"/>
    <cellStyle name="Normal 3_UMi-70GHz" xfId="151"/>
    <cellStyle name="Normal 4" xfId="152"/>
    <cellStyle name="Normal 4 2" xfId="153"/>
    <cellStyle name="Normal 4 2 2" xfId="154"/>
    <cellStyle name="Normal 4 2_UMi-70GHz" xfId="18"/>
    <cellStyle name="Normal 4 3" xfId="155"/>
    <cellStyle name="Normal 4_UMi-70GHz" xfId="156"/>
    <cellStyle name="TableStyleLight1" xfId="157"/>
    <cellStyle name="TableStyleLight1 2" xfId="158"/>
    <cellStyle name="一般 2" xfId="114"/>
    <cellStyle name="一般 2 2" xfId="181"/>
    <cellStyle name="一般 2 3" xfId="182"/>
    <cellStyle name="一般 2_UMi-70GHz" xfId="183"/>
    <cellStyle name="一般 3" xfId="116"/>
    <cellStyle name="解释性文本 2" xfId="171"/>
    <cellStyle name="警告文本 2" xfId="172"/>
    <cellStyle name="好 2" xfId="168"/>
    <cellStyle name="好_UMi-70GHz" xfId="4"/>
    <cellStyle name="差 2" xfId="164"/>
    <cellStyle name="差_UMi-70GHz" xfId="165"/>
    <cellStyle name="集計" xfId="14" builtinId="25"/>
    <cellStyle name="常规 2" xfId="166"/>
    <cellStyle name="常规 3" xfId="75"/>
    <cellStyle name="常规 3 2" xfId="167"/>
    <cellStyle name="常规 4" xfId="37"/>
    <cellStyle name="常规 5" xfId="187"/>
    <cellStyle name="注释 2" xfId="184"/>
    <cellStyle name="注释 2 2" xfId="185"/>
    <cellStyle name="標準" xfId="0" builtinId="0"/>
    <cellStyle name="强调文字颜色 1 2" xfId="174"/>
    <cellStyle name="强调文字颜色 2 2" xfId="175"/>
    <cellStyle name="强调文字颜色 3 2" xfId="176"/>
    <cellStyle name="强调文字颜色 4 2" xfId="177"/>
    <cellStyle name="强调文字颜色 5 2" xfId="178"/>
    <cellStyle name="强调文字颜色 6 2" xfId="179"/>
    <cellStyle name="标题 1 2" xfId="159"/>
    <cellStyle name="标题 2 2" xfId="160"/>
    <cellStyle name="标题 3 2" xfId="161"/>
    <cellStyle name="标题 4 2" xfId="162"/>
    <cellStyle name="标题 5" xfId="163"/>
    <cellStyle name="检查单元格 2" xfId="170"/>
    <cellStyle name="汇总 2" xfId="169"/>
    <cellStyle name="计算 2" xfId="3"/>
    <cellStyle name="输出 2" xfId="23"/>
    <cellStyle name="输入 2" xfId="180"/>
    <cellStyle name="适中 2" xfId="26"/>
    <cellStyle name="链接单元格 2" xfId="173"/>
  </cellStyles>
  <dxfs count="1">
    <dxf>
      <font>
        <color rgb="FF9C0006"/>
      </font>
      <fill>
        <patternFill patternType="solid">
          <bgColor rgb="FFFFC7CE"/>
        </patternFill>
      </fill>
    </dxf>
  </dxfs>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48</xdr:row>
      <xdr:rowOff>9525</xdr:rowOff>
    </xdr:from>
    <xdr:to>
      <xdr:col>2</xdr:col>
      <xdr:colOff>590550</xdr:colOff>
      <xdr:row>49</xdr:row>
      <xdr:rowOff>180975</xdr:rowOff>
    </xdr:to>
    <xdr:pic>
      <xdr:nvPicPr>
        <xdr:cNvPr id="2" name="Picture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09850" y="11858625"/>
          <a:ext cx="561975" cy="3524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49</xdr:row>
      <xdr:rowOff>9525</xdr:rowOff>
    </xdr:from>
    <xdr:to>
      <xdr:col>2</xdr:col>
      <xdr:colOff>590550</xdr:colOff>
      <xdr:row>50</xdr:row>
      <xdr:rowOff>180975</xdr:rowOff>
    </xdr:to>
    <xdr:pic>
      <xdr:nvPicPr>
        <xdr:cNvPr id="2" name="Picture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09850" y="11344275"/>
          <a:ext cx="561975" cy="35242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E63"/>
  <sheetViews>
    <sheetView topLeftCell="A49" workbookViewId="0">
      <selection activeCell="G56" sqref="G56"/>
    </sheetView>
  </sheetViews>
  <sheetFormatPr defaultColWidth="9.44140625" defaultRowHeight="13.2"/>
  <cols>
    <col min="2" max="2" width="13.5546875" customWidth="1"/>
    <col min="4" max="4" width="21.88671875" customWidth="1"/>
    <col min="5" max="5" width="53.44140625" customWidth="1"/>
  </cols>
  <sheetData>
    <row r="4" spans="2:5">
      <c r="B4" t="s">
        <v>0</v>
      </c>
      <c r="C4" t="s">
        <v>1</v>
      </c>
      <c r="D4" t="s">
        <v>2</v>
      </c>
      <c r="E4" t="s">
        <v>3</v>
      </c>
    </row>
    <row r="5" spans="2:5">
      <c r="B5" s="190" t="s">
        <v>4</v>
      </c>
      <c r="C5" s="24">
        <v>1</v>
      </c>
      <c r="D5" s="24" t="s">
        <v>5</v>
      </c>
      <c r="E5" s="24" t="s">
        <v>6</v>
      </c>
    </row>
    <row r="6" spans="2:5">
      <c r="B6" s="191" t="s">
        <v>7</v>
      </c>
      <c r="C6" s="24">
        <v>2</v>
      </c>
      <c r="D6" t="s">
        <v>8</v>
      </c>
      <c r="E6" t="s">
        <v>9</v>
      </c>
    </row>
    <row r="7" spans="2:5" ht="52.8">
      <c r="B7" s="191" t="s">
        <v>10</v>
      </c>
      <c r="C7" s="24">
        <v>3</v>
      </c>
      <c r="D7" t="s">
        <v>5</v>
      </c>
      <c r="E7" s="204" t="s">
        <v>795</v>
      </c>
    </row>
    <row r="8" spans="2:5">
      <c r="B8" s="191" t="s">
        <v>10</v>
      </c>
      <c r="C8" s="24">
        <v>4</v>
      </c>
      <c r="D8" t="s">
        <v>11</v>
      </c>
      <c r="E8" t="s">
        <v>12</v>
      </c>
    </row>
    <row r="9" spans="2:5">
      <c r="B9" s="191" t="s">
        <v>13</v>
      </c>
      <c r="C9" s="24">
        <v>6</v>
      </c>
      <c r="D9" t="s">
        <v>14</v>
      </c>
      <c r="E9" t="s">
        <v>9</v>
      </c>
    </row>
    <row r="10" spans="2:5">
      <c r="B10" s="191" t="s">
        <v>13</v>
      </c>
      <c r="C10" s="24">
        <v>7</v>
      </c>
      <c r="D10" t="s">
        <v>15</v>
      </c>
      <c r="E10" t="s">
        <v>16</v>
      </c>
    </row>
    <row r="11" spans="2:5">
      <c r="B11" s="191" t="s">
        <v>13</v>
      </c>
      <c r="C11" s="24">
        <v>8</v>
      </c>
      <c r="D11" t="s">
        <v>17</v>
      </c>
      <c r="E11" t="s">
        <v>18</v>
      </c>
    </row>
    <row r="12" spans="2:5">
      <c r="B12" s="191" t="s">
        <v>19</v>
      </c>
      <c r="C12" s="24">
        <v>9</v>
      </c>
      <c r="D12" t="s">
        <v>20</v>
      </c>
      <c r="E12" t="s">
        <v>12</v>
      </c>
    </row>
    <row r="13" spans="2:5">
      <c r="B13" s="191" t="s">
        <v>19</v>
      </c>
      <c r="C13" s="24">
        <v>10</v>
      </c>
      <c r="D13" t="s">
        <v>21</v>
      </c>
      <c r="E13" s="192" t="s">
        <v>22</v>
      </c>
    </row>
    <row r="14" spans="2:5">
      <c r="B14" s="191" t="s">
        <v>19</v>
      </c>
      <c r="C14" s="24">
        <v>11</v>
      </c>
      <c r="D14" t="s">
        <v>23</v>
      </c>
      <c r="E14" t="s">
        <v>12</v>
      </c>
    </row>
    <row r="15" spans="2:5">
      <c r="B15" s="191" t="s">
        <v>19</v>
      </c>
      <c r="C15" s="24">
        <v>12</v>
      </c>
      <c r="D15" t="s">
        <v>24</v>
      </c>
      <c r="E15" t="s">
        <v>12</v>
      </c>
    </row>
    <row r="16" spans="2:5">
      <c r="B16" s="191" t="s">
        <v>19</v>
      </c>
      <c r="C16" s="24">
        <v>13</v>
      </c>
      <c r="D16" t="s">
        <v>25</v>
      </c>
      <c r="E16" t="s">
        <v>12</v>
      </c>
    </row>
    <row r="17" spans="2:5">
      <c r="B17" s="191" t="s">
        <v>19</v>
      </c>
      <c r="C17" s="24">
        <v>14</v>
      </c>
      <c r="D17" t="s">
        <v>26</v>
      </c>
      <c r="E17" t="s">
        <v>12</v>
      </c>
    </row>
    <row r="18" spans="2:5">
      <c r="B18" s="191" t="s">
        <v>19</v>
      </c>
      <c r="C18" s="24">
        <v>15</v>
      </c>
      <c r="D18" t="s">
        <v>26</v>
      </c>
      <c r="E18" t="s">
        <v>27</v>
      </c>
    </row>
    <row r="19" spans="2:5">
      <c r="B19" s="191" t="s">
        <v>19</v>
      </c>
      <c r="C19" s="24">
        <v>16</v>
      </c>
      <c r="D19" t="s">
        <v>28</v>
      </c>
      <c r="E19" t="s">
        <v>12</v>
      </c>
    </row>
    <row r="20" spans="2:5">
      <c r="B20" s="191" t="s">
        <v>19</v>
      </c>
      <c r="C20" s="24">
        <v>17</v>
      </c>
      <c r="D20" t="s">
        <v>28</v>
      </c>
      <c r="E20" t="s">
        <v>12</v>
      </c>
    </row>
    <row r="21" spans="2:5">
      <c r="B21" s="193" t="s">
        <v>29</v>
      </c>
      <c r="C21" s="194">
        <v>18</v>
      </c>
      <c r="D21" s="195" t="s">
        <v>30</v>
      </c>
      <c r="E21" s="195" t="s">
        <v>12</v>
      </c>
    </row>
    <row r="22" spans="2:5">
      <c r="B22" s="191" t="s">
        <v>31</v>
      </c>
      <c r="C22" s="194">
        <v>19</v>
      </c>
      <c r="D22" s="195" t="s">
        <v>32</v>
      </c>
      <c r="E22" s="195" t="s">
        <v>33</v>
      </c>
    </row>
    <row r="23" spans="2:5">
      <c r="B23" s="191" t="s">
        <v>34</v>
      </c>
      <c r="C23" s="24">
        <v>20</v>
      </c>
      <c r="D23" s="195" t="s">
        <v>35</v>
      </c>
      <c r="E23" s="192" t="s">
        <v>12</v>
      </c>
    </row>
    <row r="24" spans="2:5">
      <c r="B24" s="191" t="s">
        <v>34</v>
      </c>
      <c r="C24" s="24">
        <v>21</v>
      </c>
      <c r="D24" s="195" t="s">
        <v>36</v>
      </c>
      <c r="E24" s="192" t="s">
        <v>12</v>
      </c>
    </row>
    <row r="25" spans="2:5" ht="52.8">
      <c r="B25" s="191" t="s">
        <v>34</v>
      </c>
      <c r="C25" s="24">
        <v>22</v>
      </c>
      <c r="D25" t="s">
        <v>5</v>
      </c>
      <c r="E25" s="196" t="s">
        <v>37</v>
      </c>
    </row>
    <row r="26" spans="2:5">
      <c r="B26" s="191" t="s">
        <v>34</v>
      </c>
      <c r="C26" s="24">
        <v>23</v>
      </c>
      <c r="D26" t="s">
        <v>38</v>
      </c>
      <c r="E26" t="s">
        <v>16</v>
      </c>
    </row>
    <row r="27" spans="2:5">
      <c r="B27" s="191" t="s">
        <v>39</v>
      </c>
      <c r="C27" s="24">
        <v>24</v>
      </c>
      <c r="D27" t="s">
        <v>40</v>
      </c>
      <c r="E27" t="s">
        <v>16</v>
      </c>
    </row>
    <row r="28" spans="2:5">
      <c r="B28" s="191" t="s">
        <v>41</v>
      </c>
      <c r="C28" s="24">
        <v>25</v>
      </c>
      <c r="D28" s="195" t="s">
        <v>15</v>
      </c>
      <c r="E28" s="192" t="s">
        <v>42</v>
      </c>
    </row>
    <row r="29" spans="2:5">
      <c r="B29" s="191" t="s">
        <v>41</v>
      </c>
      <c r="C29" s="24">
        <v>26</v>
      </c>
      <c r="D29" s="195" t="s">
        <v>28</v>
      </c>
      <c r="E29" s="192" t="s">
        <v>42</v>
      </c>
    </row>
    <row r="30" spans="2:5">
      <c r="B30" s="191" t="s">
        <v>41</v>
      </c>
      <c r="C30" s="24">
        <v>27</v>
      </c>
      <c r="D30" t="s">
        <v>14</v>
      </c>
      <c r="E30" s="192" t="s">
        <v>12</v>
      </c>
    </row>
    <row r="31" spans="2:5">
      <c r="B31" s="191" t="s">
        <v>41</v>
      </c>
      <c r="C31" s="24">
        <v>28</v>
      </c>
      <c r="D31" t="s">
        <v>32</v>
      </c>
      <c r="E31" s="192" t="s">
        <v>43</v>
      </c>
    </row>
    <row r="32" spans="2:5">
      <c r="B32" s="191" t="s">
        <v>44</v>
      </c>
      <c r="C32" s="24">
        <v>29</v>
      </c>
      <c r="D32" t="s">
        <v>21</v>
      </c>
      <c r="E32" t="s">
        <v>12</v>
      </c>
    </row>
    <row r="33" spans="2:5">
      <c r="B33" s="191" t="s">
        <v>44</v>
      </c>
      <c r="C33" s="24">
        <v>30</v>
      </c>
      <c r="D33" t="s">
        <v>45</v>
      </c>
      <c r="E33" s="192" t="s">
        <v>46</v>
      </c>
    </row>
    <row r="34" spans="2:5" ht="50.25" customHeight="1">
      <c r="B34" s="191" t="s">
        <v>47</v>
      </c>
      <c r="C34" s="24">
        <v>31</v>
      </c>
      <c r="D34" t="s">
        <v>5</v>
      </c>
      <c r="E34" s="192" t="s">
        <v>48</v>
      </c>
    </row>
    <row r="35" spans="2:5">
      <c r="B35" s="191" t="s">
        <v>49</v>
      </c>
      <c r="C35" s="24">
        <v>32</v>
      </c>
      <c r="D35" t="s">
        <v>24</v>
      </c>
      <c r="E35" s="192" t="s">
        <v>50</v>
      </c>
    </row>
    <row r="36" spans="2:5">
      <c r="B36" s="191" t="s">
        <v>49</v>
      </c>
      <c r="C36" s="24">
        <v>33</v>
      </c>
      <c r="D36" t="s">
        <v>28</v>
      </c>
      <c r="E36" s="192" t="s">
        <v>51</v>
      </c>
    </row>
    <row r="37" spans="2:5">
      <c r="B37" s="191" t="s">
        <v>49</v>
      </c>
      <c r="C37" s="24">
        <v>34</v>
      </c>
      <c r="D37" t="s">
        <v>14</v>
      </c>
      <c r="E37" s="192" t="s">
        <v>51</v>
      </c>
    </row>
    <row r="38" spans="2:5">
      <c r="B38" s="191" t="s">
        <v>49</v>
      </c>
      <c r="C38" s="24">
        <v>35</v>
      </c>
      <c r="D38" t="s">
        <v>21</v>
      </c>
      <c r="E38" s="192" t="s">
        <v>52</v>
      </c>
    </row>
    <row r="39" spans="2:5">
      <c r="B39" s="193" t="s">
        <v>49</v>
      </c>
      <c r="C39" s="194">
        <v>36</v>
      </c>
      <c r="D39" s="195" t="s">
        <v>20</v>
      </c>
      <c r="E39" s="196" t="s">
        <v>53</v>
      </c>
    </row>
    <row r="40" spans="2:5">
      <c r="B40" s="193" t="s">
        <v>54</v>
      </c>
      <c r="C40" s="194">
        <v>37</v>
      </c>
      <c r="D40" s="195" t="s">
        <v>38</v>
      </c>
      <c r="E40" s="196" t="s">
        <v>55</v>
      </c>
    </row>
    <row r="41" spans="2:5">
      <c r="B41" s="191" t="s">
        <v>56</v>
      </c>
      <c r="C41" s="24">
        <v>38</v>
      </c>
      <c r="D41" t="s">
        <v>32</v>
      </c>
      <c r="E41" s="192" t="s">
        <v>57</v>
      </c>
    </row>
    <row r="42" spans="2:5">
      <c r="B42" s="191" t="s">
        <v>56</v>
      </c>
      <c r="C42" s="24">
        <v>39</v>
      </c>
      <c r="D42" t="s">
        <v>58</v>
      </c>
      <c r="E42" s="192" t="s">
        <v>12</v>
      </c>
    </row>
    <row r="43" spans="2:5" ht="54" customHeight="1">
      <c r="B43" s="191" t="s">
        <v>56</v>
      </c>
      <c r="C43" s="24">
        <v>40</v>
      </c>
      <c r="D43" t="s">
        <v>5</v>
      </c>
      <c r="E43" s="204" t="s">
        <v>796</v>
      </c>
    </row>
    <row r="44" spans="2:5" ht="66">
      <c r="B44" s="191" t="s">
        <v>59</v>
      </c>
      <c r="C44" s="24">
        <v>41</v>
      </c>
      <c r="D44" t="s">
        <v>5</v>
      </c>
      <c r="E44" s="192" t="s">
        <v>60</v>
      </c>
    </row>
    <row r="45" spans="2:5">
      <c r="B45" s="197" t="s">
        <v>648</v>
      </c>
      <c r="C45" s="24">
        <v>42</v>
      </c>
      <c r="D45" s="198" t="s">
        <v>649</v>
      </c>
      <c r="E45" s="196" t="s">
        <v>650</v>
      </c>
    </row>
    <row r="46" spans="2:5">
      <c r="B46" s="191" t="s">
        <v>651</v>
      </c>
      <c r="C46" s="199">
        <v>43</v>
      </c>
      <c r="D46" t="s">
        <v>652</v>
      </c>
      <c r="E46" s="192" t="s">
        <v>653</v>
      </c>
    </row>
    <row r="47" spans="2:5">
      <c r="B47" s="191" t="s">
        <v>651</v>
      </c>
      <c r="C47" s="200">
        <v>44</v>
      </c>
      <c r="D47" t="s">
        <v>40</v>
      </c>
      <c r="E47" s="192" t="s">
        <v>654</v>
      </c>
    </row>
    <row r="48" spans="2:5">
      <c r="B48" s="191" t="s">
        <v>656</v>
      </c>
      <c r="C48" s="201">
        <v>45</v>
      </c>
      <c r="D48" t="s">
        <v>5</v>
      </c>
      <c r="E48" s="204" t="s">
        <v>657</v>
      </c>
    </row>
    <row r="49" spans="2:5" ht="26.4">
      <c r="B49" s="191" t="s">
        <v>660</v>
      </c>
      <c r="C49" s="209">
        <v>46</v>
      </c>
      <c r="D49" t="s">
        <v>5</v>
      </c>
      <c r="E49" s="204" t="s">
        <v>800</v>
      </c>
    </row>
    <row r="50" spans="2:5" ht="92.4">
      <c r="B50" s="191" t="s">
        <v>669</v>
      </c>
      <c r="C50" s="198" t="s">
        <v>670</v>
      </c>
      <c r="D50" t="s">
        <v>5</v>
      </c>
      <c r="E50" s="204" t="s">
        <v>799</v>
      </c>
    </row>
    <row r="51" spans="2:5" ht="26.4">
      <c r="B51" s="197" t="s">
        <v>806</v>
      </c>
      <c r="C51" s="198" t="s">
        <v>805</v>
      </c>
      <c r="D51" s="198" t="s">
        <v>807</v>
      </c>
      <c r="E51" s="204" t="s">
        <v>809</v>
      </c>
    </row>
    <row r="52" spans="2:5" ht="39.6">
      <c r="B52" s="191" t="s">
        <v>808</v>
      </c>
      <c r="C52" s="198" t="s">
        <v>844</v>
      </c>
      <c r="D52" t="s">
        <v>30</v>
      </c>
      <c r="E52" s="204" t="s">
        <v>903</v>
      </c>
    </row>
    <row r="53" spans="2:5">
      <c r="B53" s="191" t="s">
        <v>817</v>
      </c>
      <c r="C53" s="198" t="s">
        <v>818</v>
      </c>
      <c r="D53" t="s">
        <v>20</v>
      </c>
      <c r="E53" s="204" t="s">
        <v>904</v>
      </c>
    </row>
    <row r="54" spans="2:5" ht="26.4">
      <c r="B54" s="197" t="s">
        <v>839</v>
      </c>
      <c r="C54" s="198" t="s">
        <v>840</v>
      </c>
      <c r="D54" t="s">
        <v>30</v>
      </c>
      <c r="E54" s="204" t="s">
        <v>838</v>
      </c>
    </row>
    <row r="55" spans="2:5">
      <c r="B55" s="191" t="s">
        <v>845</v>
      </c>
      <c r="C55" s="198" t="s">
        <v>906</v>
      </c>
      <c r="D55" t="s">
        <v>846</v>
      </c>
      <c r="E55" s="204" t="s">
        <v>847</v>
      </c>
    </row>
    <row r="56" spans="2:5" ht="66">
      <c r="B56" s="197" t="s">
        <v>901</v>
      </c>
      <c r="C56" s="198" t="s">
        <v>907</v>
      </c>
      <c r="D56" s="198" t="s">
        <v>902</v>
      </c>
      <c r="E56" s="204" t="s">
        <v>905</v>
      </c>
    </row>
    <row r="57" spans="2:5">
      <c r="B57" s="191" t="s">
        <v>908</v>
      </c>
      <c r="C57" s="198" t="s">
        <v>909</v>
      </c>
      <c r="D57" t="s">
        <v>15</v>
      </c>
      <c r="E57" s="204" t="s">
        <v>910</v>
      </c>
    </row>
    <row r="58" spans="2:5">
      <c r="B58" s="197" t="s">
        <v>931</v>
      </c>
      <c r="C58" s="198" t="s">
        <v>932</v>
      </c>
      <c r="D58" s="198" t="s">
        <v>38</v>
      </c>
      <c r="E58" s="204" t="s">
        <v>910</v>
      </c>
    </row>
    <row r="59" spans="2:5" ht="26.4">
      <c r="B59" s="197" t="s">
        <v>938</v>
      </c>
      <c r="C59" s="198" t="s">
        <v>939</v>
      </c>
      <c r="D59" s="198" t="s">
        <v>766</v>
      </c>
      <c r="E59" s="204" t="s">
        <v>940</v>
      </c>
    </row>
    <row r="60" spans="2:5">
      <c r="B60" s="198" t="s">
        <v>941</v>
      </c>
      <c r="C60" s="198" t="s">
        <v>942</v>
      </c>
      <c r="D60" s="198" t="s">
        <v>8</v>
      </c>
      <c r="E60" s="198" t="s">
        <v>943</v>
      </c>
    </row>
    <row r="61" spans="2:5" ht="26.4">
      <c r="B61" s="367" t="s">
        <v>946</v>
      </c>
      <c r="C61" s="365" t="s">
        <v>947</v>
      </c>
      <c r="D61" s="365" t="s">
        <v>948</v>
      </c>
      <c r="E61" s="368" t="s">
        <v>949</v>
      </c>
    </row>
    <row r="62" spans="2:5" ht="26.4">
      <c r="B62" s="367" t="s">
        <v>950</v>
      </c>
      <c r="C62" s="366" t="s">
        <v>951</v>
      </c>
      <c r="D62" s="366" t="s">
        <v>38</v>
      </c>
      <c r="E62" s="368" t="s">
        <v>952</v>
      </c>
    </row>
    <row r="63" spans="2:5">
      <c r="B63" s="367" t="s">
        <v>956</v>
      </c>
      <c r="C63" s="198" t="s">
        <v>957</v>
      </c>
      <c r="D63" s="369" t="s">
        <v>948</v>
      </c>
      <c r="E63" s="198" t="s">
        <v>958</v>
      </c>
    </row>
  </sheetData>
  <customSheetViews>
    <customSheetView guid="{67590F70-5005-492E-AD47-1C13C49F2D83}" topLeftCell="A43">
      <selection activeCell="E56" sqref="E56"/>
      <pageMargins left="0.69930555555555596" right="0.69930555555555596" top="0.75" bottom="0.75" header="0.3" footer="0.3"/>
      <pageSetup paperSize="9" orientation="portrait"/>
    </customSheetView>
    <customSheetView guid="{A0559F95-FBE7-4275-9B44-A293A1B62940}" topLeftCell="A43">
      <selection activeCell="E56" sqref="E55:E56"/>
      <pageMargins left="0.69930555555555596" right="0.69930555555555596" top="0.75" bottom="0.75" header="0.3" footer="0.3"/>
      <pageSetup paperSize="9" orientation="portrait"/>
    </customSheetView>
    <customSheetView guid="{11FB768A-9BE5-454D-8324-F7BD8513C471}">
      <selection activeCell="D60" sqref="D60"/>
      <pageMargins left="0.69930555555555596" right="0.69930555555555596" top="0.75" bottom="0.75" header="0.3" footer="0.3"/>
      <pageSetup paperSize="9" orientation="portrait"/>
    </customSheetView>
    <customSheetView guid="{656CB8E5-9B79-4056-861F-BA0520B66BDB}" topLeftCell="A38">
      <selection activeCell="E60" sqref="E60"/>
      <pageMargins left="0.69930555555555596" right="0.69930555555555596" top="0.75" bottom="0.75" header="0.3" footer="0.3"/>
      <pageSetup paperSize="9" orientation="portrait"/>
    </customSheetView>
    <customSheetView guid="{3A76011A-5D7E-44CA-8EBC-D2C75FB686D2}" topLeftCell="A38">
      <selection activeCell="E50" sqref="E50"/>
      <pageMargins left="0.69930555555555596" right="0.69930555555555596" top="0.75" bottom="0.75" header="0.3" footer="0.3"/>
      <pageSetup paperSize="9" orientation="portrait"/>
    </customSheetView>
  </customSheetViews>
  <phoneticPr fontId="9"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206"/>
  <sheetViews>
    <sheetView topLeftCell="D151" zoomScale="85" zoomScaleNormal="85" workbookViewId="0">
      <selection activeCell="Y170" sqref="Y170"/>
    </sheetView>
  </sheetViews>
  <sheetFormatPr defaultColWidth="8.88671875" defaultRowHeight="13.2"/>
  <cols>
    <col min="1" max="1" width="10.44140625" customWidth="1"/>
    <col min="2" max="2" width="31.5546875" customWidth="1"/>
    <col min="3" max="3" width="21.5546875" style="23" customWidth="1"/>
    <col min="4" max="4" width="19.44140625" style="23" customWidth="1"/>
    <col min="5" max="6" width="16.109375" style="23" customWidth="1"/>
    <col min="7" max="7" width="8.88671875" style="23"/>
    <col min="8" max="8" width="9.5546875" style="23" customWidth="1"/>
    <col min="9" max="10" width="8.88671875" style="23"/>
    <col min="11" max="11" width="11.109375" style="23" customWidth="1"/>
    <col min="12" max="12" width="10.5546875" customWidth="1"/>
    <col min="13" max="13" width="11.109375" style="23" customWidth="1"/>
    <col min="14" max="14" width="13.88671875" style="23" customWidth="1"/>
    <col min="15" max="15" width="12.5546875" style="49" customWidth="1"/>
    <col min="16" max="16" width="10.109375" style="23" customWidth="1"/>
    <col min="17" max="17" width="13.5546875" style="23" customWidth="1"/>
    <col min="18" max="18" width="12.44140625" style="49" customWidth="1"/>
    <col min="19" max="19" width="15.5546875" customWidth="1"/>
    <col min="20" max="20" width="14.44140625" customWidth="1"/>
    <col min="21" max="21" width="15.5546875" customWidth="1"/>
    <col min="22" max="22" width="15" customWidth="1"/>
    <col min="23" max="23" width="15.109375" customWidth="1"/>
    <col min="24" max="24" width="13.5546875" customWidth="1"/>
    <col min="25" max="25" width="16.44140625" customWidth="1"/>
    <col min="26" max="26" width="14.109375" customWidth="1"/>
    <col min="27" max="27" width="14.88671875" customWidth="1"/>
  </cols>
  <sheetData>
    <row r="1" spans="1:27" ht="36" customHeight="1">
      <c r="B1" s="418" t="s">
        <v>797</v>
      </c>
      <c r="C1" s="418"/>
      <c r="D1" s="418"/>
      <c r="E1" s="418"/>
      <c r="F1" s="418"/>
      <c r="G1" s="418"/>
      <c r="H1" s="418"/>
      <c r="I1" s="418"/>
      <c r="J1" s="418"/>
    </row>
    <row r="2" spans="1:27" ht="13.8">
      <c r="B2" s="62" t="s">
        <v>495</v>
      </c>
      <c r="C2" s="25"/>
    </row>
    <row r="3" spans="1:27" ht="13.8">
      <c r="B3" s="62" t="s">
        <v>496</v>
      </c>
      <c r="C3" s="62"/>
      <c r="D3" s="23" t="s">
        <v>497</v>
      </c>
      <c r="E3" s="23" t="s">
        <v>498</v>
      </c>
      <c r="F3" s="23" t="s">
        <v>499</v>
      </c>
    </row>
    <row r="4" spans="1:27" ht="13.8">
      <c r="B4" s="62" t="s">
        <v>500</v>
      </c>
      <c r="C4"/>
      <c r="D4" s="23">
        <v>10</v>
      </c>
      <c r="E4" s="23">
        <v>20</v>
      </c>
      <c r="F4" s="23">
        <v>40</v>
      </c>
    </row>
    <row r="5" spans="1:27" ht="13.8">
      <c r="B5" s="62" t="s">
        <v>501</v>
      </c>
      <c r="C5" s="62"/>
      <c r="D5" s="23">
        <f>52</f>
        <v>52</v>
      </c>
      <c r="E5" s="23">
        <v>106</v>
      </c>
      <c r="F5" s="23">
        <v>216</v>
      </c>
    </row>
    <row r="6" spans="1:27" ht="13.8">
      <c r="B6" s="62" t="s">
        <v>665</v>
      </c>
      <c r="C6"/>
      <c r="D6" s="63">
        <v>6.4000000000000001E-2</v>
      </c>
      <c r="E6" s="63">
        <v>4.5999999999999999E-2</v>
      </c>
      <c r="F6" s="63">
        <v>2.8000000000000001E-2</v>
      </c>
    </row>
    <row r="7" spans="1:27" ht="48.75" customHeight="1">
      <c r="B7" s="26"/>
      <c r="C7" s="26" t="s">
        <v>502</v>
      </c>
      <c r="D7" s="26"/>
      <c r="E7" s="26" t="s">
        <v>438</v>
      </c>
      <c r="F7" s="26" t="s">
        <v>503</v>
      </c>
      <c r="G7" s="26" t="s">
        <v>317</v>
      </c>
      <c r="H7" s="26" t="s">
        <v>450</v>
      </c>
      <c r="I7" s="26" t="s">
        <v>411</v>
      </c>
      <c r="J7" s="26" t="s">
        <v>407</v>
      </c>
      <c r="K7" s="26" t="s">
        <v>460</v>
      </c>
      <c r="L7" s="26"/>
      <c r="M7" s="43" t="s">
        <v>504</v>
      </c>
      <c r="N7" s="43" t="s">
        <v>505</v>
      </c>
      <c r="O7" s="43" t="s">
        <v>506</v>
      </c>
      <c r="P7" s="44" t="s">
        <v>507</v>
      </c>
      <c r="Q7" s="44" t="s">
        <v>508</v>
      </c>
      <c r="R7" s="54" t="s">
        <v>509</v>
      </c>
      <c r="S7" s="55" t="s">
        <v>510</v>
      </c>
      <c r="T7" s="44" t="s">
        <v>511</v>
      </c>
      <c r="U7" s="44" t="s">
        <v>512</v>
      </c>
      <c r="V7" s="54" t="s">
        <v>513</v>
      </c>
      <c r="W7" s="55" t="s">
        <v>514</v>
      </c>
      <c r="X7" s="44" t="s">
        <v>515</v>
      </c>
      <c r="Y7" s="44" t="s">
        <v>516</v>
      </c>
      <c r="Z7" s="54" t="s">
        <v>517</v>
      </c>
      <c r="AA7" s="55" t="s">
        <v>518</v>
      </c>
    </row>
    <row r="8" spans="1:27" ht="13.8">
      <c r="A8">
        <v>1</v>
      </c>
      <c r="B8" s="28" t="s">
        <v>64</v>
      </c>
      <c r="C8" s="64" t="s">
        <v>519</v>
      </c>
      <c r="D8" s="28"/>
      <c r="E8" s="28">
        <f>24*D5*10</f>
        <v>12480</v>
      </c>
      <c r="F8" s="28">
        <f>32*D5</f>
        <v>1664</v>
      </c>
      <c r="G8" s="28">
        <f>4*D5</f>
        <v>208</v>
      </c>
      <c r="H8" s="28">
        <f>2*4*D5*1/2</f>
        <v>208</v>
      </c>
      <c r="I8" s="28">
        <f>1*4*240</f>
        <v>960</v>
      </c>
      <c r="J8" s="28">
        <f>12*8*6*10</f>
        <v>5760</v>
      </c>
      <c r="K8" s="28"/>
      <c r="L8" s="28"/>
      <c r="M8" s="28">
        <f>D5*12*10*14</f>
        <v>87360</v>
      </c>
      <c r="N8" s="28">
        <f>SUM(E8:J8)</f>
        <v>21280</v>
      </c>
      <c r="O8" s="67">
        <f>100*N8/M8</f>
        <v>24.358974358974358</v>
      </c>
      <c r="P8" s="30">
        <f>M8</f>
        <v>87360</v>
      </c>
      <c r="Q8" s="30">
        <f>N8+J10-J8</f>
        <v>28000</v>
      </c>
      <c r="R8" s="48">
        <f>100*Q8/P8</f>
        <v>32.051282051282051</v>
      </c>
      <c r="S8" s="49">
        <f>(1-R8/100)/(1-O8/100)</f>
        <v>0.89830508474576276</v>
      </c>
      <c r="T8" s="23">
        <f>P8*$E$5/$D$5</f>
        <v>178080</v>
      </c>
      <c r="U8" s="72">
        <f>SUM(E8:G8)*$E$5/$D$5+H8+I8+12*CEILING($E$5*2*$D$4/$E$4,1)*10</f>
        <v>43144</v>
      </c>
      <c r="V8" s="48">
        <f>100*U8/T8</f>
        <v>24.227313566936207</v>
      </c>
      <c r="W8" s="49">
        <f>(1-V8/100)/(1-R8/100)*(1-$E$6)/(1-$D$6)</f>
        <v>1.1365902964959571</v>
      </c>
      <c r="X8" s="23">
        <f>P8*$F$5/$D$5</f>
        <v>362880</v>
      </c>
      <c r="Y8" s="72">
        <f>SUM(E8:G8)*$F$5/$D$5+H8+I8+12*CEILING($F$5*2*$D$4/$F$4,1)*10</f>
        <v>73744</v>
      </c>
      <c r="Z8" s="48">
        <f>100*Y8/X8</f>
        <v>20.321869488536155</v>
      </c>
      <c r="AA8" s="49">
        <f>(1-Z8/100)/(1-R8/100)*(1-$F$6)/(1-$D$6)</f>
        <v>1.2177223719676549</v>
      </c>
    </row>
    <row r="9" spans="1:27">
      <c r="A9">
        <v>2</v>
      </c>
      <c r="B9" s="30" t="s">
        <v>21</v>
      </c>
      <c r="C9" s="30" t="s">
        <v>522</v>
      </c>
      <c r="D9" s="30"/>
      <c r="E9" s="30">
        <f>24*D5*10</f>
        <v>12480</v>
      </c>
      <c r="F9" s="30">
        <f>32*D5*2</f>
        <v>3328</v>
      </c>
      <c r="G9" s="30">
        <v>0</v>
      </c>
      <c r="H9" s="30">
        <f>2*4*D5*1/2</f>
        <v>208</v>
      </c>
      <c r="I9" s="30">
        <f>1*4*240/2</f>
        <v>480</v>
      </c>
      <c r="J9" s="35">
        <f>12*2*10*52</f>
        <v>12480</v>
      </c>
      <c r="K9" s="30"/>
      <c r="L9" s="30"/>
      <c r="M9" s="30">
        <f>D5*12*10*14</f>
        <v>87360</v>
      </c>
      <c r="N9" s="30">
        <f>SUM(E9:J9)</f>
        <v>28976</v>
      </c>
      <c r="O9" s="48">
        <f>100*N9/M9</f>
        <v>33.168498168498168</v>
      </c>
      <c r="P9" s="30">
        <f>M9</f>
        <v>87360</v>
      </c>
      <c r="Q9" s="30">
        <f>N9+J11-J9</f>
        <v>28976</v>
      </c>
      <c r="R9" s="48">
        <f>100*Q9/P9</f>
        <v>33.168498168498168</v>
      </c>
      <c r="S9" s="49">
        <f>(1-R9/100)/(1-O9/100)</f>
        <v>1</v>
      </c>
      <c r="T9" s="23">
        <f t="shared" ref="T9:T43" si="0">P9*$E$5/$D$5</f>
        <v>178080</v>
      </c>
      <c r="U9" s="72">
        <f t="shared" ref="U9:U43" si="1">SUM(E9:G9)*$E$5/$D$5+H9+I9+12*CEILING($E$5*2*$D$4/$E$4,1)*10</f>
        <v>45632</v>
      </c>
      <c r="V9" s="48">
        <f t="shared" ref="V9:V43" si="2">100*U9/T9</f>
        <v>25.624438454627136</v>
      </c>
      <c r="W9" s="49">
        <f t="shared" ref="W9:W43" si="3">(1-V9/100)/(1-R9/100)*(1-$E$6)/(1-$D$6)</f>
        <v>1.1342833653055631</v>
      </c>
      <c r="X9" s="23">
        <f t="shared" ref="X9:X43" si="4">P9*$F$5/$D$5</f>
        <v>362880</v>
      </c>
      <c r="Y9" s="72">
        <f t="shared" ref="Y9:Y43" si="5">SUM(E9:G9)*$F$5/$D$5+H9+I9+12*CEILING($F$5*2*$D$4/$F$4,1)*10</f>
        <v>79312</v>
      </c>
      <c r="Z9" s="48">
        <f t="shared" ref="Z9:Z43" si="6">100*Y9/X9</f>
        <v>21.85626102292769</v>
      </c>
      <c r="AA9" s="49">
        <f t="shared" ref="AA9:AA43" si="7">(1-Z9/100)/(1-R9/100)*(1-$F$6)/(1-$D$6)</f>
        <v>1.2142367771992324</v>
      </c>
    </row>
    <row r="10" spans="1:27">
      <c r="A10">
        <v>3</v>
      </c>
      <c r="B10" s="35" t="s">
        <v>32</v>
      </c>
      <c r="C10" s="30" t="s">
        <v>520</v>
      </c>
      <c r="D10" s="35"/>
      <c r="E10" s="35">
        <f>2*10*D5*10</f>
        <v>10400</v>
      </c>
      <c r="F10" s="35">
        <f>32*D5</f>
        <v>1664</v>
      </c>
      <c r="G10" s="35">
        <f>4*D5</f>
        <v>208</v>
      </c>
      <c r="H10" s="35">
        <f>3*4*D5*1/2</f>
        <v>312</v>
      </c>
      <c r="I10" s="35">
        <f>1*4*240/2</f>
        <v>480</v>
      </c>
      <c r="J10" s="35">
        <f>12*2*10*52</f>
        <v>12480</v>
      </c>
      <c r="K10" s="35"/>
      <c r="L10" s="35"/>
      <c r="M10" s="35">
        <f>D5*12*10*14</f>
        <v>87360</v>
      </c>
      <c r="N10" s="35">
        <f>SUM(E10:J10)</f>
        <v>25544</v>
      </c>
      <c r="O10" s="68">
        <f>100*N10/M10</f>
        <v>29.239926739926741</v>
      </c>
      <c r="P10" s="30">
        <v>87360</v>
      </c>
      <c r="Q10" s="30">
        <v>25544</v>
      </c>
      <c r="R10" s="48">
        <v>29.239926739926702</v>
      </c>
      <c r="S10" s="49">
        <f t="shared" ref="S10:S43" si="8">(1-R10/100)/(1-O10/100)</f>
        <v>1.0000000000000007</v>
      </c>
      <c r="T10" s="23">
        <f t="shared" si="0"/>
        <v>178080</v>
      </c>
      <c r="U10" s="72">
        <f t="shared" si="1"/>
        <v>38528</v>
      </c>
      <c r="V10" s="48">
        <f t="shared" si="2"/>
        <v>21.635220125786162</v>
      </c>
      <c r="W10" s="49">
        <f t="shared" si="3"/>
        <v>1.1287692506794353</v>
      </c>
      <c r="X10" s="23">
        <f t="shared" si="4"/>
        <v>362880</v>
      </c>
      <c r="Y10" s="72">
        <f t="shared" si="5"/>
        <v>64728</v>
      </c>
      <c r="Z10" s="48">
        <f t="shared" si="6"/>
        <v>17.837301587301589</v>
      </c>
      <c r="AA10" s="49">
        <f t="shared" si="7"/>
        <v>1.2058043225054995</v>
      </c>
    </row>
    <row r="11" spans="1:27">
      <c r="A11">
        <v>4</v>
      </c>
      <c r="B11" s="30" t="s">
        <v>14</v>
      </c>
      <c r="C11" s="30" t="s">
        <v>521</v>
      </c>
      <c r="D11" s="30"/>
      <c r="E11" s="30">
        <f>2*12*D5*10</f>
        <v>12480</v>
      </c>
      <c r="F11" s="30">
        <f>32*D5</f>
        <v>1664</v>
      </c>
      <c r="G11" s="30">
        <f>4*D5</f>
        <v>208</v>
      </c>
      <c r="H11" s="30">
        <f>4*3*D5*10/80</f>
        <v>78</v>
      </c>
      <c r="I11" s="30">
        <f>4*240*1/2</f>
        <v>480</v>
      </c>
      <c r="J11" s="30">
        <f>2*12*D5*10</f>
        <v>12480</v>
      </c>
      <c r="K11" s="30"/>
      <c r="L11" s="22"/>
      <c r="M11" s="30">
        <f>12*14*D5*10</f>
        <v>87360</v>
      </c>
      <c r="N11" s="30">
        <f>SUM(E11:J11)</f>
        <v>27390</v>
      </c>
      <c r="O11" s="48">
        <f>100*N11/M11</f>
        <v>31.353021978021978</v>
      </c>
      <c r="P11" s="30">
        <v>87360</v>
      </c>
      <c r="Q11" s="30">
        <v>27390</v>
      </c>
      <c r="R11" s="48">
        <v>31.353021978021999</v>
      </c>
      <c r="S11" s="49">
        <f t="shared" si="8"/>
        <v>0.99999999999999967</v>
      </c>
      <c r="T11" s="23">
        <f t="shared" si="0"/>
        <v>178080</v>
      </c>
      <c r="U11" s="72">
        <f t="shared" si="1"/>
        <v>42534</v>
      </c>
      <c r="V11" s="48">
        <f t="shared" si="2"/>
        <v>23.884770889487871</v>
      </c>
      <c r="W11" s="49">
        <f t="shared" si="3"/>
        <v>1.1301150575287648</v>
      </c>
      <c r="X11" s="23">
        <f t="shared" si="4"/>
        <v>362880</v>
      </c>
      <c r="Y11" s="72">
        <f t="shared" si="5"/>
        <v>73134</v>
      </c>
      <c r="Z11" s="48">
        <f t="shared" si="6"/>
        <v>20.153769841269842</v>
      </c>
      <c r="AA11" s="49">
        <f t="shared" si="7"/>
        <v>1.2078789394697353</v>
      </c>
    </row>
    <row r="12" spans="1:27">
      <c r="A12">
        <v>5</v>
      </c>
      <c r="B12" s="30" t="s">
        <v>5</v>
      </c>
      <c r="C12" s="30" t="s">
        <v>522</v>
      </c>
      <c r="D12" s="30"/>
      <c r="E12" s="30">
        <v>5538</v>
      </c>
      <c r="F12" s="30">
        <f>8*D5*2</f>
        <v>832</v>
      </c>
      <c r="G12" s="30">
        <f>4*D5*2</f>
        <v>416</v>
      </c>
      <c r="H12" s="30">
        <f>4*3*D5*10/20</f>
        <v>312</v>
      </c>
      <c r="I12" s="30">
        <f>1*4*240*10/20</f>
        <v>480</v>
      </c>
      <c r="J12" s="30">
        <f>2*12*D5*10</f>
        <v>12480</v>
      </c>
      <c r="K12" s="30"/>
      <c r="L12" s="22"/>
      <c r="M12" s="30">
        <f>12*14*D5*10</f>
        <v>87360</v>
      </c>
      <c r="N12" s="30">
        <f t="shared" ref="N12:N18" si="9">SUM(E12:J12)</f>
        <v>20058</v>
      </c>
      <c r="O12" s="48">
        <f t="shared" ref="O12:O18" si="10">100*N12/M12</f>
        <v>22.960164835164836</v>
      </c>
      <c r="P12" s="30">
        <v>87360</v>
      </c>
      <c r="Q12" s="30">
        <v>20058</v>
      </c>
      <c r="R12" s="48">
        <v>22.9601648351648</v>
      </c>
      <c r="S12" s="49">
        <f t="shared" si="8"/>
        <v>1.0000000000000004</v>
      </c>
      <c r="T12" s="23">
        <f t="shared" si="0"/>
        <v>178080</v>
      </c>
      <c r="U12" s="72">
        <f t="shared" si="1"/>
        <v>27345</v>
      </c>
      <c r="V12" s="48">
        <f t="shared" si="2"/>
        <v>15.355458221024259</v>
      </c>
      <c r="W12" s="49">
        <f t="shared" si="3"/>
        <v>1.119840420789872</v>
      </c>
      <c r="X12" s="23">
        <f t="shared" si="4"/>
        <v>362880</v>
      </c>
      <c r="Y12" s="72">
        <f t="shared" si="5"/>
        <v>41940</v>
      </c>
      <c r="Z12" s="48">
        <f t="shared" si="6"/>
        <v>11.557539682539682</v>
      </c>
      <c r="AA12" s="49">
        <f t="shared" si="7"/>
        <v>1.1921636801283761</v>
      </c>
    </row>
    <row r="13" spans="1:27">
      <c r="A13">
        <v>6</v>
      </c>
      <c r="B13" s="30" t="s">
        <v>5</v>
      </c>
      <c r="C13" s="30" t="s">
        <v>523</v>
      </c>
      <c r="D13" s="30"/>
      <c r="E13" s="30">
        <v>6428</v>
      </c>
      <c r="F13" s="30">
        <f>16*D5*2</f>
        <v>1664</v>
      </c>
      <c r="G13" s="30">
        <f>4*D5*2</f>
        <v>416</v>
      </c>
      <c r="H13" s="30">
        <f>4*3*D5*10/20</f>
        <v>312</v>
      </c>
      <c r="I13" s="30">
        <f>1*4*240*10/20</f>
        <v>480</v>
      </c>
      <c r="J13" s="30">
        <f>2*12*D5*10</f>
        <v>12480</v>
      </c>
      <c r="K13" s="30"/>
      <c r="L13" s="22"/>
      <c r="M13" s="30">
        <f>12*14*D5*10</f>
        <v>87360</v>
      </c>
      <c r="N13" s="30">
        <f t="shared" si="9"/>
        <v>21780</v>
      </c>
      <c r="O13" s="48">
        <f t="shared" si="10"/>
        <v>24.931318681318682</v>
      </c>
      <c r="P13" s="30">
        <v>87360</v>
      </c>
      <c r="Q13" s="30">
        <v>21780</v>
      </c>
      <c r="R13" s="48">
        <v>24.9313186813187</v>
      </c>
      <c r="S13" s="49">
        <f t="shared" si="8"/>
        <v>0.99999999999999967</v>
      </c>
      <c r="T13" s="23">
        <f t="shared" si="0"/>
        <v>178080</v>
      </c>
      <c r="U13" s="72">
        <f t="shared" si="1"/>
        <v>30855.23076923077</v>
      </c>
      <c r="V13" s="48">
        <f t="shared" si="2"/>
        <v>17.326612067178104</v>
      </c>
      <c r="W13" s="49">
        <f t="shared" si="3"/>
        <v>1.1224822295728063</v>
      </c>
      <c r="X13" s="23">
        <f t="shared" si="4"/>
        <v>362880</v>
      </c>
      <c r="Y13" s="72">
        <f t="shared" si="5"/>
        <v>49092.923076923078</v>
      </c>
      <c r="Z13" s="48">
        <f t="shared" si="6"/>
        <v>13.52869352869353</v>
      </c>
      <c r="AA13" s="49">
        <f t="shared" si="7"/>
        <v>1.1961995918080095</v>
      </c>
    </row>
    <row r="14" spans="1:27">
      <c r="A14">
        <v>7</v>
      </c>
      <c r="B14" s="30" t="s">
        <v>5</v>
      </c>
      <c r="C14" s="30" t="s">
        <v>521</v>
      </c>
      <c r="D14" s="30"/>
      <c r="E14" s="30">
        <v>9524</v>
      </c>
      <c r="F14" s="30">
        <f>32*D5*2</f>
        <v>3328</v>
      </c>
      <c r="G14" s="30">
        <f>4*D5*2</f>
        <v>416</v>
      </c>
      <c r="H14" s="30">
        <f>4*3*D5*10/20</f>
        <v>312</v>
      </c>
      <c r="I14" s="30">
        <f>1*4*240*10/20</f>
        <v>480</v>
      </c>
      <c r="J14" s="30">
        <f>2*12*D5*10</f>
        <v>12480</v>
      </c>
      <c r="K14" s="30"/>
      <c r="L14" s="22"/>
      <c r="M14" s="30">
        <f>12*14*D5*10</f>
        <v>87360</v>
      </c>
      <c r="N14" s="30">
        <f t="shared" si="9"/>
        <v>26540</v>
      </c>
      <c r="O14" s="48">
        <f t="shared" si="10"/>
        <v>30.380036630036631</v>
      </c>
      <c r="P14" s="30">
        <v>87360</v>
      </c>
      <c r="Q14" s="30">
        <v>26540</v>
      </c>
      <c r="R14" s="48">
        <v>30.380036630036599</v>
      </c>
      <c r="S14" s="49">
        <f t="shared" si="8"/>
        <v>1.0000000000000004</v>
      </c>
      <c r="T14" s="23">
        <f t="shared" si="0"/>
        <v>178080</v>
      </c>
      <c r="U14" s="72">
        <f t="shared" si="1"/>
        <v>40558.307692307688</v>
      </c>
      <c r="V14" s="48">
        <f t="shared" si="2"/>
        <v>22.775330015896053</v>
      </c>
      <c r="W14" s="49">
        <f t="shared" si="3"/>
        <v>1.1305630738876378</v>
      </c>
      <c r="X14" s="23">
        <f t="shared" si="4"/>
        <v>362880</v>
      </c>
      <c r="Y14" s="72">
        <f t="shared" si="5"/>
        <v>68865.230769230766</v>
      </c>
      <c r="Z14" s="48">
        <f t="shared" si="6"/>
        <v>18.977411477411479</v>
      </c>
      <c r="AA14" s="49">
        <f t="shared" si="7"/>
        <v>1.2085447600738619</v>
      </c>
    </row>
    <row r="15" spans="1:27">
      <c r="A15">
        <v>8</v>
      </c>
      <c r="B15" s="30" t="s">
        <v>5</v>
      </c>
      <c r="C15" s="30" t="s">
        <v>524</v>
      </c>
      <c r="D15" s="30"/>
      <c r="E15" s="30">
        <v>5816</v>
      </c>
      <c r="F15" s="30">
        <f>8*D5*2</f>
        <v>832</v>
      </c>
      <c r="G15" s="30">
        <f>4*D5*2</f>
        <v>416</v>
      </c>
      <c r="H15" s="30">
        <f>4*3*D5*10/20</f>
        <v>312</v>
      </c>
      <c r="I15" s="30">
        <f>1*4*240*10/20</f>
        <v>480</v>
      </c>
      <c r="J15" s="30">
        <f>2*12*D5*10</f>
        <v>12480</v>
      </c>
      <c r="K15" s="30"/>
      <c r="L15" s="22"/>
      <c r="M15" s="30">
        <f>12*14*D5*10</f>
        <v>87360</v>
      </c>
      <c r="N15" s="30">
        <f t="shared" si="9"/>
        <v>20336</v>
      </c>
      <c r="O15" s="48">
        <f t="shared" si="10"/>
        <v>23.278388278388277</v>
      </c>
      <c r="P15" s="30">
        <v>87360</v>
      </c>
      <c r="Q15" s="30">
        <v>20336</v>
      </c>
      <c r="R15" s="48">
        <v>23.278388278388299</v>
      </c>
      <c r="S15" s="49">
        <f t="shared" si="8"/>
        <v>0.99999999999999967</v>
      </c>
      <c r="T15" s="23">
        <f t="shared" si="0"/>
        <v>178080</v>
      </c>
      <c r="U15" s="72">
        <f t="shared" si="1"/>
        <v>27911.692307692309</v>
      </c>
      <c r="V15" s="48">
        <f t="shared" si="2"/>
        <v>15.673681664247702</v>
      </c>
      <c r="W15" s="49">
        <f t="shared" si="3"/>
        <v>1.1202577262794504</v>
      </c>
      <c r="X15" s="23">
        <f t="shared" si="4"/>
        <v>362880</v>
      </c>
      <c r="Y15" s="72">
        <f t="shared" si="5"/>
        <v>43094.769230769234</v>
      </c>
      <c r="Z15" s="48">
        <f t="shared" si="6"/>
        <v>11.875763125763125</v>
      </c>
      <c r="AA15" s="49">
        <f t="shared" si="7"/>
        <v>1.1928012009475368</v>
      </c>
    </row>
    <row r="16" spans="1:27">
      <c r="A16">
        <v>9</v>
      </c>
      <c r="B16" s="30" t="s">
        <v>5</v>
      </c>
      <c r="C16" s="30" t="s">
        <v>525</v>
      </c>
      <c r="D16" s="30"/>
      <c r="E16" s="30">
        <v>6207</v>
      </c>
      <c r="F16" s="30">
        <f>16*D5*2</f>
        <v>1664</v>
      </c>
      <c r="G16" s="30">
        <f>4*D5*2</f>
        <v>416</v>
      </c>
      <c r="H16" s="30">
        <f>4*3*D5*10/20</f>
        <v>312</v>
      </c>
      <c r="I16" s="30">
        <f>1*4*240*10/20</f>
        <v>480</v>
      </c>
      <c r="J16" s="30">
        <f>2*12*D5*10</f>
        <v>12480</v>
      </c>
      <c r="K16" s="30"/>
      <c r="L16" s="22"/>
      <c r="M16" s="30">
        <f>12*14*D5*10</f>
        <v>87360</v>
      </c>
      <c r="N16" s="30">
        <f t="shared" si="9"/>
        <v>21559</v>
      </c>
      <c r="O16" s="48">
        <f t="shared" si="10"/>
        <v>24.678342490842489</v>
      </c>
      <c r="P16" s="30">
        <v>87360</v>
      </c>
      <c r="Q16" s="30">
        <v>21559</v>
      </c>
      <c r="R16" s="48">
        <v>24.6783424908425</v>
      </c>
      <c r="S16" s="49">
        <f t="shared" si="8"/>
        <v>0.99999999999999989</v>
      </c>
      <c r="T16" s="23">
        <f t="shared" si="0"/>
        <v>178080</v>
      </c>
      <c r="U16" s="72">
        <f t="shared" si="1"/>
        <v>30404.73076923077</v>
      </c>
      <c r="V16" s="48">
        <f t="shared" si="2"/>
        <v>17.073635876701914</v>
      </c>
      <c r="W16" s="49">
        <f t="shared" si="3"/>
        <v>1.1221354480233525</v>
      </c>
      <c r="X16" s="23">
        <f t="shared" si="4"/>
        <v>362880</v>
      </c>
      <c r="Y16" s="72">
        <f t="shared" si="5"/>
        <v>48174.923076923078</v>
      </c>
      <c r="Z16" s="48">
        <f t="shared" si="6"/>
        <v>13.275717338217339</v>
      </c>
      <c r="AA16" s="49">
        <f t="shared" si="7"/>
        <v>1.1956698109568129</v>
      </c>
    </row>
    <row r="17" spans="1:27">
      <c r="A17">
        <v>10</v>
      </c>
      <c r="B17" s="30" t="s">
        <v>14</v>
      </c>
      <c r="C17" s="30" t="s">
        <v>522</v>
      </c>
      <c r="D17" s="30"/>
      <c r="E17" s="30">
        <f>16*D5*10</f>
        <v>8320</v>
      </c>
      <c r="F17" s="30">
        <f>8*D5</f>
        <v>416</v>
      </c>
      <c r="G17" s="30">
        <f>4*D5</f>
        <v>208</v>
      </c>
      <c r="H17" s="30">
        <f>4*3*D5*10/80</f>
        <v>78</v>
      </c>
      <c r="I17" s="30">
        <f>4*240*1/2</f>
        <v>480</v>
      </c>
      <c r="J17" s="30">
        <f>2*12*D5*10</f>
        <v>12480</v>
      </c>
      <c r="K17" s="30"/>
      <c r="L17" s="22"/>
      <c r="M17" s="30">
        <f>12*14*D5*10</f>
        <v>87360</v>
      </c>
      <c r="N17" s="30">
        <f t="shared" si="9"/>
        <v>21982</v>
      </c>
      <c r="O17" s="48">
        <f t="shared" si="10"/>
        <v>25.162545787545788</v>
      </c>
      <c r="P17" s="30">
        <v>87360</v>
      </c>
      <c r="Q17" s="30">
        <v>21982</v>
      </c>
      <c r="R17" s="48">
        <v>25.162545787545799</v>
      </c>
      <c r="S17" s="49">
        <f t="shared" si="8"/>
        <v>0.99999999999999989</v>
      </c>
      <c r="T17" s="23">
        <f t="shared" si="0"/>
        <v>178080</v>
      </c>
      <c r="U17" s="72">
        <f t="shared" si="1"/>
        <v>31510</v>
      </c>
      <c r="V17" s="48">
        <f t="shared" si="2"/>
        <v>17.694294699011682</v>
      </c>
      <c r="W17" s="49">
        <f t="shared" si="3"/>
        <v>1.1209428248034508</v>
      </c>
      <c r="X17" s="23">
        <f t="shared" si="4"/>
        <v>362880</v>
      </c>
      <c r="Y17" s="72">
        <f t="shared" si="5"/>
        <v>50670</v>
      </c>
      <c r="Z17" s="48">
        <f t="shared" si="6"/>
        <v>13.96329365079365</v>
      </c>
      <c r="AA17" s="49">
        <f t="shared" si="7"/>
        <v>1.1938649086848789</v>
      </c>
    </row>
    <row r="18" spans="1:27">
      <c r="A18">
        <v>11</v>
      </c>
      <c r="B18" s="30" t="s">
        <v>14</v>
      </c>
      <c r="C18" s="30" t="s">
        <v>523</v>
      </c>
      <c r="D18" s="30"/>
      <c r="E18" s="30">
        <f>2*12*D5*10</f>
        <v>12480</v>
      </c>
      <c r="F18" s="30">
        <f>16*D5</f>
        <v>832</v>
      </c>
      <c r="G18" s="30">
        <f>4*D5</f>
        <v>208</v>
      </c>
      <c r="H18" s="30">
        <f>4*3*D5*10/80</f>
        <v>78</v>
      </c>
      <c r="I18" s="30">
        <f>4*240*1/2</f>
        <v>480</v>
      </c>
      <c r="J18" s="30">
        <f>2*12*D5*10</f>
        <v>12480</v>
      </c>
      <c r="K18" s="30"/>
      <c r="L18" s="22"/>
      <c r="M18" s="30">
        <f>12*14*D5*10</f>
        <v>87360</v>
      </c>
      <c r="N18" s="30">
        <f t="shared" si="9"/>
        <v>26558</v>
      </c>
      <c r="O18" s="48">
        <f t="shared" si="10"/>
        <v>30.400641025641026</v>
      </c>
      <c r="P18" s="30">
        <v>87360</v>
      </c>
      <c r="Q18" s="30">
        <v>26558</v>
      </c>
      <c r="R18" s="48">
        <v>30.400641025641001</v>
      </c>
      <c r="S18" s="49">
        <f t="shared" si="8"/>
        <v>1.0000000000000002</v>
      </c>
      <c r="T18" s="23">
        <f t="shared" si="0"/>
        <v>178080</v>
      </c>
      <c r="U18" s="72">
        <f t="shared" si="1"/>
        <v>40838</v>
      </c>
      <c r="V18" s="48">
        <f t="shared" si="2"/>
        <v>22.932389937106919</v>
      </c>
      <c r="W18" s="49">
        <f t="shared" si="3"/>
        <v>1.1285977434952794</v>
      </c>
      <c r="X18" s="23">
        <f t="shared" si="4"/>
        <v>362880</v>
      </c>
      <c r="Y18" s="72">
        <f t="shared" si="5"/>
        <v>69678</v>
      </c>
      <c r="Z18" s="48">
        <f t="shared" si="6"/>
        <v>19.201388888888889</v>
      </c>
      <c r="AA18" s="49">
        <f t="shared" si="7"/>
        <v>1.2055606723463039</v>
      </c>
    </row>
    <row r="19" spans="1:27">
      <c r="A19">
        <v>12</v>
      </c>
      <c r="B19" s="30" t="s">
        <v>24</v>
      </c>
      <c r="C19" s="30" t="s">
        <v>522</v>
      </c>
      <c r="D19" s="30"/>
      <c r="E19" s="35">
        <f>2*12*D5*10</f>
        <v>12480</v>
      </c>
      <c r="F19" s="30">
        <f>8*D5*2</f>
        <v>832</v>
      </c>
      <c r="G19" s="30">
        <f>4*D5</f>
        <v>208</v>
      </c>
      <c r="H19" s="30">
        <f>8*D5*1/2</f>
        <v>208</v>
      </c>
      <c r="I19" s="30">
        <f t="shared" ref="I19:I20" si="11">1*4*240*10/20</f>
        <v>480</v>
      </c>
      <c r="J19" s="30">
        <f>2*12*D5*10</f>
        <v>12480</v>
      </c>
      <c r="K19" s="30"/>
      <c r="L19" s="30"/>
      <c r="M19" s="30">
        <f>12*14*D5*10</f>
        <v>87360</v>
      </c>
      <c r="N19" s="30">
        <f t="shared" ref="N19:N25" si="12">SUM(E19:J19)</f>
        <v>26688</v>
      </c>
      <c r="O19" s="48">
        <f>N19/M19*100</f>
        <v>30.549450549450551</v>
      </c>
      <c r="P19" s="30">
        <v>87360</v>
      </c>
      <c r="Q19" s="30">
        <v>26688</v>
      </c>
      <c r="R19" s="48">
        <v>30.549450549450601</v>
      </c>
      <c r="S19" s="49">
        <f t="shared" si="8"/>
        <v>0.99999999999999933</v>
      </c>
      <c r="T19" s="23">
        <f t="shared" si="0"/>
        <v>178080</v>
      </c>
      <c r="U19" s="72">
        <f t="shared" si="1"/>
        <v>40968</v>
      </c>
      <c r="V19" s="48">
        <f t="shared" si="2"/>
        <v>23.005390835579515</v>
      </c>
      <c r="W19" s="49">
        <f t="shared" si="3"/>
        <v>1.1299446202531653</v>
      </c>
      <c r="X19" s="23">
        <f t="shared" si="4"/>
        <v>362880</v>
      </c>
      <c r="Y19" s="72">
        <f t="shared" si="5"/>
        <v>69808</v>
      </c>
      <c r="Z19" s="48">
        <f t="shared" si="6"/>
        <v>19.23721340388007</v>
      </c>
      <c r="AA19" s="49">
        <f t="shared" si="7"/>
        <v>1.2076081223628703</v>
      </c>
    </row>
    <row r="20" spans="1:27" s="61" customFormat="1">
      <c r="A20">
        <v>13</v>
      </c>
      <c r="B20" s="35" t="s">
        <v>24</v>
      </c>
      <c r="C20" s="35" t="s">
        <v>524</v>
      </c>
      <c r="D20" s="35"/>
      <c r="E20" s="35">
        <f>2*12*D5*10</f>
        <v>12480</v>
      </c>
      <c r="F20" s="35">
        <f>8*D5*2</f>
        <v>832</v>
      </c>
      <c r="G20" s="35">
        <f>4*D5</f>
        <v>208</v>
      </c>
      <c r="H20" s="35">
        <f>8*D5*1/2</f>
        <v>208</v>
      </c>
      <c r="I20" s="35">
        <f t="shared" si="11"/>
        <v>480</v>
      </c>
      <c r="J20" s="35">
        <f>2*12*D5*10</f>
        <v>12480</v>
      </c>
      <c r="K20" s="35"/>
      <c r="L20" s="35"/>
      <c r="M20" s="35">
        <f>12*14*D5*10</f>
        <v>87360</v>
      </c>
      <c r="N20" s="35">
        <f t="shared" si="12"/>
        <v>26688</v>
      </c>
      <c r="O20" s="68">
        <f>N20/M20*100</f>
        <v>30.549450549450551</v>
      </c>
      <c r="P20" s="35">
        <v>87360</v>
      </c>
      <c r="Q20" s="35">
        <v>26688</v>
      </c>
      <c r="R20" s="68">
        <v>30.549450549450601</v>
      </c>
      <c r="S20" s="49">
        <f t="shared" si="8"/>
        <v>0.99999999999999933</v>
      </c>
      <c r="T20" s="23">
        <f t="shared" si="0"/>
        <v>178080</v>
      </c>
      <c r="U20" s="72">
        <f t="shared" si="1"/>
        <v>40968</v>
      </c>
      <c r="V20" s="48">
        <f t="shared" si="2"/>
        <v>23.005390835579515</v>
      </c>
      <c r="W20" s="49">
        <f t="shared" si="3"/>
        <v>1.1299446202531653</v>
      </c>
      <c r="X20" s="23">
        <f t="shared" si="4"/>
        <v>362880</v>
      </c>
      <c r="Y20" s="72">
        <f t="shared" si="5"/>
        <v>69808</v>
      </c>
      <c r="Z20" s="48">
        <f t="shared" si="6"/>
        <v>19.23721340388007</v>
      </c>
      <c r="AA20" s="49">
        <f t="shared" si="7"/>
        <v>1.2076081223628703</v>
      </c>
    </row>
    <row r="21" spans="1:27" s="23" customFormat="1">
      <c r="A21">
        <v>14</v>
      </c>
      <c r="B21" s="30" t="s">
        <v>23</v>
      </c>
      <c r="C21" s="30" t="s">
        <v>524</v>
      </c>
      <c r="D21" s="30"/>
      <c r="E21" s="30">
        <f>2*12*D5*10</f>
        <v>12480</v>
      </c>
      <c r="F21" s="30">
        <f>8*D5*2</f>
        <v>832</v>
      </c>
      <c r="G21" s="30">
        <f>4*D5*2</f>
        <v>416</v>
      </c>
      <c r="H21" s="30">
        <f>12*D5*10/20</f>
        <v>312</v>
      </c>
      <c r="I21" s="30">
        <f>4*240*1/2</f>
        <v>480</v>
      </c>
      <c r="J21" s="30">
        <f>2*12*D5*10</f>
        <v>12480</v>
      </c>
      <c r="K21" s="30"/>
      <c r="L21" s="22"/>
      <c r="M21" s="30">
        <f>12*14*D5*10</f>
        <v>87360</v>
      </c>
      <c r="N21" s="30">
        <f t="shared" si="12"/>
        <v>27000</v>
      </c>
      <c r="O21" s="48">
        <f>100*N21/M21</f>
        <v>30.906593406593405</v>
      </c>
      <c r="P21" s="30">
        <f t="shared" ref="P21:R22" si="13">M21</f>
        <v>87360</v>
      </c>
      <c r="Q21" s="30">
        <f t="shared" si="13"/>
        <v>27000</v>
      </c>
      <c r="R21" s="48">
        <f t="shared" si="13"/>
        <v>30.906593406593405</v>
      </c>
      <c r="S21" s="49">
        <f t="shared" si="8"/>
        <v>1</v>
      </c>
      <c r="T21" s="23">
        <f t="shared" si="0"/>
        <v>178080</v>
      </c>
      <c r="U21" s="72">
        <f t="shared" si="1"/>
        <v>41496</v>
      </c>
      <c r="V21" s="48">
        <f t="shared" si="2"/>
        <v>23.30188679245283</v>
      </c>
      <c r="W21" s="49">
        <f t="shared" si="3"/>
        <v>1.1314115308151091</v>
      </c>
      <c r="X21" s="23">
        <f t="shared" si="4"/>
        <v>362880</v>
      </c>
      <c r="Y21" s="72">
        <f t="shared" si="5"/>
        <v>70776</v>
      </c>
      <c r="Z21" s="48">
        <f t="shared" si="6"/>
        <v>19.503968253968253</v>
      </c>
      <c r="AA21" s="49">
        <f t="shared" si="7"/>
        <v>1.209840954274354</v>
      </c>
    </row>
    <row r="22" spans="1:27">
      <c r="A22">
        <v>15</v>
      </c>
      <c r="B22" s="30" t="s">
        <v>23</v>
      </c>
      <c r="C22" s="30" t="s">
        <v>525</v>
      </c>
      <c r="D22" s="30"/>
      <c r="E22" s="30">
        <f>2*12*D5*10</f>
        <v>12480</v>
      </c>
      <c r="F22" s="30">
        <f>8*D5*2</f>
        <v>832</v>
      </c>
      <c r="G22" s="30">
        <f>4*D5*2</f>
        <v>416</v>
      </c>
      <c r="H22" s="30">
        <f>12*D5*10/20</f>
        <v>312</v>
      </c>
      <c r="I22" s="30">
        <f>4*240*1/2</f>
        <v>480</v>
      </c>
      <c r="J22" s="30">
        <f>2*12*D5*10</f>
        <v>12480</v>
      </c>
      <c r="K22" s="30"/>
      <c r="L22" s="22"/>
      <c r="M22" s="30">
        <f>12*14*D5*10</f>
        <v>87360</v>
      </c>
      <c r="N22" s="30">
        <f t="shared" si="12"/>
        <v>27000</v>
      </c>
      <c r="O22" s="48">
        <f>100*N22/M22</f>
        <v>30.906593406593405</v>
      </c>
      <c r="P22" s="30">
        <f t="shared" si="13"/>
        <v>87360</v>
      </c>
      <c r="Q22" s="30">
        <f t="shared" si="13"/>
        <v>27000</v>
      </c>
      <c r="R22" s="48">
        <f t="shared" si="13"/>
        <v>30.906593406593405</v>
      </c>
      <c r="S22" s="49">
        <f t="shared" si="8"/>
        <v>1</v>
      </c>
      <c r="T22" s="23">
        <f t="shared" si="0"/>
        <v>178080</v>
      </c>
      <c r="U22" s="72">
        <f t="shared" si="1"/>
        <v>41496</v>
      </c>
      <c r="V22" s="48">
        <f t="shared" si="2"/>
        <v>23.30188679245283</v>
      </c>
      <c r="W22" s="49">
        <f t="shared" si="3"/>
        <v>1.1314115308151091</v>
      </c>
      <c r="X22" s="23">
        <f t="shared" si="4"/>
        <v>362880</v>
      </c>
      <c r="Y22" s="72">
        <f t="shared" si="5"/>
        <v>70776</v>
      </c>
      <c r="Z22" s="48">
        <f t="shared" si="6"/>
        <v>19.503968253968253</v>
      </c>
      <c r="AA22" s="49">
        <f t="shared" si="7"/>
        <v>1.209840954274354</v>
      </c>
    </row>
    <row r="23" spans="1:27">
      <c r="A23">
        <v>16</v>
      </c>
      <c r="B23" s="30" t="s">
        <v>25</v>
      </c>
      <c r="C23" s="30" t="s">
        <v>522</v>
      </c>
      <c r="D23" s="30"/>
      <c r="E23" s="30">
        <f>8*D5*10</f>
        <v>4160</v>
      </c>
      <c r="F23" s="30">
        <f>8*D5*2</f>
        <v>832</v>
      </c>
      <c r="G23" s="30">
        <f>4*D5*2</f>
        <v>416</v>
      </c>
      <c r="H23" s="30">
        <f>3*4*D5*10/20</f>
        <v>312</v>
      </c>
      <c r="I23" s="30">
        <f>1*4*20*12*10/20</f>
        <v>480</v>
      </c>
      <c r="J23" s="30">
        <f>2*12*D5*10</f>
        <v>12480</v>
      </c>
      <c r="K23" s="30"/>
      <c r="L23" s="22"/>
      <c r="M23" s="30">
        <f>12*14*D5*10</f>
        <v>87360</v>
      </c>
      <c r="N23" s="30">
        <f t="shared" si="12"/>
        <v>18680</v>
      </c>
      <c r="O23" s="48">
        <f>100*N23/M23</f>
        <v>21.382783882783883</v>
      </c>
      <c r="P23" s="30">
        <v>87360</v>
      </c>
      <c r="Q23" s="30">
        <v>18680</v>
      </c>
      <c r="R23" s="48">
        <v>21.382783882783901</v>
      </c>
      <c r="S23" s="49">
        <f t="shared" si="8"/>
        <v>0.99999999999999989</v>
      </c>
      <c r="T23" s="23">
        <f t="shared" si="0"/>
        <v>178080</v>
      </c>
      <c r="U23" s="72">
        <f t="shared" si="1"/>
        <v>24536</v>
      </c>
      <c r="V23" s="48">
        <f t="shared" si="2"/>
        <v>13.778077268643306</v>
      </c>
      <c r="W23" s="49">
        <f t="shared" si="3"/>
        <v>1.1178217821782179</v>
      </c>
      <c r="X23" s="23">
        <f t="shared" si="4"/>
        <v>362880</v>
      </c>
      <c r="Y23" s="72">
        <f t="shared" si="5"/>
        <v>36216</v>
      </c>
      <c r="Z23" s="48">
        <f t="shared" si="6"/>
        <v>9.9801587301587293</v>
      </c>
      <c r="AA23" s="49">
        <f t="shared" si="7"/>
        <v>1.1890797903319745</v>
      </c>
    </row>
    <row r="24" spans="1:27">
      <c r="A24">
        <v>17</v>
      </c>
      <c r="B24" s="30" t="s">
        <v>25</v>
      </c>
      <c r="C24" s="30" t="s">
        <v>524</v>
      </c>
      <c r="D24" s="30"/>
      <c r="E24" s="30">
        <f>8*D5*10</f>
        <v>4160</v>
      </c>
      <c r="F24" s="30">
        <f>8*D5*2</f>
        <v>832</v>
      </c>
      <c r="G24" s="30">
        <f>4*D5*2</f>
        <v>416</v>
      </c>
      <c r="H24" s="30">
        <f>3*4*D5*10/20</f>
        <v>312</v>
      </c>
      <c r="I24" s="30">
        <f>1*4*20*12*10/20</f>
        <v>480</v>
      </c>
      <c r="J24" s="30">
        <f>2*12*D5*10</f>
        <v>12480</v>
      </c>
      <c r="K24" s="30"/>
      <c r="L24" s="22"/>
      <c r="M24" s="30">
        <f>12*14*D5*10</f>
        <v>87360</v>
      </c>
      <c r="N24" s="30">
        <f t="shared" si="12"/>
        <v>18680</v>
      </c>
      <c r="O24" s="48">
        <f>100*N24/M24</f>
        <v>21.382783882783883</v>
      </c>
      <c r="P24" s="30">
        <v>87360</v>
      </c>
      <c r="Q24" s="30">
        <v>18680</v>
      </c>
      <c r="R24" s="48">
        <v>21.382783882783901</v>
      </c>
      <c r="S24" s="49">
        <f t="shared" si="8"/>
        <v>0.99999999999999989</v>
      </c>
      <c r="T24" s="23">
        <f t="shared" si="0"/>
        <v>178080</v>
      </c>
      <c r="U24" s="72">
        <f t="shared" si="1"/>
        <v>24536</v>
      </c>
      <c r="V24" s="48">
        <f t="shared" si="2"/>
        <v>13.778077268643306</v>
      </c>
      <c r="W24" s="49">
        <f t="shared" si="3"/>
        <v>1.1178217821782179</v>
      </c>
      <c r="X24" s="23">
        <f t="shared" si="4"/>
        <v>362880</v>
      </c>
      <c r="Y24" s="72">
        <f t="shared" si="5"/>
        <v>36216</v>
      </c>
      <c r="Z24" s="48">
        <f t="shared" si="6"/>
        <v>9.9801587301587293</v>
      </c>
      <c r="AA24" s="49">
        <f t="shared" si="7"/>
        <v>1.1890797903319745</v>
      </c>
    </row>
    <row r="25" spans="1:27">
      <c r="A25">
        <v>18</v>
      </c>
      <c r="B25" s="30" t="s">
        <v>25</v>
      </c>
      <c r="C25" s="30" t="s">
        <v>521</v>
      </c>
      <c r="D25" s="30"/>
      <c r="E25" s="30">
        <f>8*D5*10</f>
        <v>4160</v>
      </c>
      <c r="F25" s="30">
        <f>32*D5*2</f>
        <v>3328</v>
      </c>
      <c r="G25" s="30">
        <f>4*D5*2</f>
        <v>416</v>
      </c>
      <c r="H25" s="30">
        <f>3*4*D5*10/20</f>
        <v>312</v>
      </c>
      <c r="I25" s="30">
        <f>1*4*20*12*10/20</f>
        <v>480</v>
      </c>
      <c r="J25" s="30">
        <f>2*12*D5*10</f>
        <v>12480</v>
      </c>
      <c r="K25" s="30"/>
      <c r="L25" s="22"/>
      <c r="M25" s="30">
        <f>12*14*D5*10</f>
        <v>87360</v>
      </c>
      <c r="N25" s="30">
        <f t="shared" si="12"/>
        <v>21176</v>
      </c>
      <c r="O25" s="48">
        <f>100*N25/M25</f>
        <v>24.239926739926741</v>
      </c>
      <c r="P25" s="30">
        <v>87360</v>
      </c>
      <c r="Q25" s="30">
        <v>21176</v>
      </c>
      <c r="R25" s="48">
        <v>24.239926739926702</v>
      </c>
      <c r="S25" s="49">
        <f t="shared" si="8"/>
        <v>1.0000000000000007</v>
      </c>
      <c r="T25" s="23">
        <f t="shared" si="0"/>
        <v>178080</v>
      </c>
      <c r="U25" s="72">
        <f t="shared" si="1"/>
        <v>29624</v>
      </c>
      <c r="V25" s="48">
        <f t="shared" si="2"/>
        <v>16.635220125786162</v>
      </c>
      <c r="W25" s="49">
        <f t="shared" si="3"/>
        <v>1.1215399492324423</v>
      </c>
      <c r="X25" s="23">
        <f t="shared" si="4"/>
        <v>362880</v>
      </c>
      <c r="Y25" s="72">
        <f t="shared" si="5"/>
        <v>46584</v>
      </c>
      <c r="Z25" s="48">
        <f t="shared" si="6"/>
        <v>12.837301587301587</v>
      </c>
      <c r="AA25" s="49">
        <f t="shared" si="7"/>
        <v>1.1947600628550703</v>
      </c>
    </row>
    <row r="26" spans="1:27">
      <c r="A26">
        <v>19</v>
      </c>
      <c r="B26" s="30" t="s">
        <v>26</v>
      </c>
      <c r="C26" s="30" t="s">
        <v>522</v>
      </c>
      <c r="D26" s="30"/>
      <c r="E26" s="30">
        <f>8*D5*10</f>
        <v>4160</v>
      </c>
      <c r="F26" s="30">
        <f>8*D5*2</f>
        <v>832</v>
      </c>
      <c r="G26" s="35">
        <f>4*D5*2</f>
        <v>416</v>
      </c>
      <c r="H26" s="35">
        <f>12*D5*10/20</f>
        <v>312</v>
      </c>
      <c r="I26" s="35">
        <f>1*4*240*10/20</f>
        <v>480</v>
      </c>
      <c r="J26" s="35">
        <f>2*12*D5*10</f>
        <v>12480</v>
      </c>
      <c r="K26" s="30"/>
      <c r="L26" s="22"/>
      <c r="M26" s="30">
        <f>12*14*D5*10</f>
        <v>87360</v>
      </c>
      <c r="N26" s="35">
        <f t="shared" ref="N26:N28" si="14">SUM(E26:J26)</f>
        <v>18680</v>
      </c>
      <c r="O26" s="68">
        <f t="shared" ref="O26:O34" si="15">100*N26/M26</f>
        <v>21.382783882783883</v>
      </c>
      <c r="P26" s="30">
        <v>87360</v>
      </c>
      <c r="Q26" s="30">
        <v>18680</v>
      </c>
      <c r="R26" s="48">
        <v>21.382783882783901</v>
      </c>
      <c r="S26" s="49">
        <f t="shared" si="8"/>
        <v>0.99999999999999989</v>
      </c>
      <c r="T26" s="23">
        <f t="shared" si="0"/>
        <v>178080</v>
      </c>
      <c r="U26" s="72">
        <f t="shared" si="1"/>
        <v>24536</v>
      </c>
      <c r="V26" s="48">
        <f t="shared" si="2"/>
        <v>13.778077268643306</v>
      </c>
      <c r="W26" s="49">
        <f t="shared" si="3"/>
        <v>1.1178217821782179</v>
      </c>
      <c r="X26" s="23">
        <f t="shared" si="4"/>
        <v>362880</v>
      </c>
      <c r="Y26" s="72">
        <f t="shared" si="5"/>
        <v>36216</v>
      </c>
      <c r="Z26" s="48">
        <f t="shared" si="6"/>
        <v>9.9801587301587293</v>
      </c>
      <c r="AA26" s="49">
        <f t="shared" si="7"/>
        <v>1.1890797903319745</v>
      </c>
    </row>
    <row r="27" spans="1:27">
      <c r="A27">
        <v>20</v>
      </c>
      <c r="B27" s="30" t="s">
        <v>26</v>
      </c>
      <c r="C27" s="30" t="s">
        <v>524</v>
      </c>
      <c r="D27" s="30"/>
      <c r="E27" s="30">
        <f>8*D5*10</f>
        <v>4160</v>
      </c>
      <c r="F27" s="30">
        <f>8*D5*2</f>
        <v>832</v>
      </c>
      <c r="G27" s="35">
        <f>4*D5*2</f>
        <v>416</v>
      </c>
      <c r="H27" s="35">
        <f>12*D5*10/20</f>
        <v>312</v>
      </c>
      <c r="I27" s="35">
        <f t="shared" ref="I27:I28" si="16">1*4*240*10/20</f>
        <v>480</v>
      </c>
      <c r="J27" s="35">
        <f>2*12*D5*10</f>
        <v>12480</v>
      </c>
      <c r="K27" s="30"/>
      <c r="L27" s="22"/>
      <c r="M27" s="30">
        <f>12*14*D5*10</f>
        <v>87360</v>
      </c>
      <c r="N27" s="35">
        <f t="shared" si="14"/>
        <v>18680</v>
      </c>
      <c r="O27" s="68">
        <f t="shared" si="15"/>
        <v>21.382783882783883</v>
      </c>
      <c r="P27" s="30">
        <v>87360</v>
      </c>
      <c r="Q27" s="30">
        <v>18680</v>
      </c>
      <c r="R27" s="48">
        <v>21.382783882783901</v>
      </c>
      <c r="S27" s="49">
        <f t="shared" si="8"/>
        <v>0.99999999999999989</v>
      </c>
      <c r="T27" s="23">
        <f t="shared" si="0"/>
        <v>178080</v>
      </c>
      <c r="U27" s="72">
        <f t="shared" si="1"/>
        <v>24536</v>
      </c>
      <c r="V27" s="48">
        <f t="shared" si="2"/>
        <v>13.778077268643306</v>
      </c>
      <c r="W27" s="49">
        <f t="shared" si="3"/>
        <v>1.1178217821782179</v>
      </c>
      <c r="X27" s="23">
        <f t="shared" si="4"/>
        <v>362880</v>
      </c>
      <c r="Y27" s="72">
        <f t="shared" si="5"/>
        <v>36216</v>
      </c>
      <c r="Z27" s="48">
        <f t="shared" si="6"/>
        <v>9.9801587301587293</v>
      </c>
      <c r="AA27" s="49">
        <f t="shared" si="7"/>
        <v>1.1890797903319745</v>
      </c>
    </row>
    <row r="28" spans="1:27">
      <c r="A28">
        <v>21</v>
      </c>
      <c r="B28" s="30" t="s">
        <v>26</v>
      </c>
      <c r="C28" s="30" t="s">
        <v>521</v>
      </c>
      <c r="D28" s="30"/>
      <c r="E28" s="30">
        <f>12*D5*10</f>
        <v>6240</v>
      </c>
      <c r="F28" s="30">
        <f>32*D5*2</f>
        <v>3328</v>
      </c>
      <c r="G28" s="35">
        <f>4*D5*2</f>
        <v>416</v>
      </c>
      <c r="H28" s="35">
        <f>12*D5*10/20</f>
        <v>312</v>
      </c>
      <c r="I28" s="35">
        <f t="shared" si="16"/>
        <v>480</v>
      </c>
      <c r="J28" s="35">
        <f>2*12*D5*10</f>
        <v>12480</v>
      </c>
      <c r="K28" s="30"/>
      <c r="L28" s="22"/>
      <c r="M28" s="30">
        <f>12*14*D5*10</f>
        <v>87360</v>
      </c>
      <c r="N28" s="35">
        <f t="shared" si="14"/>
        <v>23256</v>
      </c>
      <c r="O28" s="68">
        <f t="shared" si="15"/>
        <v>26.62087912087912</v>
      </c>
      <c r="P28" s="30">
        <v>87360</v>
      </c>
      <c r="Q28" s="30">
        <v>23256</v>
      </c>
      <c r="R28" s="48">
        <v>26.620879120879099</v>
      </c>
      <c r="S28" s="49">
        <f t="shared" si="8"/>
        <v>1.0000000000000002</v>
      </c>
      <c r="T28" s="23">
        <f t="shared" si="0"/>
        <v>178080</v>
      </c>
      <c r="U28" s="72">
        <f t="shared" si="1"/>
        <v>33864</v>
      </c>
      <c r="V28" s="48">
        <f t="shared" si="2"/>
        <v>19.016172506738545</v>
      </c>
      <c r="W28" s="49">
        <f t="shared" si="3"/>
        <v>1.124859603144889</v>
      </c>
      <c r="X28" s="23">
        <f t="shared" si="4"/>
        <v>362880</v>
      </c>
      <c r="Y28" s="72">
        <f t="shared" si="5"/>
        <v>55224</v>
      </c>
      <c r="Z28" s="48">
        <f t="shared" si="6"/>
        <v>15.218253968253968</v>
      </c>
      <c r="AA28" s="49">
        <f t="shared" si="7"/>
        <v>1.1998315237738673</v>
      </c>
    </row>
    <row r="29" spans="1:27">
      <c r="A29">
        <v>22</v>
      </c>
      <c r="B29" s="30" t="s">
        <v>28</v>
      </c>
      <c r="C29" s="30" t="s">
        <v>522</v>
      </c>
      <c r="D29" s="30"/>
      <c r="E29" s="35">
        <f>8*D5*10</f>
        <v>4160</v>
      </c>
      <c r="F29" s="35">
        <f>8*D5*2</f>
        <v>832</v>
      </c>
      <c r="G29" s="35">
        <f>4*D5*2</f>
        <v>416</v>
      </c>
      <c r="H29" s="35">
        <f>12*52*10/20</f>
        <v>312</v>
      </c>
      <c r="I29" s="35">
        <f>4*240*1/2</f>
        <v>480</v>
      </c>
      <c r="J29" s="35">
        <f>2*12*D5*10</f>
        <v>12480</v>
      </c>
      <c r="K29" s="30"/>
      <c r="L29" s="22"/>
      <c r="M29" s="69">
        <f>D5*12*10*14</f>
        <v>87360</v>
      </c>
      <c r="N29" s="35">
        <f t="shared" ref="N29:N34" si="17">SUM(E29:J29)</f>
        <v>18680</v>
      </c>
      <c r="O29" s="68">
        <f t="shared" si="15"/>
        <v>21.382783882783883</v>
      </c>
      <c r="P29" s="30">
        <v>87360</v>
      </c>
      <c r="Q29" s="30">
        <v>18680</v>
      </c>
      <c r="R29" s="48">
        <v>21.382783882783901</v>
      </c>
      <c r="S29" s="49">
        <f t="shared" si="8"/>
        <v>0.99999999999999989</v>
      </c>
      <c r="T29" s="23">
        <f t="shared" si="0"/>
        <v>178080</v>
      </c>
      <c r="U29" s="72">
        <f t="shared" si="1"/>
        <v>24536</v>
      </c>
      <c r="V29" s="48">
        <f t="shared" si="2"/>
        <v>13.778077268643306</v>
      </c>
      <c r="W29" s="49">
        <f t="shared" si="3"/>
        <v>1.1178217821782179</v>
      </c>
      <c r="X29" s="23">
        <f t="shared" si="4"/>
        <v>362880</v>
      </c>
      <c r="Y29" s="72">
        <f t="shared" si="5"/>
        <v>36216</v>
      </c>
      <c r="Z29" s="48">
        <f t="shared" si="6"/>
        <v>9.9801587301587293</v>
      </c>
      <c r="AA29" s="49">
        <f t="shared" si="7"/>
        <v>1.1890797903319745</v>
      </c>
    </row>
    <row r="30" spans="1:27">
      <c r="A30">
        <v>23</v>
      </c>
      <c r="B30" s="30" t="s">
        <v>28</v>
      </c>
      <c r="C30" s="30" t="s">
        <v>524</v>
      </c>
      <c r="D30" s="30"/>
      <c r="E30" s="35">
        <f>8*D5*10</f>
        <v>4160</v>
      </c>
      <c r="F30" s="35">
        <f>8*D5*2</f>
        <v>832</v>
      </c>
      <c r="G30" s="35">
        <f>4*D5*2</f>
        <v>416</v>
      </c>
      <c r="H30" s="35">
        <f>12*52*10/20</f>
        <v>312</v>
      </c>
      <c r="I30" s="35">
        <f>4*240*1/2</f>
        <v>480</v>
      </c>
      <c r="J30" s="35">
        <f>2*12*D5*10</f>
        <v>12480</v>
      </c>
      <c r="K30" s="30"/>
      <c r="L30" s="22"/>
      <c r="M30" s="69">
        <f>D5*12*10*14</f>
        <v>87360</v>
      </c>
      <c r="N30" s="35">
        <f t="shared" si="17"/>
        <v>18680</v>
      </c>
      <c r="O30" s="68">
        <f t="shared" si="15"/>
        <v>21.382783882783883</v>
      </c>
      <c r="P30" s="30">
        <v>87360</v>
      </c>
      <c r="Q30" s="30">
        <v>18680</v>
      </c>
      <c r="R30" s="48">
        <v>21.382783882783901</v>
      </c>
      <c r="S30" s="49">
        <f t="shared" si="8"/>
        <v>0.99999999999999989</v>
      </c>
      <c r="T30" s="23">
        <f t="shared" si="0"/>
        <v>178080</v>
      </c>
      <c r="U30" s="72">
        <f t="shared" si="1"/>
        <v>24536</v>
      </c>
      <c r="V30" s="48">
        <f t="shared" si="2"/>
        <v>13.778077268643306</v>
      </c>
      <c r="W30" s="49">
        <f t="shared" si="3"/>
        <v>1.1178217821782179</v>
      </c>
      <c r="X30" s="23">
        <f t="shared" si="4"/>
        <v>362880</v>
      </c>
      <c r="Y30" s="72">
        <f t="shared" si="5"/>
        <v>36216</v>
      </c>
      <c r="Z30" s="48">
        <f t="shared" si="6"/>
        <v>9.9801587301587293</v>
      </c>
      <c r="AA30" s="49">
        <f t="shared" si="7"/>
        <v>1.1890797903319745</v>
      </c>
    </row>
    <row r="31" spans="1:27">
      <c r="A31">
        <v>24</v>
      </c>
      <c r="B31" s="30" t="s">
        <v>28</v>
      </c>
      <c r="C31" s="35" t="s">
        <v>521</v>
      </c>
      <c r="D31" s="30"/>
      <c r="E31" s="35">
        <f>8*D5*10</f>
        <v>4160</v>
      </c>
      <c r="F31" s="35">
        <f>32*D5*2</f>
        <v>3328</v>
      </c>
      <c r="G31" s="35">
        <f>4*D5*2</f>
        <v>416</v>
      </c>
      <c r="H31" s="35">
        <f>12*52*10/20</f>
        <v>312</v>
      </c>
      <c r="I31" s="35">
        <f>4*240*1/2</f>
        <v>480</v>
      </c>
      <c r="J31" s="35">
        <f>2*12*D5*10</f>
        <v>12480</v>
      </c>
      <c r="K31" s="30"/>
      <c r="L31" s="22"/>
      <c r="M31" s="69">
        <f>D5*12*10*14</f>
        <v>87360</v>
      </c>
      <c r="N31" s="35">
        <f t="shared" si="17"/>
        <v>21176</v>
      </c>
      <c r="O31" s="68">
        <f t="shared" si="15"/>
        <v>24.239926739926741</v>
      </c>
      <c r="P31" s="30">
        <v>87360</v>
      </c>
      <c r="Q31" s="30">
        <v>21176</v>
      </c>
      <c r="R31" s="48">
        <v>24.239926739926702</v>
      </c>
      <c r="S31" s="49">
        <f t="shared" si="8"/>
        <v>1.0000000000000007</v>
      </c>
      <c r="T31" s="23">
        <f t="shared" si="0"/>
        <v>178080</v>
      </c>
      <c r="U31" s="72">
        <f t="shared" si="1"/>
        <v>29624</v>
      </c>
      <c r="V31" s="48">
        <f t="shared" si="2"/>
        <v>16.635220125786162</v>
      </c>
      <c r="W31" s="49">
        <f t="shared" si="3"/>
        <v>1.1215399492324423</v>
      </c>
      <c r="X31" s="23">
        <f t="shared" si="4"/>
        <v>362880</v>
      </c>
      <c r="Y31" s="72">
        <f t="shared" si="5"/>
        <v>46584</v>
      </c>
      <c r="Z31" s="48">
        <f t="shared" si="6"/>
        <v>12.837301587301587</v>
      </c>
      <c r="AA31" s="49">
        <f t="shared" si="7"/>
        <v>1.1947600628550703</v>
      </c>
    </row>
    <row r="32" spans="1:27">
      <c r="A32">
        <v>25</v>
      </c>
      <c r="B32" s="30" t="s">
        <v>36</v>
      </c>
      <c r="C32" s="30" t="s">
        <v>520</v>
      </c>
      <c r="D32" s="30"/>
      <c r="E32" s="35">
        <f>2*12*D5*10</f>
        <v>12480</v>
      </c>
      <c r="F32" s="35">
        <f>8*D5*2</f>
        <v>832</v>
      </c>
      <c r="G32" s="35">
        <f>4*D5*2</f>
        <v>416</v>
      </c>
      <c r="H32" s="35">
        <f>12*52*10/20</f>
        <v>312</v>
      </c>
      <c r="I32" s="35">
        <f>4*240*1/2</f>
        <v>480</v>
      </c>
      <c r="J32" s="35">
        <f>2*12*D5*10</f>
        <v>12480</v>
      </c>
      <c r="K32" s="30"/>
      <c r="L32" s="22"/>
      <c r="M32" s="69">
        <f>D5*12*10*14</f>
        <v>87360</v>
      </c>
      <c r="N32" s="35">
        <f t="shared" si="17"/>
        <v>27000</v>
      </c>
      <c r="O32" s="68">
        <f t="shared" si="15"/>
        <v>30.906593406593405</v>
      </c>
      <c r="P32" s="30">
        <v>87360</v>
      </c>
      <c r="Q32" s="30">
        <v>27000</v>
      </c>
      <c r="R32" s="48">
        <v>30.906593406593402</v>
      </c>
      <c r="S32" s="49">
        <f t="shared" si="8"/>
        <v>1</v>
      </c>
      <c r="T32" s="23">
        <f t="shared" si="0"/>
        <v>178080</v>
      </c>
      <c r="U32" s="72">
        <f t="shared" si="1"/>
        <v>41496</v>
      </c>
      <c r="V32" s="48">
        <f t="shared" si="2"/>
        <v>23.30188679245283</v>
      </c>
      <c r="W32" s="49">
        <f t="shared" si="3"/>
        <v>1.1314115308151091</v>
      </c>
      <c r="X32" s="23">
        <f t="shared" si="4"/>
        <v>362880</v>
      </c>
      <c r="Y32" s="72">
        <f t="shared" si="5"/>
        <v>70776</v>
      </c>
      <c r="Z32" s="48">
        <f t="shared" si="6"/>
        <v>19.503968253968253</v>
      </c>
      <c r="AA32" s="49">
        <f t="shared" si="7"/>
        <v>1.209840954274354</v>
      </c>
    </row>
    <row r="33" spans="1:27">
      <c r="A33">
        <v>26</v>
      </c>
      <c r="B33" s="65" t="s">
        <v>20</v>
      </c>
      <c r="C33" s="65" t="s">
        <v>520</v>
      </c>
      <c r="D33" s="65"/>
      <c r="E33" s="65">
        <v>12480</v>
      </c>
      <c r="F33" s="65">
        <v>832</v>
      </c>
      <c r="G33" s="65">
        <v>0</v>
      </c>
      <c r="H33" s="65">
        <v>312</v>
      </c>
      <c r="I33" s="65">
        <v>480</v>
      </c>
      <c r="J33" s="65">
        <v>12480</v>
      </c>
      <c r="K33" s="65"/>
      <c r="L33" s="65"/>
      <c r="M33" s="70">
        <v>87360</v>
      </c>
      <c r="N33" s="35">
        <f t="shared" si="17"/>
        <v>26584</v>
      </c>
      <c r="O33" s="68">
        <f t="shared" si="15"/>
        <v>30.430402930402931</v>
      </c>
      <c r="P33" s="30">
        <v>87360</v>
      </c>
      <c r="Q33" s="30">
        <v>26584</v>
      </c>
      <c r="R33" s="48">
        <v>30.430402930402899</v>
      </c>
      <c r="S33" s="49">
        <f t="shared" si="8"/>
        <v>1.0000000000000004</v>
      </c>
      <c r="T33" s="23">
        <f t="shared" si="0"/>
        <v>178080</v>
      </c>
      <c r="U33" s="72">
        <f t="shared" si="1"/>
        <v>40648</v>
      </c>
      <c r="V33" s="48">
        <f t="shared" si="2"/>
        <v>22.825696316262356</v>
      </c>
      <c r="W33" s="49">
        <f t="shared" si="3"/>
        <v>1.1306436751349211</v>
      </c>
      <c r="X33" s="23">
        <f t="shared" si="4"/>
        <v>362880</v>
      </c>
      <c r="Y33" s="72">
        <f t="shared" si="5"/>
        <v>69048</v>
      </c>
      <c r="Z33" s="48">
        <f t="shared" si="6"/>
        <v>19.027777777777779</v>
      </c>
      <c r="AA33" s="49">
        <f t="shared" si="7"/>
        <v>1.2086678952217977</v>
      </c>
    </row>
    <row r="34" spans="1:27">
      <c r="A34">
        <v>27</v>
      </c>
      <c r="B34" s="65" t="s">
        <v>20</v>
      </c>
      <c r="C34" s="65" t="s">
        <v>525</v>
      </c>
      <c r="D34" s="65"/>
      <c r="E34" s="65">
        <v>12480</v>
      </c>
      <c r="F34" s="65">
        <v>1664</v>
      </c>
      <c r="G34" s="65">
        <v>0</v>
      </c>
      <c r="H34" s="65">
        <v>312</v>
      </c>
      <c r="I34" s="65">
        <v>480</v>
      </c>
      <c r="J34" s="65">
        <v>12480</v>
      </c>
      <c r="K34" s="65"/>
      <c r="L34" s="65"/>
      <c r="M34" s="70">
        <v>87360</v>
      </c>
      <c r="N34" s="35">
        <f t="shared" si="17"/>
        <v>27416</v>
      </c>
      <c r="O34" s="68">
        <f t="shared" si="15"/>
        <v>31.382783882783883</v>
      </c>
      <c r="P34" s="30">
        <v>87360</v>
      </c>
      <c r="Q34" s="30">
        <v>27416</v>
      </c>
      <c r="R34" s="48">
        <v>31.382783882783901</v>
      </c>
      <c r="S34" s="49">
        <f t="shared" si="8"/>
        <v>0.99999999999999967</v>
      </c>
      <c r="T34" s="23">
        <f t="shared" si="0"/>
        <v>178080</v>
      </c>
      <c r="U34" s="72">
        <f t="shared" si="1"/>
        <v>42344</v>
      </c>
      <c r="V34" s="48">
        <f t="shared" si="2"/>
        <v>23.778077268643305</v>
      </c>
      <c r="W34" s="49">
        <f t="shared" si="3"/>
        <v>1.1321900440411052</v>
      </c>
      <c r="X34" s="23">
        <f t="shared" si="4"/>
        <v>362880</v>
      </c>
      <c r="Y34" s="72">
        <f t="shared" si="5"/>
        <v>72504</v>
      </c>
      <c r="Z34" s="48">
        <f t="shared" si="6"/>
        <v>19.980158730158731</v>
      </c>
      <c r="AA34" s="49">
        <f t="shared" si="7"/>
        <v>1.2110302949419465</v>
      </c>
    </row>
    <row r="35" spans="1:27">
      <c r="A35">
        <v>28</v>
      </c>
      <c r="B35" s="65" t="s">
        <v>17</v>
      </c>
      <c r="C35" s="65" t="s">
        <v>521</v>
      </c>
      <c r="D35" s="65"/>
      <c r="E35" s="65">
        <v>12480</v>
      </c>
      <c r="F35" s="65">
        <v>3328</v>
      </c>
      <c r="G35" s="65">
        <v>208</v>
      </c>
      <c r="H35" s="65">
        <v>208</v>
      </c>
      <c r="I35" s="65">
        <v>480</v>
      </c>
      <c r="J35" s="65">
        <v>12480</v>
      </c>
      <c r="K35" s="65"/>
      <c r="L35" s="65"/>
      <c r="M35" s="70">
        <v>87360</v>
      </c>
      <c r="N35" s="35">
        <v>29184</v>
      </c>
      <c r="O35" s="68">
        <v>33.406593406593402</v>
      </c>
      <c r="P35" s="30">
        <v>87360</v>
      </c>
      <c r="Q35" s="30">
        <v>29184</v>
      </c>
      <c r="R35" s="48">
        <v>33.406593406593402</v>
      </c>
      <c r="S35" s="49">
        <f t="shared" si="8"/>
        <v>1</v>
      </c>
      <c r="T35" s="23">
        <f t="shared" si="0"/>
        <v>178080</v>
      </c>
      <c r="U35" s="72">
        <f t="shared" si="1"/>
        <v>46056</v>
      </c>
      <c r="V35" s="48">
        <f t="shared" si="2"/>
        <v>25.862533692722373</v>
      </c>
      <c r="W35" s="49">
        <f t="shared" si="3"/>
        <v>1.1346947194719472</v>
      </c>
      <c r="X35" s="23">
        <f t="shared" si="4"/>
        <v>362880</v>
      </c>
      <c r="Y35" s="72">
        <f t="shared" si="5"/>
        <v>80176</v>
      </c>
      <c r="Z35" s="48">
        <f t="shared" si="6"/>
        <v>22.094356261022927</v>
      </c>
      <c r="AA35" s="49">
        <f t="shared" si="7"/>
        <v>1.2148652365236523</v>
      </c>
    </row>
    <row r="36" spans="1:27">
      <c r="A36">
        <v>29</v>
      </c>
      <c r="B36" s="65" t="s">
        <v>17</v>
      </c>
      <c r="C36" s="65" t="s">
        <v>524</v>
      </c>
      <c r="D36" s="65"/>
      <c r="E36" s="65">
        <v>12480</v>
      </c>
      <c r="F36" s="65">
        <v>3328</v>
      </c>
      <c r="G36" s="65">
        <v>208</v>
      </c>
      <c r="H36" s="65">
        <v>208</v>
      </c>
      <c r="I36" s="65">
        <v>480</v>
      </c>
      <c r="J36" s="65">
        <v>12480</v>
      </c>
      <c r="K36" s="65"/>
      <c r="L36" s="65"/>
      <c r="M36" s="70">
        <v>87360</v>
      </c>
      <c r="N36" s="35">
        <v>29184</v>
      </c>
      <c r="O36" s="68">
        <v>33.406593406593402</v>
      </c>
      <c r="P36" s="30">
        <v>87360</v>
      </c>
      <c r="Q36" s="30">
        <v>29184</v>
      </c>
      <c r="R36" s="48">
        <v>33.406593406593402</v>
      </c>
      <c r="S36" s="49">
        <f t="shared" si="8"/>
        <v>1</v>
      </c>
      <c r="T36" s="23">
        <f t="shared" si="0"/>
        <v>178080</v>
      </c>
      <c r="U36" s="72">
        <f t="shared" si="1"/>
        <v>46056</v>
      </c>
      <c r="V36" s="48">
        <f t="shared" si="2"/>
        <v>25.862533692722373</v>
      </c>
      <c r="W36" s="49">
        <f t="shared" si="3"/>
        <v>1.1346947194719472</v>
      </c>
      <c r="X36" s="23">
        <f t="shared" si="4"/>
        <v>362880</v>
      </c>
      <c r="Y36" s="72">
        <f t="shared" si="5"/>
        <v>80176</v>
      </c>
      <c r="Z36" s="48">
        <f t="shared" si="6"/>
        <v>22.094356261022927</v>
      </c>
      <c r="AA36" s="49">
        <f t="shared" si="7"/>
        <v>1.2148652365236523</v>
      </c>
    </row>
    <row r="37" spans="1:27">
      <c r="A37">
        <v>30</v>
      </c>
      <c r="B37" s="65" t="s">
        <v>17</v>
      </c>
      <c r="C37" s="65" t="s">
        <v>522</v>
      </c>
      <c r="D37" s="65"/>
      <c r="E37" s="65">
        <v>12480</v>
      </c>
      <c r="F37" s="65">
        <v>3328</v>
      </c>
      <c r="G37" s="65">
        <v>208</v>
      </c>
      <c r="H37" s="65">
        <v>208</v>
      </c>
      <c r="I37" s="65">
        <v>480</v>
      </c>
      <c r="J37" s="65">
        <v>12480</v>
      </c>
      <c r="K37" s="65"/>
      <c r="L37" s="65"/>
      <c r="M37" s="70">
        <v>87360</v>
      </c>
      <c r="N37" s="35">
        <v>29184</v>
      </c>
      <c r="O37" s="68">
        <v>33.406593406593402</v>
      </c>
      <c r="P37" s="30">
        <v>87360</v>
      </c>
      <c r="Q37" s="30">
        <v>29184</v>
      </c>
      <c r="R37" s="48">
        <v>33.406593406593402</v>
      </c>
      <c r="S37" s="49">
        <f t="shared" si="8"/>
        <v>1</v>
      </c>
      <c r="T37" s="23">
        <f t="shared" si="0"/>
        <v>178080</v>
      </c>
      <c r="U37" s="72">
        <f t="shared" si="1"/>
        <v>46056</v>
      </c>
      <c r="V37" s="48">
        <f t="shared" si="2"/>
        <v>25.862533692722373</v>
      </c>
      <c r="W37" s="49">
        <f t="shared" si="3"/>
        <v>1.1346947194719472</v>
      </c>
      <c r="X37" s="23">
        <f t="shared" si="4"/>
        <v>362880</v>
      </c>
      <c r="Y37" s="72">
        <f t="shared" si="5"/>
        <v>80176</v>
      </c>
      <c r="Z37" s="48">
        <f t="shared" si="6"/>
        <v>22.094356261022927</v>
      </c>
      <c r="AA37" s="49">
        <f t="shared" si="7"/>
        <v>1.2148652365236523</v>
      </c>
    </row>
    <row r="38" spans="1:27">
      <c r="A38">
        <v>31</v>
      </c>
      <c r="B38" s="65" t="s">
        <v>38</v>
      </c>
      <c r="C38" s="65" t="s">
        <v>526</v>
      </c>
      <c r="D38" s="65"/>
      <c r="E38" s="65">
        <v>12480</v>
      </c>
      <c r="F38" s="65"/>
      <c r="G38" s="65"/>
      <c r="H38" s="65"/>
      <c r="I38" s="65"/>
      <c r="J38" s="65">
        <v>12480</v>
      </c>
      <c r="K38" s="65"/>
      <c r="L38" s="65"/>
      <c r="M38" s="70">
        <v>87360</v>
      </c>
      <c r="N38" s="35">
        <f t="shared" ref="N38:N43" si="18">SUM(E38:J38)</f>
        <v>24960</v>
      </c>
      <c r="O38" s="68">
        <f>100*N38/M38</f>
        <v>28.571428571428573</v>
      </c>
      <c r="P38" s="30">
        <v>87360</v>
      </c>
      <c r="Q38" s="30">
        <v>24960</v>
      </c>
      <c r="R38" s="48">
        <v>28.571428571428601</v>
      </c>
      <c r="S38" s="49">
        <f t="shared" si="8"/>
        <v>0.99999999999999967</v>
      </c>
      <c r="T38" s="23">
        <f t="shared" si="0"/>
        <v>178080</v>
      </c>
      <c r="U38" s="72">
        <f t="shared" si="1"/>
        <v>38160</v>
      </c>
      <c r="V38" s="48">
        <f t="shared" si="2"/>
        <v>21.428571428571427</v>
      </c>
      <c r="W38" s="49">
        <f t="shared" si="3"/>
        <v>1.1211538461538468</v>
      </c>
      <c r="X38" s="23">
        <f t="shared" si="4"/>
        <v>362880</v>
      </c>
      <c r="Y38" s="72">
        <f t="shared" si="5"/>
        <v>64800</v>
      </c>
      <c r="Z38" s="48">
        <f t="shared" si="6"/>
        <v>17.857142857142858</v>
      </c>
      <c r="AA38" s="49">
        <f t="shared" si="7"/>
        <v>1.1942307692307699</v>
      </c>
    </row>
    <row r="39" spans="1:27">
      <c r="A39">
        <v>32</v>
      </c>
      <c r="B39" s="65" t="s">
        <v>38</v>
      </c>
      <c r="C39" s="65" t="s">
        <v>525</v>
      </c>
      <c r="D39" s="65"/>
      <c r="E39" s="65">
        <v>12480</v>
      </c>
      <c r="F39" s="65"/>
      <c r="G39" s="65"/>
      <c r="H39" s="65"/>
      <c r="I39" s="65"/>
      <c r="J39" s="65">
        <v>12480</v>
      </c>
      <c r="K39" s="65"/>
      <c r="L39" s="65"/>
      <c r="M39" s="70">
        <v>87360</v>
      </c>
      <c r="N39" s="35">
        <f t="shared" si="18"/>
        <v>24960</v>
      </c>
      <c r="O39" s="68">
        <f>100*N39/M39</f>
        <v>28.571428571428573</v>
      </c>
      <c r="P39" s="30">
        <v>87360</v>
      </c>
      <c r="Q39" s="30">
        <v>24960</v>
      </c>
      <c r="R39" s="48">
        <v>28.571428571428601</v>
      </c>
      <c r="S39" s="49">
        <f t="shared" si="8"/>
        <v>0.99999999999999967</v>
      </c>
      <c r="T39" s="23">
        <f t="shared" si="0"/>
        <v>178080</v>
      </c>
      <c r="U39" s="72">
        <f t="shared" si="1"/>
        <v>38160</v>
      </c>
      <c r="V39" s="48">
        <f t="shared" si="2"/>
        <v>21.428571428571427</v>
      </c>
      <c r="W39" s="49">
        <f t="shared" si="3"/>
        <v>1.1211538461538468</v>
      </c>
      <c r="X39" s="23">
        <f t="shared" si="4"/>
        <v>362880</v>
      </c>
      <c r="Y39" s="72">
        <f t="shared" si="5"/>
        <v>64800</v>
      </c>
      <c r="Z39" s="48">
        <f t="shared" si="6"/>
        <v>17.857142857142858</v>
      </c>
      <c r="AA39" s="49">
        <f t="shared" si="7"/>
        <v>1.1942307692307699</v>
      </c>
    </row>
    <row r="40" spans="1:27">
      <c r="A40">
        <v>33</v>
      </c>
      <c r="B40" s="66" t="s">
        <v>65</v>
      </c>
      <c r="C40" s="23" t="s">
        <v>522</v>
      </c>
      <c r="D40" s="66"/>
      <c r="E40" s="66">
        <f>6*D5*10</f>
        <v>3120</v>
      </c>
      <c r="F40" s="66">
        <f>8*D5*2</f>
        <v>832</v>
      </c>
      <c r="G40" s="66">
        <v>0</v>
      </c>
      <c r="H40" s="66">
        <f>12*52*10/20</f>
        <v>312</v>
      </c>
      <c r="I40" s="66">
        <f>1*4*240*10/20</f>
        <v>480</v>
      </c>
      <c r="J40" s="66">
        <f>2*12*D5*10</f>
        <v>12480</v>
      </c>
      <c r="K40" s="66"/>
      <c r="L40" s="66"/>
      <c r="M40" s="71">
        <f>12*14*D5*10</f>
        <v>87360</v>
      </c>
      <c r="N40" s="35">
        <f t="shared" si="18"/>
        <v>17224</v>
      </c>
      <c r="O40" s="68">
        <f>N40/M40*100</f>
        <v>19.716117216117215</v>
      </c>
      <c r="P40" s="71">
        <v>87360</v>
      </c>
      <c r="Q40" s="35">
        <v>17224</v>
      </c>
      <c r="R40" s="68">
        <v>19.716117216117201</v>
      </c>
      <c r="S40" s="49">
        <f t="shared" si="8"/>
        <v>1.0000000000000002</v>
      </c>
      <c r="T40" s="23">
        <f t="shared" si="0"/>
        <v>178080</v>
      </c>
      <c r="U40" s="72">
        <f t="shared" si="1"/>
        <v>21568</v>
      </c>
      <c r="V40" s="48">
        <f t="shared" si="2"/>
        <v>12.11141060197664</v>
      </c>
      <c r="W40" s="49">
        <f t="shared" si="3"/>
        <v>1.1157750655868597</v>
      </c>
      <c r="X40" s="23">
        <f t="shared" si="4"/>
        <v>362880</v>
      </c>
      <c r="Y40" s="72">
        <f t="shared" si="5"/>
        <v>30168</v>
      </c>
      <c r="Z40" s="48">
        <f t="shared" si="6"/>
        <v>8.3134920634920633</v>
      </c>
      <c r="AA40" s="49">
        <f t="shared" si="7"/>
        <v>1.1859530055891407</v>
      </c>
    </row>
    <row r="41" spans="1:27">
      <c r="A41">
        <v>34</v>
      </c>
      <c r="B41" s="66" t="s">
        <v>65</v>
      </c>
      <c r="C41" s="61" t="s">
        <v>524</v>
      </c>
      <c r="D41" s="66"/>
      <c r="E41" s="66">
        <f>12*D5*10</f>
        <v>6240</v>
      </c>
      <c r="F41" s="66">
        <f>8*D5*2</f>
        <v>832</v>
      </c>
      <c r="G41" s="66">
        <v>0</v>
      </c>
      <c r="H41" s="66">
        <f>12*52*10/20</f>
        <v>312</v>
      </c>
      <c r="I41" s="66">
        <f>1*4*240*10/20</f>
        <v>480</v>
      </c>
      <c r="J41" s="66">
        <f>2*12*D5*10</f>
        <v>12480</v>
      </c>
      <c r="K41" s="66"/>
      <c r="L41" s="66"/>
      <c r="M41" s="71">
        <f>12*14*D5*10</f>
        <v>87360</v>
      </c>
      <c r="N41" s="35">
        <f t="shared" si="18"/>
        <v>20344</v>
      </c>
      <c r="O41" s="68">
        <f t="shared" ref="O41:O42" si="19">N41/M41*100</f>
        <v>23.287545787545788</v>
      </c>
      <c r="P41" s="71">
        <v>87360</v>
      </c>
      <c r="Q41" s="35">
        <v>20344</v>
      </c>
      <c r="R41" s="68">
        <v>23.287545787545799</v>
      </c>
      <c r="S41" s="49">
        <f t="shared" si="8"/>
        <v>1</v>
      </c>
      <c r="T41" s="23">
        <f t="shared" si="0"/>
        <v>178080</v>
      </c>
      <c r="U41" s="72">
        <f t="shared" si="1"/>
        <v>27928</v>
      </c>
      <c r="V41" s="48">
        <f t="shared" si="2"/>
        <v>15.682839173405211</v>
      </c>
      <c r="W41" s="49">
        <f t="shared" si="3"/>
        <v>1.1202697863196849</v>
      </c>
      <c r="X41" s="23">
        <f t="shared" si="4"/>
        <v>362880</v>
      </c>
      <c r="Y41" s="72">
        <f t="shared" si="5"/>
        <v>43128</v>
      </c>
      <c r="Z41" s="48">
        <f t="shared" si="6"/>
        <v>11.884920634920634</v>
      </c>
      <c r="AA41" s="49">
        <f t="shared" si="7"/>
        <v>1.1928196251641399</v>
      </c>
    </row>
    <row r="42" spans="1:27">
      <c r="A42">
        <v>35</v>
      </c>
      <c r="B42" s="66" t="s">
        <v>65</v>
      </c>
      <c r="C42" s="66" t="s">
        <v>521</v>
      </c>
      <c r="D42" s="66"/>
      <c r="E42" s="66">
        <f>12*D5*10</f>
        <v>6240</v>
      </c>
      <c r="F42" s="66">
        <f>32*D5*2</f>
        <v>3328</v>
      </c>
      <c r="G42" s="66">
        <v>0</v>
      </c>
      <c r="H42" s="66">
        <f>12*52*10/20</f>
        <v>312</v>
      </c>
      <c r="I42" s="66">
        <f>1*4*240*10/20</f>
        <v>480</v>
      </c>
      <c r="J42" s="66">
        <f>2*12*D5*10</f>
        <v>12480</v>
      </c>
      <c r="K42" s="66" t="s">
        <v>527</v>
      </c>
      <c r="L42" s="66"/>
      <c r="M42" s="71">
        <f>12*14*D5*10</f>
        <v>87360</v>
      </c>
      <c r="N42" s="35">
        <f t="shared" si="18"/>
        <v>22840</v>
      </c>
      <c r="O42" s="68">
        <f t="shared" si="19"/>
        <v>26.144688644688646</v>
      </c>
      <c r="P42" s="71">
        <v>87360</v>
      </c>
      <c r="Q42" s="35">
        <v>22840</v>
      </c>
      <c r="R42" s="68">
        <v>26.1446886446886</v>
      </c>
      <c r="S42" s="49">
        <f t="shared" si="8"/>
        <v>1.0000000000000007</v>
      </c>
      <c r="T42" s="23">
        <f t="shared" si="0"/>
        <v>178080</v>
      </c>
      <c r="U42" s="72">
        <f t="shared" si="1"/>
        <v>33016</v>
      </c>
      <c r="V42" s="48">
        <f t="shared" si="2"/>
        <v>18.539982030548067</v>
      </c>
      <c r="W42" s="49">
        <f t="shared" si="3"/>
        <v>1.1241785492870422</v>
      </c>
      <c r="X42" s="23">
        <f t="shared" si="4"/>
        <v>362880</v>
      </c>
      <c r="Y42" s="72">
        <f t="shared" si="5"/>
        <v>53496</v>
      </c>
      <c r="Z42" s="48">
        <f t="shared" si="6"/>
        <v>14.742063492063492</v>
      </c>
      <c r="AA42" s="49">
        <f t="shared" si="7"/>
        <v>1.1987910725356472</v>
      </c>
    </row>
    <row r="43" spans="1:27">
      <c r="A43">
        <v>36</v>
      </c>
      <c r="B43" s="30" t="s">
        <v>25</v>
      </c>
      <c r="C43" s="30" t="s">
        <v>525</v>
      </c>
      <c r="D43" s="30"/>
      <c r="E43" s="30">
        <f>8*D5*10</f>
        <v>4160</v>
      </c>
      <c r="F43" s="30">
        <f>16*D5*2</f>
        <v>1664</v>
      </c>
      <c r="G43" s="30">
        <f>4*D5*2</f>
        <v>416</v>
      </c>
      <c r="H43" s="30">
        <f>3*4*D5*10/20</f>
        <v>312</v>
      </c>
      <c r="I43" s="30">
        <f>1*4*20*12*10/20</f>
        <v>480</v>
      </c>
      <c r="J43" s="30">
        <f>2*12*D5*10</f>
        <v>12480</v>
      </c>
      <c r="K43" s="30"/>
      <c r="L43" s="22"/>
      <c r="M43" s="30">
        <f>12*14*D5*10</f>
        <v>87360</v>
      </c>
      <c r="N43" s="30">
        <f t="shared" si="18"/>
        <v>19512</v>
      </c>
      <c r="O43" s="48">
        <f>100*N43/M43</f>
        <v>22.335164835164836</v>
      </c>
      <c r="P43" s="30">
        <v>87360</v>
      </c>
      <c r="Q43" s="30">
        <v>19512</v>
      </c>
      <c r="R43" s="48">
        <v>22.3351648351648</v>
      </c>
      <c r="S43" s="49">
        <f t="shared" si="8"/>
        <v>1.0000000000000004</v>
      </c>
      <c r="T43" s="23">
        <f t="shared" si="0"/>
        <v>178080</v>
      </c>
      <c r="U43" s="72">
        <f t="shared" si="1"/>
        <v>26232</v>
      </c>
      <c r="V43" s="48">
        <f t="shared" si="2"/>
        <v>14.730458221024259</v>
      </c>
      <c r="W43" s="49">
        <f t="shared" si="3"/>
        <v>1.1190307746727974</v>
      </c>
      <c r="X43" s="23">
        <f t="shared" si="4"/>
        <v>362880</v>
      </c>
      <c r="Y43" s="72">
        <f t="shared" si="5"/>
        <v>39672</v>
      </c>
      <c r="Z43" s="48">
        <f t="shared" si="6"/>
        <v>10.932539682539682</v>
      </c>
      <c r="AA43" s="49">
        <f t="shared" si="7"/>
        <v>1.1909267775026524</v>
      </c>
    </row>
    <row r="44" spans="1:27">
      <c r="A44">
        <v>37</v>
      </c>
      <c r="B44" s="30" t="s">
        <v>36</v>
      </c>
      <c r="C44" s="30" t="s">
        <v>521</v>
      </c>
      <c r="D44" s="30"/>
      <c r="E44" s="35">
        <f>2*12*D5*10</f>
        <v>12480</v>
      </c>
      <c r="F44" s="35">
        <f>32*D5*2</f>
        <v>3328</v>
      </c>
      <c r="G44" s="35">
        <f>4*D5*2</f>
        <v>416</v>
      </c>
      <c r="H44" s="35">
        <f>12*52*10/20</f>
        <v>312</v>
      </c>
      <c r="I44" s="35">
        <f>4*240*1/2</f>
        <v>480</v>
      </c>
      <c r="J44" s="35">
        <f>2*12*D5*10</f>
        <v>12480</v>
      </c>
      <c r="K44" s="30"/>
      <c r="L44" s="22"/>
      <c r="M44" s="69">
        <f>D5*12*10*14</f>
        <v>87360</v>
      </c>
      <c r="N44" s="35">
        <f t="shared" ref="N44" si="20">SUM(E44:J44)</f>
        <v>29496</v>
      </c>
      <c r="O44" s="68">
        <f t="shared" ref="O44" si="21">100*N44/M44</f>
        <v>33.763736263736263</v>
      </c>
      <c r="P44" s="30">
        <v>87360</v>
      </c>
      <c r="Q44" s="30">
        <v>29496</v>
      </c>
      <c r="R44" s="48">
        <v>33.763736263736298</v>
      </c>
      <c r="S44" s="49">
        <f t="shared" ref="S44" si="22">(1-R44/100)/(1-O44/100)</f>
        <v>0.99999999999999933</v>
      </c>
      <c r="T44" s="23">
        <f t="shared" ref="T44" si="23">P44*$E$5/$D$5</f>
        <v>178080</v>
      </c>
      <c r="U44" s="72">
        <f t="shared" ref="U44" si="24">SUM(E44:G44)*$E$5/$D$5+H44+I44+12*CEILING($E$5*2*$D$4/$E$4,1)*10</f>
        <v>46584</v>
      </c>
      <c r="V44" s="48">
        <f t="shared" ref="V44" si="25">100*U44/T44</f>
        <v>26.159029649595688</v>
      </c>
      <c r="W44" s="49">
        <f t="shared" ref="W44" si="26">(1-V44/100)/(1-R44/100)*(1-$E$6)/(1-$D$6)</f>
        <v>1.1362505184570724</v>
      </c>
      <c r="X44" s="23">
        <f t="shared" ref="X44" si="27">P44*$F$5/$D$5</f>
        <v>362880</v>
      </c>
      <c r="Y44" s="72">
        <f t="shared" ref="Y44" si="28">SUM(E44:G44)*$F$5/$D$5+H44+I44+12*CEILING($F$5*2*$D$4/$F$4,1)*10</f>
        <v>81144</v>
      </c>
      <c r="Z44" s="48">
        <f t="shared" ref="Z44" si="29">100*Y44/X44</f>
        <v>22.361111111111111</v>
      </c>
      <c r="AA44" s="49">
        <f t="shared" ref="AA44" si="30">(1-Z44/100)/(1-R44/100)*(1-$F$6)/(1-$D$6)</f>
        <v>1.2172335130651188</v>
      </c>
    </row>
    <row r="45" spans="1:27">
      <c r="B45" s="235"/>
      <c r="C45" s="212"/>
    </row>
    <row r="46" spans="1:27" ht="13.8">
      <c r="B46" s="62" t="s">
        <v>528</v>
      </c>
      <c r="C46" s="25"/>
    </row>
    <row r="47" spans="1:27" ht="13.8">
      <c r="B47" s="62" t="s">
        <v>529</v>
      </c>
      <c r="C47" s="62"/>
      <c r="D47" s="23" t="s">
        <v>497</v>
      </c>
      <c r="E47" s="23" t="s">
        <v>498</v>
      </c>
      <c r="F47" s="23" t="s">
        <v>499</v>
      </c>
    </row>
    <row r="48" spans="1:27" ht="13.8">
      <c r="B48" s="62" t="s">
        <v>500</v>
      </c>
      <c r="C48"/>
      <c r="D48" s="23">
        <v>20</v>
      </c>
      <c r="E48" s="23">
        <v>40</v>
      </c>
      <c r="F48" s="23">
        <v>100</v>
      </c>
    </row>
    <row r="49" spans="1:23" ht="13.8">
      <c r="B49" s="62" t="s">
        <v>530</v>
      </c>
      <c r="C49" s="62"/>
      <c r="D49" s="23">
        <v>106</v>
      </c>
      <c r="E49" s="23">
        <v>216</v>
      </c>
      <c r="F49" s="23" t="s">
        <v>216</v>
      </c>
    </row>
    <row r="50" spans="1:23" ht="13.8">
      <c r="B50" s="62" t="s">
        <v>665</v>
      </c>
      <c r="C50"/>
      <c r="D50" s="63">
        <v>4.5999999999999999E-2</v>
      </c>
      <c r="E50" s="63">
        <v>2.8000000000000001E-2</v>
      </c>
      <c r="F50" s="23" t="s">
        <v>216</v>
      </c>
    </row>
    <row r="51" spans="1:23" ht="40.200000000000003">
      <c r="B51" s="26"/>
      <c r="C51" s="26" t="s">
        <v>502</v>
      </c>
      <c r="D51" s="26" t="s">
        <v>531</v>
      </c>
      <c r="E51" s="26" t="s">
        <v>438</v>
      </c>
      <c r="F51" s="26" t="s">
        <v>503</v>
      </c>
      <c r="G51" s="26" t="s">
        <v>317</v>
      </c>
      <c r="H51" s="26" t="s">
        <v>450</v>
      </c>
      <c r="I51" s="26" t="s">
        <v>411</v>
      </c>
      <c r="J51" s="26" t="s">
        <v>407</v>
      </c>
      <c r="K51" s="26" t="s">
        <v>532</v>
      </c>
      <c r="L51" s="26"/>
      <c r="M51" s="43" t="s">
        <v>504</v>
      </c>
      <c r="N51" s="43" t="s">
        <v>505</v>
      </c>
      <c r="O51" s="43" t="s">
        <v>506</v>
      </c>
      <c r="P51" s="44" t="s">
        <v>507</v>
      </c>
      <c r="Q51" s="44" t="s">
        <v>508</v>
      </c>
      <c r="R51" s="54" t="s">
        <v>509</v>
      </c>
      <c r="S51" s="55" t="s">
        <v>510</v>
      </c>
      <c r="T51" s="44" t="s">
        <v>533</v>
      </c>
      <c r="U51" s="44" t="s">
        <v>534</v>
      </c>
      <c r="V51" s="54" t="s">
        <v>535</v>
      </c>
      <c r="W51" s="55" t="s">
        <v>514</v>
      </c>
    </row>
    <row r="52" spans="1:23" ht="13.8">
      <c r="A52">
        <v>1</v>
      </c>
      <c r="B52" s="37" t="s">
        <v>64</v>
      </c>
      <c r="C52" s="37" t="s">
        <v>519</v>
      </c>
      <c r="D52" s="37" t="s">
        <v>536</v>
      </c>
      <c r="E52" s="28">
        <f>24*D49*6</f>
        <v>15264</v>
      </c>
      <c r="F52" s="28">
        <f>40*D49</f>
        <v>4240</v>
      </c>
      <c r="G52" s="28">
        <f>4*D49</f>
        <v>424</v>
      </c>
      <c r="H52" s="28">
        <f>2*4*D49*1/2</f>
        <v>424</v>
      </c>
      <c r="I52" s="28">
        <f>1*4*240</f>
        <v>960</v>
      </c>
      <c r="J52" s="28">
        <f>12*8*6*6</f>
        <v>3456</v>
      </c>
      <c r="K52" s="30">
        <f>12*1*D49*2</f>
        <v>2544</v>
      </c>
      <c r="L52" s="28"/>
      <c r="M52" s="28">
        <f>D49*(12*14*4+12*6*2)</f>
        <v>86496</v>
      </c>
      <c r="N52" s="28">
        <f t="shared" ref="N52" si="31">SUM(E52:J52)</f>
        <v>24768</v>
      </c>
      <c r="O52" s="67">
        <f t="shared" ref="O52:O69" si="32">100*N52/M52</f>
        <v>28.634850166481687</v>
      </c>
      <c r="P52" s="28">
        <f>M52+K52</f>
        <v>89040</v>
      </c>
      <c r="Q52" s="28">
        <f>N52+K52+J53-J52</f>
        <v>39120</v>
      </c>
      <c r="R52" s="67">
        <f t="shared" ref="R52:R79" si="33">100*Q52/P52</f>
        <v>43.935309973045825</v>
      </c>
      <c r="S52" s="49">
        <f>(1-R52/100)/(1-O52/100)</f>
        <v>0.78560319928904687</v>
      </c>
      <c r="T52" s="23">
        <f>P52*$E$49/$D$49</f>
        <v>181440</v>
      </c>
      <c r="U52" s="72">
        <f>SUM(E52:G52,K52)*$E$49/$D$49+H52+I52+12*CEILING($E$49*2*$D$48/$E$48,1)*6</f>
        <v>62728</v>
      </c>
      <c r="V52" s="48">
        <f>100*U52/T52</f>
        <v>34.572310405643741</v>
      </c>
      <c r="W52" s="49">
        <f>(1-V52/100)/(1-R52/100)*(1-$E$50)/(1-$D$50)</f>
        <v>1.1890224358974355</v>
      </c>
    </row>
    <row r="53" spans="1:23">
      <c r="A53">
        <v>2</v>
      </c>
      <c r="B53" s="30" t="s">
        <v>537</v>
      </c>
      <c r="C53" s="30" t="s">
        <v>521</v>
      </c>
      <c r="D53" s="30" t="s">
        <v>538</v>
      </c>
      <c r="E53" s="30">
        <f>2*12*D49*6</f>
        <v>15264</v>
      </c>
      <c r="F53" s="30">
        <f>32*D49</f>
        <v>3392</v>
      </c>
      <c r="G53" s="30">
        <f>4*D49</f>
        <v>424</v>
      </c>
      <c r="H53" s="30">
        <f t="shared" ref="H53:H56" si="34">4*3*52*10/80</f>
        <v>78</v>
      </c>
      <c r="I53" s="30">
        <f t="shared" ref="I53:I58" si="35">4*240*1/2</f>
        <v>480</v>
      </c>
      <c r="J53" s="30">
        <f>2*12*D49*6</f>
        <v>15264</v>
      </c>
      <c r="K53" s="30">
        <f>12*D49</f>
        <v>1272</v>
      </c>
      <c r="L53" s="30"/>
      <c r="M53" s="30">
        <v>100488</v>
      </c>
      <c r="N53" s="30">
        <v>36174</v>
      </c>
      <c r="O53" s="48">
        <v>35.998328158586098</v>
      </c>
      <c r="P53" s="30">
        <f>12*D49*14*4+12*D49*11*2+12*D49</f>
        <v>100488</v>
      </c>
      <c r="Q53" s="30">
        <f>SUM(E53:K53)</f>
        <v>36174</v>
      </c>
      <c r="R53" s="48">
        <f t="shared" si="33"/>
        <v>35.998328158586098</v>
      </c>
      <c r="S53" s="49">
        <f t="shared" ref="S53:S79" si="36">(1-R53/100)/(1-O53/100)</f>
        <v>1</v>
      </c>
      <c r="T53" s="23">
        <f t="shared" ref="T53:T58" si="37">P53*$E$49/$D$49</f>
        <v>204768</v>
      </c>
      <c r="U53" s="72">
        <f t="shared" ref="U53:U58" si="38">SUM(E53:G53,K53)*$E$49/$D$49+H53+I53+12*CEILING($E$49*2*$D$48/$E$48,1)*6</f>
        <v>57582</v>
      </c>
      <c r="V53" s="48">
        <f t="shared" ref="V53:V58" si="39">100*U53/T53</f>
        <v>28.120604781997187</v>
      </c>
      <c r="W53" s="49">
        <f t="shared" ref="W53:W69" si="40">(1-V53/100)/(1-R53/100)*(1-$E$50)/(1-$D$50)</f>
        <v>1.1442765183319343</v>
      </c>
    </row>
    <row r="54" spans="1:23">
      <c r="A54">
        <v>3</v>
      </c>
      <c r="B54" s="30" t="s">
        <v>539</v>
      </c>
      <c r="C54" s="30" t="s">
        <v>521</v>
      </c>
      <c r="D54" s="30" t="s">
        <v>538</v>
      </c>
      <c r="E54" s="30">
        <f>2*12*D49*6</f>
        <v>15264</v>
      </c>
      <c r="F54" s="30">
        <f>40*D49</f>
        <v>4240</v>
      </c>
      <c r="G54" s="30">
        <f>4*D49</f>
        <v>424</v>
      </c>
      <c r="H54" s="30">
        <f t="shared" si="34"/>
        <v>78</v>
      </c>
      <c r="I54" s="30">
        <f t="shared" si="35"/>
        <v>480</v>
      </c>
      <c r="J54" s="30">
        <f>2*12*D49*6</f>
        <v>15264</v>
      </c>
      <c r="K54" s="30">
        <f>12*D49</f>
        <v>1272</v>
      </c>
      <c r="L54" s="30"/>
      <c r="M54" s="30">
        <v>100488</v>
      </c>
      <c r="N54" s="30">
        <v>37022</v>
      </c>
      <c r="O54" s="48">
        <v>36.842210015126199</v>
      </c>
      <c r="P54" s="30">
        <f>12*D49*14*4+12*D49*11*2+12*D49</f>
        <v>100488</v>
      </c>
      <c r="Q54" s="30">
        <f>SUM(E54:K54)</f>
        <v>37022</v>
      </c>
      <c r="R54" s="48">
        <f t="shared" si="33"/>
        <v>36.842210015126184</v>
      </c>
      <c r="S54" s="49">
        <f t="shared" si="36"/>
        <v>1.0000000000000002</v>
      </c>
      <c r="T54" s="23">
        <f t="shared" si="37"/>
        <v>204768</v>
      </c>
      <c r="U54" s="72">
        <f t="shared" si="38"/>
        <v>59310</v>
      </c>
      <c r="V54" s="48">
        <f t="shared" si="39"/>
        <v>28.96448663853727</v>
      </c>
      <c r="W54" s="49">
        <f t="shared" si="40"/>
        <v>1.1459521633630607</v>
      </c>
    </row>
    <row r="55" spans="1:23">
      <c r="A55">
        <v>4</v>
      </c>
      <c r="B55" s="30" t="s">
        <v>537</v>
      </c>
      <c r="C55" s="30" t="s">
        <v>522</v>
      </c>
      <c r="D55" s="30" t="s">
        <v>538</v>
      </c>
      <c r="E55" s="30">
        <f>16*D49*6</f>
        <v>10176</v>
      </c>
      <c r="F55" s="30">
        <f>8*D49</f>
        <v>848</v>
      </c>
      <c r="G55" s="30">
        <f>4*D49</f>
        <v>424</v>
      </c>
      <c r="H55" s="30">
        <f t="shared" si="34"/>
        <v>78</v>
      </c>
      <c r="I55" s="30">
        <f t="shared" si="35"/>
        <v>480</v>
      </c>
      <c r="J55" s="30">
        <f>2*12*D49*6</f>
        <v>15264</v>
      </c>
      <c r="K55" s="30">
        <f>12*D49</f>
        <v>1272</v>
      </c>
      <c r="L55" s="22"/>
      <c r="M55" s="30">
        <v>100488</v>
      </c>
      <c r="N55" s="30">
        <v>28542</v>
      </c>
      <c r="O55" s="48">
        <v>28.403391449725301</v>
      </c>
      <c r="P55" s="30">
        <f>12*D49*14*4+12*D49*11*2+12*D49</f>
        <v>100488</v>
      </c>
      <c r="Q55" s="30">
        <f>SUM(E55:K55)</f>
        <v>28542</v>
      </c>
      <c r="R55" s="48">
        <f t="shared" si="33"/>
        <v>28.403391449725341</v>
      </c>
      <c r="S55" s="49">
        <f t="shared" si="36"/>
        <v>0.99999999999999933</v>
      </c>
      <c r="T55" s="23">
        <f t="shared" si="37"/>
        <v>204768</v>
      </c>
      <c r="U55" s="72">
        <f t="shared" si="38"/>
        <v>42030</v>
      </c>
      <c r="V55" s="48">
        <f t="shared" si="39"/>
        <v>20.525668073136426</v>
      </c>
      <c r="W55" s="49">
        <f t="shared" si="40"/>
        <v>1.1309732299224418</v>
      </c>
    </row>
    <row r="56" spans="1:23">
      <c r="A56">
        <v>5</v>
      </c>
      <c r="B56" s="30" t="s">
        <v>539</v>
      </c>
      <c r="C56" s="30" t="s">
        <v>522</v>
      </c>
      <c r="D56" s="30" t="s">
        <v>538</v>
      </c>
      <c r="E56" s="30">
        <f>16*D49*6</f>
        <v>10176</v>
      </c>
      <c r="F56" s="30">
        <f>20*D49</f>
        <v>2120</v>
      </c>
      <c r="G56" s="30">
        <f>4*D49</f>
        <v>424</v>
      </c>
      <c r="H56" s="30">
        <f t="shared" si="34"/>
        <v>78</v>
      </c>
      <c r="I56" s="30">
        <f t="shared" si="35"/>
        <v>480</v>
      </c>
      <c r="J56" s="30">
        <f>2*12*D49*6</f>
        <v>15264</v>
      </c>
      <c r="K56" s="30">
        <f>12*D49</f>
        <v>1272</v>
      </c>
      <c r="L56" s="22"/>
      <c r="M56" s="30">
        <v>100488</v>
      </c>
      <c r="N56" s="30">
        <v>29814</v>
      </c>
      <c r="O56" s="48">
        <v>29.669214234535499</v>
      </c>
      <c r="P56" s="30">
        <f>12*D49*14*4+12*D49*11*2+12*D49</f>
        <v>100488</v>
      </c>
      <c r="Q56" s="30">
        <f>SUM(E56:K56)</f>
        <v>29814</v>
      </c>
      <c r="R56" s="48">
        <f t="shared" si="33"/>
        <v>29.669214234535467</v>
      </c>
      <c r="S56" s="49">
        <f t="shared" si="36"/>
        <v>1.0000000000000004</v>
      </c>
      <c r="T56" s="23">
        <f t="shared" si="37"/>
        <v>204768</v>
      </c>
      <c r="U56" s="72">
        <f t="shared" si="38"/>
        <v>44622</v>
      </c>
      <c r="V56" s="48">
        <f t="shared" si="39"/>
        <v>21.791490857946552</v>
      </c>
      <c r="W56" s="49">
        <f t="shared" si="40"/>
        <v>1.1329909160370151</v>
      </c>
    </row>
    <row r="57" spans="1:23" ht="13.8">
      <c r="A57">
        <v>6</v>
      </c>
      <c r="B57" s="30" t="s">
        <v>24</v>
      </c>
      <c r="C57" s="227" t="s">
        <v>884</v>
      </c>
      <c r="D57" s="30" t="s">
        <v>538</v>
      </c>
      <c r="E57" s="35">
        <f>2*12*D49*6</f>
        <v>15264</v>
      </c>
      <c r="F57" s="30">
        <f>D49*20*2</f>
        <v>4240</v>
      </c>
      <c r="G57" s="30">
        <f>4*D49</f>
        <v>424</v>
      </c>
      <c r="H57" s="30">
        <f>8*D49*10/20</f>
        <v>424</v>
      </c>
      <c r="I57" s="30">
        <f t="shared" si="35"/>
        <v>480</v>
      </c>
      <c r="J57" s="30">
        <f>2*12*D49*6</f>
        <v>15264</v>
      </c>
      <c r="K57" s="30">
        <f>12*D49</f>
        <v>1272</v>
      </c>
      <c r="L57" s="22"/>
      <c r="M57" s="30">
        <f>12*D49*14*4+12*D49*11*2</f>
        <v>99216</v>
      </c>
      <c r="N57" s="30">
        <f>SUM(E57:J57)</f>
        <v>36096</v>
      </c>
      <c r="O57" s="48">
        <f t="shared" si="32"/>
        <v>36.381228834059023</v>
      </c>
      <c r="P57" s="28">
        <f>M57+K57</f>
        <v>100488</v>
      </c>
      <c r="Q57" s="28">
        <f>N57+K57</f>
        <v>37368</v>
      </c>
      <c r="R57" s="67">
        <f t="shared" si="33"/>
        <v>37.186529734893718</v>
      </c>
      <c r="S57" s="49">
        <f t="shared" si="36"/>
        <v>0.98734177215189878</v>
      </c>
      <c r="T57" s="23">
        <f t="shared" si="37"/>
        <v>204768</v>
      </c>
      <c r="U57" s="72">
        <f t="shared" si="38"/>
        <v>59656</v>
      </c>
      <c r="V57" s="48">
        <f t="shared" si="39"/>
        <v>29.133458352867635</v>
      </c>
      <c r="W57" s="49">
        <f t="shared" si="40"/>
        <v>1.1494930291508239</v>
      </c>
    </row>
    <row r="58" spans="1:23" ht="13.8">
      <c r="A58">
        <v>7</v>
      </c>
      <c r="B58" s="30" t="s">
        <v>24</v>
      </c>
      <c r="C58" s="30" t="s">
        <v>524</v>
      </c>
      <c r="D58" s="30" t="s">
        <v>540</v>
      </c>
      <c r="E58" s="30">
        <f>2*12*D49*6</f>
        <v>15264</v>
      </c>
      <c r="F58" s="30">
        <f>D49*40*2</f>
        <v>8480</v>
      </c>
      <c r="G58" s="30">
        <f>4*D49</f>
        <v>424</v>
      </c>
      <c r="H58" s="30">
        <f>8*D49*10/20</f>
        <v>424</v>
      </c>
      <c r="I58" s="30">
        <f t="shared" si="35"/>
        <v>480</v>
      </c>
      <c r="J58" s="30">
        <f>2*12*D49*6</f>
        <v>15264</v>
      </c>
      <c r="K58" s="30">
        <f>12*D49</f>
        <v>1272</v>
      </c>
      <c r="L58" s="22"/>
      <c r="M58" s="30">
        <f>12*D49*14*4+12*D49*11*2</f>
        <v>99216</v>
      </c>
      <c r="N58" s="30">
        <f>SUM(E58:J58)</f>
        <v>40336</v>
      </c>
      <c r="O58" s="48">
        <f t="shared" si="32"/>
        <v>40.654733107563295</v>
      </c>
      <c r="P58" s="28">
        <f>M58+K58</f>
        <v>100488</v>
      </c>
      <c r="Q58" s="28">
        <f>N58+K58</f>
        <v>41608</v>
      </c>
      <c r="R58" s="67">
        <f t="shared" si="33"/>
        <v>41.405939017594143</v>
      </c>
      <c r="S58" s="49">
        <f t="shared" si="36"/>
        <v>0.98734177215189844</v>
      </c>
      <c r="T58" s="23">
        <f t="shared" si="37"/>
        <v>204768</v>
      </c>
      <c r="U58" s="72">
        <f t="shared" si="38"/>
        <v>68296</v>
      </c>
      <c r="V58" s="48">
        <f t="shared" si="39"/>
        <v>33.35286763556806</v>
      </c>
      <c r="W58" s="49">
        <f t="shared" si="40"/>
        <v>1.1588994565217392</v>
      </c>
    </row>
    <row r="59" spans="1:23" s="22" customFormat="1" ht="13.8">
      <c r="A59">
        <v>8</v>
      </c>
      <c r="B59" s="30"/>
      <c r="C59" s="30"/>
      <c r="D59" s="37"/>
      <c r="E59" s="28"/>
      <c r="F59" s="28"/>
      <c r="G59" s="28"/>
      <c r="H59" s="28"/>
      <c r="I59" s="28"/>
      <c r="J59" s="28"/>
      <c r="K59" s="30"/>
      <c r="L59" s="28"/>
      <c r="M59" s="28"/>
      <c r="N59" s="28"/>
      <c r="O59" s="67"/>
      <c r="P59" s="28"/>
      <c r="Q59" s="28"/>
      <c r="R59" s="67"/>
      <c r="S59" s="49"/>
      <c r="W59" s="49"/>
    </row>
    <row r="60" spans="1:23" s="22" customFormat="1" ht="13.8">
      <c r="A60">
        <v>9</v>
      </c>
      <c r="B60" s="30" t="s">
        <v>28</v>
      </c>
      <c r="C60" s="30" t="s">
        <v>522</v>
      </c>
      <c r="D60" s="30" t="s">
        <v>538</v>
      </c>
      <c r="E60" s="35">
        <f>8*D49*6</f>
        <v>5088</v>
      </c>
      <c r="F60" s="35">
        <f>20*D49*2</f>
        <v>4240</v>
      </c>
      <c r="G60" s="35">
        <f>4*D49*2</f>
        <v>848</v>
      </c>
      <c r="H60" s="35">
        <f>12*52*10/20</f>
        <v>312</v>
      </c>
      <c r="I60" s="35">
        <f>4*240*1/2</f>
        <v>480</v>
      </c>
      <c r="J60" s="35">
        <f>2*12*D49*6</f>
        <v>15264</v>
      </c>
      <c r="K60" s="69">
        <f>12*1*D49</f>
        <v>1272</v>
      </c>
      <c r="M60" s="69">
        <f>D49*(12*14*4+12*12*2)</f>
        <v>101760</v>
      </c>
      <c r="N60" s="35">
        <f>SUM(E60:K60)+K60</f>
        <v>28776</v>
      </c>
      <c r="O60" s="68">
        <f t="shared" si="32"/>
        <v>28.278301886792452</v>
      </c>
      <c r="P60" s="28">
        <f t="shared" ref="P60:P63" si="41">M60+K60</f>
        <v>103032</v>
      </c>
      <c r="Q60" s="28">
        <f t="shared" ref="Q60:Q62" si="42">N60+K60</f>
        <v>30048</v>
      </c>
      <c r="R60" s="67">
        <f t="shared" si="33"/>
        <v>29.163754949918474</v>
      </c>
      <c r="S60" s="49">
        <f t="shared" si="36"/>
        <v>0.98765432098765438</v>
      </c>
      <c r="T60" s="23">
        <f>P60*$E$49/$D$49</f>
        <v>209952</v>
      </c>
      <c r="U60" s="72">
        <f>SUM(E60:G60,K60)*$E$49/$D$49+H60+I60+12*CEILING($E$49*2*$D$48/$E$48,1)*6</f>
        <v>39672</v>
      </c>
      <c r="V60" s="48">
        <f>100*U60/T60</f>
        <v>18.895747599451305</v>
      </c>
      <c r="W60" s="49">
        <f t="shared" si="40"/>
        <v>1.1665570536007892</v>
      </c>
    </row>
    <row r="61" spans="1:23" s="22" customFormat="1" ht="13.8">
      <c r="A61">
        <v>10</v>
      </c>
      <c r="B61" s="30" t="s">
        <v>28</v>
      </c>
      <c r="C61" s="30" t="s">
        <v>524</v>
      </c>
      <c r="D61" s="30" t="s">
        <v>538</v>
      </c>
      <c r="E61" s="35">
        <f>8*D49*6</f>
        <v>5088</v>
      </c>
      <c r="F61" s="35">
        <f>40*D49*2</f>
        <v>8480</v>
      </c>
      <c r="G61" s="35">
        <f>4*D49*2</f>
        <v>848</v>
      </c>
      <c r="H61" s="35">
        <f>12*52*10/20</f>
        <v>312</v>
      </c>
      <c r="I61" s="35">
        <f>4*240*1/2</f>
        <v>480</v>
      </c>
      <c r="J61" s="35">
        <f>2*12*D49*6</f>
        <v>15264</v>
      </c>
      <c r="K61" s="69">
        <f>12*1*D49</f>
        <v>1272</v>
      </c>
      <c r="M61" s="69">
        <f>D49*(12*14*4+12*12*2)</f>
        <v>101760</v>
      </c>
      <c r="N61" s="35">
        <f t="shared" ref="N61:N62" si="43">SUM(E61:K61)+K61</f>
        <v>33016</v>
      </c>
      <c r="O61" s="68">
        <f t="shared" si="32"/>
        <v>32.44496855345912</v>
      </c>
      <c r="P61" s="28">
        <f t="shared" si="41"/>
        <v>103032</v>
      </c>
      <c r="Q61" s="28">
        <f t="shared" si="42"/>
        <v>34288</v>
      </c>
      <c r="R61" s="67">
        <f t="shared" si="33"/>
        <v>33.278981287367031</v>
      </c>
      <c r="S61" s="49">
        <f t="shared" si="36"/>
        <v>0.98765432098765427</v>
      </c>
      <c r="T61" s="23">
        <f t="shared" ref="T61:T63" si="44">P61*$E$49/$D$49</f>
        <v>209952</v>
      </c>
      <c r="U61" s="72">
        <f t="shared" ref="U61:U63" si="45">SUM(E61:G61,K61)*$E$49/$D$49+H61+I61+12*CEILING($E$49*2*$D$48/$E$48,1)*6</f>
        <v>48312</v>
      </c>
      <c r="V61" s="48">
        <f t="shared" ref="V61:V64" si="46">100*U61/T61</f>
        <v>23.010973936899862</v>
      </c>
      <c r="W61" s="49">
        <f t="shared" si="40"/>
        <v>1.1756662399627607</v>
      </c>
    </row>
    <row r="62" spans="1:23" s="22" customFormat="1" ht="13.8">
      <c r="A62">
        <v>11</v>
      </c>
      <c r="B62" s="30" t="s">
        <v>28</v>
      </c>
      <c r="C62" s="30" t="s">
        <v>521</v>
      </c>
      <c r="D62" s="30" t="s">
        <v>538</v>
      </c>
      <c r="E62" s="35">
        <f>8*D49*6</f>
        <v>5088</v>
      </c>
      <c r="F62" s="35">
        <f>40*D49*2</f>
        <v>8480</v>
      </c>
      <c r="G62" s="35">
        <f>4*D49*2</f>
        <v>848</v>
      </c>
      <c r="H62" s="35">
        <f>12*52*10/20</f>
        <v>312</v>
      </c>
      <c r="I62" s="35">
        <f>4*240*1/2</f>
        <v>480</v>
      </c>
      <c r="J62" s="69">
        <f>12*2*6*D49</f>
        <v>15264</v>
      </c>
      <c r="K62" s="69">
        <f>12*1*D49</f>
        <v>1272</v>
      </c>
      <c r="M62" s="69">
        <f>D49*(12*14*4+12*12*2)</f>
        <v>101760</v>
      </c>
      <c r="N62" s="35">
        <f t="shared" si="43"/>
        <v>33016</v>
      </c>
      <c r="O62" s="68">
        <f t="shared" si="32"/>
        <v>32.44496855345912</v>
      </c>
      <c r="P62" s="28">
        <f t="shared" si="41"/>
        <v>103032</v>
      </c>
      <c r="Q62" s="28">
        <f t="shared" si="42"/>
        <v>34288</v>
      </c>
      <c r="R62" s="67">
        <f t="shared" si="33"/>
        <v>33.278981287367031</v>
      </c>
      <c r="S62" s="49">
        <f t="shared" si="36"/>
        <v>0.98765432098765427</v>
      </c>
      <c r="T62" s="23">
        <f t="shared" si="44"/>
        <v>209952</v>
      </c>
      <c r="U62" s="72">
        <f t="shared" si="45"/>
        <v>48312</v>
      </c>
      <c r="V62" s="48">
        <f t="shared" si="46"/>
        <v>23.010973936899862</v>
      </c>
      <c r="W62" s="49">
        <f t="shared" si="40"/>
        <v>1.1756662399627607</v>
      </c>
    </row>
    <row r="63" spans="1:23" s="22" customFormat="1" ht="13.8">
      <c r="A63">
        <v>12</v>
      </c>
      <c r="B63" s="30" t="s">
        <v>38</v>
      </c>
      <c r="C63" s="30" t="s">
        <v>541</v>
      </c>
      <c r="D63" s="35" t="s">
        <v>536</v>
      </c>
      <c r="E63" s="30">
        <f>$D$49*(2*12*4+12*2)</f>
        <v>12720</v>
      </c>
      <c r="F63" s="30">
        <v>0</v>
      </c>
      <c r="G63" s="30">
        <v>0</v>
      </c>
      <c r="H63" s="30">
        <v>0</v>
      </c>
      <c r="I63" s="30">
        <v>0</v>
      </c>
      <c r="J63" s="30">
        <f>$D$49*(2*12*4+12*2)</f>
        <v>12720</v>
      </c>
      <c r="K63" s="30">
        <f>12*1*D49*2</f>
        <v>2544</v>
      </c>
      <c r="L63" s="30"/>
      <c r="M63" s="69">
        <f>$D$49*(12*14*4+12*6*2)</f>
        <v>86496</v>
      </c>
      <c r="N63" s="35">
        <f>SUM(E63:J63)</f>
        <v>25440</v>
      </c>
      <c r="O63" s="68">
        <f t="shared" si="32"/>
        <v>29.411764705882351</v>
      </c>
      <c r="P63" s="28">
        <f t="shared" si="41"/>
        <v>89040</v>
      </c>
      <c r="Q63" s="28">
        <f>N63+K63+J62-J63</f>
        <v>30528</v>
      </c>
      <c r="R63" s="67">
        <f t="shared" si="33"/>
        <v>34.285714285714285</v>
      </c>
      <c r="S63" s="49">
        <f t="shared" si="36"/>
        <v>0.93095238095238109</v>
      </c>
      <c r="T63" s="23">
        <f t="shared" si="44"/>
        <v>181440</v>
      </c>
      <c r="U63" s="72">
        <f t="shared" si="45"/>
        <v>46656</v>
      </c>
      <c r="V63" s="48">
        <f t="shared" si="46"/>
        <v>25.714285714285715</v>
      </c>
      <c r="W63" s="49">
        <f t="shared" si="40"/>
        <v>1.1517637407711241</v>
      </c>
    </row>
    <row r="64" spans="1:23" s="22" customFormat="1">
      <c r="A64">
        <v>13</v>
      </c>
      <c r="B64" s="30" t="s">
        <v>542</v>
      </c>
      <c r="C64" s="30"/>
      <c r="D64" s="30" t="s">
        <v>96</v>
      </c>
      <c r="E64" s="30"/>
      <c r="F64" s="30"/>
      <c r="G64" s="30"/>
      <c r="H64" s="30"/>
      <c r="I64" s="30"/>
      <c r="J64" s="30"/>
      <c r="K64" s="30">
        <v>0</v>
      </c>
      <c r="M64" s="30">
        <f>1200*14*10</f>
        <v>168000</v>
      </c>
      <c r="N64" s="30">
        <f>1200*5*10</f>
        <v>60000</v>
      </c>
      <c r="O64" s="47">
        <f t="shared" si="32"/>
        <v>35.714285714285715</v>
      </c>
      <c r="P64" s="30">
        <f>1200*14*10</f>
        <v>168000</v>
      </c>
      <c r="Q64" s="30">
        <f>1200*5*10</f>
        <v>60000</v>
      </c>
      <c r="R64" s="48">
        <f t="shared" si="33"/>
        <v>35.714285714285715</v>
      </c>
      <c r="S64" s="49">
        <f t="shared" si="36"/>
        <v>1</v>
      </c>
      <c r="T64" s="23">
        <f>P64*$E$49/100</f>
        <v>362880</v>
      </c>
      <c r="U64" s="72">
        <f>(Q64-100*12*2*10)*$E$49/100+12*CEILING($E$49*2*$D$48/$E$48,1)*10</f>
        <v>103680</v>
      </c>
      <c r="V64" s="48">
        <f t="shared" si="46"/>
        <v>28.571428571428573</v>
      </c>
      <c r="W64" s="49">
        <f>(1-V64/100)/(1-R64/100)*(1-$E$50)/(1-0.1)</f>
        <v>1.2</v>
      </c>
    </row>
    <row r="65" spans="1:23" s="22" customFormat="1">
      <c r="A65">
        <v>14</v>
      </c>
      <c r="B65" s="30" t="s">
        <v>5</v>
      </c>
      <c r="C65" s="30" t="s">
        <v>522</v>
      </c>
      <c r="D65" s="246" t="s">
        <v>895</v>
      </c>
      <c r="E65" s="30">
        <v>8828</v>
      </c>
      <c r="F65" s="30">
        <f>8*D49*2</f>
        <v>1696</v>
      </c>
      <c r="G65" s="30">
        <f>4*D49*2</f>
        <v>848</v>
      </c>
      <c r="H65" s="30">
        <f>4*3*52*10/20</f>
        <v>312</v>
      </c>
      <c r="I65" s="30">
        <f>4*240*1/2</f>
        <v>480</v>
      </c>
      <c r="J65" s="69">
        <f>12*2*8*D49</f>
        <v>20352</v>
      </c>
      <c r="K65" s="69">
        <f>12*2*D49</f>
        <v>2544</v>
      </c>
      <c r="L65" s="30"/>
      <c r="M65" s="69">
        <f>D49*(12*14*6+12*12*2)</f>
        <v>137376</v>
      </c>
      <c r="N65" s="35">
        <f>SUM(E65:J65)+K65*2</f>
        <v>37604</v>
      </c>
      <c r="O65" s="68">
        <f t="shared" si="32"/>
        <v>27.373049149778709</v>
      </c>
      <c r="P65" s="69">
        <f>D49*(12*14*6+12*11*2)</f>
        <v>134832</v>
      </c>
      <c r="Q65" s="35">
        <f>SUM(E65:K65)</f>
        <v>35060</v>
      </c>
      <c r="R65" s="68">
        <f t="shared" si="33"/>
        <v>26.002729322416045</v>
      </c>
      <c r="S65" s="49">
        <f t="shared" si="36"/>
        <v>1.0188679245283019</v>
      </c>
      <c r="T65" s="23">
        <f t="shared" ref="T65" si="47">P65*$E$49/$D$49</f>
        <v>274752</v>
      </c>
      <c r="U65" s="72">
        <f>SUM(E65:G65,K65)*$E$49/$D$49+H65+I65+12*CEILING($E$49*2*$D$48/$E$48,1)*8</f>
        <v>49885.132075471702</v>
      </c>
      <c r="V65" s="48">
        <f t="shared" ref="V65" si="48">100*U65/T65</f>
        <v>18.15642181875717</v>
      </c>
      <c r="W65" s="49">
        <f t="shared" si="40"/>
        <v>1.1269036800130714</v>
      </c>
    </row>
    <row r="66" spans="1:23" s="22" customFormat="1">
      <c r="A66">
        <v>15</v>
      </c>
      <c r="B66" s="30" t="s">
        <v>5</v>
      </c>
      <c r="C66" s="30" t="s">
        <v>523</v>
      </c>
      <c r="D66" s="41" t="s">
        <v>543</v>
      </c>
      <c r="E66" s="30">
        <v>10408</v>
      </c>
      <c r="F66" s="30">
        <f>16*D49*2</f>
        <v>3392</v>
      </c>
      <c r="G66" s="30">
        <f>4*D49*2</f>
        <v>848</v>
      </c>
      <c r="H66" s="30">
        <f>4*3*D49*10/20</f>
        <v>636</v>
      </c>
      <c r="I66" s="30">
        <f>4*240*1/2</f>
        <v>480</v>
      </c>
      <c r="J66" s="69">
        <f>12*2*8*D49</f>
        <v>20352</v>
      </c>
      <c r="K66" s="69">
        <f>12*2*D49</f>
        <v>2544</v>
      </c>
      <c r="L66" s="30"/>
      <c r="M66" s="69">
        <f>D49*(12*14*6+12*12*2)</f>
        <v>137376</v>
      </c>
      <c r="N66" s="35">
        <f>SUM(E66:J66)+K66*2</f>
        <v>41204</v>
      </c>
      <c r="O66" s="68">
        <f t="shared" si="32"/>
        <v>29.99359422315397</v>
      </c>
      <c r="P66" s="69">
        <f>D49*(12*14*6+12*11*2)</f>
        <v>134832</v>
      </c>
      <c r="Q66" s="35">
        <f>SUM(E66:K66)</f>
        <v>38660</v>
      </c>
      <c r="R66" s="68">
        <f t="shared" si="33"/>
        <v>28.672718642458765</v>
      </c>
      <c r="S66" s="49">
        <f t="shared" si="36"/>
        <v>1.0188679245283019</v>
      </c>
      <c r="T66" s="23">
        <f t="shared" ref="T66:T69" si="49">P66*$E$49/$D$49</f>
        <v>274752</v>
      </c>
      <c r="U66" s="72">
        <f t="shared" ref="U66:U69" si="50">SUM(E66:G66,K66)*$E$49/$D$49+H66+I66+12*CEILING($E$49*2*$D$48/$E$48,1)*8</f>
        <v>56884.75471698113</v>
      </c>
      <c r="V66" s="48">
        <f t="shared" ref="V66:V79" si="51">100*U66/T66</f>
        <v>20.704036628297931</v>
      </c>
      <c r="W66" s="49">
        <f t="shared" si="40"/>
        <v>1.1326958225004105</v>
      </c>
    </row>
    <row r="67" spans="1:23" s="22" customFormat="1">
      <c r="A67">
        <v>14</v>
      </c>
      <c r="B67" s="30" t="s">
        <v>5</v>
      </c>
      <c r="C67" s="30" t="s">
        <v>521</v>
      </c>
      <c r="D67" s="41" t="s">
        <v>543</v>
      </c>
      <c r="E67" s="30">
        <v>15564</v>
      </c>
      <c r="F67" s="30">
        <f>32*D49*2</f>
        <v>6784</v>
      </c>
      <c r="G67" s="30">
        <f>4*D49*2</f>
        <v>848</v>
      </c>
      <c r="H67" s="30">
        <f>4*3*52*10/20</f>
        <v>312</v>
      </c>
      <c r="I67" s="30">
        <f>4*240*1/2</f>
        <v>480</v>
      </c>
      <c r="J67" s="69">
        <f>12*2*8*D49</f>
        <v>20352</v>
      </c>
      <c r="K67" s="69">
        <f>12*2*D49</f>
        <v>2544</v>
      </c>
      <c r="L67" s="30"/>
      <c r="M67" s="69">
        <f>D49*(12*14*6+12*12*2)</f>
        <v>137376</v>
      </c>
      <c r="N67" s="35">
        <f>SUM(E67:J67)+K67*2</f>
        <v>49428</v>
      </c>
      <c r="O67" s="68">
        <f t="shared" si="32"/>
        <v>35.980083857442345</v>
      </c>
      <c r="P67" s="69">
        <f>D49*(12*14*6+12*11*2)</f>
        <v>134832</v>
      </c>
      <c r="Q67" s="35">
        <f>SUM(E67:K67)</f>
        <v>46884</v>
      </c>
      <c r="R67" s="68">
        <f t="shared" si="33"/>
        <v>34.772160911356352</v>
      </c>
      <c r="S67" s="49">
        <f t="shared" si="36"/>
        <v>1.0188679245283019</v>
      </c>
      <c r="T67" s="23">
        <f t="shared" si="49"/>
        <v>274752</v>
      </c>
      <c r="U67" s="72">
        <f t="shared" si="50"/>
        <v>73979.320754716988</v>
      </c>
      <c r="V67" s="48">
        <f t="shared" si="51"/>
        <v>26.925853407697485</v>
      </c>
      <c r="W67" s="49">
        <f t="shared" si="40"/>
        <v>1.1414283397307672</v>
      </c>
    </row>
    <row r="68" spans="1:23" s="22" customFormat="1">
      <c r="A68">
        <v>15</v>
      </c>
      <c r="B68" s="30" t="s">
        <v>5</v>
      </c>
      <c r="C68" s="30" t="s">
        <v>524</v>
      </c>
      <c r="D68" s="41" t="s">
        <v>543</v>
      </c>
      <c r="E68" s="30">
        <v>9114</v>
      </c>
      <c r="F68" s="30">
        <f>8*D49*2</f>
        <v>1696</v>
      </c>
      <c r="G68" s="30">
        <f>4*D49*2</f>
        <v>848</v>
      </c>
      <c r="H68" s="30">
        <f>4*3*52*10/20</f>
        <v>312</v>
      </c>
      <c r="I68" s="30">
        <f>4*240*1/2</f>
        <v>480</v>
      </c>
      <c r="J68" s="69">
        <f>12*2*8*D49</f>
        <v>20352</v>
      </c>
      <c r="K68" s="69">
        <f>12*2*D49</f>
        <v>2544</v>
      </c>
      <c r="L68" s="30"/>
      <c r="M68" s="69">
        <f>D49*(12*14*6+12*12*2)</f>
        <v>137376</v>
      </c>
      <c r="N68" s="35">
        <f>SUM(E68:J68)+K68*2</f>
        <v>37890</v>
      </c>
      <c r="O68" s="68">
        <f t="shared" si="32"/>
        <v>27.581236897274632</v>
      </c>
      <c r="P68" s="69">
        <f>D49*(12*14*6+12*11*2)</f>
        <v>134832</v>
      </c>
      <c r="Q68" s="35">
        <f>SUM(E68:K68)</f>
        <v>35346</v>
      </c>
      <c r="R68" s="68">
        <f t="shared" si="33"/>
        <v>26.214845140619438</v>
      </c>
      <c r="S68" s="49">
        <f t="shared" si="36"/>
        <v>1.0188679245283019</v>
      </c>
      <c r="T68" s="23">
        <f t="shared" si="49"/>
        <v>274752</v>
      </c>
      <c r="U68" s="72">
        <f t="shared" si="50"/>
        <v>50467.924528301883</v>
      </c>
      <c r="V68" s="48">
        <f t="shared" si="51"/>
        <v>18.368537636960561</v>
      </c>
      <c r="W68" s="49">
        <f t="shared" si="40"/>
        <v>1.127214258647941</v>
      </c>
    </row>
    <row r="69" spans="1:23" s="22" customFormat="1">
      <c r="A69">
        <v>14</v>
      </c>
      <c r="B69" s="30" t="s">
        <v>5</v>
      </c>
      <c r="C69" s="30" t="s">
        <v>525</v>
      </c>
      <c r="D69" s="41" t="s">
        <v>543</v>
      </c>
      <c r="E69" s="30">
        <v>9982</v>
      </c>
      <c r="F69" s="30">
        <f>16*D49*2</f>
        <v>3392</v>
      </c>
      <c r="G69" s="30">
        <f>4*D49*2</f>
        <v>848</v>
      </c>
      <c r="H69" s="30">
        <f>4*3*52*10/20</f>
        <v>312</v>
      </c>
      <c r="I69" s="30">
        <f>4*240*1/2</f>
        <v>480</v>
      </c>
      <c r="J69" s="69">
        <f>12*2*8*D49</f>
        <v>20352</v>
      </c>
      <c r="K69" s="69">
        <f>12*2*D49</f>
        <v>2544</v>
      </c>
      <c r="L69" s="30"/>
      <c r="M69" s="69">
        <f>D49*(12*14*6+12*12*2)</f>
        <v>137376</v>
      </c>
      <c r="N69" s="35">
        <f>SUM(E69:J69)+K69*2</f>
        <v>40454</v>
      </c>
      <c r="O69" s="68">
        <f t="shared" si="32"/>
        <v>29.447647332867458</v>
      </c>
      <c r="P69" s="69">
        <f>D49*(12*14*6+12*11*2)</f>
        <v>134832</v>
      </c>
      <c r="Q69" s="35">
        <f>SUM(E69:K69)</f>
        <v>37910</v>
      </c>
      <c r="R69" s="68">
        <f t="shared" si="33"/>
        <v>28.116470867449863</v>
      </c>
      <c r="S69" s="49">
        <f t="shared" si="36"/>
        <v>1.0188679245283021</v>
      </c>
      <c r="T69" s="23">
        <f t="shared" si="49"/>
        <v>274752</v>
      </c>
      <c r="U69" s="72">
        <f t="shared" si="50"/>
        <v>55692.67924528302</v>
      </c>
      <c r="V69" s="48">
        <f t="shared" si="51"/>
        <v>20.270163363790989</v>
      </c>
      <c r="W69" s="49">
        <f t="shared" si="40"/>
        <v>1.1300804809780904</v>
      </c>
    </row>
    <row r="70" spans="1:23" s="22" customFormat="1">
      <c r="A70">
        <v>16</v>
      </c>
      <c r="B70" s="30" t="s">
        <v>542</v>
      </c>
      <c r="C70" s="30"/>
      <c r="D70" s="41" t="s">
        <v>543</v>
      </c>
      <c r="E70" s="30"/>
      <c r="F70" s="30"/>
      <c r="G70" s="30"/>
      <c r="H70" s="30"/>
      <c r="I70" s="30"/>
      <c r="J70" s="30"/>
      <c r="K70" s="69">
        <f>12*2*100</f>
        <v>2400</v>
      </c>
      <c r="M70" s="69">
        <f>100*(12*14*6+12*10*2)</f>
        <v>124800</v>
      </c>
      <c r="N70" s="30">
        <f>1200*5*8</f>
        <v>48000</v>
      </c>
      <c r="O70" s="47">
        <f>100*N70/M70</f>
        <v>38.46153846153846</v>
      </c>
      <c r="P70" s="69">
        <f>100*(12*14*6+12*10*2)+K70</f>
        <v>127200</v>
      </c>
      <c r="Q70" s="30">
        <f>1200*5*8+K70</f>
        <v>50400</v>
      </c>
      <c r="R70" s="48">
        <f t="shared" si="33"/>
        <v>39.622641509433961</v>
      </c>
      <c r="S70" s="49">
        <f t="shared" si="36"/>
        <v>0.98113207547169823</v>
      </c>
      <c r="T70" s="23">
        <f>P70*$E$49/100</f>
        <v>274752</v>
      </c>
      <c r="U70" s="72">
        <f>(Q70-100*12*2*8)*$E$49/100+12*CEILING($E$49*2*$D$48/$E$48,1)*8</f>
        <v>88128</v>
      </c>
      <c r="V70" s="48">
        <f t="shared" si="51"/>
        <v>32.075471698113205</v>
      </c>
      <c r="W70" s="49">
        <f>(1-V70/100)/(1-R70/100)*(1-$E$50)/(1-0.1)</f>
        <v>1.2149999999999999</v>
      </c>
    </row>
    <row r="71" spans="1:23" s="295" customFormat="1">
      <c r="A71">
        <v>17</v>
      </c>
      <c r="B71" s="290" t="s">
        <v>828</v>
      </c>
      <c r="C71" s="290" t="s">
        <v>825</v>
      </c>
      <c r="D71" s="290" t="s">
        <v>896</v>
      </c>
      <c r="E71" s="290">
        <f>$D$49*12*6</f>
        <v>7632</v>
      </c>
      <c r="F71" s="290">
        <f>8*$D$49*2</f>
        <v>1696</v>
      </c>
      <c r="G71" s="290"/>
      <c r="H71" s="290">
        <f t="shared" ref="H71:H76" si="52">12*52*10/20</f>
        <v>312</v>
      </c>
      <c r="I71" s="290">
        <f t="shared" ref="I71:I76" si="53">4*240*1/2</f>
        <v>480</v>
      </c>
      <c r="J71" s="290">
        <f>2*12*$D$49*6</f>
        <v>15264</v>
      </c>
      <c r="K71" s="291">
        <f>12*$D$49</f>
        <v>1272</v>
      </c>
      <c r="M71" s="291">
        <f>$D$49*(12*14*6)</f>
        <v>106848</v>
      </c>
      <c r="N71" s="290">
        <f>SUM(E71:K71)</f>
        <v>26656</v>
      </c>
      <c r="O71" s="296">
        <f>100*N71/M71</f>
        <v>24.947589098532493</v>
      </c>
      <c r="P71" s="291">
        <f>$D$49*(12*14*6)</f>
        <v>106848</v>
      </c>
      <c r="Q71" s="290">
        <f>SUM(E71:K71)</f>
        <v>26656</v>
      </c>
      <c r="R71" s="292">
        <f t="shared" si="33"/>
        <v>24.947589098532493</v>
      </c>
      <c r="S71" s="293">
        <f t="shared" si="36"/>
        <v>1</v>
      </c>
      <c r="T71" s="238">
        <f t="shared" ref="T71:T79" si="54">P71*$E$49/$D$49</f>
        <v>217728</v>
      </c>
      <c r="U71" s="294">
        <f t="shared" ref="U71" si="55">SUM(E71:G71,K71)*$E$49/$D$49+H71+I71+12*CEILING($E$49*2*$D$48/$E$48,1)*6</f>
        <v>37944</v>
      </c>
      <c r="V71" s="292">
        <f t="shared" si="51"/>
        <v>17.427248677248677</v>
      </c>
      <c r="W71" s="293">
        <f t="shared" ref="W71:W76" si="56">(1-V71/100)/(1-R71/100)*(1-$E$50)/(1-$D$50)</f>
        <v>1.1209596967278532</v>
      </c>
    </row>
    <row r="72" spans="1:23" s="295" customFormat="1">
      <c r="A72">
        <v>18</v>
      </c>
      <c r="B72" s="290" t="s">
        <v>828</v>
      </c>
      <c r="C72" s="290" t="s">
        <v>825</v>
      </c>
      <c r="D72" s="290" t="s">
        <v>824</v>
      </c>
      <c r="E72" s="290">
        <f>$D$49*12*8</f>
        <v>10176</v>
      </c>
      <c r="F72" s="290">
        <f>8*$D$49*2</f>
        <v>1696</v>
      </c>
      <c r="G72" s="290"/>
      <c r="H72" s="290">
        <f t="shared" si="52"/>
        <v>312</v>
      </c>
      <c r="I72" s="290">
        <f t="shared" si="53"/>
        <v>480</v>
      </c>
      <c r="J72" s="290">
        <f>2*12*$D$49*8</f>
        <v>20352</v>
      </c>
      <c r="K72" s="291">
        <f>12*$D$49*2</f>
        <v>2544</v>
      </c>
      <c r="M72" s="291">
        <f>$D$49*(12*14*8)</f>
        <v>142464</v>
      </c>
      <c r="N72" s="290">
        <f>SUM(E72:K72)</f>
        <v>35560</v>
      </c>
      <c r="O72" s="296">
        <f t="shared" ref="O72:O79" si="57">100*N72/M72</f>
        <v>24.960691823899371</v>
      </c>
      <c r="P72" s="291">
        <f>$D$49*(12*14*8)</f>
        <v>142464</v>
      </c>
      <c r="Q72" s="290">
        <f>SUM(E72:K72)</f>
        <v>35560</v>
      </c>
      <c r="R72" s="292">
        <f t="shared" si="33"/>
        <v>24.960691823899371</v>
      </c>
      <c r="S72" s="293">
        <f t="shared" si="36"/>
        <v>1</v>
      </c>
      <c r="T72" s="238">
        <f t="shared" si="54"/>
        <v>290304</v>
      </c>
      <c r="U72" s="294">
        <f>SUM(E72:G72,K72)*$E$49/$D$49+H72+I72+12*CEILING($E$49*2*$D$48/$E$48,1)*8</f>
        <v>50904</v>
      </c>
      <c r="V72" s="292">
        <f t="shared" si="51"/>
        <v>17.534722222222221</v>
      </c>
      <c r="W72" s="293">
        <f t="shared" si="56"/>
        <v>1.1196961760083814</v>
      </c>
    </row>
    <row r="73" spans="1:23" s="295" customFormat="1">
      <c r="A73">
        <v>19</v>
      </c>
      <c r="B73" s="290" t="s">
        <v>828</v>
      </c>
      <c r="C73" s="290" t="s">
        <v>826</v>
      </c>
      <c r="D73" s="290" t="s">
        <v>823</v>
      </c>
      <c r="E73" s="290">
        <f>$D$49*12*6</f>
        <v>7632</v>
      </c>
      <c r="F73" s="290">
        <f>16*$D$49*2</f>
        <v>3392</v>
      </c>
      <c r="G73" s="290"/>
      <c r="H73" s="290">
        <f t="shared" si="52"/>
        <v>312</v>
      </c>
      <c r="I73" s="290">
        <f t="shared" si="53"/>
        <v>480</v>
      </c>
      <c r="J73" s="290">
        <f t="shared" ref="J73" si="58">2*12*$D$49*6</f>
        <v>15264</v>
      </c>
      <c r="K73" s="291">
        <f t="shared" ref="K73" si="59">12*$D$49</f>
        <v>1272</v>
      </c>
      <c r="L73" s="290"/>
      <c r="M73" s="291">
        <f t="shared" ref="M73" si="60">$D$49*(12*14*6)</f>
        <v>106848</v>
      </c>
      <c r="N73" s="290">
        <f t="shared" ref="N73:N76" si="61">SUM(E73:K73)</f>
        <v>28352</v>
      </c>
      <c r="O73" s="296">
        <f t="shared" si="57"/>
        <v>26.534890685834082</v>
      </c>
      <c r="P73" s="291">
        <f>$D$49*(12*14*6)</f>
        <v>106848</v>
      </c>
      <c r="Q73" s="290">
        <f>SUM(E73:K73)</f>
        <v>28352</v>
      </c>
      <c r="R73" s="292">
        <f t="shared" si="33"/>
        <v>26.534890685834082</v>
      </c>
      <c r="S73" s="292">
        <f t="shared" si="36"/>
        <v>1</v>
      </c>
      <c r="T73" s="236">
        <f t="shared" si="54"/>
        <v>217728</v>
      </c>
      <c r="U73" s="297">
        <f>SUM(E73:G73,K73)*$E$49/$D$49+H73+I73+12*CEILING($E$49*2*$D$48/$E$48,1)*6</f>
        <v>41400</v>
      </c>
      <c r="V73" s="292">
        <f t="shared" si="51"/>
        <v>19.014550264550266</v>
      </c>
      <c r="W73" s="293">
        <f t="shared" si="56"/>
        <v>1.1231655116184265</v>
      </c>
    </row>
    <row r="74" spans="1:23" s="295" customFormat="1">
      <c r="A74">
        <v>20</v>
      </c>
      <c r="B74" s="290" t="s">
        <v>828</v>
      </c>
      <c r="C74" s="290" t="s">
        <v>826</v>
      </c>
      <c r="D74" s="290" t="s">
        <v>824</v>
      </c>
      <c r="E74" s="290">
        <f>$D$49*12*8</f>
        <v>10176</v>
      </c>
      <c r="F74" s="290">
        <f>16*$D$49*2</f>
        <v>3392</v>
      </c>
      <c r="G74" s="290"/>
      <c r="H74" s="290">
        <f t="shared" si="52"/>
        <v>312</v>
      </c>
      <c r="I74" s="290">
        <f t="shared" si="53"/>
        <v>480</v>
      </c>
      <c r="J74" s="290">
        <f>2*12*$D$49*8</f>
        <v>20352</v>
      </c>
      <c r="K74" s="291">
        <f>12*$D$49*2</f>
        <v>2544</v>
      </c>
      <c r="L74" s="290"/>
      <c r="M74" s="291">
        <f>$D$49*(12*14*8)</f>
        <v>142464</v>
      </c>
      <c r="N74" s="290">
        <f t="shared" si="61"/>
        <v>37256</v>
      </c>
      <c r="O74" s="296">
        <f t="shared" si="57"/>
        <v>26.15116801437556</v>
      </c>
      <c r="P74" s="291">
        <f t="shared" ref="P74:P76" si="62">$D$49*(12*14*8)</f>
        <v>142464</v>
      </c>
      <c r="Q74" s="290">
        <f>SUM(E74:K74)</f>
        <v>37256</v>
      </c>
      <c r="R74" s="292">
        <f t="shared" si="33"/>
        <v>26.15116801437556</v>
      </c>
      <c r="S74" s="292">
        <f t="shared" si="36"/>
        <v>1</v>
      </c>
      <c r="T74" s="236">
        <f t="shared" si="54"/>
        <v>290304</v>
      </c>
      <c r="U74" s="297">
        <f t="shared" ref="U74:U79" si="63">SUM(E74:G74,K74)*$E$49/$D$49+H74+I74+12*CEILING($E$49*2*$D$48/$E$48,1)*8</f>
        <v>54360</v>
      </c>
      <c r="V74" s="292">
        <f t="shared" si="51"/>
        <v>18.725198412698411</v>
      </c>
      <c r="W74" s="293">
        <f t="shared" si="56"/>
        <v>1.121321572503992</v>
      </c>
    </row>
    <row r="75" spans="1:23" s="295" customFormat="1">
      <c r="A75">
        <v>21</v>
      </c>
      <c r="B75" s="290" t="s">
        <v>828</v>
      </c>
      <c r="C75" s="290" t="s">
        <v>827</v>
      </c>
      <c r="D75" s="290" t="s">
        <v>823</v>
      </c>
      <c r="E75" s="290">
        <f>$D$49*12*6</f>
        <v>7632</v>
      </c>
      <c r="F75" s="290">
        <f>8*$D$49*2</f>
        <v>1696</v>
      </c>
      <c r="G75" s="290"/>
      <c r="H75" s="290">
        <f t="shared" si="52"/>
        <v>312</v>
      </c>
      <c r="I75" s="290">
        <f t="shared" si="53"/>
        <v>480</v>
      </c>
      <c r="J75" s="290">
        <f t="shared" ref="J75" si="64">2*12*$D$49*6</f>
        <v>15264</v>
      </c>
      <c r="K75" s="291">
        <f t="shared" ref="K75" si="65">12*$D$49</f>
        <v>1272</v>
      </c>
      <c r="L75" s="290"/>
      <c r="M75" s="291">
        <f t="shared" ref="M75" si="66">$D$49*(12*14*6)</f>
        <v>106848</v>
      </c>
      <c r="N75" s="290">
        <f t="shared" si="61"/>
        <v>26656</v>
      </c>
      <c r="O75" s="296">
        <f t="shared" si="57"/>
        <v>24.947589098532493</v>
      </c>
      <c r="P75" s="291">
        <f>$D$49*(12*14*6)</f>
        <v>106848</v>
      </c>
      <c r="Q75" s="290">
        <f t="shared" ref="Q75:Q78" si="67">SUM(E75:K75)</f>
        <v>26656</v>
      </c>
      <c r="R75" s="292">
        <f t="shared" si="33"/>
        <v>24.947589098532493</v>
      </c>
      <c r="S75" s="292">
        <f t="shared" si="36"/>
        <v>1</v>
      </c>
      <c r="T75" s="236">
        <f t="shared" si="54"/>
        <v>217728</v>
      </c>
      <c r="U75" s="297">
        <f>SUM(E75:G75,K75)*$E$49/$D$49+H75+I75+12*CEILING($E$49*2*$D$48/$E$48,1)*6</f>
        <v>37944</v>
      </c>
      <c r="V75" s="292">
        <f t="shared" si="51"/>
        <v>17.427248677248677</v>
      </c>
      <c r="W75" s="293">
        <f t="shared" si="56"/>
        <v>1.1209596967278532</v>
      </c>
    </row>
    <row r="76" spans="1:23" s="295" customFormat="1">
      <c r="A76">
        <v>22</v>
      </c>
      <c r="B76" s="290" t="s">
        <v>828</v>
      </c>
      <c r="C76" s="290" t="s">
        <v>827</v>
      </c>
      <c r="D76" s="290" t="s">
        <v>824</v>
      </c>
      <c r="E76" s="290">
        <f>$D$49*12*8</f>
        <v>10176</v>
      </c>
      <c r="F76" s="290">
        <f>8*$D$49*2</f>
        <v>1696</v>
      </c>
      <c r="G76" s="290"/>
      <c r="H76" s="290">
        <f t="shared" si="52"/>
        <v>312</v>
      </c>
      <c r="I76" s="290">
        <f t="shared" si="53"/>
        <v>480</v>
      </c>
      <c r="J76" s="290">
        <f>2*12*$D$49*8</f>
        <v>20352</v>
      </c>
      <c r="K76" s="291">
        <f>12*$D$49*2</f>
        <v>2544</v>
      </c>
      <c r="L76" s="290"/>
      <c r="M76" s="291">
        <f>$D$49*(12*14*8)</f>
        <v>142464</v>
      </c>
      <c r="N76" s="290">
        <f t="shared" si="61"/>
        <v>35560</v>
      </c>
      <c r="O76" s="296">
        <f t="shared" si="57"/>
        <v>24.960691823899371</v>
      </c>
      <c r="P76" s="291">
        <f t="shared" si="62"/>
        <v>142464</v>
      </c>
      <c r="Q76" s="290">
        <f t="shared" si="67"/>
        <v>35560</v>
      </c>
      <c r="R76" s="292">
        <f t="shared" si="33"/>
        <v>24.960691823899371</v>
      </c>
      <c r="S76" s="292">
        <f t="shared" si="36"/>
        <v>1</v>
      </c>
      <c r="T76" s="236">
        <f t="shared" si="54"/>
        <v>290304</v>
      </c>
      <c r="U76" s="297">
        <f t="shared" si="63"/>
        <v>50904</v>
      </c>
      <c r="V76" s="292">
        <f t="shared" si="51"/>
        <v>17.534722222222221</v>
      </c>
      <c r="W76" s="293">
        <f t="shared" si="56"/>
        <v>1.1196961760083814</v>
      </c>
    </row>
    <row r="77" spans="1:23" s="295" customFormat="1">
      <c r="A77">
        <v>23</v>
      </c>
      <c r="B77" s="290" t="s">
        <v>883</v>
      </c>
      <c r="C77" s="290" t="s">
        <v>522</v>
      </c>
      <c r="D77" s="290" t="s">
        <v>898</v>
      </c>
      <c r="E77" s="290">
        <f>D49*8*8</f>
        <v>6784</v>
      </c>
      <c r="F77" s="236">
        <f>20*D49*2</f>
        <v>4240</v>
      </c>
      <c r="G77" s="290">
        <f>4*$D$49*2</f>
        <v>848</v>
      </c>
      <c r="H77" s="236">
        <f>3*4*$D$49*10/20</f>
        <v>636</v>
      </c>
      <c r="I77" s="290">
        <f>4*240*1/2</f>
        <v>480</v>
      </c>
      <c r="J77" s="290">
        <f t="shared" ref="J77:J79" si="68">2*12*$D$49*8</f>
        <v>20352</v>
      </c>
      <c r="K77" s="291">
        <f t="shared" ref="K77:K79" si="69">12*$D$49*2</f>
        <v>2544</v>
      </c>
      <c r="L77" s="290"/>
      <c r="M77" s="291">
        <f>D49*(12*14*6+12*10*2)</f>
        <v>132288</v>
      </c>
      <c r="N77" s="290">
        <f t="shared" ref="N77:N78" si="70">SUM(E77:J77)</f>
        <v>33340</v>
      </c>
      <c r="O77" s="296">
        <f t="shared" si="57"/>
        <v>25.202588292210933</v>
      </c>
      <c r="P77" s="291">
        <f t="shared" ref="P77:P78" si="71">$D$49*(12*14*6+12*11*2)</f>
        <v>134832</v>
      </c>
      <c r="Q77" s="290">
        <f t="shared" si="67"/>
        <v>35884</v>
      </c>
      <c r="R77" s="292">
        <f t="shared" si="33"/>
        <v>26.613860211225823</v>
      </c>
      <c r="S77" s="292">
        <f t="shared" si="36"/>
        <v>0.98113207547169812</v>
      </c>
      <c r="T77" s="236">
        <f t="shared" si="54"/>
        <v>274752</v>
      </c>
      <c r="U77" s="297">
        <f t="shared" si="63"/>
        <v>51228</v>
      </c>
      <c r="V77" s="292">
        <f t="shared" si="51"/>
        <v>18.64517819706499</v>
      </c>
      <c r="W77" s="293">
        <f t="shared" ref="W77:W79" si="72">(1-V77/100)/(1-R77/100)*(1-$E$50)/(1-$D$50)</f>
        <v>1.1295023648785223</v>
      </c>
    </row>
    <row r="78" spans="1:23" s="295" customFormat="1">
      <c r="A78">
        <v>24</v>
      </c>
      <c r="B78" s="290" t="s">
        <v>883</v>
      </c>
      <c r="C78" s="290" t="s">
        <v>681</v>
      </c>
      <c r="D78" s="290" t="s">
        <v>898</v>
      </c>
      <c r="E78" s="290">
        <f>D49*8*8</f>
        <v>6784</v>
      </c>
      <c r="F78" s="236">
        <f>40*D49*2</f>
        <v>8480</v>
      </c>
      <c r="G78" s="290">
        <f t="shared" ref="G78:G79" si="73">4*$D$49*2</f>
        <v>848</v>
      </c>
      <c r="H78" s="236">
        <f t="shared" ref="H78:H79" si="74">3*4*$D$49*10/20</f>
        <v>636</v>
      </c>
      <c r="I78" s="290">
        <f t="shared" ref="I78:I79" si="75">4*240*1/2</f>
        <v>480</v>
      </c>
      <c r="J78" s="290">
        <f t="shared" si="68"/>
        <v>20352</v>
      </c>
      <c r="K78" s="291">
        <f t="shared" si="69"/>
        <v>2544</v>
      </c>
      <c r="L78" s="290"/>
      <c r="M78" s="291">
        <f>D49*(12*14*6+12*10*2)</f>
        <v>132288</v>
      </c>
      <c r="N78" s="290">
        <f t="shared" si="70"/>
        <v>37580</v>
      </c>
      <c r="O78" s="296">
        <f t="shared" si="57"/>
        <v>28.407716497339138</v>
      </c>
      <c r="P78" s="291">
        <f t="shared" si="71"/>
        <v>134832</v>
      </c>
      <c r="Q78" s="290">
        <f t="shared" si="67"/>
        <v>40124</v>
      </c>
      <c r="R78" s="292">
        <f t="shared" si="33"/>
        <v>29.758514299276136</v>
      </c>
      <c r="S78" s="292">
        <f t="shared" si="36"/>
        <v>0.9811320754716979</v>
      </c>
      <c r="T78" s="236">
        <f t="shared" si="54"/>
        <v>274752</v>
      </c>
      <c r="U78" s="297">
        <f t="shared" si="63"/>
        <v>59868</v>
      </c>
      <c r="V78" s="292">
        <f t="shared" si="51"/>
        <v>21.789832285115303</v>
      </c>
      <c r="W78" s="293">
        <f t="shared" si="72"/>
        <v>1.1344553786374962</v>
      </c>
    </row>
    <row r="79" spans="1:23" s="295" customFormat="1">
      <c r="A79">
        <v>25</v>
      </c>
      <c r="B79" s="290" t="s">
        <v>883</v>
      </c>
      <c r="C79" s="290" t="s">
        <v>679</v>
      </c>
      <c r="D79" s="290" t="s">
        <v>899</v>
      </c>
      <c r="E79" s="290">
        <f>D49*8*8</f>
        <v>6784</v>
      </c>
      <c r="F79" s="236">
        <f>40*D49*2</f>
        <v>8480</v>
      </c>
      <c r="G79" s="290">
        <f t="shared" si="73"/>
        <v>848</v>
      </c>
      <c r="H79" s="236">
        <f t="shared" si="74"/>
        <v>636</v>
      </c>
      <c r="I79" s="290">
        <f t="shared" si="75"/>
        <v>480</v>
      </c>
      <c r="J79" s="290">
        <f t="shared" si="68"/>
        <v>20352</v>
      </c>
      <c r="K79" s="291">
        <f t="shared" si="69"/>
        <v>2544</v>
      </c>
      <c r="L79" s="290"/>
      <c r="M79" s="291">
        <f>D49*(12*14*6+12*10*2)</f>
        <v>132288</v>
      </c>
      <c r="N79" s="290">
        <f>SUM(E79:J79)</f>
        <v>37580</v>
      </c>
      <c r="O79" s="296">
        <f t="shared" si="57"/>
        <v>28.407716497339138</v>
      </c>
      <c r="P79" s="291">
        <f>$D$49*(12*14*6+12*11*2)</f>
        <v>134832</v>
      </c>
      <c r="Q79" s="290">
        <f>SUM(E79:K79)</f>
        <v>40124</v>
      </c>
      <c r="R79" s="292">
        <f t="shared" si="33"/>
        <v>29.758514299276136</v>
      </c>
      <c r="S79" s="292">
        <f t="shared" si="36"/>
        <v>0.9811320754716979</v>
      </c>
      <c r="T79" s="236">
        <f t="shared" si="54"/>
        <v>274752</v>
      </c>
      <c r="U79" s="297">
        <f t="shared" si="63"/>
        <v>59868</v>
      </c>
      <c r="V79" s="292">
        <f t="shared" si="51"/>
        <v>21.789832285115303</v>
      </c>
      <c r="W79" s="293">
        <f t="shared" si="72"/>
        <v>1.1344553786374962</v>
      </c>
    </row>
    <row r="80" spans="1:23" s="22" customFormat="1">
      <c r="A80"/>
      <c r="B80" s="30"/>
      <c r="C80" s="30"/>
      <c r="D80" s="23"/>
      <c r="E80" s="23"/>
      <c r="F80" s="23"/>
      <c r="G80" s="23"/>
      <c r="H80" s="23"/>
      <c r="I80" s="23"/>
      <c r="J80" s="23"/>
      <c r="K80" s="23"/>
      <c r="L80" s="23"/>
      <c r="M80" s="23"/>
      <c r="N80" s="23"/>
      <c r="O80" s="23"/>
      <c r="P80" s="30"/>
      <c r="Q80" s="30"/>
      <c r="R80" s="48"/>
    </row>
    <row r="81" spans="1:27" s="22" customFormat="1">
      <c r="B81" s="30"/>
      <c r="C81" s="30"/>
      <c r="D81" s="30"/>
      <c r="E81" s="30"/>
      <c r="F81" s="30"/>
      <c r="G81" s="30"/>
      <c r="H81" s="30"/>
      <c r="I81" s="30"/>
      <c r="J81" s="30"/>
      <c r="K81" s="30"/>
      <c r="M81" s="23"/>
      <c r="N81" s="23"/>
      <c r="O81" s="77"/>
      <c r="P81" s="30"/>
      <c r="Q81" s="30"/>
      <c r="R81" s="48"/>
    </row>
    <row r="82" spans="1:27" s="22" customFormat="1" ht="13.8">
      <c r="A82"/>
      <c r="B82" s="62" t="s">
        <v>528</v>
      </c>
      <c r="C82" s="25"/>
      <c r="D82" s="23"/>
      <c r="E82" s="23"/>
      <c r="F82" s="23"/>
      <c r="G82" s="23"/>
      <c r="H82" s="23"/>
      <c r="I82" s="23"/>
      <c r="J82" s="23"/>
      <c r="K82" s="23"/>
      <c r="L82"/>
      <c r="M82" s="23"/>
      <c r="N82" s="23"/>
      <c r="O82" s="49"/>
      <c r="P82" s="30"/>
      <c r="Q82" s="30"/>
      <c r="R82" s="48"/>
    </row>
    <row r="83" spans="1:27" ht="13.8">
      <c r="B83" s="62" t="s">
        <v>544</v>
      </c>
      <c r="C83" s="62"/>
      <c r="D83" s="23" t="s">
        <v>497</v>
      </c>
      <c r="E83" s="23" t="s">
        <v>498</v>
      </c>
      <c r="F83" s="23" t="s">
        <v>499</v>
      </c>
    </row>
    <row r="84" spans="1:27" ht="13.8">
      <c r="B84" s="62" t="s">
        <v>500</v>
      </c>
      <c r="C84"/>
      <c r="D84" s="23">
        <v>20</v>
      </c>
      <c r="E84" s="23">
        <v>40</v>
      </c>
      <c r="F84" s="23">
        <v>100</v>
      </c>
    </row>
    <row r="85" spans="1:27" ht="13.8">
      <c r="B85" s="62" t="s">
        <v>530</v>
      </c>
      <c r="C85" s="62"/>
      <c r="D85" s="23">
        <v>51</v>
      </c>
      <c r="E85" s="23">
        <v>106</v>
      </c>
      <c r="F85" s="23">
        <v>273</v>
      </c>
    </row>
    <row r="86" spans="1:27" ht="13.8">
      <c r="B86" s="62" t="s">
        <v>665</v>
      </c>
      <c r="C86"/>
      <c r="D86" s="63">
        <v>8.2000000000000003E-2</v>
      </c>
      <c r="E86" s="63">
        <v>4.5999999999999999E-2</v>
      </c>
      <c r="F86" s="63">
        <v>1.72E-2</v>
      </c>
    </row>
    <row r="87" spans="1:27" ht="40.200000000000003">
      <c r="B87" s="26"/>
      <c r="C87" s="26" t="s">
        <v>502</v>
      </c>
      <c r="D87" s="26" t="s">
        <v>531</v>
      </c>
      <c r="E87" s="26" t="s">
        <v>438</v>
      </c>
      <c r="F87" s="26" t="s">
        <v>503</v>
      </c>
      <c r="G87" s="26" t="s">
        <v>317</v>
      </c>
      <c r="H87" s="26" t="s">
        <v>450</v>
      </c>
      <c r="I87" s="26" t="s">
        <v>411</v>
      </c>
      <c r="J87" s="26" t="s">
        <v>407</v>
      </c>
      <c r="K87" s="26" t="s">
        <v>532</v>
      </c>
      <c r="L87" s="26"/>
      <c r="M87" s="43" t="s">
        <v>504</v>
      </c>
      <c r="N87" s="43" t="s">
        <v>505</v>
      </c>
      <c r="O87" s="43" t="s">
        <v>506</v>
      </c>
      <c r="P87" s="44" t="s">
        <v>507</v>
      </c>
      <c r="Q87" s="44" t="s">
        <v>508</v>
      </c>
      <c r="R87" s="54" t="s">
        <v>509</v>
      </c>
      <c r="S87" s="55" t="s">
        <v>510</v>
      </c>
      <c r="T87" s="44" t="s">
        <v>533</v>
      </c>
      <c r="U87" s="44" t="s">
        <v>534</v>
      </c>
      <c r="V87" s="54" t="s">
        <v>535</v>
      </c>
      <c r="W87" s="55" t="s">
        <v>514</v>
      </c>
      <c r="X87" s="44" t="s">
        <v>545</v>
      </c>
      <c r="Y87" s="44" t="s">
        <v>546</v>
      </c>
      <c r="Z87" s="54" t="s">
        <v>547</v>
      </c>
      <c r="AA87" s="55" t="s">
        <v>518</v>
      </c>
    </row>
    <row r="88" spans="1:27" ht="13.8">
      <c r="A88">
        <v>1</v>
      </c>
      <c r="B88" s="42" t="s">
        <v>32</v>
      </c>
      <c r="C88" s="42" t="s">
        <v>548</v>
      </c>
      <c r="D88" s="73" t="s">
        <v>536</v>
      </c>
      <c r="E88" s="42">
        <f>16*D85*6*2</f>
        <v>9792</v>
      </c>
      <c r="F88" s="74">
        <f>40*D85*2</f>
        <v>4080</v>
      </c>
      <c r="G88" s="74">
        <f>4*D85*2</f>
        <v>408</v>
      </c>
      <c r="H88" s="74">
        <f>3*4*D85*2*1/8</f>
        <v>153</v>
      </c>
      <c r="I88" s="74">
        <f>1*4*240/2</f>
        <v>480</v>
      </c>
      <c r="J88" s="74">
        <f>12*2*6*51*2</f>
        <v>14688</v>
      </c>
      <c r="K88" s="30">
        <f>12*2*D85*2</f>
        <v>2448</v>
      </c>
      <c r="L88" s="42"/>
      <c r="M88" s="74">
        <f>D85*2*(12*14*4+12*6*2)</f>
        <v>83232</v>
      </c>
      <c r="N88" s="74">
        <f>SUM(E88:J88)</f>
        <v>29601</v>
      </c>
      <c r="O88" s="78">
        <f>100*N88/M88</f>
        <v>35.564446366782008</v>
      </c>
      <c r="P88" s="28">
        <f>M88+K88</f>
        <v>85680</v>
      </c>
      <c r="Q88" s="28">
        <f>N88+K88</f>
        <v>32049</v>
      </c>
      <c r="R88" s="67">
        <f t="shared" ref="R88:R106" si="76">100*Q88/P88</f>
        <v>37.405462184873947</v>
      </c>
      <c r="S88" s="49">
        <f>(1-R88/100)/(1-O88/100)</f>
        <v>0.97142857142857142</v>
      </c>
      <c r="T88" s="23">
        <f>P88*$E$85/$D$85</f>
        <v>178080</v>
      </c>
      <c r="U88" s="72">
        <f>SUM(E88:G88,K88)*$E$85/$D$85+H88+I88+12*CEILING($E$85*2*$D$84/$E$84,1)*6*2</f>
        <v>50665</v>
      </c>
      <c r="V88" s="48">
        <f>100*U88/T88</f>
        <v>28.450696316262356</v>
      </c>
      <c r="W88" s="49">
        <f>(1-V88/100)/(1-R88/100)*(1-$E$86)/(1-$D$86)</f>
        <v>1.1878857377263148</v>
      </c>
      <c r="X88" s="23">
        <f>P88*$F$85/$D$85</f>
        <v>458640</v>
      </c>
      <c r="Y88" s="72">
        <f>SUM(E88:G88,K88)*$F$85/$D$85+H88+I88+12*CEILING($F$85*2*$D$84/$F$84,1)*6*2</f>
        <v>106017</v>
      </c>
      <c r="Z88" s="48">
        <f>100*Y88/X88</f>
        <v>23.115515436944008</v>
      </c>
      <c r="AA88" s="49">
        <f>(1-Z88/100)/(1-R88/100)*(1-$F$86)/(1-$D$86)</f>
        <v>1.3149969234211558</v>
      </c>
    </row>
    <row r="89" spans="1:27">
      <c r="A89">
        <v>2</v>
      </c>
      <c r="B89" s="30" t="s">
        <v>537</v>
      </c>
      <c r="C89" s="30" t="s">
        <v>521</v>
      </c>
      <c r="D89" s="31" t="s">
        <v>538</v>
      </c>
      <c r="E89" s="30">
        <f>2*12*D85*6*2</f>
        <v>14688</v>
      </c>
      <c r="F89" s="30">
        <f>32*D85*2</f>
        <v>3264</v>
      </c>
      <c r="G89" s="30">
        <f>4*D85*2</f>
        <v>408</v>
      </c>
      <c r="H89" s="30">
        <f>4*3*D85*10/80</f>
        <v>76.5</v>
      </c>
      <c r="I89" s="30">
        <f>4*240*1/2</f>
        <v>480</v>
      </c>
      <c r="J89" s="30">
        <f>2*12*D85*6*2</f>
        <v>14688</v>
      </c>
      <c r="K89" s="30">
        <f>12*D85*2</f>
        <v>1224</v>
      </c>
      <c r="L89" s="30"/>
      <c r="M89" s="30">
        <v>96696</v>
      </c>
      <c r="N89" s="30">
        <v>34828.5</v>
      </c>
      <c r="O89" s="48">
        <v>36.018552990816602</v>
      </c>
      <c r="P89" s="30">
        <f>12*D85*14*4*2+12*D85*11*2*2+12*D85*2</f>
        <v>96696</v>
      </c>
      <c r="Q89" s="30">
        <f t="shared" ref="Q89:Q97" si="77">SUM(E89:K89)</f>
        <v>34828.5</v>
      </c>
      <c r="R89" s="48">
        <f t="shared" si="76"/>
        <v>36.01855299081658</v>
      </c>
      <c r="S89" s="49">
        <f t="shared" ref="S89:S106" si="78">(1-R89/100)/(1-O89/100)</f>
        <v>1.0000000000000004</v>
      </c>
      <c r="T89" s="23">
        <f t="shared" ref="T89:T91" si="79">P89*$E$85/$D$85</f>
        <v>200976</v>
      </c>
      <c r="U89" s="72">
        <f t="shared" ref="U89:U90" si="80">SUM(E89:G89,K89)*$E$85/$D$85+H89+I89+12*CEILING($E$85*2*$D$84/$E$84,1)*6*2</f>
        <v>56524.5</v>
      </c>
      <c r="V89" s="48">
        <f t="shared" ref="V89:V91" si="81">100*U89/T89</f>
        <v>28.125</v>
      </c>
      <c r="W89" s="49">
        <f t="shared" ref="W89:W106" si="82">(1-V89/100)/(1-R89/100)*(1-$E$86)/(1-$D$86)</f>
        <v>1.1674263547096617</v>
      </c>
      <c r="X89" s="23">
        <f t="shared" ref="X89:X91" si="83">P89*$F$85/$D$85</f>
        <v>517608</v>
      </c>
      <c r="Y89" s="72">
        <f t="shared" ref="Y89:Y90" si="84">SUM(E89:G89,K89)*$F$85/$D$85+H89+I89+12*CEILING($F$85*2*$D$84/$F$84,1)*6*2</f>
        <v>121228.5</v>
      </c>
      <c r="Z89" s="48">
        <f t="shared" ref="Z89:Z91" si="85">100*Y89/X89</f>
        <v>23.420909259516854</v>
      </c>
      <c r="AA89" s="49">
        <f t="shared" ref="AA89:AA106" si="86">(1-Z89/100)/(1-R89/100)*(1-$F$86)/(1-$D$86)</f>
        <v>1.2813819856952358</v>
      </c>
    </row>
    <row r="90" spans="1:27">
      <c r="A90">
        <v>3</v>
      </c>
      <c r="B90" s="30" t="s">
        <v>539</v>
      </c>
      <c r="C90" s="30" t="s">
        <v>521</v>
      </c>
      <c r="D90" s="31" t="s">
        <v>538</v>
      </c>
      <c r="E90" s="30">
        <f>2*12*D85*6*2</f>
        <v>14688</v>
      </c>
      <c r="F90" s="30">
        <f>40*D85*2</f>
        <v>4080</v>
      </c>
      <c r="G90" s="30">
        <f>4*D85*2</f>
        <v>408</v>
      </c>
      <c r="H90" s="30">
        <f>4*3*D85*10/80</f>
        <v>76.5</v>
      </c>
      <c r="I90" s="30">
        <f>4*240*1/2</f>
        <v>480</v>
      </c>
      <c r="J90" s="30">
        <f>2*12*D85*6*2</f>
        <v>14688</v>
      </c>
      <c r="K90" s="30">
        <f>12*D85*2</f>
        <v>1224</v>
      </c>
      <c r="L90" s="30"/>
      <c r="M90" s="30">
        <v>96696</v>
      </c>
      <c r="N90" s="30">
        <v>35644.5</v>
      </c>
      <c r="O90" s="48">
        <v>36.862434847356703</v>
      </c>
      <c r="P90" s="30">
        <f>12*D85*14*4*2+12*D85*11*2*2+12*D85*2</f>
        <v>96696</v>
      </c>
      <c r="Q90" s="30">
        <f t="shared" si="77"/>
        <v>35644.5</v>
      </c>
      <c r="R90" s="48">
        <f t="shared" si="76"/>
        <v>36.862434847356667</v>
      </c>
      <c r="S90" s="49">
        <f t="shared" si="78"/>
        <v>1.0000000000000004</v>
      </c>
      <c r="T90" s="23">
        <f t="shared" si="79"/>
        <v>200976</v>
      </c>
      <c r="U90" s="72">
        <f t="shared" si="80"/>
        <v>58220.5</v>
      </c>
      <c r="V90" s="48">
        <f t="shared" si="81"/>
        <v>28.968881856540083</v>
      </c>
      <c r="W90" s="49">
        <f t="shared" si="82"/>
        <v>1.1691399883704741</v>
      </c>
      <c r="X90" s="23">
        <f t="shared" si="83"/>
        <v>517608</v>
      </c>
      <c r="Y90" s="72">
        <f t="shared" si="84"/>
        <v>125596.5</v>
      </c>
      <c r="Z90" s="48">
        <f t="shared" si="85"/>
        <v>24.264791116056937</v>
      </c>
      <c r="AA90" s="49">
        <f t="shared" si="86"/>
        <v>1.2841994054200143</v>
      </c>
    </row>
    <row r="91" spans="1:27">
      <c r="A91">
        <v>4</v>
      </c>
      <c r="B91" s="30" t="s">
        <v>5</v>
      </c>
      <c r="C91" s="30" t="s">
        <v>522</v>
      </c>
      <c r="D91" s="30" t="s">
        <v>549</v>
      </c>
      <c r="E91" s="30">
        <v>8726</v>
      </c>
      <c r="F91" s="30">
        <f>20*D85*4</f>
        <v>4080</v>
      </c>
      <c r="G91" s="30">
        <f>4*D85*4</f>
        <v>816</v>
      </c>
      <c r="H91" s="30">
        <f>3*4*D85*10/20</f>
        <v>306</v>
      </c>
      <c r="I91" s="30">
        <f t="shared" ref="I91:I95" si="87">1*4*240*1/2</f>
        <v>480</v>
      </c>
      <c r="J91" s="30">
        <f>2*12*D85*8*2</f>
        <v>19584</v>
      </c>
      <c r="K91" s="30">
        <f>1*12*D85*2*2</f>
        <v>2448</v>
      </c>
      <c r="L91" s="22"/>
      <c r="M91" s="30">
        <f>D85*12*(14*6+12*2)*2</f>
        <v>132192</v>
      </c>
      <c r="N91" s="35">
        <f>SUM(E91:J91)+K91*2</f>
        <v>38888</v>
      </c>
      <c r="O91" s="48">
        <f t="shared" ref="O91:O95" si="88">100*N91/M91</f>
        <v>29.417816509319778</v>
      </c>
      <c r="P91" s="30">
        <f>D85*12*(14*6+11*2)*2</f>
        <v>129744</v>
      </c>
      <c r="Q91" s="30">
        <f t="shared" si="77"/>
        <v>36440</v>
      </c>
      <c r="R91" s="48">
        <f t="shared" si="76"/>
        <v>28.086077198174866</v>
      </c>
      <c r="S91" s="49">
        <f t="shared" si="78"/>
        <v>1.0188679245283021</v>
      </c>
      <c r="T91" s="23">
        <f t="shared" si="79"/>
        <v>269664</v>
      </c>
      <c r="U91" s="72">
        <f>SUM(E91:G91,K91)*$E$85/$D$85+H91+I91+12*CEILING($E$85*2*$D$84/$E$84,1)*8*2</f>
        <v>54538.392156862748</v>
      </c>
      <c r="V91" s="48">
        <f t="shared" si="81"/>
        <v>20.224572859878496</v>
      </c>
      <c r="W91" s="49">
        <f t="shared" si="82"/>
        <v>1.1528209285943647</v>
      </c>
      <c r="X91" s="23">
        <f t="shared" si="83"/>
        <v>694512</v>
      </c>
      <c r="Y91" s="72">
        <f>SUM(E91:G91,K91)*$F$85/$D$85+H91+I91+12*CEILING($F$85*2*$D$84/$F$84,1)*8*2</f>
        <v>107927.76470588235</v>
      </c>
      <c r="Z91" s="48">
        <f t="shared" si="85"/>
        <v>15.540086378044203</v>
      </c>
      <c r="AA91" s="49">
        <f t="shared" si="86"/>
        <v>1.2573613892097177</v>
      </c>
    </row>
    <row r="92" spans="1:27">
      <c r="A92">
        <v>5</v>
      </c>
      <c r="B92" s="30" t="s">
        <v>5</v>
      </c>
      <c r="C92" s="30" t="s">
        <v>523</v>
      </c>
      <c r="D92" s="30" t="s">
        <v>549</v>
      </c>
      <c r="E92" s="30">
        <v>10302</v>
      </c>
      <c r="F92" s="30">
        <f>20*D85*4</f>
        <v>4080</v>
      </c>
      <c r="G92" s="30">
        <f>4*D85*4</f>
        <v>816</v>
      </c>
      <c r="H92" s="30">
        <f>3*4*D85*10/20</f>
        <v>306</v>
      </c>
      <c r="I92" s="30">
        <f t="shared" si="87"/>
        <v>480</v>
      </c>
      <c r="J92" s="30">
        <f>2*12*D85*8*2</f>
        <v>19584</v>
      </c>
      <c r="K92" s="30">
        <f>1*12*D85*2*2</f>
        <v>2448</v>
      </c>
      <c r="L92" s="22"/>
      <c r="M92" s="30">
        <f>D85*12*(14*6+12*2)*2</f>
        <v>132192</v>
      </c>
      <c r="N92" s="35">
        <f t="shared" ref="N92:N95" si="89">SUM(E92:J92)+K92*2</f>
        <v>40464</v>
      </c>
      <c r="O92" s="48">
        <f t="shared" si="88"/>
        <v>30.610021786492375</v>
      </c>
      <c r="P92" s="30">
        <f>D85*12*(14*6+11*2)*2</f>
        <v>129744</v>
      </c>
      <c r="Q92" s="30">
        <f t="shared" ref="Q92" si="90">SUM(E92:K92)</f>
        <v>38016</v>
      </c>
      <c r="R92" s="48">
        <f t="shared" si="76"/>
        <v>29.300776914539401</v>
      </c>
      <c r="S92" s="49">
        <f t="shared" si="78"/>
        <v>1.0188679245283017</v>
      </c>
      <c r="T92" s="23">
        <f t="shared" ref="T92:T97" si="91">P92*$E$85/$D$85</f>
        <v>269664</v>
      </c>
      <c r="U92" s="72">
        <f t="shared" ref="U92:U95" si="92">SUM(E92:G92,K92)*$E$85/$D$85+H92+I92+12*CEILING($E$85*2*$D$84/$E$84,1)*8*2</f>
        <v>57814</v>
      </c>
      <c r="V92" s="48">
        <f t="shared" ref="V92:V97" si="93">100*U92/T92</f>
        <v>21.439272576243027</v>
      </c>
      <c r="W92" s="49">
        <f t="shared" si="82"/>
        <v>1.1547728065585208</v>
      </c>
      <c r="X92" s="23">
        <f t="shared" ref="X92:X97" si="94">P92*$F$85/$D$85</f>
        <v>694512</v>
      </c>
      <c r="Y92" s="72">
        <f t="shared" ref="Y92:Y95" si="95">SUM(E92:G92,K92)*$F$85/$D$85+H92+I92+12*CEILING($F$85*2*$D$84/$F$84,1)*8*2</f>
        <v>116364</v>
      </c>
      <c r="Z92" s="48">
        <f t="shared" ref="Z92:Z97" si="96">100*Y92/X92</f>
        <v>16.754786094408736</v>
      </c>
      <c r="AA92" s="49">
        <f t="shared" si="86"/>
        <v>1.2605703819989535</v>
      </c>
    </row>
    <row r="93" spans="1:27">
      <c r="A93">
        <v>6</v>
      </c>
      <c r="B93" s="30" t="s">
        <v>5</v>
      </c>
      <c r="C93" s="30" t="s">
        <v>521</v>
      </c>
      <c r="D93" s="30" t="s">
        <v>549</v>
      </c>
      <c r="E93" s="30">
        <v>15044</v>
      </c>
      <c r="F93" s="30">
        <f>40*D85*4</f>
        <v>8160</v>
      </c>
      <c r="G93" s="30">
        <f>4*D85*4</f>
        <v>816</v>
      </c>
      <c r="H93" s="30">
        <f>3*4*D85*10/20</f>
        <v>306</v>
      </c>
      <c r="I93" s="30">
        <f t="shared" si="87"/>
        <v>480</v>
      </c>
      <c r="J93" s="30">
        <f>2*12*D85*8*2</f>
        <v>19584</v>
      </c>
      <c r="K93" s="30">
        <f>1*12*D85*2*2</f>
        <v>2448</v>
      </c>
      <c r="L93" s="22"/>
      <c r="M93" s="30">
        <f>D85*12*(14*6+12*2)*2</f>
        <v>132192</v>
      </c>
      <c r="N93" s="35">
        <f t="shared" si="89"/>
        <v>49286</v>
      </c>
      <c r="O93" s="48">
        <f t="shared" si="88"/>
        <v>37.283648027112079</v>
      </c>
      <c r="P93" s="30">
        <f>D85*12*(14*6+11*2)*2</f>
        <v>129744</v>
      </c>
      <c r="Q93" s="30">
        <f t="shared" si="77"/>
        <v>46838</v>
      </c>
      <c r="R93" s="48">
        <f t="shared" si="76"/>
        <v>36.10032063139721</v>
      </c>
      <c r="S93" s="49">
        <f t="shared" si="78"/>
        <v>1.0188679245283019</v>
      </c>
      <c r="T93" s="23">
        <f t="shared" si="91"/>
        <v>269664</v>
      </c>
      <c r="U93" s="72">
        <f t="shared" si="92"/>
        <v>76149.92156862744</v>
      </c>
      <c r="V93" s="48">
        <f t="shared" si="93"/>
        <v>28.238816293100836</v>
      </c>
      <c r="W93" s="49">
        <f t="shared" si="82"/>
        <v>1.1670692014532877</v>
      </c>
      <c r="X93" s="23">
        <f t="shared" si="94"/>
        <v>694512</v>
      </c>
      <c r="Y93" s="72">
        <f t="shared" si="95"/>
        <v>163587.64705882352</v>
      </c>
      <c r="Z93" s="48">
        <f t="shared" si="96"/>
        <v>23.554329811266548</v>
      </c>
      <c r="AA93" s="49">
        <f t="shared" si="86"/>
        <v>1.2807863193042155</v>
      </c>
    </row>
    <row r="94" spans="1:27">
      <c r="A94">
        <v>7</v>
      </c>
      <c r="B94" s="30" t="s">
        <v>5</v>
      </c>
      <c r="C94" s="30" t="s">
        <v>524</v>
      </c>
      <c r="D94" s="30" t="s">
        <v>549</v>
      </c>
      <c r="E94" s="30">
        <v>8786</v>
      </c>
      <c r="F94" s="30">
        <f>40*D85*4</f>
        <v>8160</v>
      </c>
      <c r="G94" s="30">
        <f>4*D85*4</f>
        <v>816</v>
      </c>
      <c r="H94" s="30">
        <f>3*4*D85*10/20</f>
        <v>306</v>
      </c>
      <c r="I94" s="30">
        <f t="shared" si="87"/>
        <v>480</v>
      </c>
      <c r="J94" s="30">
        <f>2*12*D85*8*2</f>
        <v>19584</v>
      </c>
      <c r="K94" s="30">
        <f>1*12*D85*2*2</f>
        <v>2448</v>
      </c>
      <c r="L94" s="22"/>
      <c r="M94" s="30">
        <f>D85*12*(14*6+12*2)*2</f>
        <v>132192</v>
      </c>
      <c r="N94" s="35">
        <f t="shared" si="89"/>
        <v>43028</v>
      </c>
      <c r="O94" s="48">
        <f t="shared" si="88"/>
        <v>32.549624788186883</v>
      </c>
      <c r="P94" s="30">
        <f>D85*12*(14*6+11*2)*2</f>
        <v>129744</v>
      </c>
      <c r="Q94" s="30">
        <f t="shared" si="77"/>
        <v>40580</v>
      </c>
      <c r="R94" s="48">
        <f t="shared" si="76"/>
        <v>31.276976199284746</v>
      </c>
      <c r="S94" s="49">
        <f t="shared" si="78"/>
        <v>1.0188679245283019</v>
      </c>
      <c r="T94" s="23">
        <f t="shared" si="91"/>
        <v>269664</v>
      </c>
      <c r="U94" s="72">
        <f t="shared" si="92"/>
        <v>63143.098039215685</v>
      </c>
      <c r="V94" s="48">
        <f t="shared" si="93"/>
        <v>23.415471860988372</v>
      </c>
      <c r="W94" s="49">
        <f t="shared" si="82"/>
        <v>1.1580957671301439</v>
      </c>
      <c r="X94" s="23">
        <f t="shared" si="94"/>
        <v>694512</v>
      </c>
      <c r="Y94" s="72">
        <f t="shared" si="95"/>
        <v>130088.94117647059</v>
      </c>
      <c r="Z94" s="48">
        <f t="shared" si="96"/>
        <v>18.730985379154081</v>
      </c>
      <c r="AA94" s="49">
        <f t="shared" si="86"/>
        <v>1.2660335086436891</v>
      </c>
    </row>
    <row r="95" spans="1:27">
      <c r="A95">
        <v>8</v>
      </c>
      <c r="B95" s="30" t="s">
        <v>5</v>
      </c>
      <c r="C95" s="30" t="s">
        <v>525</v>
      </c>
      <c r="D95" s="30" t="s">
        <v>549</v>
      </c>
      <c r="E95" s="30">
        <v>9480</v>
      </c>
      <c r="F95" s="30">
        <f>40*D85*4</f>
        <v>8160</v>
      </c>
      <c r="G95" s="30">
        <f>4*D85*4</f>
        <v>816</v>
      </c>
      <c r="H95" s="30">
        <f>3*4*D85*10/20</f>
        <v>306</v>
      </c>
      <c r="I95" s="30">
        <f t="shared" si="87"/>
        <v>480</v>
      </c>
      <c r="J95" s="30">
        <f>2*12*D85*8*2</f>
        <v>19584</v>
      </c>
      <c r="K95" s="30">
        <f>1*12*D85*2*2</f>
        <v>2448</v>
      </c>
      <c r="L95" s="22"/>
      <c r="M95" s="30">
        <f>D85*12*(14*6+12*2)*2</f>
        <v>132192</v>
      </c>
      <c r="N95" s="35">
        <f t="shared" si="89"/>
        <v>43722</v>
      </c>
      <c r="O95" s="48">
        <f t="shared" si="88"/>
        <v>33.074618736383442</v>
      </c>
      <c r="P95" s="30">
        <f>D85*12*(14*6+11*2)*2</f>
        <v>129744</v>
      </c>
      <c r="Q95" s="30">
        <f t="shared" ref="Q95" si="97">SUM(E95:K95)</f>
        <v>41274</v>
      </c>
      <c r="R95" s="48">
        <f t="shared" si="76"/>
        <v>31.811875693673695</v>
      </c>
      <c r="S95" s="49">
        <f t="shared" si="78"/>
        <v>1.0188679245283019</v>
      </c>
      <c r="T95" s="23">
        <f t="shared" si="91"/>
        <v>269664</v>
      </c>
      <c r="U95" s="72">
        <f t="shared" si="92"/>
        <v>64585.529411764706</v>
      </c>
      <c r="V95" s="48">
        <f t="shared" si="93"/>
        <v>23.950371355377325</v>
      </c>
      <c r="W95" s="49">
        <f t="shared" si="82"/>
        <v>1.1590283180074337</v>
      </c>
      <c r="X95" s="23">
        <f t="shared" si="94"/>
        <v>694512</v>
      </c>
      <c r="Y95" s="72">
        <f t="shared" si="95"/>
        <v>133803.88235294117</v>
      </c>
      <c r="Z95" s="48">
        <f t="shared" si="96"/>
        <v>19.26588487354303</v>
      </c>
      <c r="AA95" s="49">
        <f t="shared" si="86"/>
        <v>1.2675666726507491</v>
      </c>
    </row>
    <row r="96" spans="1:27">
      <c r="A96">
        <v>9</v>
      </c>
      <c r="B96" s="30" t="s">
        <v>537</v>
      </c>
      <c r="C96" s="30" t="s">
        <v>522</v>
      </c>
      <c r="D96" s="31" t="s">
        <v>538</v>
      </c>
      <c r="E96" s="30">
        <f>16*D85*6*2</f>
        <v>9792</v>
      </c>
      <c r="F96" s="30">
        <f>8*D85*2</f>
        <v>816</v>
      </c>
      <c r="G96" s="30">
        <f>4*D85*2</f>
        <v>408</v>
      </c>
      <c r="H96" s="30">
        <f>4*3*D85*10/80</f>
        <v>76.5</v>
      </c>
      <c r="I96" s="30">
        <f>4*240*1/2</f>
        <v>480</v>
      </c>
      <c r="J96" s="30">
        <f>2*12*D85*6*2</f>
        <v>14688</v>
      </c>
      <c r="K96" s="30">
        <f>12*D85*2</f>
        <v>1224</v>
      </c>
      <c r="L96" s="22"/>
      <c r="M96" s="30">
        <v>96696</v>
      </c>
      <c r="N96" s="30">
        <v>27484.5</v>
      </c>
      <c r="O96" s="48">
        <v>28.423616281955798</v>
      </c>
      <c r="P96" s="30">
        <f>12*D85*14*4*2+12*D85*11*2*2+12*D85*2</f>
        <v>96696</v>
      </c>
      <c r="Q96" s="30">
        <f t="shared" si="77"/>
        <v>27484.5</v>
      </c>
      <c r="R96" s="48">
        <f t="shared" si="76"/>
        <v>28.42361628195582</v>
      </c>
      <c r="S96" s="49">
        <f t="shared" si="78"/>
        <v>0.99999999999999967</v>
      </c>
      <c r="T96" s="23">
        <f t="shared" si="91"/>
        <v>200976</v>
      </c>
      <c r="U96" s="72">
        <f t="shared" ref="U96:U97" si="98">SUM(E96:G96,K96)*$E$85/$D$85+H96+I96+12*CEILING($E$85*2*$D$84/$E$84,1)*6*2</f>
        <v>41260.5</v>
      </c>
      <c r="V96" s="48">
        <f t="shared" si="93"/>
        <v>20.530063291139239</v>
      </c>
      <c r="W96" s="49">
        <f t="shared" si="82"/>
        <v>1.1538219804512253</v>
      </c>
      <c r="X96" s="23">
        <f t="shared" si="94"/>
        <v>517608</v>
      </c>
      <c r="Y96" s="72">
        <f t="shared" ref="Y96:Y97" si="99">SUM(E96:G96,K96)*$F$85/$D$85+H96+I96+12*CEILING($F$85*2*$D$84/$F$84,1)*6*2</f>
        <v>81916.5</v>
      </c>
      <c r="Z96" s="48">
        <f t="shared" si="96"/>
        <v>15.825972550656095</v>
      </c>
      <c r="AA96" s="49">
        <f t="shared" si="86"/>
        <v>1.2590147591079517</v>
      </c>
    </row>
    <row r="97" spans="1:27">
      <c r="A97">
        <v>10</v>
      </c>
      <c r="B97" s="30" t="s">
        <v>539</v>
      </c>
      <c r="C97" s="30" t="s">
        <v>522</v>
      </c>
      <c r="D97" s="31" t="s">
        <v>538</v>
      </c>
      <c r="E97" s="30">
        <f>16*D85*6*2</f>
        <v>9792</v>
      </c>
      <c r="F97" s="30">
        <f>20*D85*2</f>
        <v>2040</v>
      </c>
      <c r="G97" s="30">
        <f>4*D85*2</f>
        <v>408</v>
      </c>
      <c r="H97" s="30">
        <f>4*3*D85*10/80</f>
        <v>76.5</v>
      </c>
      <c r="I97" s="30">
        <f>4*240*1/2</f>
        <v>480</v>
      </c>
      <c r="J97" s="30">
        <f>2*12*D85*6*2</f>
        <v>14688</v>
      </c>
      <c r="K97" s="30">
        <f>12*D85*2</f>
        <v>1224</v>
      </c>
      <c r="L97" s="22"/>
      <c r="M97" s="30">
        <v>96696</v>
      </c>
      <c r="N97" s="30">
        <v>28708.5</v>
      </c>
      <c r="O97" s="48">
        <v>29.6894390667659</v>
      </c>
      <c r="P97" s="30">
        <f>12*D85*14*4*2+12*D85*11*2*2+12*D85*2</f>
        <v>96696</v>
      </c>
      <c r="Q97" s="30">
        <f t="shared" si="77"/>
        <v>28708.5</v>
      </c>
      <c r="R97" s="48">
        <f t="shared" si="76"/>
        <v>29.689439066765946</v>
      </c>
      <c r="S97" s="49">
        <f t="shared" si="78"/>
        <v>0.99999999999999933</v>
      </c>
      <c r="T97" s="23">
        <f t="shared" si="91"/>
        <v>200976</v>
      </c>
      <c r="U97" s="72">
        <f t="shared" si="98"/>
        <v>43804.5</v>
      </c>
      <c r="V97" s="48">
        <f t="shared" si="93"/>
        <v>21.795886075949365</v>
      </c>
      <c r="W97" s="49">
        <f t="shared" si="82"/>
        <v>1.1558852730281299</v>
      </c>
      <c r="X97" s="23">
        <f t="shared" si="94"/>
        <v>517608</v>
      </c>
      <c r="Y97" s="72">
        <f t="shared" si="99"/>
        <v>88468.5</v>
      </c>
      <c r="Z97" s="48">
        <f t="shared" si="96"/>
        <v>17.091795335466223</v>
      </c>
      <c r="AA97" s="49">
        <f t="shared" si="86"/>
        <v>1.2624070601213457</v>
      </c>
    </row>
    <row r="98" spans="1:27" ht="13.8">
      <c r="A98">
        <v>11</v>
      </c>
      <c r="B98" s="75" t="s">
        <v>32</v>
      </c>
      <c r="C98" s="30" t="s">
        <v>548</v>
      </c>
      <c r="D98" s="41" t="s">
        <v>543</v>
      </c>
      <c r="E98" s="41">
        <f>2*12*D85*8*2</f>
        <v>19584</v>
      </c>
      <c r="F98" s="39">
        <f>32*D85*2</f>
        <v>3264</v>
      </c>
      <c r="G98" s="39">
        <f>4*D85*2</f>
        <v>408</v>
      </c>
      <c r="H98" s="39">
        <f>3*4*D85*1/8</f>
        <v>76.5</v>
      </c>
      <c r="I98" s="39">
        <f>1*4*240/2</f>
        <v>480</v>
      </c>
      <c r="J98" s="39">
        <f>12*2*8*D85*2</f>
        <v>19584</v>
      </c>
      <c r="K98" s="30">
        <f>1*12*D85*2*2</f>
        <v>2448</v>
      </c>
      <c r="L98" s="41"/>
      <c r="M98" s="39">
        <f>12*D85*14*6*2+12*D85*10*2*2</f>
        <v>127296</v>
      </c>
      <c r="N98" s="39">
        <f t="shared" ref="N98" si="100">SUM(E98:J98)</f>
        <v>43396.5</v>
      </c>
      <c r="O98" s="79">
        <f t="shared" ref="O98:O105" si="101">100*N98/M98</f>
        <v>34.091016214177976</v>
      </c>
      <c r="P98" s="28">
        <f>M98+K98</f>
        <v>129744</v>
      </c>
      <c r="Q98" s="28">
        <f>N98+K98</f>
        <v>45844.5</v>
      </c>
      <c r="R98" s="67">
        <f t="shared" si="76"/>
        <v>35.334581945985938</v>
      </c>
      <c r="S98" s="49">
        <f t="shared" si="78"/>
        <v>0.98113207547169834</v>
      </c>
      <c r="T98" s="23">
        <f t="shared" ref="T98:T106" si="102">P98*$E$85/$D$85</f>
        <v>269664</v>
      </c>
      <c r="U98" s="72">
        <f t="shared" ref="U98:U105" si="103">SUM(E98:G98,K98)*$E$85/$D$85+H98+I98+12*CEILING($E$85*2*$D$84/$E$84,1)*8*2</f>
        <v>74332.5</v>
      </c>
      <c r="V98" s="48">
        <f t="shared" ref="V98:V106" si="104">100*U98/T98</f>
        <v>27.564858490566039</v>
      </c>
      <c r="W98" s="49">
        <f t="shared" si="82"/>
        <v>1.1640802388572038</v>
      </c>
      <c r="X98" s="23">
        <f t="shared" ref="X98:X106" si="105">P98*$F$85/$D$85</f>
        <v>694512</v>
      </c>
      <c r="Y98" s="72">
        <f t="shared" ref="Y98:Y105" si="106">SUM(E98:G98,K98)*$F$85/$D$85+H98+I98+12*CEILING($F$85*2*$D$84/$F$84,1)*8*2</f>
        <v>159268.5</v>
      </c>
      <c r="Z98" s="48">
        <f t="shared" ref="Z98:Z106" si="107">100*Y98/X98</f>
        <v>22.93243313290483</v>
      </c>
      <c r="AA98" s="49">
        <f t="shared" si="86"/>
        <v>1.2759158278654819</v>
      </c>
    </row>
    <row r="99" spans="1:27" ht="13.8">
      <c r="A99">
        <v>12</v>
      </c>
      <c r="B99" s="30" t="s">
        <v>35</v>
      </c>
      <c r="C99" s="30" t="s">
        <v>550</v>
      </c>
      <c r="D99" s="30" t="s">
        <v>549</v>
      </c>
      <c r="E99" s="30">
        <v>10830</v>
      </c>
      <c r="F99" s="30">
        <v>4080</v>
      </c>
      <c r="G99" s="30">
        <v>816</v>
      </c>
      <c r="H99" s="30">
        <v>306</v>
      </c>
      <c r="I99" s="30">
        <v>480</v>
      </c>
      <c r="J99" s="30">
        <v>19584</v>
      </c>
      <c r="K99" s="30">
        <f>1*12*D85*2*2</f>
        <v>2448</v>
      </c>
      <c r="L99" s="22"/>
      <c r="M99" s="30">
        <v>127296</v>
      </c>
      <c r="N99" s="30">
        <f t="shared" ref="N99:N101" si="108">SUM(E99:J99)</f>
        <v>36096</v>
      </c>
      <c r="O99" s="48">
        <f t="shared" si="101"/>
        <v>28.355957767722472</v>
      </c>
      <c r="P99" s="28">
        <f t="shared" ref="P99:P101" si="109">M99+K99</f>
        <v>129744</v>
      </c>
      <c r="Q99" s="28">
        <f t="shared" ref="Q99:Q101" si="110">N99+K99</f>
        <v>38544</v>
      </c>
      <c r="R99" s="67">
        <f t="shared" si="76"/>
        <v>29.70773214946356</v>
      </c>
      <c r="S99" s="49">
        <f t="shared" si="78"/>
        <v>0.98113207547169812</v>
      </c>
      <c r="T99" s="23">
        <f t="shared" si="102"/>
        <v>269664</v>
      </c>
      <c r="U99" s="72">
        <f t="shared" si="103"/>
        <v>58911.411764705881</v>
      </c>
      <c r="V99" s="48">
        <f t="shared" si="104"/>
        <v>21.846227811167186</v>
      </c>
      <c r="W99" s="49">
        <f t="shared" si="82"/>
        <v>1.1554418214654283</v>
      </c>
      <c r="X99" s="23">
        <f t="shared" si="105"/>
        <v>694512</v>
      </c>
      <c r="Y99" s="72">
        <f t="shared" si="106"/>
        <v>119190.35294117648</v>
      </c>
      <c r="Z99" s="48">
        <f t="shared" si="107"/>
        <v>17.161741329332894</v>
      </c>
      <c r="AA99" s="49">
        <f t="shared" si="86"/>
        <v>1.2616702786377709</v>
      </c>
    </row>
    <row r="100" spans="1:27" ht="13.8">
      <c r="A100">
        <v>13</v>
      </c>
      <c r="B100" s="30" t="s">
        <v>35</v>
      </c>
      <c r="C100" s="227" t="s">
        <v>671</v>
      </c>
      <c r="D100" s="30" t="s">
        <v>549</v>
      </c>
      <c r="E100" s="30">
        <v>12882</v>
      </c>
      <c r="F100" s="30">
        <v>8160</v>
      </c>
      <c r="G100" s="30">
        <v>816</v>
      </c>
      <c r="H100" s="30">
        <v>306</v>
      </c>
      <c r="I100" s="30">
        <v>480</v>
      </c>
      <c r="J100" s="30">
        <v>19584</v>
      </c>
      <c r="K100" s="30">
        <f>1*12*D85*2*2</f>
        <v>2448</v>
      </c>
      <c r="L100" s="22"/>
      <c r="M100" s="30">
        <v>127296</v>
      </c>
      <c r="N100" s="30">
        <f t="shared" si="108"/>
        <v>42228</v>
      </c>
      <c r="O100" s="48">
        <f t="shared" si="101"/>
        <v>33.17307692307692</v>
      </c>
      <c r="P100" s="28">
        <f t="shared" si="109"/>
        <v>129744</v>
      </c>
      <c r="Q100" s="28">
        <f t="shared" si="110"/>
        <v>44676</v>
      </c>
      <c r="R100" s="67">
        <f t="shared" si="76"/>
        <v>34.433962264150942</v>
      </c>
      <c r="S100" s="49">
        <f t="shared" si="78"/>
        <v>0.98113207547169801</v>
      </c>
      <c r="T100" s="23">
        <f t="shared" si="102"/>
        <v>269664</v>
      </c>
      <c r="U100" s="72">
        <f t="shared" si="103"/>
        <v>71656.352941176476</v>
      </c>
      <c r="V100" s="48">
        <f t="shared" si="104"/>
        <v>26.572457925854572</v>
      </c>
      <c r="W100" s="49">
        <f t="shared" si="82"/>
        <v>1.1638198092045395</v>
      </c>
      <c r="X100" s="23">
        <f t="shared" si="105"/>
        <v>694512</v>
      </c>
      <c r="Y100" s="72">
        <f t="shared" si="106"/>
        <v>152014.5882352941</v>
      </c>
      <c r="Z100" s="48">
        <f t="shared" si="107"/>
        <v>21.887971444020273</v>
      </c>
      <c r="AA100" s="49">
        <f t="shared" si="86"/>
        <v>1.2754441429555319</v>
      </c>
    </row>
    <row r="101" spans="1:27" ht="13.8">
      <c r="A101">
        <v>14</v>
      </c>
      <c r="B101" s="30" t="s">
        <v>35</v>
      </c>
      <c r="C101" s="30" t="s">
        <v>551</v>
      </c>
      <c r="D101" s="30" t="s">
        <v>549</v>
      </c>
      <c r="E101" s="30">
        <v>10142</v>
      </c>
      <c r="F101" s="30">
        <v>8160</v>
      </c>
      <c r="G101" s="30">
        <v>816</v>
      </c>
      <c r="H101" s="30">
        <v>306</v>
      </c>
      <c r="I101" s="30">
        <v>480</v>
      </c>
      <c r="J101" s="30">
        <v>19584</v>
      </c>
      <c r="K101" s="30">
        <f>1*12*D85*2*2</f>
        <v>2448</v>
      </c>
      <c r="L101" s="22"/>
      <c r="M101" s="30">
        <v>127296</v>
      </c>
      <c r="N101" s="30">
        <f t="shared" si="108"/>
        <v>39488</v>
      </c>
      <c r="O101" s="48">
        <f t="shared" si="101"/>
        <v>31.02061337355455</v>
      </c>
      <c r="P101" s="28">
        <f t="shared" si="109"/>
        <v>129744</v>
      </c>
      <c r="Q101" s="28">
        <f t="shared" si="110"/>
        <v>41936</v>
      </c>
      <c r="R101" s="67">
        <f t="shared" si="76"/>
        <v>32.322111234430878</v>
      </c>
      <c r="S101" s="49">
        <f t="shared" si="78"/>
        <v>0.98113207547169823</v>
      </c>
      <c r="T101" s="23">
        <f t="shared" si="102"/>
        <v>269664</v>
      </c>
      <c r="U101" s="72">
        <f t="shared" si="103"/>
        <v>65961.450980392154</v>
      </c>
      <c r="V101" s="48">
        <f t="shared" si="104"/>
        <v>24.460606896134507</v>
      </c>
      <c r="W101" s="49">
        <f t="shared" si="82"/>
        <v>1.1599316065711998</v>
      </c>
      <c r="X101" s="23">
        <f t="shared" si="105"/>
        <v>694512</v>
      </c>
      <c r="Y101" s="72">
        <f t="shared" si="106"/>
        <v>137347.5294117647</v>
      </c>
      <c r="Z101" s="48">
        <f t="shared" si="107"/>
        <v>19.776120414300213</v>
      </c>
      <c r="AA101" s="49">
        <f t="shared" si="86"/>
        <v>1.2690517278339906</v>
      </c>
    </row>
    <row r="102" spans="1:27">
      <c r="A102">
        <v>16</v>
      </c>
      <c r="B102" s="30" t="s">
        <v>26</v>
      </c>
      <c r="C102" s="30" t="s">
        <v>522</v>
      </c>
      <c r="D102" s="30" t="s">
        <v>552</v>
      </c>
      <c r="E102" s="30">
        <f>8*D85*8*2</f>
        <v>6528</v>
      </c>
      <c r="F102" s="30">
        <f>20*D85*4</f>
        <v>4080</v>
      </c>
      <c r="G102" s="30">
        <f>4*D85*4</f>
        <v>816</v>
      </c>
      <c r="H102" s="30">
        <f>3*4*D85*10/20</f>
        <v>306</v>
      </c>
      <c r="I102" s="30">
        <f>1*4*240*1/2</f>
        <v>480</v>
      </c>
      <c r="J102" s="30">
        <f>2*12*D85*8*2</f>
        <v>19584</v>
      </c>
      <c r="K102" s="30">
        <f>0.5*12*D85*2*2</f>
        <v>1224</v>
      </c>
      <c r="L102" s="22"/>
      <c r="M102" s="30">
        <f>D85*12*(14*6+12*2)*2</f>
        <v>132192</v>
      </c>
      <c r="N102" s="35">
        <f>SUM(E102:J102)+K102*2</f>
        <v>34242</v>
      </c>
      <c r="O102" s="48">
        <f t="shared" si="101"/>
        <v>25.903231663035584</v>
      </c>
      <c r="P102" s="30">
        <f>D85*12*(14*6+11.5*2)*2</f>
        <v>130968</v>
      </c>
      <c r="Q102" s="30">
        <f t="shared" ref="Q102:Q104" si="111">SUM(E102:K102)</f>
        <v>33018</v>
      </c>
      <c r="R102" s="48">
        <f t="shared" si="76"/>
        <v>25.210738501007881</v>
      </c>
      <c r="S102" s="49">
        <f t="shared" si="78"/>
        <v>1.0093457943925235</v>
      </c>
      <c r="T102" s="23">
        <f t="shared" si="102"/>
        <v>272208</v>
      </c>
      <c r="U102" s="72">
        <f t="shared" si="103"/>
        <v>47426</v>
      </c>
      <c r="V102" s="48">
        <f t="shared" si="104"/>
        <v>17.422706165873155</v>
      </c>
      <c r="W102" s="49">
        <f t="shared" si="82"/>
        <v>1.14743236345074</v>
      </c>
      <c r="X102" s="23">
        <f t="shared" si="105"/>
        <v>701064</v>
      </c>
      <c r="Y102" s="72">
        <f t="shared" si="106"/>
        <v>89610</v>
      </c>
      <c r="Z102" s="48">
        <f t="shared" si="107"/>
        <v>12.781999931532642</v>
      </c>
      <c r="AA102" s="49">
        <f t="shared" si="86"/>
        <v>1.2485022970903523</v>
      </c>
    </row>
    <row r="103" spans="1:27">
      <c r="A103">
        <v>17</v>
      </c>
      <c r="B103" s="30" t="s">
        <v>26</v>
      </c>
      <c r="C103" s="30" t="s">
        <v>521</v>
      </c>
      <c r="D103" s="30" t="s">
        <v>552</v>
      </c>
      <c r="E103" s="30">
        <f>12*D85*8*2</f>
        <v>9792</v>
      </c>
      <c r="F103" s="30">
        <f>40*D85*4</f>
        <v>8160</v>
      </c>
      <c r="G103" s="30">
        <f>4*D85*4</f>
        <v>816</v>
      </c>
      <c r="H103" s="30">
        <f>3*4*D85*10/20</f>
        <v>306</v>
      </c>
      <c r="I103" s="30">
        <f>1*4*240*1/2</f>
        <v>480</v>
      </c>
      <c r="J103" s="30">
        <f>2*12*D85*8*2</f>
        <v>19584</v>
      </c>
      <c r="K103" s="30">
        <f>0.5*12*D85*2*2</f>
        <v>1224</v>
      </c>
      <c r="L103" s="22"/>
      <c r="M103" s="30">
        <f>D85*12*(14*6+12*2)*2</f>
        <v>132192</v>
      </c>
      <c r="N103" s="35">
        <f t="shared" ref="N103:N104" si="112">SUM(E103:J103)+K103*2</f>
        <v>41586</v>
      </c>
      <c r="O103" s="48">
        <f t="shared" si="101"/>
        <v>31.458787218591141</v>
      </c>
      <c r="P103" s="30">
        <f>D85*12*(14*6+11.5*2)*2</f>
        <v>130968</v>
      </c>
      <c r="Q103" s="30">
        <f t="shared" si="111"/>
        <v>40362</v>
      </c>
      <c r="R103" s="48">
        <f t="shared" si="76"/>
        <v>30.8182151365219</v>
      </c>
      <c r="S103" s="49">
        <f t="shared" si="78"/>
        <v>1.0093457943925235</v>
      </c>
      <c r="T103" s="23">
        <f t="shared" si="102"/>
        <v>272208</v>
      </c>
      <c r="U103" s="72">
        <f t="shared" si="103"/>
        <v>62690</v>
      </c>
      <c r="V103" s="48">
        <f t="shared" si="104"/>
        <v>23.030182801387173</v>
      </c>
      <c r="W103" s="49">
        <f t="shared" si="82"/>
        <v>1.1562037834139018</v>
      </c>
      <c r="X103" s="23">
        <f t="shared" si="105"/>
        <v>701064</v>
      </c>
      <c r="Y103" s="72">
        <f t="shared" si="106"/>
        <v>128922</v>
      </c>
      <c r="Z103" s="48">
        <f t="shared" si="107"/>
        <v>18.38947656704666</v>
      </c>
      <c r="AA103" s="49">
        <f t="shared" si="86"/>
        <v>1.2629229852327661</v>
      </c>
    </row>
    <row r="104" spans="1:27">
      <c r="A104">
        <v>18</v>
      </c>
      <c r="B104" s="30" t="s">
        <v>26</v>
      </c>
      <c r="C104" s="30" t="s">
        <v>524</v>
      </c>
      <c r="D104" s="30" t="s">
        <v>552</v>
      </c>
      <c r="E104" s="30">
        <f>8*D85*8*2</f>
        <v>6528</v>
      </c>
      <c r="F104" s="30">
        <f>40*D85*4</f>
        <v>8160</v>
      </c>
      <c r="G104" s="30">
        <f>4*D85*4</f>
        <v>816</v>
      </c>
      <c r="H104" s="30">
        <f>3*4*D85*10/20</f>
        <v>306</v>
      </c>
      <c r="I104" s="30">
        <f>1*4*240*1/2</f>
        <v>480</v>
      </c>
      <c r="J104" s="30">
        <f>2*12*D85*8*2</f>
        <v>19584</v>
      </c>
      <c r="K104" s="30">
        <f>0.5*12*D85*2*2</f>
        <v>1224</v>
      </c>
      <c r="L104" s="22"/>
      <c r="M104" s="30">
        <f>D85*12*(14*6+12*2)*2</f>
        <v>132192</v>
      </c>
      <c r="N104" s="35">
        <f t="shared" si="112"/>
        <v>38322</v>
      </c>
      <c r="O104" s="48">
        <f t="shared" si="101"/>
        <v>28.989651416122005</v>
      </c>
      <c r="P104" s="30">
        <f>D85*12*(14*6+11.5*2)*2</f>
        <v>130968</v>
      </c>
      <c r="Q104" s="30">
        <f t="shared" si="111"/>
        <v>37098</v>
      </c>
      <c r="R104" s="48">
        <f t="shared" si="76"/>
        <v>28.326003298515669</v>
      </c>
      <c r="S104" s="49">
        <f t="shared" si="78"/>
        <v>1.0093457943925233</v>
      </c>
      <c r="T104" s="23">
        <f t="shared" si="102"/>
        <v>272208</v>
      </c>
      <c r="U104" s="72">
        <f t="shared" si="103"/>
        <v>55906</v>
      </c>
      <c r="V104" s="48">
        <f t="shared" si="104"/>
        <v>20.537970963380943</v>
      </c>
      <c r="W104" s="49">
        <f t="shared" si="82"/>
        <v>1.1521359326728455</v>
      </c>
      <c r="X104" s="23">
        <f t="shared" si="105"/>
        <v>701064</v>
      </c>
      <c r="Y104" s="72">
        <f t="shared" si="106"/>
        <v>111450</v>
      </c>
      <c r="Z104" s="48">
        <f t="shared" si="107"/>
        <v>15.89726472904043</v>
      </c>
      <c r="AA104" s="49">
        <f t="shared" si="86"/>
        <v>1.2562352189197827</v>
      </c>
    </row>
    <row r="105" spans="1:27" ht="26.4">
      <c r="A105">
        <v>19</v>
      </c>
      <c r="B105" s="236" t="s">
        <v>30</v>
      </c>
      <c r="C105" s="30" t="s">
        <v>553</v>
      </c>
      <c r="D105" s="76" t="s">
        <v>554</v>
      </c>
      <c r="E105" s="236">
        <v>13519</v>
      </c>
      <c r="F105" s="236">
        <f>32*D85*2</f>
        <v>3264</v>
      </c>
      <c r="G105" s="236">
        <v>0</v>
      </c>
      <c r="H105" s="30">
        <f>3*4*D85*10/20</f>
        <v>306</v>
      </c>
      <c r="I105" s="236">
        <f>2*4*240*1/2</f>
        <v>960</v>
      </c>
      <c r="J105" s="30">
        <f>2*12*D85*8*2</f>
        <v>19584</v>
      </c>
      <c r="K105" s="30">
        <f>2*12*D85*2</f>
        <v>2448</v>
      </c>
      <c r="L105" s="22"/>
      <c r="M105" s="80">
        <f>12*D85*14*7*2+12*D85*6*1*2</f>
        <v>127296</v>
      </c>
      <c r="N105" s="30">
        <f t="shared" ref="N105:N106" si="113">SUM(E105:J105)</f>
        <v>37633</v>
      </c>
      <c r="O105" s="48">
        <f t="shared" si="101"/>
        <v>29.563379839115132</v>
      </c>
      <c r="P105" s="28">
        <f t="shared" ref="P105:P106" si="114">M105+K105</f>
        <v>129744</v>
      </c>
      <c r="Q105" s="28">
        <f t="shared" ref="Q105:Q106" si="115">N105+K105</f>
        <v>40081</v>
      </c>
      <c r="R105" s="67">
        <f t="shared" si="76"/>
        <v>30.892372672339377</v>
      </c>
      <c r="S105" s="49">
        <f t="shared" si="78"/>
        <v>0.98113207547169812</v>
      </c>
      <c r="T105" s="23">
        <f t="shared" si="102"/>
        <v>269664</v>
      </c>
      <c r="U105" s="72">
        <f t="shared" si="103"/>
        <v>61588.313725490196</v>
      </c>
      <c r="V105" s="48">
        <f t="shared" si="104"/>
        <v>22.838908317569345</v>
      </c>
      <c r="W105" s="49">
        <f t="shared" si="82"/>
        <v>1.1603207916002689</v>
      </c>
      <c r="X105" s="23">
        <f t="shared" si="105"/>
        <v>694512</v>
      </c>
      <c r="Y105" s="72">
        <f t="shared" si="106"/>
        <v>125328.41176470589</v>
      </c>
      <c r="Z105" s="48">
        <f t="shared" si="107"/>
        <v>18.045535824392651</v>
      </c>
      <c r="AA105" s="49">
        <f t="shared" si="86"/>
        <v>1.2696063888901643</v>
      </c>
    </row>
    <row r="106" spans="1:27" ht="26.4">
      <c r="A106">
        <v>21</v>
      </c>
      <c r="B106" s="30" t="s">
        <v>40</v>
      </c>
      <c r="C106" s="76" t="s">
        <v>555</v>
      </c>
      <c r="D106" s="30" t="s">
        <v>556</v>
      </c>
      <c r="E106" s="30">
        <v>9180</v>
      </c>
      <c r="F106" s="30">
        <v>4590</v>
      </c>
      <c r="G106" s="30">
        <v>4590</v>
      </c>
      <c r="H106" s="30">
        <v>306</v>
      </c>
      <c r="I106" s="30">
        <v>480</v>
      </c>
      <c r="J106" s="30">
        <v>18360</v>
      </c>
      <c r="K106" s="30">
        <f>12*D85*1*5</f>
        <v>3060</v>
      </c>
      <c r="L106" s="22"/>
      <c r="M106" s="30">
        <v>116280</v>
      </c>
      <c r="N106" s="30">
        <f t="shared" si="113"/>
        <v>37506</v>
      </c>
      <c r="O106" s="48">
        <v>32.254901960784302</v>
      </c>
      <c r="P106" s="28">
        <f t="shared" si="114"/>
        <v>119340</v>
      </c>
      <c r="Q106" s="28">
        <f t="shared" si="115"/>
        <v>40566</v>
      </c>
      <c r="R106" s="67">
        <f t="shared" si="76"/>
        <v>33.991955756661639</v>
      </c>
      <c r="S106" s="49">
        <f t="shared" si="78"/>
        <v>0.97435897435897434</v>
      </c>
      <c r="T106" s="23">
        <f t="shared" si="102"/>
        <v>248040</v>
      </c>
      <c r="U106" s="72">
        <f>SUM(E106:G106,K106)*$E$85/$D$85+H106+I106+12*CEILING($E$85*2*$D$84/$E$84,1)*3*5</f>
        <v>64386</v>
      </c>
      <c r="V106" s="48">
        <f t="shared" si="104"/>
        <v>25.957910014513789</v>
      </c>
      <c r="W106" s="49">
        <f t="shared" si="82"/>
        <v>1.1657018813314037</v>
      </c>
      <c r="X106" s="23">
        <f t="shared" si="105"/>
        <v>638820</v>
      </c>
      <c r="Y106" s="72">
        <f>SUM(E106:G106,K106)*$F$85/$D$85+H106+I106+12*CEILING($F$85*2*$D$84/$F$84,1)*3*5</f>
        <v>135246</v>
      </c>
      <c r="Z106" s="48">
        <f t="shared" si="107"/>
        <v>21.17122194045271</v>
      </c>
      <c r="AA106" s="49">
        <f t="shared" si="86"/>
        <v>1.2785284484728465</v>
      </c>
    </row>
    <row r="117" spans="1:27">
      <c r="B117" s="237" t="s">
        <v>680</v>
      </c>
      <c r="C117" s="238"/>
      <c r="D117" s="238"/>
    </row>
    <row r="118" spans="1:27" ht="13.8">
      <c r="B118" s="62" t="s">
        <v>495</v>
      </c>
      <c r="C118" s="25"/>
    </row>
    <row r="119" spans="1:27" ht="13.8">
      <c r="B119" s="62" t="s">
        <v>496</v>
      </c>
      <c r="C119" s="62"/>
      <c r="D119" s="23" t="s">
        <v>497</v>
      </c>
      <c r="E119" s="23" t="s">
        <v>498</v>
      </c>
      <c r="F119" s="23" t="s">
        <v>499</v>
      </c>
    </row>
    <row r="120" spans="1:27" ht="13.8">
      <c r="B120" s="62" t="s">
        <v>500</v>
      </c>
      <c r="C120"/>
      <c r="D120" s="23">
        <v>10</v>
      </c>
      <c r="E120" s="23">
        <v>20</v>
      </c>
      <c r="F120" s="23">
        <v>40</v>
      </c>
    </row>
    <row r="121" spans="1:27" ht="13.8">
      <c r="B121" s="62" t="s">
        <v>501</v>
      </c>
      <c r="C121" s="62"/>
      <c r="D121" s="23">
        <f>52</f>
        <v>52</v>
      </c>
      <c r="E121" s="23">
        <v>106</v>
      </c>
      <c r="F121" s="23">
        <v>216</v>
      </c>
    </row>
    <row r="122" spans="1:27" ht="13.8">
      <c r="B122" s="62" t="s">
        <v>665</v>
      </c>
      <c r="C122"/>
      <c r="D122" s="63">
        <v>6.4000000000000001E-2</v>
      </c>
      <c r="E122" s="63">
        <v>4.5999999999999999E-2</v>
      </c>
      <c r="F122" s="63">
        <v>2.8000000000000001E-2</v>
      </c>
    </row>
    <row r="123" spans="1:27" ht="48.75" customHeight="1" thickBot="1">
      <c r="B123" s="26"/>
      <c r="C123" s="26" t="s">
        <v>502</v>
      </c>
      <c r="D123" s="26"/>
      <c r="E123" s="26" t="s">
        <v>438</v>
      </c>
      <c r="F123" s="26" t="s">
        <v>503</v>
      </c>
      <c r="G123" s="26" t="s">
        <v>317</v>
      </c>
      <c r="H123" s="26" t="s">
        <v>450</v>
      </c>
      <c r="I123" s="26" t="s">
        <v>411</v>
      </c>
      <c r="J123" s="26" t="s">
        <v>407</v>
      </c>
      <c r="K123" s="26"/>
      <c r="L123" s="26"/>
      <c r="M123" s="43" t="s">
        <v>504</v>
      </c>
      <c r="N123" s="43" t="s">
        <v>505</v>
      </c>
      <c r="O123" s="43" t="s">
        <v>506</v>
      </c>
      <c r="P123" s="44" t="s">
        <v>507</v>
      </c>
      <c r="Q123" s="44" t="s">
        <v>508</v>
      </c>
      <c r="R123" s="54" t="s">
        <v>509</v>
      </c>
      <c r="S123" s="55" t="s">
        <v>510</v>
      </c>
      <c r="T123" s="44" t="s">
        <v>511</v>
      </c>
      <c r="U123" s="44" t="s">
        <v>512</v>
      </c>
      <c r="V123" s="54" t="s">
        <v>513</v>
      </c>
      <c r="W123" s="55" t="s">
        <v>514</v>
      </c>
      <c r="X123" s="44" t="s">
        <v>515</v>
      </c>
      <c r="Y123" s="44" t="s">
        <v>516</v>
      </c>
      <c r="Z123" s="54" t="s">
        <v>517</v>
      </c>
      <c r="AA123" s="55" t="s">
        <v>518</v>
      </c>
    </row>
    <row r="124" spans="1:27" ht="13.8" thickTop="1">
      <c r="A124">
        <v>1</v>
      </c>
      <c r="B124" s="236" t="s">
        <v>35</v>
      </c>
      <c r="C124" s="30" t="s">
        <v>522</v>
      </c>
      <c r="D124" s="30"/>
      <c r="E124" s="30">
        <f>2*8*D5*10</f>
        <v>8320</v>
      </c>
      <c r="F124" s="30">
        <f>40*D121*2</f>
        <v>4160</v>
      </c>
      <c r="G124" s="30">
        <f>4*D121*2</f>
        <v>416</v>
      </c>
      <c r="H124" s="30">
        <f>4*3*D121*10/20</f>
        <v>312</v>
      </c>
      <c r="I124" s="30">
        <f>1*4*240*10/20</f>
        <v>480</v>
      </c>
      <c r="J124" s="30">
        <f>2*12*D121*10</f>
        <v>12480</v>
      </c>
      <c r="K124" s="30"/>
      <c r="L124" s="22"/>
      <c r="M124" s="30">
        <f>12*14*D121*10</f>
        <v>87360</v>
      </c>
      <c r="N124" s="30">
        <f t="shared" ref="N124:N128" si="116">SUM(E124:J124)</f>
        <v>26168</v>
      </c>
      <c r="O124" s="48">
        <f t="shared" ref="O124:O128" si="117">100*N124/M124</f>
        <v>29.954212454212453</v>
      </c>
      <c r="P124" s="30">
        <v>87360</v>
      </c>
      <c r="Q124" s="30">
        <v>26168</v>
      </c>
      <c r="R124" s="48">
        <v>29.954212454212453</v>
      </c>
      <c r="S124" s="49">
        <f t="shared" ref="S124:S128" si="118">(1-R124/100)/(1-O124/100)</f>
        <v>1</v>
      </c>
      <c r="T124" s="23">
        <f>P124*$E$121/$D$121</f>
        <v>178080</v>
      </c>
      <c r="U124" s="72">
        <f>SUM(E124:G124)*$E$121/$D$121+H124+I124+12*CEILING($E$121*2*$D$120/$E$120,1)*10</f>
        <v>39800</v>
      </c>
      <c r="V124" s="48">
        <f>100*U124/T124</f>
        <v>22.349505840071878</v>
      </c>
      <c r="W124" s="49">
        <f>(1-V124/100)/(1-R124/100)*(1-$E$122)/(1-$D$122)</f>
        <v>1.1298862596417831</v>
      </c>
      <c r="X124" s="23">
        <f>P124*$F$121/$D$121</f>
        <v>362880</v>
      </c>
      <c r="Y124" s="72">
        <f>SUM(E124:G124)*$F$121/$D$121+H124+I124+12*CEILING($F$121*2*$D$120/$F$120,1)*10</f>
        <v>67320</v>
      </c>
      <c r="Z124" s="48">
        <f>100*Y124/X124</f>
        <v>18.551587301587301</v>
      </c>
      <c r="AA124" s="49">
        <f>(1-Z124/100)/(1-R124/100)*(1-$F$122)/(1-$D$122)</f>
        <v>1.207510785723624</v>
      </c>
    </row>
    <row r="125" spans="1:27">
      <c r="A125">
        <v>2</v>
      </c>
      <c r="B125" s="236" t="s">
        <v>35</v>
      </c>
      <c r="C125" s="227" t="s">
        <v>678</v>
      </c>
      <c r="D125" s="30"/>
      <c r="E125" s="30">
        <f>2*12*D5*10</f>
        <v>12480</v>
      </c>
      <c r="F125" s="30">
        <f>40*D121*2</f>
        <v>4160</v>
      </c>
      <c r="G125" s="30">
        <f>4*D121*2</f>
        <v>416</v>
      </c>
      <c r="H125" s="30">
        <f>4*3*D121*10/20</f>
        <v>312</v>
      </c>
      <c r="I125" s="30">
        <f>1*4*240*10/20</f>
        <v>480</v>
      </c>
      <c r="J125" s="30">
        <f>2*12*D121*10</f>
        <v>12480</v>
      </c>
      <c r="K125" s="30"/>
      <c r="L125" s="22"/>
      <c r="M125" s="30">
        <f>12*14*D121*10</f>
        <v>87360</v>
      </c>
      <c r="N125" s="30">
        <f t="shared" si="116"/>
        <v>30328</v>
      </c>
      <c r="O125" s="48">
        <f t="shared" si="117"/>
        <v>34.716117216117219</v>
      </c>
      <c r="P125" s="30">
        <v>87360</v>
      </c>
      <c r="Q125" s="30">
        <v>30328</v>
      </c>
      <c r="R125" s="48">
        <v>34.716117216117219</v>
      </c>
      <c r="S125" s="49">
        <f t="shared" si="118"/>
        <v>1</v>
      </c>
      <c r="T125" s="23">
        <f>P125*$E$121/$D$121</f>
        <v>178080</v>
      </c>
      <c r="U125" s="72">
        <f>SUM(E125:G125)*$E$121/$D$121+H125+I125+12*CEILING($E$121*2*$D$120/$E$120,1)*10</f>
        <v>48280</v>
      </c>
      <c r="V125" s="48">
        <f>100*U125/T125</f>
        <v>27.11141060197664</v>
      </c>
      <c r="W125" s="49">
        <f>(1-V125/100)/(1-R125/100)*(1-$E$122)/(1-$D$122)</f>
        <v>1.1379576378173659</v>
      </c>
      <c r="X125" s="23">
        <f>P125*$F$121/$D$121</f>
        <v>362880</v>
      </c>
      <c r="Y125" s="72">
        <f>SUM(E125:G125)*$F$121/$D$121+H125+I125+12*CEILING($F$121*2*$D$120/$F$120,1)*10</f>
        <v>84600</v>
      </c>
      <c r="Z125" s="48">
        <f>100*Y125/X125</f>
        <v>23.313492063492063</v>
      </c>
      <c r="AA125" s="49">
        <f>(1-Z125/100)/(1-R125/100)*(1-$F$122)/(1-$D$122)</f>
        <v>1.2198414924954413</v>
      </c>
    </row>
    <row r="126" spans="1:27">
      <c r="A126">
        <v>3</v>
      </c>
      <c r="B126" s="236" t="s">
        <v>35</v>
      </c>
      <c r="C126" s="227" t="s">
        <v>679</v>
      </c>
      <c r="D126" s="30"/>
      <c r="E126" s="30">
        <f>2*8*D5*10</f>
        <v>8320</v>
      </c>
      <c r="F126" s="30">
        <f>40*D121*2</f>
        <v>4160</v>
      </c>
      <c r="G126" s="30">
        <f>4*D121*2</f>
        <v>416</v>
      </c>
      <c r="H126" s="30">
        <f>4*3*D121*10/20</f>
        <v>312</v>
      </c>
      <c r="I126" s="30">
        <f>1*4*240*10/20</f>
        <v>480</v>
      </c>
      <c r="J126" s="30">
        <f>2*12*D121*10</f>
        <v>12480</v>
      </c>
      <c r="K126" s="30"/>
      <c r="L126" s="22"/>
      <c r="M126" s="30">
        <f>12*14*D121*10</f>
        <v>87360</v>
      </c>
      <c r="N126" s="30">
        <f t="shared" si="116"/>
        <v>26168</v>
      </c>
      <c r="O126" s="48">
        <f t="shared" si="117"/>
        <v>29.954212454212453</v>
      </c>
      <c r="P126" s="30">
        <v>87360</v>
      </c>
      <c r="Q126" s="30">
        <v>26168</v>
      </c>
      <c r="R126" s="48">
        <v>29.954212454212453</v>
      </c>
      <c r="S126" s="49">
        <f t="shared" si="118"/>
        <v>1</v>
      </c>
      <c r="T126" s="23">
        <f>P126*$E$121/$D$121</f>
        <v>178080</v>
      </c>
      <c r="U126" s="72">
        <f>SUM(E126:G126)*$E$121/$D$121+H126+I126+12*CEILING($E$121*2*$D$120/$E$120,1)*10</f>
        <v>39800</v>
      </c>
      <c r="V126" s="48">
        <f>100*U126/T126</f>
        <v>22.349505840071878</v>
      </c>
      <c r="W126" s="49">
        <f>(1-V126/100)/(1-R126/100)*(1-$E$122)/(1-$D$122)</f>
        <v>1.1298862596417831</v>
      </c>
      <c r="X126" s="23">
        <f>P126*$F$121/$D$121</f>
        <v>362880</v>
      </c>
      <c r="Y126" s="72">
        <f>SUM(E126:G126)*$F$121/$D$121+H126+I126+12*CEILING($F$121*2*$D$120/$F$120,1)*10</f>
        <v>67320</v>
      </c>
      <c r="Z126" s="48">
        <f>100*Y126/X126</f>
        <v>18.551587301587301</v>
      </c>
      <c r="AA126" s="49">
        <f>(1-Z126/100)/(1-R126/100)*(1-$F$122)/(1-$D$122)</f>
        <v>1.207510785723624</v>
      </c>
    </row>
    <row r="127" spans="1:27">
      <c r="A127" s="237">
        <v>4</v>
      </c>
      <c r="B127" s="236" t="s">
        <v>852</v>
      </c>
      <c r="C127" s="238" t="s">
        <v>853</v>
      </c>
      <c r="D127" s="238"/>
      <c r="E127" s="236">
        <f>2*12*D121*10</f>
        <v>12480</v>
      </c>
      <c r="F127" s="236">
        <f>16*D121*2</f>
        <v>1664</v>
      </c>
      <c r="G127" s="236">
        <f>4*D121*2</f>
        <v>416</v>
      </c>
      <c r="H127" s="236">
        <f>4*3*D121*10/20</f>
        <v>312</v>
      </c>
      <c r="I127" s="236">
        <f>1*4*240*10/20</f>
        <v>480</v>
      </c>
      <c r="J127" s="236">
        <f>2*12*D121*10</f>
        <v>12480</v>
      </c>
      <c r="K127" s="236"/>
      <c r="L127" s="326"/>
      <c r="M127" s="236">
        <f>12*14*D121*10</f>
        <v>87360</v>
      </c>
      <c r="N127" s="236">
        <f t="shared" si="116"/>
        <v>27832</v>
      </c>
      <c r="O127" s="292">
        <f t="shared" si="117"/>
        <v>31.858974358974358</v>
      </c>
      <c r="P127" s="236">
        <v>87360</v>
      </c>
      <c r="Q127" s="236">
        <f>SUM(E127:J127)</f>
        <v>27832</v>
      </c>
      <c r="R127" s="292">
        <f t="shared" ref="R127:R128" si="119">100*Q127/P127</f>
        <v>31.858974358974358</v>
      </c>
      <c r="S127" s="293">
        <f t="shared" si="118"/>
        <v>1</v>
      </c>
      <c r="T127" s="238">
        <f>P127*$E$5/$D$5</f>
        <v>178080</v>
      </c>
      <c r="U127" s="294">
        <f t="shared" ref="U127:U128" si="120">SUM(E127:G127)*$E$5/$D$5+H127+I127+12*CEILING($E$5*2*$D$4/$E$4,1)*10</f>
        <v>43192</v>
      </c>
      <c r="V127" s="292">
        <f t="shared" ref="V127:V128" si="121">100*U127/T127</f>
        <v>24.254267744833783</v>
      </c>
      <c r="W127" s="293">
        <f t="shared" ref="W127:W128" si="122">(1-V127/100)/(1-R127/100)*(1-$E$6)/(1-$D$6)</f>
        <v>1.1329794382475475</v>
      </c>
      <c r="X127" s="238">
        <f t="shared" ref="X127:X128" si="123">P127*$F$5/$D$5</f>
        <v>362880</v>
      </c>
      <c r="Y127" s="294">
        <f t="shared" ref="Y127:Y128" si="124">SUM(E127:G127)*$F$5/$D$5+H127+I127+12*CEILING($F$5*2*$D$4/$F$4,1)*10</f>
        <v>74232</v>
      </c>
      <c r="Z127" s="292">
        <f t="shared" ref="Z127:Z128" si="125">100*Y127/X127</f>
        <v>20.456349206349206</v>
      </c>
      <c r="AA127" s="293">
        <f t="shared" ref="AA127:AA128" si="126">(1-Z127/100)/(1-R127/100)*(1-$F$6)/(1-$D$6)</f>
        <v>1.2122362585673969</v>
      </c>
    </row>
    <row r="128" spans="1:27">
      <c r="A128" s="237">
        <v>5</v>
      </c>
      <c r="B128" s="236" t="s">
        <v>852</v>
      </c>
      <c r="C128" s="238" t="s">
        <v>681</v>
      </c>
      <c r="D128" s="238"/>
      <c r="E128" s="236">
        <f>2*12*D121*10</f>
        <v>12480</v>
      </c>
      <c r="F128" s="236">
        <f>32*D121*2</f>
        <v>3328</v>
      </c>
      <c r="G128" s="236">
        <f>4*D121*2</f>
        <v>416</v>
      </c>
      <c r="H128" s="236">
        <f>4*3*D121*10/20</f>
        <v>312</v>
      </c>
      <c r="I128" s="236">
        <f>1*4*240*10/20</f>
        <v>480</v>
      </c>
      <c r="J128" s="236">
        <f>2*12*D121*10</f>
        <v>12480</v>
      </c>
      <c r="K128" s="236"/>
      <c r="L128" s="326"/>
      <c r="M128" s="236">
        <f>12*14*D121*10</f>
        <v>87360</v>
      </c>
      <c r="N128" s="236">
        <f t="shared" si="116"/>
        <v>29496</v>
      </c>
      <c r="O128" s="292">
        <f t="shared" si="117"/>
        <v>33.763736263736263</v>
      </c>
      <c r="P128" s="236">
        <v>87360</v>
      </c>
      <c r="Q128" s="236">
        <f>SUM(E128:J128)</f>
        <v>29496</v>
      </c>
      <c r="R128" s="292">
        <f t="shared" si="119"/>
        <v>33.763736263736263</v>
      </c>
      <c r="S128" s="293">
        <f t="shared" si="118"/>
        <v>1</v>
      </c>
      <c r="T128" s="238">
        <f t="shared" ref="T128" si="127">P128*$E$5/$D$5</f>
        <v>178080</v>
      </c>
      <c r="U128" s="294">
        <f t="shared" si="120"/>
        <v>46584</v>
      </c>
      <c r="V128" s="292">
        <f t="shared" si="121"/>
        <v>26.159029649595688</v>
      </c>
      <c r="W128" s="293">
        <f t="shared" si="122"/>
        <v>1.1362505184570717</v>
      </c>
      <c r="X128" s="238">
        <f t="shared" si="123"/>
        <v>362880</v>
      </c>
      <c r="Y128" s="294">
        <f t="shared" si="124"/>
        <v>81144</v>
      </c>
      <c r="Z128" s="292">
        <f t="shared" si="125"/>
        <v>22.361111111111111</v>
      </c>
      <c r="AA128" s="293">
        <f t="shared" si="126"/>
        <v>1.217233513065118</v>
      </c>
    </row>
    <row r="138" spans="1:27" ht="13.8">
      <c r="B138" s="62" t="s">
        <v>528</v>
      </c>
      <c r="C138" s="25"/>
    </row>
    <row r="139" spans="1:27" ht="13.8">
      <c r="B139" s="62" t="s">
        <v>529</v>
      </c>
      <c r="C139" s="62"/>
      <c r="D139" s="23" t="s">
        <v>497</v>
      </c>
      <c r="E139" s="23" t="s">
        <v>498</v>
      </c>
      <c r="F139" s="23" t="s">
        <v>499</v>
      </c>
    </row>
    <row r="140" spans="1:27" ht="13.8">
      <c r="B140" s="62" t="s">
        <v>500</v>
      </c>
      <c r="C140"/>
      <c r="D140" s="23">
        <v>20</v>
      </c>
      <c r="E140" s="23">
        <v>40</v>
      </c>
      <c r="F140" s="23">
        <v>100</v>
      </c>
    </row>
    <row r="141" spans="1:27" ht="13.8">
      <c r="B141" s="62" t="s">
        <v>530</v>
      </c>
      <c r="C141" s="62"/>
      <c r="D141" s="23">
        <v>106</v>
      </c>
      <c r="E141" s="23">
        <v>216</v>
      </c>
      <c r="F141" s="23" t="s">
        <v>216</v>
      </c>
    </row>
    <row r="142" spans="1:27" ht="13.8">
      <c r="B142" s="62" t="s">
        <v>665</v>
      </c>
      <c r="C142"/>
      <c r="D142" s="63">
        <v>4.5999999999999999E-2</v>
      </c>
      <c r="E142" s="63">
        <v>2.8000000000000001E-2</v>
      </c>
      <c r="F142" s="23" t="s">
        <v>216</v>
      </c>
    </row>
    <row r="143" spans="1:27" ht="40.799999999999997" thickBot="1">
      <c r="B143" s="26"/>
      <c r="C143" s="26" t="s">
        <v>502</v>
      </c>
      <c r="D143" s="26" t="s">
        <v>531</v>
      </c>
      <c r="E143" s="26" t="s">
        <v>438</v>
      </c>
      <c r="F143" s="26" t="s">
        <v>503</v>
      </c>
      <c r="G143" s="26" t="s">
        <v>317</v>
      </c>
      <c r="H143" s="26" t="s">
        <v>450</v>
      </c>
      <c r="I143" s="26" t="s">
        <v>411</v>
      </c>
      <c r="J143" s="26" t="s">
        <v>407</v>
      </c>
      <c r="K143" s="26" t="s">
        <v>532</v>
      </c>
      <c r="L143" s="26"/>
      <c r="M143" s="43" t="s">
        <v>504</v>
      </c>
      <c r="N143" s="43" t="s">
        <v>505</v>
      </c>
      <c r="O143" s="43" t="s">
        <v>506</v>
      </c>
      <c r="P143" s="44" t="s">
        <v>507</v>
      </c>
      <c r="Q143" s="44" t="s">
        <v>508</v>
      </c>
      <c r="R143" s="54" t="s">
        <v>509</v>
      </c>
      <c r="S143" s="55" t="s">
        <v>510</v>
      </c>
      <c r="T143" s="44" t="s">
        <v>533</v>
      </c>
      <c r="U143" s="44" t="s">
        <v>534</v>
      </c>
      <c r="V143" s="54" t="s">
        <v>535</v>
      </c>
      <c r="W143" s="55" t="s">
        <v>514</v>
      </c>
    </row>
    <row r="144" spans="1:27" ht="13.8" thickTop="1">
      <c r="A144">
        <v>1</v>
      </c>
      <c r="B144" s="358" t="s">
        <v>65</v>
      </c>
      <c r="C144" s="238" t="s">
        <v>922</v>
      </c>
      <c r="D144" s="30" t="s">
        <v>549</v>
      </c>
      <c r="E144" s="66">
        <f>12*2*D141*8</f>
        <v>20352</v>
      </c>
      <c r="F144" s="66">
        <f>8*D141*2</f>
        <v>1696</v>
      </c>
      <c r="G144" s="66">
        <v>0</v>
      </c>
      <c r="H144" s="66">
        <f>12*52*10/20</f>
        <v>312</v>
      </c>
      <c r="I144" s="66">
        <f>1*4*240*10/20</f>
        <v>480</v>
      </c>
      <c r="J144" s="66">
        <f>2*12*D141*8</f>
        <v>20352</v>
      </c>
      <c r="K144" s="66">
        <f>2*12*D141</f>
        <v>2544</v>
      </c>
      <c r="L144" s="66"/>
      <c r="M144" s="71">
        <f>12*(14*D141*6+10*D141*2+2*D141)</f>
        <v>134832</v>
      </c>
      <c r="N144" s="35">
        <f>SUM(E144:K144)</f>
        <v>45736</v>
      </c>
      <c r="O144" s="68">
        <f>N144/M144*100</f>
        <v>33.920730983742729</v>
      </c>
      <c r="P144" s="71">
        <f>M144</f>
        <v>134832</v>
      </c>
      <c r="Q144" s="35">
        <f>N144</f>
        <v>45736</v>
      </c>
      <c r="R144" s="48">
        <f t="shared" ref="R144" si="128">100*Q144/P144</f>
        <v>33.920730983742729</v>
      </c>
      <c r="S144" s="49">
        <f t="shared" ref="S144" si="129">(1-R144/100)/(1-O144/100)</f>
        <v>1</v>
      </c>
      <c r="T144" s="23">
        <f>P144*$E$141/$D$141</f>
        <v>274752</v>
      </c>
      <c r="U144" s="72">
        <f>SUM(E144:G144,K144)*$E$141/$D$141+H144+I144+12*CEILING($E$141*2*$D$140/$E$140,1)*8</f>
        <v>71640</v>
      </c>
      <c r="V144" s="48">
        <f t="shared" ref="V144" si="130">100*U144/T144</f>
        <v>26.074423480083858</v>
      </c>
      <c r="W144" s="49">
        <f>(1-V144/100)/(1-R144/100)*(1-$E$142)/(1-$D$142)</f>
        <v>1.1398491514770581</v>
      </c>
      <c r="X144" s="23"/>
      <c r="Y144" s="72"/>
      <c r="Z144" s="48"/>
      <c r="AA144" s="49"/>
    </row>
    <row r="145" spans="1:27">
      <c r="A145">
        <v>1</v>
      </c>
      <c r="B145" s="358" t="s">
        <v>65</v>
      </c>
      <c r="C145" s="238" t="s">
        <v>774</v>
      </c>
      <c r="D145" s="30" t="s">
        <v>549</v>
      </c>
      <c r="E145" s="66">
        <f>12*2*D141*8</f>
        <v>20352</v>
      </c>
      <c r="F145" s="66">
        <f>8*D141*2</f>
        <v>1696</v>
      </c>
      <c r="G145" s="66">
        <v>0</v>
      </c>
      <c r="H145" s="66">
        <f>12*52*10/20</f>
        <v>312</v>
      </c>
      <c r="I145" s="66">
        <f>1*4*240*10/20</f>
        <v>480</v>
      </c>
      <c r="J145" s="66">
        <f>2*12*D141*8</f>
        <v>20352</v>
      </c>
      <c r="K145" s="66">
        <f>2*12*D141</f>
        <v>2544</v>
      </c>
      <c r="L145" s="66"/>
      <c r="M145" s="71">
        <f>12*(14*D141*6+10*D141*2+2*D141)</f>
        <v>134832</v>
      </c>
      <c r="N145" s="35">
        <f>SUM(E145:K145)</f>
        <v>45736</v>
      </c>
      <c r="O145" s="68">
        <f>N145/M145*100</f>
        <v>33.920730983742729</v>
      </c>
      <c r="P145" s="71">
        <f>M145</f>
        <v>134832</v>
      </c>
      <c r="Q145" s="35">
        <f>N145</f>
        <v>45736</v>
      </c>
      <c r="R145" s="48">
        <f t="shared" ref="R145" si="131">100*Q145/P145</f>
        <v>33.920730983742729</v>
      </c>
      <c r="S145" s="49">
        <f t="shared" ref="S145" si="132">(1-R145/100)/(1-O145/100)</f>
        <v>1</v>
      </c>
      <c r="T145" s="23">
        <f>P145*$E$141/$D$141</f>
        <v>274752</v>
      </c>
      <c r="U145" s="72">
        <f>SUM(E145:G145,K145)*$E$141/$D$141+H145+I145+12*CEILING($E$141*2*$D$140/$E$140,1)*8</f>
        <v>71640</v>
      </c>
      <c r="V145" s="48">
        <f t="shared" ref="V145" si="133">100*U145/T145</f>
        <v>26.074423480083858</v>
      </c>
      <c r="W145" s="49">
        <f>(1-V145/100)/(1-R145/100)*(1-$E$142)/(1-$D$142)</f>
        <v>1.1398491514770581</v>
      </c>
      <c r="X145" s="23"/>
      <c r="Y145" s="72"/>
      <c r="Z145" s="48"/>
      <c r="AA145" s="49"/>
    </row>
    <row r="157" spans="1:27" s="22" customFormat="1" ht="13.8">
      <c r="A157"/>
      <c r="B157" s="62" t="s">
        <v>528</v>
      </c>
      <c r="C157" s="25"/>
      <c r="D157" s="23"/>
      <c r="E157" s="23"/>
      <c r="F157" s="23"/>
      <c r="G157" s="23"/>
      <c r="H157" s="23"/>
      <c r="I157" s="23"/>
      <c r="J157" s="23"/>
      <c r="K157" s="23"/>
      <c r="L157"/>
      <c r="M157" s="23"/>
      <c r="N157" s="23"/>
      <c r="O157" s="49"/>
      <c r="P157" s="30"/>
      <c r="Q157" s="30"/>
      <c r="R157" s="48"/>
    </row>
    <row r="158" spans="1:27" ht="13.8">
      <c r="B158" s="62" t="s">
        <v>544</v>
      </c>
      <c r="C158" s="62"/>
      <c r="D158" s="23" t="s">
        <v>497</v>
      </c>
      <c r="E158" s="23" t="s">
        <v>498</v>
      </c>
      <c r="F158" s="23" t="s">
        <v>499</v>
      </c>
    </row>
    <row r="159" spans="1:27" ht="13.8">
      <c r="B159" s="62" t="s">
        <v>500</v>
      </c>
      <c r="C159"/>
      <c r="D159" s="23">
        <v>20</v>
      </c>
      <c r="E159" s="23">
        <v>40</v>
      </c>
      <c r="F159" s="23">
        <v>100</v>
      </c>
    </row>
    <row r="160" spans="1:27" ht="13.8">
      <c r="B160" s="62" t="s">
        <v>530</v>
      </c>
      <c r="C160" s="62"/>
      <c r="D160" s="23">
        <v>51</v>
      </c>
      <c r="E160" s="23">
        <v>106</v>
      </c>
      <c r="F160" s="23">
        <v>273</v>
      </c>
    </row>
    <row r="161" spans="1:27" ht="13.8">
      <c r="B161" s="62" t="s">
        <v>665</v>
      </c>
      <c r="C161"/>
      <c r="D161" s="63">
        <v>8.2000000000000003E-2</v>
      </c>
      <c r="E161" s="63">
        <v>4.5999999999999999E-2</v>
      </c>
      <c r="F161" s="63">
        <v>1.72E-2</v>
      </c>
    </row>
    <row r="162" spans="1:27" ht="40.799999999999997" thickBot="1">
      <c r="B162" s="26"/>
      <c r="C162" s="26" t="s">
        <v>502</v>
      </c>
      <c r="D162" s="26" t="s">
        <v>531</v>
      </c>
      <c r="E162" s="26" t="s">
        <v>438</v>
      </c>
      <c r="F162" s="26" t="s">
        <v>503</v>
      </c>
      <c r="G162" s="26" t="s">
        <v>317</v>
      </c>
      <c r="H162" s="26" t="s">
        <v>450</v>
      </c>
      <c r="I162" s="26" t="s">
        <v>411</v>
      </c>
      <c r="J162" s="26" t="s">
        <v>407</v>
      </c>
      <c r="K162" s="26" t="s">
        <v>532</v>
      </c>
      <c r="L162" s="26"/>
      <c r="M162" s="43" t="s">
        <v>504</v>
      </c>
      <c r="N162" s="43" t="s">
        <v>505</v>
      </c>
      <c r="O162" s="43" t="s">
        <v>506</v>
      </c>
      <c r="P162" s="44" t="s">
        <v>507</v>
      </c>
      <c r="Q162" s="44" t="s">
        <v>508</v>
      </c>
      <c r="R162" s="54" t="s">
        <v>509</v>
      </c>
      <c r="S162" s="55" t="s">
        <v>510</v>
      </c>
      <c r="T162" s="44" t="s">
        <v>533</v>
      </c>
      <c r="U162" s="44" t="s">
        <v>534</v>
      </c>
      <c r="V162" s="54" t="s">
        <v>535</v>
      </c>
      <c r="W162" s="55" t="s">
        <v>514</v>
      </c>
      <c r="X162" s="44" t="s">
        <v>545</v>
      </c>
      <c r="Y162" s="44" t="s">
        <v>546</v>
      </c>
      <c r="Z162" s="54" t="s">
        <v>547</v>
      </c>
      <c r="AA162" s="55" t="s">
        <v>518</v>
      </c>
    </row>
    <row r="163" spans="1:27" s="198" customFormat="1" ht="14.4" thickTop="1">
      <c r="A163" s="198">
        <v>1</v>
      </c>
      <c r="B163" s="243" t="s">
        <v>32</v>
      </c>
      <c r="C163" s="239" t="s">
        <v>681</v>
      </c>
      <c r="D163" s="240" t="s">
        <v>789</v>
      </c>
      <c r="E163" s="239">
        <f>16*D160*8*2</f>
        <v>13056</v>
      </c>
      <c r="F163" s="268">
        <f>32*D160*2</f>
        <v>3264</v>
      </c>
      <c r="G163" s="268">
        <v>0</v>
      </c>
      <c r="H163" s="268">
        <f t="shared" ref="H163:H167" si="134">6*50*10/20</f>
        <v>150</v>
      </c>
      <c r="I163" s="268">
        <f t="shared" ref="I163:I167" si="135">8*4*240/2</f>
        <v>3840</v>
      </c>
      <c r="J163" s="268">
        <f>12*2*8*D160*2</f>
        <v>19584</v>
      </c>
      <c r="K163" s="227">
        <f>12*2*D160*2</f>
        <v>2448</v>
      </c>
      <c r="L163" s="239"/>
      <c r="M163" s="268">
        <f>12*D160*14*6*2+12*D160*10*2*2</f>
        <v>127296</v>
      </c>
      <c r="N163" s="268">
        <f>SUM(E163:J163)</f>
        <v>39894</v>
      </c>
      <c r="O163" s="269">
        <f>100*N163/M163</f>
        <v>31.339555052790345</v>
      </c>
      <c r="P163" s="270">
        <f>M163+K163</f>
        <v>129744</v>
      </c>
      <c r="Q163" s="270">
        <f>N163+K163</f>
        <v>42342</v>
      </c>
      <c r="R163" s="271">
        <f t="shared" ref="R163" si="136">100*Q163/P163</f>
        <v>32.635035146133923</v>
      </c>
      <c r="S163" s="251">
        <f t="shared" ref="S163:S168" si="137">(1-R163/100)/(1-O163/100)</f>
        <v>0.98113207547169812</v>
      </c>
      <c r="T163" s="212">
        <f t="shared" ref="T163:T168" si="138">P163*$E$160/$D$160</f>
        <v>269664</v>
      </c>
      <c r="U163" s="272">
        <f>SUM(E163:G163,K163)*$E$160/$D$160+H163+I163+12*CEILING($E$160*2*$D$159/$E$159,1)*8*2</f>
        <v>63350</v>
      </c>
      <c r="V163" s="266">
        <f t="shared" ref="V163:V168" si="139">100*U163/T163</f>
        <v>23.492197697875874</v>
      </c>
      <c r="W163" s="251">
        <f t="shared" ref="W163:W168" si="140">(1-V163/100)/(1-R163/100)*(1-$E$161)/(1-$D$161)</f>
        <v>1.1802590329740739</v>
      </c>
      <c r="X163" s="212">
        <f>P163*$F$160/$D$160</f>
        <v>694512</v>
      </c>
      <c r="Y163" s="272">
        <f>SUM(E163:G163,K163)*$F$160/$D$160+H163+I163+12*CEILING($F$160*2*$D$159/$F$159,1)*8*2</f>
        <v>125574</v>
      </c>
      <c r="Z163" s="266">
        <f t="shared" ref="Z163:Z168" si="141">100*Y163/X163</f>
        <v>18.080897090331053</v>
      </c>
      <c r="AA163" s="251">
        <f>(1-Z163/100)/(1-R163/100)*(1-$F$161)/(1-$D$161)</f>
        <v>1.3018878286538067</v>
      </c>
    </row>
    <row r="164" spans="1:27" s="198" customFormat="1" ht="26.4">
      <c r="A164" s="249">
        <v>2</v>
      </c>
      <c r="B164" s="236" t="s">
        <v>32</v>
      </c>
      <c r="C164" s="227" t="s">
        <v>686</v>
      </c>
      <c r="D164" s="241" t="s">
        <v>790</v>
      </c>
      <c r="E164" s="273">
        <f>2*12*D160*7*2</f>
        <v>17136</v>
      </c>
      <c r="F164" s="274">
        <f>32*D160*2</f>
        <v>3264</v>
      </c>
      <c r="G164" s="274">
        <v>0</v>
      </c>
      <c r="H164" s="274">
        <f t="shared" si="134"/>
        <v>150</v>
      </c>
      <c r="I164" s="274">
        <f t="shared" si="135"/>
        <v>3840</v>
      </c>
      <c r="J164" s="274">
        <f>12*2*7*D160*2</f>
        <v>17136</v>
      </c>
      <c r="K164" s="275">
        <f>12*2*D160*2</f>
        <v>2448</v>
      </c>
      <c r="L164" s="273"/>
      <c r="M164" s="274">
        <f>12*D160*14*5*2+12*D160*10*2*2</f>
        <v>110160</v>
      </c>
      <c r="N164" s="274">
        <f t="shared" ref="N164:N165" si="142">SUM(E164:J164)</f>
        <v>41526</v>
      </c>
      <c r="O164" s="276">
        <f t="shared" ref="O164:O165" si="143">100*N164/M164</f>
        <v>37.696078431372548</v>
      </c>
      <c r="P164" s="227">
        <f>D160*12*(14*5+10*2+1*2)*2</f>
        <v>112608</v>
      </c>
      <c r="Q164" s="227">
        <f>SUM(E164:K164)</f>
        <v>43974</v>
      </c>
      <c r="R164" s="266">
        <f>100*Q164/P164</f>
        <v>39.050511508951409</v>
      </c>
      <c r="S164" s="251">
        <f t="shared" si="137"/>
        <v>0.97826086956521741</v>
      </c>
      <c r="T164" s="212">
        <f t="shared" si="138"/>
        <v>234048</v>
      </c>
      <c r="U164" s="272">
        <f>SUM(E164:G164,K164)*$E$160/$D$160+H164+I164+12*CEILING($E$160*2*$D$159/$E$159,1)*7*2</f>
        <v>69286</v>
      </c>
      <c r="V164" s="266">
        <f t="shared" si="139"/>
        <v>29.603329231610608</v>
      </c>
      <c r="W164" s="251">
        <f t="shared" si="140"/>
        <v>1.2002943147711045</v>
      </c>
      <c r="X164" s="212">
        <f t="shared" ref="X164:X165" si="144">P164*$F$160/$D$160</f>
        <v>602784</v>
      </c>
      <c r="Y164" s="272">
        <f>SUM(E164:G164,K164)*$F$160/$D$160+H164+I164+12*CEILING($F$160*2*$D$159/$F$159,1)*7*2</f>
        <v>144774</v>
      </c>
      <c r="Z164" s="266">
        <f t="shared" si="141"/>
        <v>24.017558528428093</v>
      </c>
      <c r="AA164" s="251">
        <f t="shared" ref="AA164:AA165" si="145">(1-Z164/100)/(1-R164/100)*(1-$F$161)/(1-$D$161)</f>
        <v>1.3346446367689482</v>
      </c>
    </row>
    <row r="165" spans="1:27" s="198" customFormat="1" ht="26.4">
      <c r="A165" s="249">
        <v>3</v>
      </c>
      <c r="B165" s="236" t="s">
        <v>32</v>
      </c>
      <c r="C165" s="227" t="s">
        <v>686</v>
      </c>
      <c r="D165" s="277" t="s">
        <v>787</v>
      </c>
      <c r="E165" s="273">
        <f>2*12*D160*8*2</f>
        <v>19584</v>
      </c>
      <c r="F165" s="274">
        <f>32*D160*2</f>
        <v>3264</v>
      </c>
      <c r="G165" s="274">
        <v>0</v>
      </c>
      <c r="H165" s="274">
        <f t="shared" si="134"/>
        <v>150</v>
      </c>
      <c r="I165" s="274">
        <f t="shared" si="135"/>
        <v>3840</v>
      </c>
      <c r="J165" s="274">
        <f>12*2*8*D160*2</f>
        <v>19584</v>
      </c>
      <c r="K165" s="275">
        <f>12*2*D160*2</f>
        <v>2448</v>
      </c>
      <c r="L165" s="273"/>
      <c r="M165" s="274">
        <f>12*D160*14*7*2+12*D160*6*1*2</f>
        <v>127296</v>
      </c>
      <c r="N165" s="274">
        <f t="shared" si="142"/>
        <v>46422</v>
      </c>
      <c r="O165" s="276">
        <f t="shared" si="143"/>
        <v>36.467760180995477</v>
      </c>
      <c r="P165" s="227">
        <f>D160*12*(14*7+6*1+2*1)*2</f>
        <v>129744</v>
      </c>
      <c r="Q165" s="227">
        <f>SUM(E165:K165)</f>
        <v>48870</v>
      </c>
      <c r="R165" s="266">
        <f>100*Q165/P165</f>
        <v>37.666481687014425</v>
      </c>
      <c r="S165" s="251">
        <f t="shared" si="137"/>
        <v>0.98113207547169812</v>
      </c>
      <c r="T165" s="212">
        <f t="shared" si="138"/>
        <v>269664</v>
      </c>
      <c r="U165" s="272">
        <f>SUM(E165:G165,K165)*$E$160/$D$160+H165+I165+12*CEILING($E$160*2*$D$159/$E$159,1)*8*2</f>
        <v>76918</v>
      </c>
      <c r="V165" s="266">
        <f t="shared" si="139"/>
        <v>28.523644238756379</v>
      </c>
      <c r="W165" s="251">
        <f t="shared" si="140"/>
        <v>1.191643791577021</v>
      </c>
      <c r="X165" s="212">
        <f t="shared" si="144"/>
        <v>694512</v>
      </c>
      <c r="Y165" s="272">
        <f>SUM(E165:G165,K165)*$F$160/$D$160+H165+I165+12*CEILING($F$160*2*$D$159/$F$159,1)*8*2</f>
        <v>160518</v>
      </c>
      <c r="Z165" s="266">
        <f t="shared" si="141"/>
        <v>23.112343631211555</v>
      </c>
      <c r="AA165" s="251">
        <f t="shared" si="145"/>
        <v>1.3205579048890868</v>
      </c>
    </row>
    <row r="166" spans="1:27" s="198" customFormat="1" ht="26.4">
      <c r="A166" s="249">
        <v>4</v>
      </c>
      <c r="B166" s="236" t="s">
        <v>32</v>
      </c>
      <c r="C166" s="227" t="s">
        <v>685</v>
      </c>
      <c r="D166" s="241" t="s">
        <v>790</v>
      </c>
      <c r="E166" s="273">
        <f>2*8*D160*7*2</f>
        <v>11424</v>
      </c>
      <c r="F166" s="274">
        <f>32*D160*2</f>
        <v>3264</v>
      </c>
      <c r="G166" s="274">
        <v>0</v>
      </c>
      <c r="H166" s="274">
        <f t="shared" si="134"/>
        <v>150</v>
      </c>
      <c r="I166" s="274">
        <f t="shared" si="135"/>
        <v>3840</v>
      </c>
      <c r="J166" s="274">
        <f>12*2*7*D160*2</f>
        <v>17136</v>
      </c>
      <c r="K166" s="275">
        <f>12*2*D160*2</f>
        <v>2448</v>
      </c>
      <c r="L166" s="273"/>
      <c r="M166" s="274">
        <f>12*D160*14*5*2+12*D160*10*2*2</f>
        <v>110160</v>
      </c>
      <c r="N166" s="274">
        <f t="shared" ref="N166:N167" si="146">SUM(E166:J166)</f>
        <v>35814</v>
      </c>
      <c r="O166" s="276">
        <f t="shared" ref="O166:O167" si="147">100*N166/M166</f>
        <v>32.510893246187365</v>
      </c>
      <c r="P166" s="227">
        <f>D160*12*(14*5+10*2+1*2)*2</f>
        <v>112608</v>
      </c>
      <c r="Q166" s="227">
        <f>SUM(E166:K166)</f>
        <v>38262</v>
      </c>
      <c r="R166" s="266">
        <f>100*Q166/P166</f>
        <v>33.978047740835464</v>
      </c>
      <c r="S166" s="251">
        <f t="shared" si="137"/>
        <v>0.97826086956521752</v>
      </c>
      <c r="T166" s="212">
        <f t="shared" si="138"/>
        <v>234048</v>
      </c>
      <c r="U166" s="272">
        <f>SUM(E166:G166,K166)*$E$160/$D$160+H166+I166+12*CEILING($E$160*2*$D$159/$E$159,1)*7*2</f>
        <v>57414</v>
      </c>
      <c r="V166" s="266">
        <f t="shared" si="139"/>
        <v>24.530865463494667</v>
      </c>
      <c r="W166" s="251">
        <f t="shared" si="140"/>
        <v>1.1879186506335242</v>
      </c>
      <c r="X166" s="212">
        <f t="shared" ref="X166:X167" si="148">P166*$F$160/$D$160</f>
        <v>602784</v>
      </c>
      <c r="Y166" s="272">
        <f>SUM(E166:G166,K166)*$F$160/$D$160+H166+I166+12*CEILING($F$160*2*$D$159/$F$159,1)*7*2</f>
        <v>114198</v>
      </c>
      <c r="Z166" s="266">
        <f t="shared" si="141"/>
        <v>18.945094760312152</v>
      </c>
      <c r="AA166" s="251">
        <f t="shared" ref="AA166:AA167" si="149">(1-Z166/100)/(1-R166/100)*(1-$F$161)/(1-$D$161)</f>
        <v>1.3143571947381163</v>
      </c>
    </row>
    <row r="167" spans="1:27" s="198" customFormat="1" ht="26.4">
      <c r="A167" s="249">
        <v>5</v>
      </c>
      <c r="B167" s="236" t="s">
        <v>32</v>
      </c>
      <c r="C167" s="227" t="s">
        <v>685</v>
      </c>
      <c r="D167" s="277" t="s">
        <v>788</v>
      </c>
      <c r="E167" s="273">
        <f>2*8*D160*8*2</f>
        <v>13056</v>
      </c>
      <c r="F167" s="274">
        <f>32*D160*2</f>
        <v>3264</v>
      </c>
      <c r="G167" s="274">
        <v>0</v>
      </c>
      <c r="H167" s="274">
        <f t="shared" si="134"/>
        <v>150</v>
      </c>
      <c r="I167" s="274">
        <f t="shared" si="135"/>
        <v>3840</v>
      </c>
      <c r="J167" s="274">
        <f>12*2*8*D160*2</f>
        <v>19584</v>
      </c>
      <c r="K167" s="275">
        <f>12*2*D160*2</f>
        <v>2448</v>
      </c>
      <c r="L167" s="273"/>
      <c r="M167" s="274">
        <f>12*D160*14*7*2+12*D160*6*1*2</f>
        <v>127296</v>
      </c>
      <c r="N167" s="274">
        <f t="shared" si="146"/>
        <v>39894</v>
      </c>
      <c r="O167" s="276">
        <f t="shared" si="147"/>
        <v>31.339555052790345</v>
      </c>
      <c r="P167" s="227">
        <f>D160*12*(14*7+6*1+2*1)*2</f>
        <v>129744</v>
      </c>
      <c r="Q167" s="227">
        <f>SUM(E167:K167)</f>
        <v>42342</v>
      </c>
      <c r="R167" s="266">
        <f>100*Q167/P167</f>
        <v>32.635035146133923</v>
      </c>
      <c r="S167" s="251">
        <f t="shared" si="137"/>
        <v>0.98113207547169812</v>
      </c>
      <c r="T167" s="212">
        <f t="shared" si="138"/>
        <v>269664</v>
      </c>
      <c r="U167" s="272">
        <f>SUM(E167:G167,K167)*$E$160/$D$160+H167+I167+12*CEILING($E$160*2*$D$159/$E$159,1)*8*2</f>
        <v>63350</v>
      </c>
      <c r="V167" s="266">
        <f t="shared" si="139"/>
        <v>23.492197697875874</v>
      </c>
      <c r="W167" s="251">
        <f t="shared" si="140"/>
        <v>1.1802590329740739</v>
      </c>
      <c r="X167" s="212">
        <f t="shared" si="148"/>
        <v>694512</v>
      </c>
      <c r="Y167" s="272">
        <f>SUM(E167:G167,K167)*$F$160/$D$160+H167+I167+12*CEILING($F$160*2*$D$159/$F$159,1)*8*2</f>
        <v>125574</v>
      </c>
      <c r="Z167" s="266">
        <f t="shared" si="141"/>
        <v>18.080897090331053</v>
      </c>
      <c r="AA167" s="251">
        <f t="shared" si="149"/>
        <v>1.3018878286538067</v>
      </c>
    </row>
    <row r="168" spans="1:27" s="198" customFormat="1" ht="13.8">
      <c r="A168" s="249">
        <v>6</v>
      </c>
      <c r="B168" s="236" t="s">
        <v>708</v>
      </c>
      <c r="C168" s="212" t="s">
        <v>842</v>
      </c>
      <c r="D168" s="240" t="s">
        <v>789</v>
      </c>
      <c r="E168" s="370">
        <v>8402</v>
      </c>
      <c r="F168" s="371">
        <f>32*D160*2</f>
        <v>3264</v>
      </c>
      <c r="G168" s="370">
        <v>0</v>
      </c>
      <c r="H168" s="370">
        <f>3*4*D160*10/20</f>
        <v>306</v>
      </c>
      <c r="I168" s="370">
        <f>2*4*240*1/2</f>
        <v>960</v>
      </c>
      <c r="J168" s="268">
        <f>12*2*8*D160*2</f>
        <v>19584</v>
      </c>
      <c r="K168" s="227">
        <f>12*2*D160*2</f>
        <v>2448</v>
      </c>
      <c r="L168" s="239"/>
      <c r="M168" s="268">
        <f>12*D160*14*6*2+12*D160*10*2*2</f>
        <v>127296</v>
      </c>
      <c r="N168" s="268">
        <f>SUM(E168:J168)</f>
        <v>32516</v>
      </c>
      <c r="O168" s="269">
        <f>100*N168/M168</f>
        <v>25.543614881850175</v>
      </c>
      <c r="P168" s="270">
        <f>M168+K168</f>
        <v>129744</v>
      </c>
      <c r="Q168" s="270">
        <f>N168+K168</f>
        <v>34964</v>
      </c>
      <c r="R168" s="271">
        <f t="shared" ref="R168" si="150">100*Q168/P168</f>
        <v>26.948452336909607</v>
      </c>
      <c r="S168" s="251">
        <f t="shared" si="137"/>
        <v>0.98113207547169801</v>
      </c>
      <c r="T168" s="212">
        <f t="shared" si="138"/>
        <v>269664</v>
      </c>
      <c r="U168" s="272">
        <f>SUM(E168:G168,K168)*$E$160/$D$160+H168+I168+12*CEILING($E$160*2*$D$159/$E$159,1)*8*2</f>
        <v>50952.980392156867</v>
      </c>
      <c r="V168" s="266">
        <f t="shared" si="139"/>
        <v>18.894987982139575</v>
      </c>
      <c r="W168" s="251">
        <f t="shared" si="140"/>
        <v>1.1537825469922089</v>
      </c>
      <c r="X168" s="212">
        <f>P168*$F$160/$D$160</f>
        <v>694512</v>
      </c>
      <c r="Y168" s="272">
        <f>SUM(E168:G168,K168)*$F$160/$D$160+H168+I168+12*CEILING($F$160*2*$D$159/$F$159,1)*8*2</f>
        <v>97937.411764705888</v>
      </c>
      <c r="Z168" s="266">
        <f t="shared" si="141"/>
        <v>14.101615488962882</v>
      </c>
      <c r="AA168" s="251">
        <f>(1-Z168/100)/(1-R168/100)*(1-$F$161)/(1-$D$161)</f>
        <v>1.2588617603614563</v>
      </c>
    </row>
    <row r="169" spans="1:27" ht="13.8">
      <c r="A169" s="249">
        <v>7</v>
      </c>
      <c r="B169" s="236" t="s">
        <v>708</v>
      </c>
      <c r="C169" s="212" t="s">
        <v>843</v>
      </c>
      <c r="D169" s="240" t="s">
        <v>789</v>
      </c>
      <c r="E169" s="370">
        <v>8491</v>
      </c>
      <c r="F169" s="371">
        <f>32*D160*2</f>
        <v>3264</v>
      </c>
      <c r="G169" s="370">
        <v>0</v>
      </c>
      <c r="H169" s="370">
        <f>3*4*D160*10/20</f>
        <v>306</v>
      </c>
      <c r="I169" s="370">
        <f>2*4*240*1/2</f>
        <v>960</v>
      </c>
      <c r="J169" s="268">
        <f>12*2*8*D160*2</f>
        <v>19584</v>
      </c>
      <c r="K169" s="227">
        <f>12*2*D160*2</f>
        <v>2448</v>
      </c>
      <c r="L169" s="239"/>
      <c r="M169" s="268">
        <f>12*D160*14*6*2+12*D160*10*2*2</f>
        <v>127296</v>
      </c>
      <c r="N169" s="268">
        <f>SUM(E169:J169)</f>
        <v>32605</v>
      </c>
      <c r="O169" s="269">
        <f>100*N169/M169</f>
        <v>25.613530668677729</v>
      </c>
      <c r="P169" s="270">
        <f>M169+K169</f>
        <v>129744</v>
      </c>
      <c r="Q169" s="270">
        <f>N169+K169</f>
        <v>35053</v>
      </c>
      <c r="R169" s="271">
        <f t="shared" ref="R169:R170" si="151">100*Q169/P169</f>
        <v>27.01704895794796</v>
      </c>
      <c r="S169" s="251">
        <f t="shared" ref="S169:S170" si="152">(1-R169/100)/(1-O169/100)</f>
        <v>0.98113207547169812</v>
      </c>
      <c r="T169" s="212">
        <f t="shared" ref="T169:T170" si="153">P169*$E$160/$D$160</f>
        <v>269664</v>
      </c>
      <c r="U169" s="272">
        <f>SUM(E169:G169,K169)*$E$160/$D$160+H169+I169+12*CEILING($E$160*2*$D$159/$E$159,1)*8*2</f>
        <v>51137.96078431372</v>
      </c>
      <c r="V169" s="266">
        <f t="shared" ref="V169:V170" si="154">100*U169/T169</f>
        <v>18.963584603177924</v>
      </c>
      <c r="W169" s="251">
        <f t="shared" ref="W169:W170" si="155">(1-V169/100)/(1-R169/100)*(1-$E$161)/(1-$D$161)</f>
        <v>1.1538902282988153</v>
      </c>
      <c r="X169" s="212">
        <f>P169*$F$160/$D$160</f>
        <v>694512</v>
      </c>
      <c r="Y169" s="272">
        <f>SUM(E169:G169,K169)*$F$160/$D$160+H169+I169+12*CEILING($F$160*2*$D$159/$F$159,1)*8*2</f>
        <v>98413.823529411762</v>
      </c>
      <c r="Z169" s="266">
        <f t="shared" ref="Z169:Z170" si="156">100*Y169/X169</f>
        <v>14.170212110001232</v>
      </c>
      <c r="AA169" s="251">
        <f>(1-Z169/100)/(1-R169/100)*(1-$F$161)/(1-$D$161)</f>
        <v>1.2590387185066969</v>
      </c>
    </row>
    <row r="170" spans="1:27" s="198" customFormat="1" ht="13.8">
      <c r="A170" s="198">
        <v>8</v>
      </c>
      <c r="B170" s="243" t="s">
        <v>953</v>
      </c>
      <c r="C170" s="212" t="s">
        <v>954</v>
      </c>
      <c r="D170" s="240" t="s">
        <v>789</v>
      </c>
      <c r="E170" s="239">
        <f>24*D160*8*2</f>
        <v>19584</v>
      </c>
      <c r="F170" s="268">
        <f>8*D160*2</f>
        <v>816</v>
      </c>
      <c r="G170" s="268">
        <f>8*D160*2</f>
        <v>816</v>
      </c>
      <c r="H170" s="268">
        <f>12*51*10/20</f>
        <v>306</v>
      </c>
      <c r="I170" s="268">
        <f>1*4*240/2</f>
        <v>480</v>
      </c>
      <c r="J170" s="268">
        <f>12*2*8*D160*2</f>
        <v>19584</v>
      </c>
      <c r="K170" s="227">
        <f>12*2*D160*2</f>
        <v>2448</v>
      </c>
      <c r="L170" s="239"/>
      <c r="M170" s="268">
        <f>12*D160*14*6*2+12*D160*11*2*2</f>
        <v>129744</v>
      </c>
      <c r="N170" s="268">
        <f>SUM(E170:K170)</f>
        <v>44034</v>
      </c>
      <c r="O170" s="269">
        <f>100*N170/M170</f>
        <v>33.939141694413614</v>
      </c>
      <c r="P170" s="270">
        <f>M170</f>
        <v>129744</v>
      </c>
      <c r="Q170" s="270">
        <f>N170</f>
        <v>44034</v>
      </c>
      <c r="R170" s="271">
        <f t="shared" si="151"/>
        <v>33.939141694413614</v>
      </c>
      <c r="S170" s="251">
        <f t="shared" si="152"/>
        <v>1</v>
      </c>
      <c r="T170" s="212">
        <f t="shared" si="153"/>
        <v>269664</v>
      </c>
      <c r="U170" s="272">
        <f>SUM(E170:G170,K170)*$E$160/$D$160+H170+I170+12*CEILING($E$160*2*$D$159/$E$159,1)*8*2</f>
        <v>70322</v>
      </c>
      <c r="V170" s="266">
        <f t="shared" si="154"/>
        <v>26.077637356117243</v>
      </c>
      <c r="W170" s="251">
        <f t="shared" si="155"/>
        <v>1.1628864776572159</v>
      </c>
      <c r="X170" s="212">
        <f>P170*$F$160/$D$160</f>
        <v>694512</v>
      </c>
      <c r="Y170" s="272">
        <f>SUM(E170:G170,K170)*$F$160/$D$160+H170+I170+12*CEILING($F$160*2*$D$159/$F$159,1)*8*2</f>
        <v>148578</v>
      </c>
      <c r="Z170" s="266">
        <f t="shared" si="156"/>
        <v>21.393150874282949</v>
      </c>
      <c r="AA170" s="251">
        <f>(1-Z170/100)/(1-R170/100)*(1-$F$161)/(1-$D$161)</f>
        <v>1.2739096954847742</v>
      </c>
    </row>
    <row r="171" spans="1:27" s="198" customFormat="1" ht="13.8">
      <c r="A171" s="198">
        <v>9</v>
      </c>
      <c r="B171" s="243" t="s">
        <v>953</v>
      </c>
      <c r="C171" s="212" t="s">
        <v>955</v>
      </c>
      <c r="D171" s="240" t="s">
        <v>789</v>
      </c>
      <c r="E171" s="239">
        <f>24*D160*8*2</f>
        <v>19584</v>
      </c>
      <c r="F171" s="268">
        <f>32*D160*2</f>
        <v>3264</v>
      </c>
      <c r="G171" s="268">
        <f>8*D160*2</f>
        <v>816</v>
      </c>
      <c r="H171" s="268">
        <f>12*51*10/20</f>
        <v>306</v>
      </c>
      <c r="I171" s="268">
        <f>1*4*240/2</f>
        <v>480</v>
      </c>
      <c r="J171" s="268">
        <f>12*2*8*D160*2</f>
        <v>19584</v>
      </c>
      <c r="K171" s="227">
        <f>12*2*D160*2</f>
        <v>2448</v>
      </c>
      <c r="L171" s="239"/>
      <c r="M171" s="268">
        <f>12*D160*14*6*2+12*D160*11*2*2</f>
        <v>129744</v>
      </c>
      <c r="N171" s="268">
        <f>SUM(E171:K171)</f>
        <v>46482</v>
      </c>
      <c r="O171" s="269">
        <f>100*N171/M171</f>
        <v>35.825934147243807</v>
      </c>
      <c r="P171" s="270">
        <f>M171</f>
        <v>129744</v>
      </c>
      <c r="Q171" s="270">
        <f>N171</f>
        <v>46482</v>
      </c>
      <c r="R171" s="271">
        <f t="shared" ref="R171" si="157">100*Q171/P171</f>
        <v>35.825934147243807</v>
      </c>
      <c r="S171" s="251">
        <f t="shared" ref="S171" si="158">(1-R171/100)/(1-O171/100)</f>
        <v>1</v>
      </c>
      <c r="T171" s="212">
        <f t="shared" ref="T171" si="159">P171*$E$160/$D$160</f>
        <v>269664</v>
      </c>
      <c r="U171" s="272">
        <f>SUM(E171:G171,K171)*$E$160/$D$160+H171+I171+12*CEILING($E$160*2*$D$159/$E$159,1)*8*2</f>
        <v>75410</v>
      </c>
      <c r="V171" s="266">
        <f t="shared" ref="V171" si="160">100*U171/T171</f>
        <v>27.964429808947433</v>
      </c>
      <c r="W171" s="251">
        <f t="shared" ref="W171" si="161">(1-V171/100)/(1-R171/100)*(1-$E$161)/(1-$D$161)</f>
        <v>1.1665225432970621</v>
      </c>
      <c r="X171" s="212">
        <f>P171*$F$160/$D$160</f>
        <v>694512</v>
      </c>
      <c r="Y171" s="272">
        <f>SUM(E171:G171,K171)*$F$160/$D$160+H171+I171+12*CEILING($F$160*2*$D$159/$F$159,1)*8*2</f>
        <v>161682</v>
      </c>
      <c r="Z171" s="266">
        <f t="shared" ref="Z171" si="162">100*Y171/X171</f>
        <v>23.279943327113138</v>
      </c>
      <c r="AA171" s="251">
        <f>(1-Z171/100)/(1-R171/100)*(1-$F$161)/(1-$D$161)</f>
        <v>1.2798875837717085</v>
      </c>
    </row>
    <row r="182" spans="2:20" ht="13.8">
      <c r="B182" s="62" t="s">
        <v>753</v>
      </c>
      <c r="C182" s="62"/>
      <c r="T182" s="23"/>
    </row>
    <row r="183" spans="2:20" ht="13.8">
      <c r="B183" s="62" t="s">
        <v>496</v>
      </c>
      <c r="C183" s="62"/>
      <c r="D183" s="23" t="s">
        <v>497</v>
      </c>
      <c r="T183" s="23"/>
    </row>
    <row r="184" spans="2:20" ht="13.8">
      <c r="B184" s="62" t="s">
        <v>754</v>
      </c>
      <c r="C184"/>
      <c r="D184" s="23">
        <v>10</v>
      </c>
      <c r="T184" s="23"/>
    </row>
    <row r="185" spans="2:20" ht="13.8">
      <c r="B185" s="62" t="s">
        <v>501</v>
      </c>
      <c r="C185" s="62"/>
      <c r="D185" s="23">
        <v>50</v>
      </c>
      <c r="T185" s="23"/>
    </row>
    <row r="186" spans="2:20" ht="13.8">
      <c r="B186" s="62" t="s">
        <v>755</v>
      </c>
      <c r="C186"/>
      <c r="D186" s="63">
        <v>0.1</v>
      </c>
      <c r="E186" s="63"/>
      <c r="F186" s="63"/>
      <c r="T186" s="23"/>
    </row>
    <row r="187" spans="2:20" ht="64.5" customHeight="1" thickBot="1">
      <c r="B187" s="26"/>
      <c r="C187" s="26" t="s">
        <v>502</v>
      </c>
      <c r="D187" s="26"/>
      <c r="E187" s="26" t="s">
        <v>438</v>
      </c>
      <c r="F187" s="26" t="s">
        <v>503</v>
      </c>
      <c r="G187" s="26" t="s">
        <v>317</v>
      </c>
      <c r="H187" s="26" t="s">
        <v>756</v>
      </c>
      <c r="I187" s="26" t="s">
        <v>757</v>
      </c>
      <c r="J187" s="26" t="s">
        <v>407</v>
      </c>
      <c r="K187" s="26" t="s">
        <v>758</v>
      </c>
      <c r="L187" s="26"/>
      <c r="M187" s="43" t="s">
        <v>504</v>
      </c>
      <c r="N187" s="43" t="s">
        <v>505</v>
      </c>
      <c r="O187" s="43" t="s">
        <v>506</v>
      </c>
      <c r="P187" s="44" t="s">
        <v>507</v>
      </c>
      <c r="Q187" s="44" t="s">
        <v>508</v>
      </c>
      <c r="R187" s="54" t="s">
        <v>509</v>
      </c>
      <c r="S187" s="55" t="s">
        <v>510</v>
      </c>
    </row>
    <row r="188" spans="2:20" s="198" customFormat="1" ht="14.4" thickTop="1">
      <c r="B188" s="278" t="s">
        <v>770</v>
      </c>
      <c r="C188" s="212" t="s">
        <v>772</v>
      </c>
      <c r="D188" s="212"/>
      <c r="E188" s="212">
        <f>12*D185*10</f>
        <v>6000</v>
      </c>
      <c r="F188" s="265">
        <f>8*D185*2</f>
        <v>800</v>
      </c>
      <c r="G188" s="265">
        <f>4*D185*2</f>
        <v>400</v>
      </c>
      <c r="H188" s="265">
        <v>288</v>
      </c>
      <c r="I188" s="265">
        <v>240</v>
      </c>
      <c r="J188" s="265">
        <f>12*D185*2*10</f>
        <v>12000</v>
      </c>
      <c r="K188" s="265">
        <f>12*D185*(10-6)</f>
        <v>2400</v>
      </c>
      <c r="M188" s="227">
        <f>12*D185*14*10</f>
        <v>84000</v>
      </c>
      <c r="N188" s="227">
        <f>SUM(E188:K188)</f>
        <v>22128</v>
      </c>
      <c r="O188" s="266">
        <f t="shared" ref="O188" si="163">100*N188/M188</f>
        <v>26.342857142857142</v>
      </c>
      <c r="P188" s="227">
        <f>M188</f>
        <v>84000</v>
      </c>
      <c r="Q188" s="227">
        <f>SUM(D188:K188)</f>
        <v>22128</v>
      </c>
      <c r="R188" s="266">
        <f t="shared" ref="R188" si="164">100*Q188/P188</f>
        <v>26.342857142857142</v>
      </c>
      <c r="S188" s="251">
        <f t="shared" ref="S188" si="165">(1-R188/100)/(1-O188/100)</f>
        <v>1</v>
      </c>
      <c r="T188" s="212"/>
    </row>
    <row r="189" spans="2:20" s="198" customFormat="1" ht="13.8">
      <c r="B189" s="278" t="s">
        <v>759</v>
      </c>
      <c r="C189" s="212" t="s">
        <v>771</v>
      </c>
      <c r="D189" s="212"/>
      <c r="E189" s="212">
        <f>12*D185*10</f>
        <v>6000</v>
      </c>
      <c r="F189" s="265">
        <f>32*D185</f>
        <v>1600</v>
      </c>
      <c r="G189" s="265">
        <v>0</v>
      </c>
      <c r="H189" s="265">
        <v>288</v>
      </c>
      <c r="I189" s="265">
        <v>240</v>
      </c>
      <c r="J189" s="265">
        <f>12*D185*2*10</f>
        <v>12000</v>
      </c>
      <c r="K189" s="265">
        <f>16*D185*(10-6)</f>
        <v>3200</v>
      </c>
      <c r="M189" s="227">
        <f>12*D185*14*10</f>
        <v>84000</v>
      </c>
      <c r="N189" s="227">
        <f>SUM(E189:K189)</f>
        <v>23328</v>
      </c>
      <c r="O189" s="266">
        <f t="shared" ref="O189" si="166">100*N189/M189</f>
        <v>27.771428571428572</v>
      </c>
      <c r="P189" s="227">
        <f>M189</f>
        <v>84000</v>
      </c>
      <c r="Q189" s="227">
        <f>SUM(D189:K189)</f>
        <v>23328</v>
      </c>
      <c r="R189" s="266">
        <f t="shared" ref="R189" si="167">100*Q189/P189</f>
        <v>27.771428571428572</v>
      </c>
      <c r="S189" s="251">
        <f t="shared" ref="S189" si="168">(1-R189/100)/(1-O189/100)</f>
        <v>1</v>
      </c>
      <c r="T189" s="212"/>
    </row>
    <row r="190" spans="2:20">
      <c r="C190"/>
      <c r="T190" s="23"/>
    </row>
    <row r="191" spans="2:20">
      <c r="C191"/>
      <c r="T191" s="23"/>
    </row>
    <row r="192" spans="2:20">
      <c r="C192"/>
      <c r="T192" s="23"/>
    </row>
    <row r="193" spans="1:26">
      <c r="C193"/>
      <c r="T193" s="23"/>
    </row>
    <row r="194" spans="1:26">
      <c r="C194"/>
      <c r="T194" s="23"/>
    </row>
    <row r="195" spans="1:26">
      <c r="C195"/>
      <c r="T195" s="23"/>
    </row>
    <row r="196" spans="1:26">
      <c r="C196"/>
      <c r="T196" s="23"/>
    </row>
    <row r="197" spans="1:26">
      <c r="C197"/>
      <c r="T197" s="23"/>
    </row>
    <row r="198" spans="1:26" ht="13.8">
      <c r="B198" s="62" t="s">
        <v>760</v>
      </c>
      <c r="C198" s="62"/>
      <c r="S198" s="60"/>
      <c r="T198" s="23"/>
    </row>
    <row r="199" spans="1:26" ht="13.8">
      <c r="B199" s="62" t="s">
        <v>529</v>
      </c>
      <c r="C199" s="62"/>
      <c r="D199" s="23" t="s">
        <v>497</v>
      </c>
      <c r="S199" s="60"/>
      <c r="T199" s="23"/>
    </row>
    <row r="200" spans="1:26" ht="13.8">
      <c r="B200" s="62" t="s">
        <v>754</v>
      </c>
      <c r="C200"/>
      <c r="D200" s="23">
        <v>20</v>
      </c>
      <c r="S200" s="60"/>
      <c r="T200" s="23"/>
    </row>
    <row r="201" spans="1:26" ht="13.8">
      <c r="B201" s="62" t="s">
        <v>530</v>
      </c>
      <c r="C201" s="62"/>
      <c r="D201" s="23">
        <v>100</v>
      </c>
      <c r="S201" s="60"/>
      <c r="T201" s="23"/>
    </row>
    <row r="202" spans="1:26" ht="13.8">
      <c r="B202" s="62" t="s">
        <v>761</v>
      </c>
      <c r="C202"/>
      <c r="D202" s="63">
        <v>0.1</v>
      </c>
      <c r="E202" s="63"/>
      <c r="S202" s="60"/>
      <c r="T202" s="23"/>
    </row>
    <row r="203" spans="1:26" ht="58.5" customHeight="1" thickBot="1">
      <c r="B203" s="26"/>
      <c r="C203" s="26" t="s">
        <v>502</v>
      </c>
      <c r="D203" s="26" t="s">
        <v>531</v>
      </c>
      <c r="E203" s="26" t="s">
        <v>438</v>
      </c>
      <c r="F203" s="26" t="s">
        <v>503</v>
      </c>
      <c r="G203" s="26" t="s">
        <v>317</v>
      </c>
      <c r="H203" s="26" t="s">
        <v>762</v>
      </c>
      <c r="I203" s="26" t="s">
        <v>763</v>
      </c>
      <c r="J203" s="26" t="s">
        <v>407</v>
      </c>
      <c r="K203" s="26" t="s">
        <v>764</v>
      </c>
      <c r="L203" s="26" t="s">
        <v>765</v>
      </c>
      <c r="N203" s="43" t="s">
        <v>504</v>
      </c>
      <c r="O203" s="43" t="s">
        <v>505</v>
      </c>
      <c r="P203" s="43" t="s">
        <v>506</v>
      </c>
      <c r="Q203" s="44" t="s">
        <v>507</v>
      </c>
      <c r="R203" s="44" t="s">
        <v>508</v>
      </c>
      <c r="S203" s="54" t="s">
        <v>509</v>
      </c>
      <c r="T203" s="55" t="s">
        <v>510</v>
      </c>
      <c r="X203" s="23"/>
      <c r="Y203" s="72"/>
      <c r="Z203" s="48"/>
    </row>
    <row r="204" spans="1:26" s="198" customFormat="1" ht="27" thickTop="1">
      <c r="A204" s="198">
        <v>1</v>
      </c>
      <c r="B204" s="278" t="s">
        <v>766</v>
      </c>
      <c r="C204" s="212" t="s">
        <v>773</v>
      </c>
      <c r="D204" s="264" t="s">
        <v>767</v>
      </c>
      <c r="E204" s="212">
        <f>12*D201*8</f>
        <v>9600</v>
      </c>
      <c r="F204" s="265">
        <f>40*D201*2</f>
        <v>8000</v>
      </c>
      <c r="G204" s="265">
        <f>4*D201*2</f>
        <v>800</v>
      </c>
      <c r="H204" s="265">
        <v>288</v>
      </c>
      <c r="I204" s="265">
        <v>240</v>
      </c>
      <c r="J204" s="265">
        <f>12*D201*2*8</f>
        <v>19200</v>
      </c>
      <c r="K204" s="265">
        <f>12*D201*(8-4)-4*D201*2</f>
        <v>4000</v>
      </c>
      <c r="L204" s="265">
        <f>12*D201*2</f>
        <v>2400</v>
      </c>
      <c r="M204" s="265"/>
      <c r="N204" s="227">
        <f>12*D201*14*6+12*D201*10*2+12*D201*2</f>
        <v>127200</v>
      </c>
      <c r="O204" s="227">
        <f>SUM(E204:L204)</f>
        <v>44528</v>
      </c>
      <c r="P204" s="266">
        <f t="shared" ref="P204:P206" si="169">100*O204/N204</f>
        <v>35.0062893081761</v>
      </c>
      <c r="Q204" s="227">
        <f>N204</f>
        <v>127200</v>
      </c>
      <c r="R204" s="227">
        <f>SUM(E204:L204)</f>
        <v>44528</v>
      </c>
      <c r="S204" s="266">
        <f t="shared" ref="S204:S206" si="170">100*R204/Q204</f>
        <v>35.0062893081761</v>
      </c>
      <c r="T204" s="251">
        <f t="shared" ref="T204:T206" si="171">(1-S204/100)/(1-P204/100)</f>
        <v>1</v>
      </c>
    </row>
    <row r="205" spans="1:26" s="198" customFormat="1" ht="13.8">
      <c r="A205" s="198">
        <v>2</v>
      </c>
      <c r="B205" s="278" t="s">
        <v>768</v>
      </c>
      <c r="C205" s="212" t="s">
        <v>774</v>
      </c>
      <c r="D205" s="212" t="s">
        <v>769</v>
      </c>
      <c r="E205" s="212">
        <f>12*D201*6</f>
        <v>7200</v>
      </c>
      <c r="F205" s="265">
        <f>32*D201*2</f>
        <v>6400</v>
      </c>
      <c r="G205" s="265">
        <v>0</v>
      </c>
      <c r="H205" s="265">
        <v>288</v>
      </c>
      <c r="I205" s="265">
        <v>240</v>
      </c>
      <c r="J205" s="265">
        <f>12*D201*2*6</f>
        <v>14400</v>
      </c>
      <c r="K205" s="265">
        <f>16*D201*(6-2)-4*D201*2</f>
        <v>5600</v>
      </c>
      <c r="L205" s="265">
        <f>12*D201*1</f>
        <v>1200</v>
      </c>
      <c r="M205" s="265"/>
      <c r="N205" s="227">
        <f>12*D201*14*4+12*D201*11*2+12*D201*1</f>
        <v>94800</v>
      </c>
      <c r="O205" s="227">
        <f>SUM(E205:L205)</f>
        <v>35328</v>
      </c>
      <c r="P205" s="266">
        <f t="shared" si="169"/>
        <v>37.265822784810126</v>
      </c>
      <c r="Q205" s="227">
        <f>N205</f>
        <v>94800</v>
      </c>
      <c r="R205" s="227">
        <f>SUM(E205:L205)</f>
        <v>35328</v>
      </c>
      <c r="S205" s="266">
        <f t="shared" si="170"/>
        <v>37.265822784810126</v>
      </c>
      <c r="T205" s="251">
        <f t="shared" si="171"/>
        <v>1</v>
      </c>
    </row>
    <row r="206" spans="1:26" s="198" customFormat="1" ht="19.5" customHeight="1">
      <c r="A206" s="198">
        <v>3</v>
      </c>
      <c r="B206" s="278" t="s">
        <v>775</v>
      </c>
      <c r="C206" s="212" t="s">
        <v>776</v>
      </c>
      <c r="D206" s="264" t="s">
        <v>767</v>
      </c>
      <c r="E206" s="212">
        <f>12*D201*8</f>
        <v>9600</v>
      </c>
      <c r="F206" s="212">
        <f>40*D201*2</f>
        <v>8000</v>
      </c>
      <c r="G206" s="212">
        <f>4*D201*2</f>
        <v>800</v>
      </c>
      <c r="H206" s="265">
        <v>288</v>
      </c>
      <c r="I206" s="265">
        <v>240</v>
      </c>
      <c r="J206" s="212">
        <f>12*D201*2*8</f>
        <v>19200</v>
      </c>
      <c r="K206" s="212">
        <f>12*D201*(8-4)-4*D201*2</f>
        <v>4000</v>
      </c>
      <c r="L206" s="212">
        <f>12*D201*2</f>
        <v>2400</v>
      </c>
      <c r="M206" s="212"/>
      <c r="N206" s="212">
        <f>12*D201*14*6+12*D201*10*2</f>
        <v>124800</v>
      </c>
      <c r="O206" s="227">
        <f>SUM(E206:K206)</f>
        <v>42128</v>
      </c>
      <c r="P206" s="266">
        <f t="shared" si="169"/>
        <v>33.756410256410255</v>
      </c>
      <c r="Q206" s="212">
        <f>N206+L206</f>
        <v>127200</v>
      </c>
      <c r="R206" s="227">
        <f>SUM(E206:L206)</f>
        <v>44528</v>
      </c>
      <c r="S206" s="266">
        <f t="shared" si="170"/>
        <v>35.0062893081761</v>
      </c>
      <c r="T206" s="251">
        <f t="shared" si="171"/>
        <v>0.9811320754716979</v>
      </c>
    </row>
  </sheetData>
  <customSheetViews>
    <customSheetView guid="{67590F70-5005-492E-AD47-1C13C49F2D83}" scale="85">
      <selection activeCell="F17" sqref="F17"/>
      <pageMargins left="0.69930555555555596" right="0.69930555555555596" top="0.75" bottom="0.75" header="0.3" footer="0.3"/>
      <pageSetup orientation="portrait"/>
    </customSheetView>
    <customSheetView guid="{A0559F95-FBE7-4275-9B44-A293A1B62940}" scale="85">
      <selection activeCell="F17" sqref="F17"/>
      <pageMargins left="0.69930555555555596" right="0.69930555555555596" top="0.75" bottom="0.75" header="0.3" footer="0.3"/>
      <pageSetup orientation="portrait"/>
    </customSheetView>
    <customSheetView guid="{11FB768A-9BE5-454D-8324-F7BD8513C471}" scale="85">
      <selection activeCell="F17" sqref="F17"/>
      <pageMargins left="0.69930555555555596" right="0.69930555555555596" top="0.75" bottom="0.75" header="0.3" footer="0.3"/>
      <pageSetup orientation="portrait"/>
    </customSheetView>
    <customSheetView guid="{656CB8E5-9B79-4056-861F-BA0520B66BDB}" scale="85" topLeftCell="A28">
      <selection activeCell="P100" sqref="P100"/>
      <pageMargins left="0.69930555555555596" right="0.69930555555555596" top="0.75" bottom="0.75" header="0.3" footer="0.3"/>
      <pageSetup orientation="portrait"/>
    </customSheetView>
    <customSheetView guid="{3A76011A-5D7E-44CA-8EBC-D2C75FB686D2}" scale="85" topLeftCell="A127">
      <selection activeCell="F184" sqref="F184"/>
      <pageMargins left="0.69930555555555596" right="0.69930555555555596" top="0.75" bottom="0.75" header="0.3" footer="0.3"/>
      <pageSetup orientation="portrait"/>
    </customSheetView>
  </customSheetViews>
  <mergeCells count="1">
    <mergeCell ref="B1:J1"/>
  </mergeCells>
  <phoneticPr fontId="9" type="noConversion"/>
  <pageMargins left="0.69930555555555596" right="0.69930555555555596"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90"/>
  <sheetViews>
    <sheetView zoomScale="85" zoomScaleNormal="85" workbookViewId="0">
      <selection activeCell="B11" sqref="B11"/>
    </sheetView>
  </sheetViews>
  <sheetFormatPr defaultColWidth="8.88671875" defaultRowHeight="13.2"/>
  <cols>
    <col min="1" max="1" width="10.44140625" customWidth="1"/>
    <col min="2" max="2" width="47.109375" style="23" customWidth="1"/>
    <col min="3" max="3" width="23.44140625" style="24" customWidth="1"/>
    <col min="4" max="4" width="10.109375" style="23" customWidth="1"/>
    <col min="5" max="6" width="8.88671875" style="23"/>
    <col min="8" max="8" width="11.109375" customWidth="1"/>
    <col min="9" max="9" width="10.109375" customWidth="1"/>
    <col min="12" max="13" width="11.109375" style="23" customWidth="1"/>
    <col min="14" max="14" width="8.88671875" style="23"/>
    <col min="18" max="18" width="14" customWidth="1"/>
  </cols>
  <sheetData>
    <row r="1" spans="1:18">
      <c r="B1" s="419" t="s">
        <v>798</v>
      </c>
      <c r="C1" s="420"/>
      <c r="D1" s="420"/>
      <c r="E1" s="420"/>
      <c r="F1" s="420"/>
      <c r="G1" s="420"/>
      <c r="H1" s="420"/>
      <c r="I1" s="420"/>
      <c r="J1" s="420"/>
    </row>
    <row r="2" spans="1:18" ht="13.8">
      <c r="B2" s="25" t="s">
        <v>495</v>
      </c>
    </row>
    <row r="3" spans="1:18" ht="13.8">
      <c r="B3" s="25" t="s">
        <v>557</v>
      </c>
    </row>
    <row r="5" spans="1:18" ht="13.8">
      <c r="B5" s="25" t="s">
        <v>501</v>
      </c>
      <c r="C5" s="24">
        <v>52</v>
      </c>
    </row>
    <row r="7" spans="1:18" ht="40.200000000000003">
      <c r="B7" s="26"/>
      <c r="C7" s="27"/>
      <c r="D7" s="26" t="s">
        <v>438</v>
      </c>
      <c r="E7" s="26" t="s">
        <v>489</v>
      </c>
      <c r="F7" s="26" t="s">
        <v>475</v>
      </c>
      <c r="G7" s="26"/>
      <c r="H7" s="26"/>
      <c r="I7" s="26"/>
      <c r="J7" s="26"/>
      <c r="K7" s="26"/>
      <c r="L7" s="43" t="s">
        <v>504</v>
      </c>
      <c r="M7" s="43" t="s">
        <v>505</v>
      </c>
      <c r="N7" s="43" t="s">
        <v>506</v>
      </c>
      <c r="O7" s="44" t="s">
        <v>507</v>
      </c>
      <c r="P7" s="44" t="s">
        <v>508</v>
      </c>
      <c r="Q7" s="54" t="s">
        <v>509</v>
      </c>
      <c r="R7" s="55" t="s">
        <v>510</v>
      </c>
    </row>
    <row r="8" spans="1:18" ht="13.8">
      <c r="A8">
        <v>1</v>
      </c>
      <c r="B8" s="28" t="s">
        <v>64</v>
      </c>
      <c r="C8" s="29"/>
      <c r="D8" s="28">
        <f>24*C5*10</f>
        <v>12480</v>
      </c>
      <c r="E8" s="28">
        <f>12*C5</f>
        <v>624</v>
      </c>
      <c r="F8" s="28">
        <f>8*12*2*5</f>
        <v>960</v>
      </c>
      <c r="G8" s="28"/>
      <c r="H8" s="28"/>
      <c r="I8" s="28"/>
      <c r="J8" s="28"/>
      <c r="K8" s="28"/>
      <c r="L8" s="28">
        <f>C5*12*10*14</f>
        <v>87360</v>
      </c>
      <c r="M8" s="28">
        <f>SUM(D8:H8)</f>
        <v>14064</v>
      </c>
      <c r="N8" s="45">
        <f t="shared" ref="N8:N17" si="0">100*M8/L8</f>
        <v>16.098901098901099</v>
      </c>
      <c r="O8" s="22">
        <f>L8</f>
        <v>87360</v>
      </c>
      <c r="P8" s="22">
        <f>M8-(F8-F10)</f>
        <v>13824</v>
      </c>
      <c r="Q8" s="56">
        <f t="shared" ref="Q8:Q9" si="1">100*P8/O8</f>
        <v>15.824175824175825</v>
      </c>
      <c r="R8" s="49">
        <f>(1-Q8/100)/(1-N8/100)</f>
        <v>1.0032743942370661</v>
      </c>
    </row>
    <row r="9" spans="1:18" ht="13.8">
      <c r="A9">
        <v>2</v>
      </c>
      <c r="B9" s="30" t="s">
        <v>21</v>
      </c>
      <c r="C9" s="31"/>
      <c r="D9" s="30">
        <f>24*C5*10</f>
        <v>12480</v>
      </c>
      <c r="E9" s="30">
        <f>12*C5</f>
        <v>624</v>
      </c>
      <c r="F9" s="30">
        <f>2*12*14*10</f>
        <v>3360</v>
      </c>
      <c r="G9" s="30"/>
      <c r="H9" s="30"/>
      <c r="I9" s="30"/>
      <c r="J9" s="30"/>
      <c r="K9" s="30"/>
      <c r="L9" s="30">
        <f>C5*12*10*14</f>
        <v>87360</v>
      </c>
      <c r="M9" s="30">
        <f>SUM(D9:H9)</f>
        <v>16464</v>
      </c>
      <c r="N9" s="46">
        <f t="shared" si="0"/>
        <v>18.846153846153847</v>
      </c>
      <c r="O9" s="22">
        <f>L9</f>
        <v>87360</v>
      </c>
      <c r="P9" s="22">
        <f>D9+E9+12*3*14*2+12*1*2*8</f>
        <v>14304</v>
      </c>
      <c r="Q9" s="56">
        <f t="shared" si="1"/>
        <v>16.373626373626372</v>
      </c>
      <c r="R9" s="49">
        <f t="shared" ref="R9:R17" si="2">(1-Q9/100)/(1-N9/100)</f>
        <v>1.0304671631685849</v>
      </c>
    </row>
    <row r="10" spans="1:18">
      <c r="A10">
        <v>3</v>
      </c>
      <c r="B10" s="30" t="s">
        <v>14</v>
      </c>
      <c r="C10" s="31"/>
      <c r="D10" s="30">
        <f>24*(C5-3)*1+24*C5*9</f>
        <v>12408</v>
      </c>
      <c r="E10" s="30">
        <f>2*12*C5</f>
        <v>1248</v>
      </c>
      <c r="F10" s="30">
        <f>12*14*3*1+12*2*1*9</f>
        <v>720</v>
      </c>
      <c r="G10" s="30"/>
      <c r="H10" s="30"/>
      <c r="I10" s="30"/>
      <c r="J10" s="30"/>
      <c r="K10" s="30"/>
      <c r="L10" s="30">
        <f>12*C5*14*10</f>
        <v>87360</v>
      </c>
      <c r="M10" s="30">
        <f>SUM(D10:F10)</f>
        <v>14376</v>
      </c>
      <c r="N10" s="47">
        <f t="shared" si="0"/>
        <v>16.456043956043956</v>
      </c>
      <c r="O10" s="22">
        <v>87360</v>
      </c>
      <c r="P10" s="22">
        <v>14376</v>
      </c>
      <c r="Q10" s="57">
        <v>16.456043956043999</v>
      </c>
      <c r="R10" s="49">
        <f t="shared" si="2"/>
        <v>0.99999999999999944</v>
      </c>
    </row>
    <row r="11" spans="1:18" s="22" customFormat="1" ht="13.8">
      <c r="A11">
        <v>4</v>
      </c>
      <c r="B11" s="30" t="s">
        <v>5</v>
      </c>
      <c r="C11" s="31"/>
      <c r="D11" s="30">
        <f>8*(C5-2)*10</f>
        <v>4000</v>
      </c>
      <c r="E11" s="30">
        <f>2*12*C5</f>
        <v>1248</v>
      </c>
      <c r="F11" s="30">
        <f>2*12*(14*8+12*2)</f>
        <v>3264</v>
      </c>
      <c r="L11" s="30">
        <f>12*C5*14*10</f>
        <v>87360</v>
      </c>
      <c r="M11" s="30">
        <f>SUM(D11:F11)</f>
        <v>8512</v>
      </c>
      <c r="N11" s="47">
        <f t="shared" si="0"/>
        <v>9.7435897435897427</v>
      </c>
      <c r="O11" s="22">
        <f t="shared" ref="O11:O17" si="3">L11</f>
        <v>87360</v>
      </c>
      <c r="P11" s="22">
        <f>D11+E11+12*3*14*2+12*1*2*8</f>
        <v>6448</v>
      </c>
      <c r="Q11" s="56">
        <f t="shared" ref="Q11:Q17" si="4">100*P11/O11</f>
        <v>7.3809523809523814</v>
      </c>
      <c r="R11" s="49">
        <f t="shared" si="2"/>
        <v>1.026176948051948</v>
      </c>
    </row>
    <row r="12" spans="1:18" ht="13.8">
      <c r="A12">
        <v>5</v>
      </c>
      <c r="B12" s="32" t="s">
        <v>23</v>
      </c>
      <c r="C12" s="33"/>
      <c r="D12" s="32">
        <f>2*12*C5*10</f>
        <v>12480</v>
      </c>
      <c r="E12" s="32">
        <f>2*12*C5</f>
        <v>1248</v>
      </c>
      <c r="F12" s="32">
        <f>2*12*14*10</f>
        <v>3360</v>
      </c>
      <c r="G12" s="34"/>
      <c r="H12" s="34"/>
      <c r="I12" s="34"/>
      <c r="J12" s="22"/>
      <c r="K12" s="22"/>
      <c r="L12" s="30">
        <f>12*C5*14*10</f>
        <v>87360</v>
      </c>
      <c r="M12" s="30">
        <f>SUM(D12:H12)</f>
        <v>17088</v>
      </c>
      <c r="N12" s="48">
        <f t="shared" si="0"/>
        <v>19.560439560439562</v>
      </c>
      <c r="O12" s="22">
        <f t="shared" si="3"/>
        <v>87360</v>
      </c>
      <c r="P12" s="22">
        <f>D12+E12+12*3*14*2+12*1*2*8</f>
        <v>14928</v>
      </c>
      <c r="Q12" s="56">
        <f t="shared" si="4"/>
        <v>17.087912087912088</v>
      </c>
      <c r="R12" s="49">
        <f t="shared" si="2"/>
        <v>1.0307377049180326</v>
      </c>
    </row>
    <row r="13" spans="1:18" ht="13.8">
      <c r="A13">
        <v>6</v>
      </c>
      <c r="B13" s="30" t="s">
        <v>25</v>
      </c>
      <c r="C13" s="31"/>
      <c r="D13" s="30">
        <f>2*12*C5*10</f>
        <v>12480</v>
      </c>
      <c r="E13" s="30">
        <f>2*12*C5*2</f>
        <v>2496</v>
      </c>
      <c r="F13" s="30">
        <f>2*12*(14*8+12*2)</f>
        <v>3264</v>
      </c>
      <c r="G13" s="22"/>
      <c r="H13" s="22"/>
      <c r="I13" s="22"/>
      <c r="J13" s="22"/>
      <c r="K13" s="22"/>
      <c r="L13" s="30">
        <f>12*C5*14*10</f>
        <v>87360</v>
      </c>
      <c r="M13" s="30">
        <f>SUM(D13:F13)</f>
        <v>18240</v>
      </c>
      <c r="N13" s="47">
        <f t="shared" si="0"/>
        <v>20.87912087912088</v>
      </c>
      <c r="O13" s="22">
        <f t="shared" si="3"/>
        <v>87360</v>
      </c>
      <c r="P13" s="22">
        <f>D13+E13+12*3*14*2+12*1*2*8</f>
        <v>16176</v>
      </c>
      <c r="Q13" s="56">
        <f t="shared" si="4"/>
        <v>18.516483516483518</v>
      </c>
      <c r="R13" s="49">
        <f t="shared" si="2"/>
        <v>1.0298611111111111</v>
      </c>
    </row>
    <row r="14" spans="1:18" ht="13.8">
      <c r="A14">
        <v>7</v>
      </c>
      <c r="B14" s="30" t="s">
        <v>20</v>
      </c>
      <c r="C14" s="31"/>
      <c r="D14" s="35">
        <v>6240</v>
      </c>
      <c r="E14" s="35">
        <v>2496</v>
      </c>
      <c r="F14" s="35">
        <v>3360</v>
      </c>
      <c r="G14" s="36"/>
      <c r="H14" s="36"/>
      <c r="I14" s="36"/>
      <c r="J14" s="36"/>
      <c r="K14" s="36"/>
      <c r="L14" s="35">
        <v>87360</v>
      </c>
      <c r="M14" s="30">
        <f>SUM(D14:H14)</f>
        <v>12096</v>
      </c>
      <c r="N14" s="48">
        <f t="shared" si="0"/>
        <v>13.846153846153847</v>
      </c>
      <c r="O14" s="22">
        <f t="shared" si="3"/>
        <v>87360</v>
      </c>
      <c r="P14" s="22">
        <f>D14+E14+12*3*14*2+12*1*2*8</f>
        <v>9936</v>
      </c>
      <c r="Q14" s="56">
        <f t="shared" si="4"/>
        <v>11.373626373626374</v>
      </c>
      <c r="R14" s="49">
        <f t="shared" si="2"/>
        <v>1.0286989795918366</v>
      </c>
    </row>
    <row r="15" spans="1:18" ht="13.8">
      <c r="A15">
        <v>8</v>
      </c>
      <c r="B15" s="30" t="s">
        <v>38</v>
      </c>
      <c r="C15" s="31"/>
      <c r="D15" s="30">
        <v>12480</v>
      </c>
      <c r="E15" s="30"/>
      <c r="F15" s="30">
        <v>0</v>
      </c>
      <c r="G15" s="22"/>
      <c r="H15" s="22"/>
      <c r="I15" s="22"/>
      <c r="J15" s="22"/>
      <c r="K15" s="22"/>
      <c r="L15" s="35">
        <v>87360</v>
      </c>
      <c r="M15" s="30">
        <f>SUM(D15:H15)</f>
        <v>12480</v>
      </c>
      <c r="N15" s="48">
        <f t="shared" si="0"/>
        <v>14.285714285714286</v>
      </c>
      <c r="O15" s="22">
        <f t="shared" si="3"/>
        <v>87360</v>
      </c>
      <c r="P15" s="22">
        <f>D15+E15+12*3*14*1+12*1*2*9</f>
        <v>13200</v>
      </c>
      <c r="Q15" s="56">
        <f t="shared" si="4"/>
        <v>15.109890109890109</v>
      </c>
      <c r="R15" s="49">
        <f t="shared" si="2"/>
        <v>0.99038461538461542</v>
      </c>
    </row>
    <row r="16" spans="1:18" ht="13.8">
      <c r="A16" s="34">
        <v>9</v>
      </c>
      <c r="B16" s="23" t="s">
        <v>65</v>
      </c>
      <c r="C16" s="24" t="s">
        <v>558</v>
      </c>
      <c r="D16" s="23">
        <f>6*(C5-3)*1+6*C5*9</f>
        <v>3102</v>
      </c>
      <c r="E16" s="23">
        <f>2*12*C5*2</f>
        <v>2496</v>
      </c>
      <c r="F16" s="23">
        <f>12*14*3*2+12*14*1*10</f>
        <v>2688</v>
      </c>
      <c r="L16" s="23">
        <f>12*14*C5*10</f>
        <v>87360</v>
      </c>
      <c r="M16" s="23">
        <f t="shared" ref="M16:M17" si="5">SUM(D16:H16)</f>
        <v>8286</v>
      </c>
      <c r="N16" s="49">
        <f t="shared" si="0"/>
        <v>9.4848901098901095</v>
      </c>
      <c r="O16" s="22">
        <f t="shared" si="3"/>
        <v>87360</v>
      </c>
      <c r="P16" s="22">
        <f>D16+E16+12*3*14*2+12*1*2*8</f>
        <v>6798</v>
      </c>
      <c r="Q16" s="56">
        <f t="shared" si="4"/>
        <v>7.7815934065934069</v>
      </c>
      <c r="R16" s="49">
        <f t="shared" si="2"/>
        <v>1.0188178162227786</v>
      </c>
    </row>
    <row r="17" spans="1:18" ht="13.8">
      <c r="A17" s="34">
        <v>10</v>
      </c>
      <c r="B17" s="23" t="s">
        <v>65</v>
      </c>
      <c r="C17" s="24" t="s">
        <v>559</v>
      </c>
      <c r="D17" s="23">
        <f>12*(C5-3)*1+12*C5*9</f>
        <v>6204</v>
      </c>
      <c r="E17" s="23">
        <f>2*12*C5*2</f>
        <v>2496</v>
      </c>
      <c r="F17" s="23">
        <f>12*14*3*2+12*14*1*10</f>
        <v>2688</v>
      </c>
      <c r="L17" s="23">
        <f>12*14*C5*10</f>
        <v>87360</v>
      </c>
      <c r="M17" s="23">
        <f t="shared" si="5"/>
        <v>11388</v>
      </c>
      <c r="N17" s="49">
        <f t="shared" si="0"/>
        <v>13.035714285714286</v>
      </c>
      <c r="O17" s="22">
        <f t="shared" si="3"/>
        <v>87360</v>
      </c>
      <c r="P17" s="22">
        <f>D17+E17+12*3*14*2+12*1*2*8</f>
        <v>9900</v>
      </c>
      <c r="Q17" s="56">
        <f t="shared" si="4"/>
        <v>11.332417582417582</v>
      </c>
      <c r="R17" s="49">
        <f t="shared" si="2"/>
        <v>1.0195861633233296</v>
      </c>
    </row>
    <row r="19" spans="1:18" ht="13.8">
      <c r="B19" s="25" t="s">
        <v>528</v>
      </c>
    </row>
    <row r="20" spans="1:18" ht="13.8">
      <c r="B20" s="25" t="s">
        <v>529</v>
      </c>
    </row>
    <row r="22" spans="1:18" ht="13.8">
      <c r="B22" s="25" t="s">
        <v>501</v>
      </c>
      <c r="C22" s="24">
        <v>106</v>
      </c>
    </row>
    <row r="24" spans="1:18" ht="40.200000000000003">
      <c r="B24" s="26"/>
      <c r="C24" s="27" t="s">
        <v>531</v>
      </c>
      <c r="D24" s="26" t="s">
        <v>438</v>
      </c>
      <c r="E24" s="26" t="s">
        <v>489</v>
      </c>
      <c r="F24" s="26" t="s">
        <v>475</v>
      </c>
      <c r="G24" s="26" t="s">
        <v>718</v>
      </c>
      <c r="H24" s="26"/>
      <c r="I24" s="26"/>
      <c r="J24" s="26"/>
      <c r="K24" s="26"/>
      <c r="L24" s="43" t="s">
        <v>504</v>
      </c>
      <c r="M24" s="43" t="s">
        <v>505</v>
      </c>
      <c r="N24" s="43" t="s">
        <v>506</v>
      </c>
      <c r="O24" s="44" t="s">
        <v>507</v>
      </c>
      <c r="P24" s="44" t="s">
        <v>508</v>
      </c>
      <c r="Q24" s="54" t="s">
        <v>509</v>
      </c>
      <c r="R24" s="55" t="s">
        <v>510</v>
      </c>
    </row>
    <row r="25" spans="1:18" ht="13.8">
      <c r="A25">
        <v>1</v>
      </c>
      <c r="B25" s="37" t="s">
        <v>64</v>
      </c>
      <c r="C25" s="38" t="s">
        <v>536</v>
      </c>
      <c r="D25" s="28">
        <f>24*C22*6</f>
        <v>15264</v>
      </c>
      <c r="E25" s="28">
        <f>12*C22</f>
        <v>1272</v>
      </c>
      <c r="F25" s="28">
        <f>8*12*2*3</f>
        <v>576</v>
      </c>
      <c r="G25" s="30">
        <f>2*12*C22</f>
        <v>2544</v>
      </c>
      <c r="H25" s="28"/>
      <c r="I25" s="28"/>
      <c r="J25" s="28"/>
      <c r="K25" s="28"/>
      <c r="L25" s="28">
        <f>C22*(12*14*4+12*6*2)</f>
        <v>86496</v>
      </c>
      <c r="M25" s="28">
        <f>SUM(D25:F25)</f>
        <v>17112</v>
      </c>
      <c r="N25" s="45">
        <f t="shared" ref="N25:N30" si="6">100*M25/L25</f>
        <v>19.783573806881243</v>
      </c>
      <c r="O25" s="22">
        <f>L25+G25</f>
        <v>89040</v>
      </c>
      <c r="P25" s="22">
        <f>D25+E25+12*14*3*1+12*2*1*3+G25</f>
        <v>19656</v>
      </c>
      <c r="Q25" s="58">
        <f>100*P25/O25</f>
        <v>22.075471698113208</v>
      </c>
      <c r="R25" s="49">
        <f>(1-Q25/100)/(1-N25/100)</f>
        <v>0.97142857142857142</v>
      </c>
    </row>
    <row r="26" spans="1:18">
      <c r="A26">
        <v>2</v>
      </c>
      <c r="B26" s="30" t="s">
        <v>14</v>
      </c>
      <c r="C26" s="31" t="s">
        <v>538</v>
      </c>
      <c r="D26" s="30">
        <f>24*(C22-3)*1+24*C22*3</f>
        <v>10104</v>
      </c>
      <c r="E26" s="30">
        <f>2*12*C22</f>
        <v>2544</v>
      </c>
      <c r="F26" s="30">
        <f>12*14*3*1+12*2*1*3</f>
        <v>576</v>
      </c>
      <c r="G26" s="30">
        <f>12*C22</f>
        <v>1272</v>
      </c>
      <c r="H26" s="30"/>
      <c r="I26" s="30"/>
      <c r="J26" s="30"/>
      <c r="K26" s="30"/>
      <c r="L26" s="30">
        <f>12*14*C22*4+12*2*C22*2</f>
        <v>76320</v>
      </c>
      <c r="M26" s="30">
        <f>SUM(D26:F26)</f>
        <v>13224</v>
      </c>
      <c r="N26" s="47">
        <f t="shared" si="6"/>
        <v>17.327044025157232</v>
      </c>
      <c r="O26" s="22">
        <f>12*14*C22*4+12*2*C22*2+12*C22</f>
        <v>77592</v>
      </c>
      <c r="P26" s="22">
        <f>SUM(D26:G26)</f>
        <v>14496</v>
      </c>
      <c r="Q26" s="48">
        <f>100*P26/O26</f>
        <v>18.682338385400556</v>
      </c>
      <c r="R26" s="49">
        <f t="shared" ref="R26:R30" si="7">(1-Q26/100)/(1-N26/100)</f>
        <v>0.98360655737704927</v>
      </c>
    </row>
    <row r="27" spans="1:18">
      <c r="A27">
        <v>3</v>
      </c>
      <c r="B27" s="30" t="s">
        <v>5</v>
      </c>
      <c r="C27" s="227" t="s">
        <v>789</v>
      </c>
      <c r="D27" s="30">
        <f>8*(C22-4)*2</f>
        <v>1632</v>
      </c>
      <c r="E27" s="30">
        <f>2*12*C22*2</f>
        <v>5088</v>
      </c>
      <c r="F27" s="30">
        <f>4*12*14*2</f>
        <v>1344</v>
      </c>
      <c r="G27" s="30">
        <f>12*C22*2</f>
        <v>2544</v>
      </c>
      <c r="H27" s="22"/>
      <c r="I27" s="22"/>
      <c r="J27" s="22"/>
      <c r="K27" s="22"/>
      <c r="L27" s="30">
        <f>C22*12*(14+2)*2</f>
        <v>40704</v>
      </c>
      <c r="M27" s="30">
        <f>SUM(D27:F27)</f>
        <v>8064</v>
      </c>
      <c r="N27" s="47">
        <f>100*M27/L27</f>
        <v>19.811320754716981</v>
      </c>
      <c r="O27" s="22">
        <f>12*14*C22*2+12*2*C22*2+12*1*C22*2</f>
        <v>43248</v>
      </c>
      <c r="P27" s="22">
        <f>SUM(D27,E27,G27)+14*12*3*2</f>
        <v>10272</v>
      </c>
      <c r="Q27" s="48">
        <f>100*P27/O27</f>
        <v>23.751387347391788</v>
      </c>
      <c r="R27" s="49">
        <f t="shared" si="7"/>
        <v>0.95086505190311421</v>
      </c>
    </row>
    <row r="28" spans="1:18">
      <c r="A28">
        <v>4</v>
      </c>
      <c r="B28" s="30" t="s">
        <v>542</v>
      </c>
      <c r="C28" s="30" t="s">
        <v>228</v>
      </c>
      <c r="D28" s="30"/>
      <c r="E28" s="30"/>
      <c r="F28" s="30"/>
      <c r="G28" s="22"/>
      <c r="H28" s="22"/>
      <c r="I28" s="22"/>
      <c r="J28" s="22"/>
      <c r="K28" s="22"/>
      <c r="L28" s="30">
        <f>100*12*14*10</f>
        <v>168000</v>
      </c>
      <c r="M28" s="30">
        <f>100*30*10</f>
        <v>30000</v>
      </c>
      <c r="N28" s="50">
        <f t="shared" si="6"/>
        <v>17.857142857142858</v>
      </c>
      <c r="O28" s="22">
        <v>168000</v>
      </c>
      <c r="P28" s="22">
        <v>30000</v>
      </c>
      <c r="Q28" s="59">
        <v>17.8571428571429</v>
      </c>
      <c r="R28" s="49">
        <f t="shared" si="7"/>
        <v>0.99999999999999944</v>
      </c>
    </row>
    <row r="29" spans="1:18">
      <c r="A29">
        <v>5</v>
      </c>
      <c r="B29" s="30" t="s">
        <v>542</v>
      </c>
      <c r="C29" s="30" t="s">
        <v>549</v>
      </c>
      <c r="D29" s="30"/>
      <c r="E29" s="30"/>
      <c r="F29" s="30"/>
      <c r="G29" s="30">
        <f>2*12*100</f>
        <v>2400</v>
      </c>
      <c r="H29" s="22"/>
      <c r="I29" s="22"/>
      <c r="J29" s="22"/>
      <c r="K29" s="22"/>
      <c r="L29" s="35">
        <f>100*12*(14+2)*2</f>
        <v>38400</v>
      </c>
      <c r="M29" s="35">
        <f>100*30*2</f>
        <v>6000</v>
      </c>
      <c r="N29" s="205">
        <f t="shared" si="6"/>
        <v>15.625</v>
      </c>
      <c r="O29" s="206">
        <f>100*12*(14+2)*2+G29</f>
        <v>40800</v>
      </c>
      <c r="P29" s="207">
        <f>100*30*2+G29</f>
        <v>8400</v>
      </c>
      <c r="Q29" s="208">
        <f>100*P29/O29</f>
        <v>20.588235294117649</v>
      </c>
      <c r="R29" s="49">
        <f t="shared" si="7"/>
        <v>0.94117647058823528</v>
      </c>
    </row>
    <row r="30" spans="1:18">
      <c r="A30" s="237">
        <v>6</v>
      </c>
      <c r="B30" s="236" t="s">
        <v>900</v>
      </c>
      <c r="C30" s="236" t="s">
        <v>549</v>
      </c>
      <c r="D30" s="236">
        <f>24*(C22-2)*2</f>
        <v>4992</v>
      </c>
      <c r="E30" s="236">
        <f>2*12*C22*2</f>
        <v>5088</v>
      </c>
      <c r="F30" s="290">
        <f>2*12*14*2</f>
        <v>672</v>
      </c>
      <c r="G30" s="236">
        <f>12*C22*2</f>
        <v>2544</v>
      </c>
      <c r="H30" s="326"/>
      <c r="I30" s="326"/>
      <c r="J30" s="326"/>
      <c r="K30" s="326"/>
      <c r="L30" s="290">
        <f>C22*12*(14+2)*2</f>
        <v>40704</v>
      </c>
      <c r="M30" s="290">
        <f>SUM(D30:F30)</f>
        <v>10752</v>
      </c>
      <c r="N30" s="296">
        <f t="shared" si="6"/>
        <v>26.415094339622641</v>
      </c>
      <c r="O30" s="326">
        <f>L30+G30</f>
        <v>43248</v>
      </c>
      <c r="P30" s="326">
        <f>SUM(D30,E30,G30)+12*14*3*2</f>
        <v>13632</v>
      </c>
      <c r="Q30" s="361">
        <f t="shared" ref="Q30" si="8">100*P30/O30</f>
        <v>31.520532741398448</v>
      </c>
      <c r="R30" s="292">
        <f t="shared" si="7"/>
        <v>0.9306184012066363</v>
      </c>
    </row>
    <row r="31" spans="1:18">
      <c r="B31" s="30"/>
      <c r="C31" s="30"/>
      <c r="D31" s="30"/>
      <c r="E31" s="30"/>
      <c r="F31" s="30"/>
      <c r="G31" s="30"/>
      <c r="H31" s="22"/>
      <c r="I31" s="22"/>
      <c r="J31" s="22"/>
      <c r="K31" s="22"/>
      <c r="L31" s="35"/>
      <c r="M31" s="35"/>
      <c r="N31" s="205"/>
      <c r="O31" s="206"/>
      <c r="P31" s="207"/>
      <c r="Q31" s="208"/>
      <c r="R31" s="49"/>
    </row>
    <row r="32" spans="1:18" ht="13.8">
      <c r="B32" s="25" t="s">
        <v>528</v>
      </c>
      <c r="C32" s="214"/>
      <c r="G32" s="213"/>
      <c r="L32" s="30"/>
      <c r="M32" s="30"/>
      <c r="N32" s="47"/>
      <c r="O32" s="22"/>
      <c r="P32" s="22"/>
      <c r="Q32" s="48"/>
      <c r="R32" s="49"/>
    </row>
    <row r="33" spans="1:18" ht="13.8">
      <c r="B33" s="25" t="s">
        <v>544</v>
      </c>
      <c r="M33" s="212"/>
      <c r="P33" s="23"/>
      <c r="Q33" s="48"/>
      <c r="R33" s="49"/>
    </row>
    <row r="34" spans="1:18">
      <c r="Q34" s="60"/>
    </row>
    <row r="35" spans="1:18" ht="13.8">
      <c r="B35" s="25" t="s">
        <v>501</v>
      </c>
      <c r="C35" s="24">
        <v>51</v>
      </c>
      <c r="Q35" s="60"/>
    </row>
    <row r="36" spans="1:18">
      <c r="Q36" s="60"/>
    </row>
    <row r="37" spans="1:18" ht="40.799999999999997" thickBot="1">
      <c r="B37" s="26"/>
      <c r="C37" s="27" t="s">
        <v>531</v>
      </c>
      <c r="D37" s="26" t="s">
        <v>438</v>
      </c>
      <c r="E37" s="26" t="s">
        <v>489</v>
      </c>
      <c r="F37" s="26" t="s">
        <v>475</v>
      </c>
      <c r="G37" s="26" t="s">
        <v>718</v>
      </c>
      <c r="H37" s="26"/>
      <c r="I37" s="26"/>
      <c r="J37" s="26"/>
      <c r="K37" s="26"/>
      <c r="L37" s="43" t="s">
        <v>504</v>
      </c>
      <c r="M37" s="43" t="s">
        <v>505</v>
      </c>
      <c r="N37" s="43" t="s">
        <v>506</v>
      </c>
      <c r="O37" s="44" t="s">
        <v>507</v>
      </c>
      <c r="P37" s="44" t="s">
        <v>508</v>
      </c>
      <c r="Q37" s="54" t="s">
        <v>509</v>
      </c>
      <c r="R37" s="55" t="s">
        <v>510</v>
      </c>
    </row>
    <row r="38" spans="1:18" ht="14.4" thickTop="1">
      <c r="A38">
        <v>1</v>
      </c>
      <c r="B38" s="39" t="s">
        <v>32</v>
      </c>
      <c r="C38" s="40" t="s">
        <v>536</v>
      </c>
      <c r="D38" s="41">
        <f>4*2*(C35-4)*6*2</f>
        <v>4512</v>
      </c>
      <c r="E38" s="41">
        <f>12*2*(C35-4)*2</f>
        <v>2256</v>
      </c>
      <c r="F38" s="41">
        <f>(4*12*14*4)*2+(4*12*6*2)*2</f>
        <v>6528</v>
      </c>
      <c r="G38" s="30">
        <f>12*C35*2*2</f>
        <v>2448</v>
      </c>
      <c r="H38" s="41"/>
      <c r="I38" s="41"/>
      <c r="J38" s="41"/>
      <c r="K38" s="41"/>
      <c r="L38" s="41">
        <f>C35*2*(12*14*4+12*6*2)</f>
        <v>83232</v>
      </c>
      <c r="M38" s="51">
        <f>SUM(D38:F38)</f>
        <v>13296</v>
      </c>
      <c r="N38" s="52">
        <f t="shared" ref="N38" si="9">100*M38/L38</f>
        <v>15.974625144175317</v>
      </c>
      <c r="O38" s="22">
        <f>L38+G38</f>
        <v>85680</v>
      </c>
      <c r="P38" s="22">
        <f>SUM(D38,E38,G38)+(12*14*3*1+12*2*1*3)*2</f>
        <v>10368</v>
      </c>
      <c r="Q38" s="58">
        <f>100*P38/O38</f>
        <v>12.100840336134453</v>
      </c>
      <c r="R38" s="49">
        <f>(1-Q38/100)/(1-N38/100)</f>
        <v>1.0461025590744191</v>
      </c>
    </row>
    <row r="39" spans="1:18">
      <c r="A39">
        <v>2</v>
      </c>
      <c r="B39" s="30" t="s">
        <v>14</v>
      </c>
      <c r="C39" s="31" t="s">
        <v>538</v>
      </c>
      <c r="D39" s="30">
        <f>(24*(C35-3)*1+24*C35*3)*2</f>
        <v>9648</v>
      </c>
      <c r="E39" s="30">
        <f>2*12*C35*2</f>
        <v>2448</v>
      </c>
      <c r="F39" s="30">
        <f>(12*14*3*1+12*2*1*3)*2</f>
        <v>1152</v>
      </c>
      <c r="G39" s="30">
        <f>12*C35*2</f>
        <v>1224</v>
      </c>
      <c r="H39" s="30"/>
      <c r="I39" s="30"/>
      <c r="J39" s="30"/>
      <c r="K39" s="30"/>
      <c r="L39" s="30">
        <v>74664</v>
      </c>
      <c r="M39" s="30">
        <v>14472</v>
      </c>
      <c r="N39" s="47">
        <v>19.382835101253601</v>
      </c>
      <c r="O39" s="22">
        <f>12*14*C35*4*2+12*2*C35*2*2+12*C35*2</f>
        <v>74664</v>
      </c>
      <c r="P39" s="22">
        <f>SUM(D39:G39)</f>
        <v>14472</v>
      </c>
      <c r="Q39" s="48">
        <f>100*P39/O39</f>
        <v>19.382835101253615</v>
      </c>
      <c r="R39" s="49">
        <f t="shared" ref="R39:R42" si="10">(1-Q39/100)/(1-N39/100)</f>
        <v>0.99999999999999989</v>
      </c>
    </row>
    <row r="40" spans="1:18">
      <c r="A40">
        <v>3</v>
      </c>
      <c r="B40" s="30" t="s">
        <v>5</v>
      </c>
      <c r="C40" s="30" t="s">
        <v>549</v>
      </c>
      <c r="D40" s="30">
        <f>8*(C35-2)*2*2</f>
        <v>1568</v>
      </c>
      <c r="E40" s="30">
        <f>2*12*C35*2*2</f>
        <v>4896</v>
      </c>
      <c r="F40" s="30">
        <f>2*12*14*4</f>
        <v>1344</v>
      </c>
      <c r="G40" s="30">
        <f>12*C35*2*2</f>
        <v>2448</v>
      </c>
      <c r="H40" s="22"/>
      <c r="I40" s="22"/>
      <c r="J40" s="22"/>
      <c r="K40" s="22"/>
      <c r="L40" s="30">
        <f>C35*12*(14+2)*4</f>
        <v>39168</v>
      </c>
      <c r="M40" s="30">
        <f>SUM(D40:F40)</f>
        <v>7808</v>
      </c>
      <c r="N40" s="47">
        <f>100*M40/L40</f>
        <v>19.934640522875817</v>
      </c>
      <c r="O40" s="22">
        <f>L40+G40</f>
        <v>41616</v>
      </c>
      <c r="P40" s="22">
        <f>SUM(D40,E40,G40)+(12*14*3*2)*2</f>
        <v>10928</v>
      </c>
      <c r="Q40" s="58">
        <f>100*P40/O40</f>
        <v>26.259131103421762</v>
      </c>
      <c r="R40" s="49">
        <f t="shared" si="10"/>
        <v>0.92100840336134449</v>
      </c>
    </row>
    <row r="41" spans="1:18">
      <c r="A41">
        <v>5</v>
      </c>
      <c r="B41" s="30" t="s">
        <v>32</v>
      </c>
      <c r="C41" s="42" t="s">
        <v>543</v>
      </c>
      <c r="D41" s="42">
        <f>4*2*(C35-4)*4*2</f>
        <v>3008</v>
      </c>
      <c r="E41" s="42">
        <f>12*(C35-4)*2*2</f>
        <v>2256</v>
      </c>
      <c r="F41" s="42">
        <f>(4*12*14*2)*2+(4*12*2*2)*2</f>
        <v>3072</v>
      </c>
      <c r="G41" s="30">
        <f>12*C35*2*2</f>
        <v>2448</v>
      </c>
      <c r="H41" s="42"/>
      <c r="I41" s="42"/>
      <c r="J41" s="42"/>
      <c r="K41" s="42"/>
      <c r="L41" s="42">
        <f>C35*2*(12*14*2+12*2*2)</f>
        <v>39168</v>
      </c>
      <c r="M41" s="42">
        <f>SUM(D41:F41)</f>
        <v>8336</v>
      </c>
      <c r="N41" s="53">
        <f t="shared" ref="N41" si="11">100*M41/L41</f>
        <v>21.282679738562091</v>
      </c>
      <c r="O41" s="22">
        <f>L41+G41</f>
        <v>41616</v>
      </c>
      <c r="P41" s="22">
        <f>SUM(D41,E41,G41)+(12*14*3*1+12*2)*2</f>
        <v>8768</v>
      </c>
      <c r="Q41" s="58">
        <f>100*P41/O41</f>
        <v>21.068819684736638</v>
      </c>
      <c r="R41" s="49">
        <f t="shared" si="10"/>
        <v>1.0027168106474558</v>
      </c>
    </row>
    <row r="42" spans="1:18">
      <c r="A42">
        <v>6</v>
      </c>
      <c r="B42" s="30" t="s">
        <v>40</v>
      </c>
      <c r="C42" s="31" t="s">
        <v>560</v>
      </c>
      <c r="D42" s="30">
        <v>6120</v>
      </c>
      <c r="E42" s="30">
        <v>6120</v>
      </c>
      <c r="F42" s="30">
        <v>6120</v>
      </c>
      <c r="G42" s="30">
        <f>12*C35*5</f>
        <v>3060</v>
      </c>
      <c r="H42" s="22"/>
      <c r="I42" s="22"/>
      <c r="J42" s="22"/>
      <c r="K42" s="22"/>
      <c r="L42" s="30">
        <v>48960</v>
      </c>
      <c r="M42" s="30">
        <v>18360</v>
      </c>
      <c r="N42" s="30">
        <v>37.5</v>
      </c>
      <c r="O42" s="22">
        <f>L42+G42</f>
        <v>52020</v>
      </c>
      <c r="P42" s="22">
        <v>20880</v>
      </c>
      <c r="Q42" s="58">
        <f>100*P42/O42</f>
        <v>40.13840830449827</v>
      </c>
      <c r="R42" s="49">
        <f t="shared" si="10"/>
        <v>0.95778546712802781</v>
      </c>
    </row>
    <row r="44" spans="1:18">
      <c r="C44" s="224"/>
    </row>
    <row r="45" spans="1:18">
      <c r="C45" s="224"/>
    </row>
    <row r="46" spans="1:18">
      <c r="C46" s="224"/>
    </row>
    <row r="51" spans="1:18">
      <c r="B51" s="237" t="s">
        <v>680</v>
      </c>
    </row>
    <row r="52" spans="1:18" ht="13.8">
      <c r="B52" s="25" t="s">
        <v>495</v>
      </c>
      <c r="C52" s="224"/>
    </row>
    <row r="53" spans="1:18" ht="13.8">
      <c r="B53" s="25" t="s">
        <v>557</v>
      </c>
      <c r="C53" s="224"/>
    </row>
    <row r="54" spans="1:18">
      <c r="C54" s="224"/>
    </row>
    <row r="55" spans="1:18" ht="13.8">
      <c r="B55" s="25" t="s">
        <v>501</v>
      </c>
      <c r="C55" s="224">
        <v>52</v>
      </c>
    </row>
    <row r="56" spans="1:18">
      <c r="C56" s="224"/>
    </row>
    <row r="57" spans="1:18" ht="40.799999999999997" thickBot="1">
      <c r="B57" s="26"/>
      <c r="C57" s="27"/>
      <c r="D57" s="26" t="s">
        <v>438</v>
      </c>
      <c r="E57" s="26" t="s">
        <v>489</v>
      </c>
      <c r="F57" s="26" t="s">
        <v>475</v>
      </c>
      <c r="G57" s="26"/>
      <c r="H57" s="26"/>
      <c r="I57" s="26"/>
      <c r="J57" s="26"/>
      <c r="K57" s="26"/>
      <c r="L57" s="43" t="s">
        <v>504</v>
      </c>
      <c r="M57" s="43" t="s">
        <v>505</v>
      </c>
      <c r="N57" s="43" t="s">
        <v>506</v>
      </c>
      <c r="O57" s="44" t="s">
        <v>507</v>
      </c>
      <c r="P57" s="44" t="s">
        <v>508</v>
      </c>
      <c r="Q57" s="54" t="s">
        <v>509</v>
      </c>
      <c r="R57" s="55" t="s">
        <v>510</v>
      </c>
    </row>
    <row r="58" spans="1:18" ht="14.4" thickTop="1">
      <c r="A58" s="237">
        <v>1</v>
      </c>
      <c r="B58" s="327" t="s">
        <v>852</v>
      </c>
      <c r="C58" s="328"/>
      <c r="D58" s="329">
        <f>4*(C55-2)*10</f>
        <v>2000</v>
      </c>
      <c r="E58" s="329">
        <f>2*12*C55*2</f>
        <v>2496</v>
      </c>
      <c r="F58" s="329">
        <f>12*14*2*10</f>
        <v>3360</v>
      </c>
      <c r="G58" s="329"/>
      <c r="H58" s="329"/>
      <c r="I58" s="329"/>
      <c r="J58" s="329"/>
      <c r="K58" s="236"/>
      <c r="L58" s="236">
        <f>12*C55*14*10</f>
        <v>87360</v>
      </c>
      <c r="M58" s="236">
        <f>SUM(D58:F58)</f>
        <v>7856</v>
      </c>
      <c r="N58" s="330">
        <f t="shared" ref="N58" si="12">100*M58/L58</f>
        <v>8.9926739926739927</v>
      </c>
      <c r="O58" s="326">
        <v>87360</v>
      </c>
      <c r="P58" s="326">
        <f>D58+E58+12*3*14*2+12*1*2*8</f>
        <v>5696</v>
      </c>
      <c r="Q58" s="330">
        <f t="shared" ref="Q58" si="13">100*P58/O58</f>
        <v>6.5201465201465201</v>
      </c>
      <c r="R58" s="293">
        <f t="shared" ref="R58" si="14">(1-Q58/100)/(1-N58/100)</f>
        <v>1.0271684443550011</v>
      </c>
    </row>
    <row r="59" spans="1:18" ht="13.8">
      <c r="B59" s="30"/>
      <c r="C59" s="31"/>
      <c r="D59" s="30"/>
      <c r="E59" s="30"/>
      <c r="F59" s="30"/>
      <c r="G59" s="30"/>
      <c r="H59" s="30"/>
      <c r="I59" s="30"/>
      <c r="J59" s="30"/>
      <c r="K59" s="30"/>
      <c r="L59" s="30"/>
      <c r="M59" s="30"/>
      <c r="N59" s="46"/>
      <c r="O59" s="22"/>
      <c r="P59" s="22"/>
      <c r="Q59" s="56"/>
      <c r="R59" s="49"/>
    </row>
    <row r="60" spans="1:18">
      <c r="B60" s="30"/>
      <c r="C60" s="31"/>
      <c r="D60" s="30"/>
      <c r="E60" s="30"/>
      <c r="F60" s="30"/>
      <c r="G60" s="30"/>
      <c r="H60" s="30"/>
      <c r="I60" s="30"/>
      <c r="J60" s="30"/>
      <c r="K60" s="30"/>
      <c r="L60" s="30"/>
      <c r="M60" s="30"/>
      <c r="N60" s="47"/>
      <c r="O60" s="22"/>
      <c r="P60" s="22"/>
      <c r="Q60" s="57"/>
      <c r="R60" s="49"/>
    </row>
    <row r="61" spans="1:18" s="22" customFormat="1" ht="13.8">
      <c r="A61"/>
      <c r="B61" s="30"/>
      <c r="C61" s="31"/>
      <c r="D61" s="30"/>
      <c r="E61" s="30"/>
      <c r="F61" s="30"/>
      <c r="L61" s="30"/>
      <c r="M61" s="30"/>
      <c r="N61" s="47"/>
      <c r="Q61" s="56"/>
      <c r="R61" s="49"/>
    </row>
    <row r="62" spans="1:18" ht="13.8">
      <c r="B62" s="32"/>
      <c r="C62" s="33"/>
      <c r="D62" s="32"/>
      <c r="E62" s="32"/>
      <c r="F62" s="32"/>
      <c r="G62" s="34"/>
      <c r="H62" s="34"/>
      <c r="I62" s="34"/>
      <c r="J62" s="22"/>
      <c r="K62" s="22"/>
      <c r="L62" s="30"/>
      <c r="M62" s="30"/>
      <c r="N62" s="48"/>
      <c r="O62" s="22"/>
      <c r="P62" s="22"/>
      <c r="Q62" s="56"/>
      <c r="R62" s="49"/>
    </row>
    <row r="63" spans="1:18" ht="13.8">
      <c r="B63" s="30"/>
      <c r="C63" s="31"/>
      <c r="D63" s="30"/>
      <c r="E63" s="30"/>
      <c r="F63" s="30"/>
      <c r="G63" s="22"/>
      <c r="H63" s="22"/>
      <c r="I63" s="22"/>
      <c r="J63" s="22"/>
      <c r="K63" s="22"/>
      <c r="L63" s="35"/>
      <c r="M63" s="30"/>
      <c r="N63" s="48"/>
      <c r="O63" s="22"/>
      <c r="P63" s="22"/>
      <c r="Q63" s="56"/>
      <c r="R63" s="49"/>
    </row>
    <row r="64" spans="1:18" ht="13.8">
      <c r="A64" s="34"/>
      <c r="C64" s="224"/>
      <c r="N64" s="49"/>
      <c r="O64" s="22"/>
      <c r="P64" s="22"/>
      <c r="Q64" s="56"/>
      <c r="R64" s="49"/>
    </row>
    <row r="65" spans="1:18" ht="13.8">
      <c r="A65" s="34"/>
      <c r="C65" s="224"/>
      <c r="N65" s="49"/>
      <c r="O65" s="22"/>
      <c r="P65" s="22"/>
      <c r="Q65" s="56"/>
      <c r="R65" s="49"/>
    </row>
    <row r="66" spans="1:18">
      <c r="C66" s="224"/>
    </row>
    <row r="67" spans="1:18" ht="13.8">
      <c r="B67" s="25" t="s">
        <v>528</v>
      </c>
      <c r="C67" s="224"/>
    </row>
    <row r="68" spans="1:18" ht="13.8">
      <c r="B68" s="25" t="s">
        <v>529</v>
      </c>
      <c r="C68" s="224"/>
    </row>
    <row r="69" spans="1:18">
      <c r="C69" s="224"/>
    </row>
    <row r="70" spans="1:18" ht="13.8">
      <c r="B70" s="25" t="s">
        <v>501</v>
      </c>
      <c r="C70" s="224">
        <v>106</v>
      </c>
    </row>
    <row r="71" spans="1:18">
      <c r="C71" s="224"/>
    </row>
    <row r="72" spans="1:18" ht="40.799999999999997" thickBot="1">
      <c r="B72" s="26"/>
      <c r="C72" s="27" t="s">
        <v>531</v>
      </c>
      <c r="D72" s="26" t="s">
        <v>438</v>
      </c>
      <c r="E72" s="26" t="s">
        <v>489</v>
      </c>
      <c r="F72" s="26" t="s">
        <v>475</v>
      </c>
      <c r="G72" s="26" t="s">
        <v>718</v>
      </c>
      <c r="H72" s="26"/>
      <c r="I72" s="26"/>
      <c r="J72" s="26"/>
      <c r="K72" s="26"/>
      <c r="L72" s="43" t="s">
        <v>504</v>
      </c>
      <c r="M72" s="43" t="s">
        <v>505</v>
      </c>
      <c r="N72" s="43" t="s">
        <v>506</v>
      </c>
      <c r="O72" s="44" t="s">
        <v>507</v>
      </c>
      <c r="P72" s="44" t="s">
        <v>508</v>
      </c>
      <c r="Q72" s="54" t="s">
        <v>509</v>
      </c>
      <c r="R72" s="55" t="s">
        <v>510</v>
      </c>
    </row>
    <row r="73" spans="1:18" s="295" customFormat="1" ht="13.8" thickTop="1">
      <c r="B73" s="290" t="s">
        <v>828</v>
      </c>
      <c r="C73" s="290" t="s">
        <v>829</v>
      </c>
      <c r="D73" s="290">
        <f>12*($C$22-2)*4</f>
        <v>4992</v>
      </c>
      <c r="E73" s="290">
        <f>2*12*($C$22-2)*2</f>
        <v>4992</v>
      </c>
      <c r="F73" s="290">
        <f>2*12*14*4</f>
        <v>1344</v>
      </c>
      <c r="G73" s="290">
        <f>12*$C$22</f>
        <v>1272</v>
      </c>
      <c r="L73" s="290">
        <f>12*$C$22*4*14</f>
        <v>71232</v>
      </c>
      <c r="M73" s="290">
        <f>SUM(D73:G73)</f>
        <v>12600</v>
      </c>
      <c r="N73" s="298">
        <f t="shared" ref="N73:N74" si="15">100*M73/L73</f>
        <v>17.688679245283019</v>
      </c>
      <c r="O73" s="299"/>
      <c r="Q73" s="300"/>
      <c r="R73" s="301"/>
    </row>
    <row r="74" spans="1:18" s="295" customFormat="1">
      <c r="B74" s="290"/>
      <c r="C74" s="290" t="s">
        <v>830</v>
      </c>
      <c r="D74" s="290">
        <f>12*($C$22-2)*2</f>
        <v>2496</v>
      </c>
      <c r="E74" s="290">
        <f>2*12*($C$22-2)*2</f>
        <v>4992</v>
      </c>
      <c r="F74" s="290">
        <f>2*12*14*2</f>
        <v>672</v>
      </c>
      <c r="G74" s="290">
        <f>2*12*$C$22</f>
        <v>2544</v>
      </c>
      <c r="L74" s="290">
        <f>12*$C$22*2*14</f>
        <v>35616</v>
      </c>
      <c r="M74" s="290">
        <f>SUM(D74:G74)</f>
        <v>10704</v>
      </c>
      <c r="N74" s="298">
        <f t="shared" si="15"/>
        <v>30.053908355795148</v>
      </c>
      <c r="O74" s="299"/>
      <c r="Q74" s="300"/>
      <c r="R74" s="301"/>
    </row>
    <row r="75" spans="1:18">
      <c r="B75" s="30"/>
      <c r="C75" s="30"/>
      <c r="D75" s="30"/>
      <c r="E75" s="30"/>
      <c r="F75" s="30"/>
      <c r="G75" s="30"/>
      <c r="H75" s="22"/>
      <c r="I75" s="22"/>
      <c r="J75" s="22"/>
      <c r="K75" s="22"/>
      <c r="L75" s="30"/>
      <c r="M75" s="30"/>
      <c r="N75" s="47"/>
      <c r="O75" s="22"/>
      <c r="P75" s="22"/>
      <c r="Q75" s="48"/>
      <c r="R75" s="49"/>
    </row>
    <row r="76" spans="1:18">
      <c r="B76" s="30"/>
      <c r="C76" s="30"/>
      <c r="D76" s="30"/>
      <c r="E76" s="30"/>
      <c r="F76" s="30"/>
      <c r="G76" s="22"/>
      <c r="H76" s="22"/>
      <c r="I76" s="22"/>
      <c r="J76" s="22"/>
      <c r="K76" s="22"/>
      <c r="L76" s="30"/>
      <c r="M76" s="30"/>
      <c r="N76" s="50"/>
      <c r="O76" s="22"/>
      <c r="P76" s="22"/>
      <c r="Q76" s="59"/>
      <c r="R76" s="49"/>
    </row>
    <row r="77" spans="1:18">
      <c r="B77" s="30"/>
      <c r="C77" s="30"/>
      <c r="D77" s="30"/>
      <c r="E77" s="30"/>
      <c r="F77" s="30"/>
      <c r="G77" s="30"/>
      <c r="H77" s="22"/>
      <c r="I77" s="22"/>
      <c r="J77" s="22"/>
      <c r="K77" s="22"/>
      <c r="L77" s="30"/>
      <c r="M77" s="30"/>
      <c r="N77" s="47"/>
      <c r="O77" s="22"/>
      <c r="P77" s="22"/>
      <c r="Q77" s="48"/>
      <c r="R77" s="49"/>
    </row>
    <row r="78" spans="1:18">
      <c r="B78" s="30"/>
      <c r="C78" s="30"/>
      <c r="D78" s="30"/>
      <c r="E78" s="30"/>
      <c r="F78" s="30"/>
      <c r="G78" s="22"/>
      <c r="H78" s="22"/>
      <c r="I78" s="22"/>
      <c r="J78" s="22"/>
      <c r="K78" s="22"/>
      <c r="L78" s="30"/>
      <c r="M78" s="30"/>
      <c r="N78" s="50"/>
      <c r="O78" s="22"/>
      <c r="P78" s="22"/>
      <c r="Q78" s="59"/>
      <c r="R78" s="49"/>
    </row>
    <row r="79" spans="1:18">
      <c r="B79" s="30"/>
      <c r="C79" s="30"/>
      <c r="D79" s="30"/>
      <c r="E79" s="30"/>
      <c r="F79" s="30"/>
      <c r="G79" s="30"/>
      <c r="H79" s="22"/>
      <c r="I79" s="22"/>
      <c r="J79" s="22"/>
      <c r="K79" s="22"/>
      <c r="L79" s="35"/>
      <c r="M79" s="35"/>
      <c r="N79" s="205"/>
      <c r="O79" s="206"/>
      <c r="P79" s="207"/>
      <c r="Q79" s="208"/>
      <c r="R79" s="49"/>
    </row>
    <row r="80" spans="1:18" ht="13.8">
      <c r="B80" s="25" t="s">
        <v>528</v>
      </c>
      <c r="C80" s="214"/>
      <c r="G80" s="224"/>
      <c r="L80" s="30"/>
      <c r="M80" s="30"/>
      <c r="N80" s="47"/>
      <c r="O80" s="22"/>
      <c r="P80" s="22"/>
      <c r="Q80" s="48"/>
      <c r="R80" s="49"/>
    </row>
    <row r="81" spans="1:18" ht="13.8">
      <c r="B81" s="25" t="s">
        <v>544</v>
      </c>
      <c r="C81" s="224"/>
      <c r="M81" s="212"/>
      <c r="P81" s="23"/>
      <c r="Q81" s="48"/>
      <c r="R81" s="49"/>
    </row>
    <row r="82" spans="1:18">
      <c r="C82" s="224"/>
      <c r="Q82" s="60"/>
    </row>
    <row r="83" spans="1:18" ht="13.8">
      <c r="B83" s="25" t="s">
        <v>501</v>
      </c>
      <c r="C83" s="224">
        <v>51</v>
      </c>
      <c r="Q83" s="60"/>
    </row>
    <row r="84" spans="1:18">
      <c r="C84" s="224"/>
      <c r="Q84" s="60"/>
    </row>
    <row r="85" spans="1:18" ht="40.799999999999997" thickBot="1">
      <c r="B85" s="26"/>
      <c r="C85" s="27" t="s">
        <v>531</v>
      </c>
      <c r="D85" s="26" t="s">
        <v>438</v>
      </c>
      <c r="E85" s="26" t="s">
        <v>489</v>
      </c>
      <c r="F85" s="26" t="s">
        <v>475</v>
      </c>
      <c r="G85" s="26" t="s">
        <v>718</v>
      </c>
      <c r="H85" s="26"/>
      <c r="I85" s="26"/>
      <c r="J85" s="26"/>
      <c r="K85" s="26"/>
      <c r="L85" s="43" t="s">
        <v>504</v>
      </c>
      <c r="M85" s="43" t="s">
        <v>505</v>
      </c>
      <c r="N85" s="43" t="s">
        <v>506</v>
      </c>
      <c r="O85" s="44" t="s">
        <v>507</v>
      </c>
      <c r="P85" s="44" t="s">
        <v>508</v>
      </c>
      <c r="Q85" s="54" t="s">
        <v>509</v>
      </c>
      <c r="R85" s="55" t="s">
        <v>510</v>
      </c>
    </row>
    <row r="86" spans="1:18" s="195" customFormat="1" ht="27" thickTop="1">
      <c r="A86" s="195">
        <v>1</v>
      </c>
      <c r="B86" s="244" t="s">
        <v>692</v>
      </c>
      <c r="C86" s="245" t="s">
        <v>693</v>
      </c>
      <c r="D86" s="35">
        <f>(4*(C83-3)+4*C83*2)*2</f>
        <v>1200</v>
      </c>
      <c r="E86" s="35">
        <f>2*12*C83*2</f>
        <v>2448</v>
      </c>
      <c r="F86" s="35">
        <f>(12*14*3*1+12*7*3*1+12*2*1*2)*2</f>
        <v>1608</v>
      </c>
      <c r="G86" s="35">
        <f>12*C83*2</f>
        <v>1224</v>
      </c>
      <c r="H86" s="35"/>
      <c r="I86" s="36"/>
      <c r="J86" s="36"/>
      <c r="K86" s="36"/>
      <c r="L86" s="246">
        <f>C83*2*(12*14*3+12*2*2+12*2*2)</f>
        <v>61200</v>
      </c>
      <c r="M86" s="247">
        <f>SUM(D86:G86)</f>
        <v>6480</v>
      </c>
      <c r="N86" s="248">
        <f t="shared" ref="N86:N89" si="16">100*M86/L86</f>
        <v>10.588235294117647</v>
      </c>
      <c r="O86" s="249">
        <f>L86</f>
        <v>61200</v>
      </c>
      <c r="P86" s="249">
        <f>SUM(D86,E86,G86)+(12*14*3*1+12*2*1*2)*2</f>
        <v>5976</v>
      </c>
      <c r="Q86" s="250">
        <f>100*P86/O86</f>
        <v>9.764705882352942</v>
      </c>
      <c r="R86" s="251">
        <f>(1-Q86/100)/(1-N86/100)</f>
        <v>1.0092105263157893</v>
      </c>
    </row>
    <row r="87" spans="1:18" s="195" customFormat="1" ht="26.4">
      <c r="A87" s="195">
        <v>2</v>
      </c>
      <c r="B87" s="244" t="s">
        <v>694</v>
      </c>
      <c r="C87" s="245" t="s">
        <v>695</v>
      </c>
      <c r="D87" s="35">
        <f>(4*(C83-3)*1+4*C83*1)*2</f>
        <v>792</v>
      </c>
      <c r="E87" s="35">
        <f>2*12*C83*2</f>
        <v>2448</v>
      </c>
      <c r="F87" s="35">
        <f>(12*14*3*1+12*7*1)*2</f>
        <v>1176</v>
      </c>
      <c r="G87" s="35">
        <f>12*C83*2</f>
        <v>1224</v>
      </c>
      <c r="H87" s="35"/>
      <c r="I87" s="36"/>
      <c r="J87" s="36"/>
      <c r="K87" s="36"/>
      <c r="L87" s="246">
        <f>C83*2*(12*14*2+12*4*1+12*2*1)</f>
        <v>41616</v>
      </c>
      <c r="M87" s="247">
        <f>SUM(D87:G87)</f>
        <v>5640</v>
      </c>
      <c r="N87" s="248">
        <f t="shared" si="16"/>
        <v>13.552479815455595</v>
      </c>
      <c r="O87" s="249">
        <f>L87</f>
        <v>41616</v>
      </c>
      <c r="P87" s="249">
        <f>SUM(D87,E87,G87)+(12*14*3*1+12*2*1*1)*2</f>
        <v>5520</v>
      </c>
      <c r="Q87" s="250">
        <f>100*P87/O87</f>
        <v>13.264129181084199</v>
      </c>
      <c r="R87" s="251">
        <f>(1-Q87/100)/(1-N87/100)</f>
        <v>1.0033355570380253</v>
      </c>
    </row>
    <row r="88" spans="1:18" ht="26.4">
      <c r="A88">
        <v>3</v>
      </c>
      <c r="B88" s="287" t="s">
        <v>717</v>
      </c>
      <c r="C88" s="281" t="s">
        <v>810</v>
      </c>
      <c r="D88" s="30">
        <f>(C83-2)*12*2</f>
        <v>1176</v>
      </c>
      <c r="E88" s="30">
        <f>(C83-2)*12*2*2</f>
        <v>2352</v>
      </c>
      <c r="F88" s="30">
        <f>2*(12*14*2*2+12*4*1*2)</f>
        <v>1536</v>
      </c>
      <c r="G88" s="30">
        <f>12*C83*2*2</f>
        <v>2448</v>
      </c>
      <c r="H88" s="22"/>
      <c r="I88" s="22"/>
      <c r="J88" s="22"/>
      <c r="K88" s="22"/>
      <c r="L88" s="30">
        <f>C83*(12*14*2*2+12*4*1*2)</f>
        <v>39168</v>
      </c>
      <c r="M88" s="30">
        <f>SUM(D88:F88)</f>
        <v>5064</v>
      </c>
      <c r="N88" s="47">
        <f t="shared" si="16"/>
        <v>12.928921568627452</v>
      </c>
      <c r="O88" s="22">
        <f t="shared" ref="O88:O89" si="17">L88+G88</f>
        <v>41616</v>
      </c>
      <c r="P88" s="22">
        <f t="shared" ref="P88:P89" si="18">SUM(D88,E88,G88)+(12*14*3*2)*2</f>
        <v>7992</v>
      </c>
      <c r="Q88" s="58">
        <f t="shared" ref="Q88:Q89" si="19">100*P88/O88</f>
        <v>19.20415224913495</v>
      </c>
      <c r="R88" s="49">
        <f t="shared" ref="R88:R89" si="20">(1-Q88/100)/(1-N88/100)</f>
        <v>0.92792979260669772</v>
      </c>
    </row>
    <row r="89" spans="1:18" ht="26.4">
      <c r="A89">
        <v>3</v>
      </c>
      <c r="B89" s="287" t="s">
        <v>719</v>
      </c>
      <c r="C89" s="281" t="s">
        <v>811</v>
      </c>
      <c r="D89" s="30">
        <f>(C83-2)*12*2</f>
        <v>1176</v>
      </c>
      <c r="E89" s="23">
        <f>(C83-2)*12*2*2</f>
        <v>2352</v>
      </c>
      <c r="F89" s="30">
        <f>2*(12*14*2*2+12*4*1*2)</f>
        <v>1536</v>
      </c>
      <c r="G89" s="30">
        <f>12*C83*2*2</f>
        <v>2448</v>
      </c>
      <c r="L89" s="30">
        <f>C83*(12*14*2*2+12*4*1*2)</f>
        <v>39168</v>
      </c>
      <c r="M89" s="30">
        <f>SUM(D89:F89)</f>
        <v>5064</v>
      </c>
      <c r="N89" s="47">
        <f t="shared" si="16"/>
        <v>12.928921568627452</v>
      </c>
      <c r="O89" s="22">
        <f t="shared" si="17"/>
        <v>41616</v>
      </c>
      <c r="P89" s="22">
        <f t="shared" si="18"/>
        <v>7992</v>
      </c>
      <c r="Q89" s="58">
        <f t="shared" si="19"/>
        <v>19.20415224913495</v>
      </c>
      <c r="R89" s="49">
        <f t="shared" si="20"/>
        <v>0.92792979260669772</v>
      </c>
    </row>
    <row r="90" spans="1:18">
      <c r="B90" s="30"/>
      <c r="C90" s="31"/>
      <c r="D90" s="30"/>
      <c r="E90" s="30"/>
      <c r="F90" s="30"/>
      <c r="G90" s="30"/>
      <c r="H90" s="22"/>
      <c r="I90" s="22"/>
      <c r="J90" s="22"/>
      <c r="K90" s="22"/>
      <c r="L90" s="30"/>
      <c r="M90" s="30"/>
      <c r="N90" s="30"/>
      <c r="O90" s="22"/>
      <c r="P90" s="22"/>
      <c r="Q90" s="58"/>
      <c r="R90" s="49"/>
    </row>
  </sheetData>
  <customSheetViews>
    <customSheetView guid="{67590F70-5005-492E-AD47-1C13C49F2D83}" scale="85" topLeftCell="A67">
      <selection activeCell="C92" sqref="C92"/>
      <pageMargins left="0.69930555555555596" right="0.69930555555555596" top="0.75" bottom="0.75" header="0.3" footer="0.3"/>
      <pageSetup orientation="portrait"/>
    </customSheetView>
    <customSheetView guid="{A0559F95-FBE7-4275-9B44-A293A1B62940}" scale="85" topLeftCell="A67">
      <selection activeCell="D93" sqref="D93"/>
      <pageMargins left="0.69930555555555596" right="0.69930555555555596" top="0.75" bottom="0.75" header="0.3" footer="0.3"/>
      <pageSetup orientation="portrait"/>
    </customSheetView>
    <customSheetView guid="{11FB768A-9BE5-454D-8324-F7BD8513C471}" scale="85">
      <selection activeCell="B9" sqref="B9"/>
      <pageMargins left="0.69930555555555596" right="0.69930555555555596" top="0.75" bottom="0.75" header="0.3" footer="0.3"/>
      <pageSetup orientation="portrait"/>
    </customSheetView>
    <customSheetView guid="{656CB8E5-9B79-4056-861F-BA0520B66BDB}" scale="85">
      <selection activeCell="H21" sqref="H21"/>
      <pageMargins left="0.69930555555555596" right="0.69930555555555596" top="0.75" bottom="0.75" header="0.3" footer="0.3"/>
      <pageSetup orientation="portrait"/>
    </customSheetView>
    <customSheetView guid="{3A76011A-5D7E-44CA-8EBC-D2C75FB686D2}" scale="85" topLeftCell="A58">
      <selection activeCell="P97" sqref="P97"/>
      <pageMargins left="0.69930555555555596" right="0.69930555555555596" top="0.75" bottom="0.75" header="0.3" footer="0.3"/>
      <pageSetup orientation="portrait"/>
    </customSheetView>
  </customSheetViews>
  <mergeCells count="1">
    <mergeCell ref="B1:J1"/>
  </mergeCells>
  <phoneticPr fontId="9" type="noConversion"/>
  <pageMargins left="0.69930555555555596" right="0.69930555555555596"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118"/>
  <sheetViews>
    <sheetView zoomScale="70" zoomScaleNormal="70" workbookViewId="0">
      <pane xSplit="8" ySplit="2" topLeftCell="I3" activePane="bottomRight" state="frozen"/>
      <selection pane="topRight" activeCell="I1" sqref="I1"/>
      <selection pane="bottomLeft" activeCell="A3" sqref="A3"/>
      <selection pane="bottomRight" activeCell="I1" sqref="I1:I1048576"/>
    </sheetView>
  </sheetViews>
  <sheetFormatPr defaultColWidth="9.44140625" defaultRowHeight="13.2"/>
  <cols>
    <col min="1" max="1" width="9.44140625" style="3"/>
    <col min="2" max="2" width="5.5546875" style="3" customWidth="1"/>
    <col min="3" max="3" width="26.5546875" style="3" customWidth="1"/>
    <col min="4" max="4" width="18.88671875" style="3" customWidth="1"/>
    <col min="5" max="5" width="11.44140625" style="3" customWidth="1"/>
    <col min="6" max="6" width="9.44140625" style="3" customWidth="1"/>
    <col min="7" max="7" width="16.44140625" style="3" customWidth="1"/>
    <col min="8" max="8" width="6.44140625" style="3" customWidth="1"/>
    <col min="9" max="15" width="9.44140625" style="3" customWidth="1"/>
    <col min="16" max="18" width="9.44140625" style="3"/>
    <col min="19" max="26" width="9.44140625" style="3" customWidth="1"/>
    <col min="27" max="16384" width="9.44140625" style="3"/>
  </cols>
  <sheetData>
    <row r="1" spans="1:26" s="1" customFormat="1" ht="48" customHeight="1">
      <c r="A1" s="5" t="s">
        <v>561</v>
      </c>
      <c r="B1" s="1" t="s">
        <v>562</v>
      </c>
      <c r="C1" s="1" t="s">
        <v>563</v>
      </c>
      <c r="D1" s="1" t="s">
        <v>564</v>
      </c>
      <c r="E1" s="1" t="s">
        <v>82</v>
      </c>
      <c r="F1" s="1" t="s">
        <v>95</v>
      </c>
      <c r="G1" s="422" t="s">
        <v>565</v>
      </c>
      <c r="H1" s="422"/>
      <c r="I1" s="1" t="s">
        <v>5</v>
      </c>
      <c r="J1" s="1" t="s">
        <v>24</v>
      </c>
      <c r="K1" s="1" t="s">
        <v>20</v>
      </c>
      <c r="L1" s="1" t="s">
        <v>566</v>
      </c>
      <c r="M1" s="1" t="s">
        <v>567</v>
      </c>
      <c r="N1" s="1" t="s">
        <v>568</v>
      </c>
      <c r="O1" s="1" t="s">
        <v>959</v>
      </c>
      <c r="R1" s="5" t="s">
        <v>569</v>
      </c>
      <c r="S1" s="1" t="s">
        <v>15</v>
      </c>
      <c r="T1" s="1" t="s">
        <v>5</v>
      </c>
      <c r="U1" s="1" t="s">
        <v>24</v>
      </c>
      <c r="V1" s="1" t="s">
        <v>20</v>
      </c>
      <c r="W1" s="1" t="s">
        <v>566</v>
      </c>
      <c r="X1" s="1" t="s">
        <v>567</v>
      </c>
      <c r="Y1" s="1" t="s">
        <v>568</v>
      </c>
      <c r="Z1" s="1" t="s">
        <v>959</v>
      </c>
    </row>
    <row r="2" spans="1:26" ht="12.75" customHeight="1">
      <c r="A2" s="423" t="s">
        <v>570</v>
      </c>
      <c r="B2" s="8" t="s">
        <v>74</v>
      </c>
      <c r="C2" s="8"/>
      <c r="D2" s="8" t="s">
        <v>74</v>
      </c>
      <c r="E2" s="8"/>
      <c r="F2" s="8"/>
      <c r="G2" s="8"/>
      <c r="H2" s="8"/>
      <c r="I2" s="12"/>
      <c r="J2" s="12"/>
      <c r="K2" s="12"/>
      <c r="L2" s="12"/>
      <c r="M2" s="12"/>
      <c r="N2" s="12"/>
      <c r="O2" s="12"/>
      <c r="R2" s="424" t="s">
        <v>570</v>
      </c>
      <c r="S2" s="12"/>
      <c r="T2" s="12"/>
      <c r="U2" s="12"/>
      <c r="V2" s="12"/>
      <c r="W2" s="12"/>
      <c r="X2" s="12"/>
      <c r="Y2" s="12"/>
      <c r="Z2" s="12"/>
    </row>
    <row r="3" spans="1:26" ht="26.4">
      <c r="A3" s="423"/>
      <c r="B3" s="3" t="s">
        <v>571</v>
      </c>
      <c r="C3" s="3" t="s">
        <v>572</v>
      </c>
      <c r="D3" s="3" t="s">
        <v>573</v>
      </c>
      <c r="E3" s="3" t="s">
        <v>574</v>
      </c>
      <c r="G3" s="3" t="s">
        <v>575</v>
      </c>
      <c r="H3" s="13">
        <v>3.3</v>
      </c>
      <c r="I3" s="3">
        <v>6.5940000000000003</v>
      </c>
      <c r="L3" s="3">
        <f>AVERAGE(I3:K3)</f>
        <v>6.5940000000000003</v>
      </c>
      <c r="N3" s="3">
        <f>COUNT(I3:K3)</f>
        <v>1</v>
      </c>
      <c r="O3" s="3" t="s">
        <v>960</v>
      </c>
      <c r="R3" s="423"/>
      <c r="S3" s="3">
        <v>5.165</v>
      </c>
      <c r="T3" s="3">
        <v>6.5369999999999999</v>
      </c>
      <c r="W3" s="3">
        <f>AVERAGE(S3:V3)</f>
        <v>5.851</v>
      </c>
      <c r="X3" s="3">
        <f>_xlfn.STDEV.S(S3:V3)</f>
        <v>0.97015050378794365</v>
      </c>
      <c r="Y3" s="3">
        <f>COUNT(S3:V3)</f>
        <v>2</v>
      </c>
      <c r="Z3" s="3" t="s">
        <v>977</v>
      </c>
    </row>
    <row r="4" spans="1:26" ht="26.4">
      <c r="A4" s="423"/>
      <c r="G4" s="10" t="s">
        <v>576</v>
      </c>
      <c r="H4" s="10">
        <v>0.12</v>
      </c>
      <c r="I4" s="10">
        <v>0.13800000000000001</v>
      </c>
      <c r="J4" s="10"/>
      <c r="K4" s="10"/>
      <c r="L4" s="10">
        <f>AVERAGE(I4:K4)</f>
        <v>0.13800000000000001</v>
      </c>
      <c r="M4" s="10"/>
      <c r="N4" s="10">
        <f>COUNT(I4:K4)</f>
        <v>1</v>
      </c>
      <c r="O4" s="10" t="s">
        <v>960</v>
      </c>
      <c r="R4" s="423"/>
      <c r="S4" s="364">
        <v>0.14899999999999999</v>
      </c>
      <c r="T4" s="364">
        <v>0.13</v>
      </c>
      <c r="U4" s="364"/>
      <c r="V4" s="364"/>
      <c r="W4" s="364">
        <f>AVERAGE(S4:V4)</f>
        <v>0.13950000000000001</v>
      </c>
      <c r="X4" s="364">
        <f>_xlfn.STDEV.S(S4:V4)</f>
        <v>1.3435028842544395E-2</v>
      </c>
      <c r="Y4" s="364">
        <f>COUNT(S4:V4)</f>
        <v>2</v>
      </c>
      <c r="Z4" s="364" t="s">
        <v>978</v>
      </c>
    </row>
    <row r="5" spans="1:26">
      <c r="A5" s="423"/>
      <c r="R5" s="423"/>
    </row>
    <row r="6" spans="1:26" ht="26.4">
      <c r="A6" s="423"/>
      <c r="B6" s="3" t="s">
        <v>571</v>
      </c>
      <c r="C6" s="3" t="s">
        <v>578</v>
      </c>
      <c r="D6" s="15" t="s">
        <v>579</v>
      </c>
      <c r="E6" s="3" t="s">
        <v>574</v>
      </c>
      <c r="G6" s="3" t="s">
        <v>575</v>
      </c>
      <c r="H6" s="13">
        <v>3.3</v>
      </c>
      <c r="I6" s="3">
        <v>7.476</v>
      </c>
      <c r="L6" s="3">
        <f>AVERAGE(I6:K6)</f>
        <v>7.476</v>
      </c>
      <c r="N6" s="3">
        <f>COUNT(I6:K6)</f>
        <v>1</v>
      </c>
      <c r="O6" s="3" t="s">
        <v>961</v>
      </c>
      <c r="R6" s="423"/>
      <c r="T6" s="3">
        <v>7.4560000000000004</v>
      </c>
      <c r="W6" s="3">
        <f>AVERAGE(S6:V6)</f>
        <v>7.4560000000000004</v>
      </c>
      <c r="Y6" s="3">
        <f>COUNT(S6:V6)</f>
        <v>1</v>
      </c>
      <c r="Z6" s="3" t="s">
        <v>961</v>
      </c>
    </row>
    <row r="7" spans="1:26" ht="26.4">
      <c r="A7" s="423"/>
      <c r="G7" s="10" t="s">
        <v>576</v>
      </c>
      <c r="H7" s="10">
        <v>0.12</v>
      </c>
      <c r="I7" s="10">
        <v>0.151</v>
      </c>
      <c r="J7" s="10"/>
      <c r="K7" s="10"/>
      <c r="L7" s="10">
        <f>AVERAGE(I7:K7)</f>
        <v>0.151</v>
      </c>
      <c r="M7" s="10"/>
      <c r="N7" s="10">
        <f>COUNT(I7:K7)</f>
        <v>1</v>
      </c>
      <c r="O7" s="10" t="s">
        <v>961</v>
      </c>
      <c r="R7" s="423"/>
      <c r="S7" s="364"/>
      <c r="T7" s="364">
        <v>0.156</v>
      </c>
      <c r="U7" s="364"/>
      <c r="V7" s="364"/>
      <c r="W7" s="364">
        <f>AVERAGE(S7:V7)</f>
        <v>0.156</v>
      </c>
      <c r="X7" s="364"/>
      <c r="Y7" s="364">
        <f>COUNT(S7:V7)</f>
        <v>1</v>
      </c>
      <c r="Z7" s="364" t="s">
        <v>979</v>
      </c>
    </row>
    <row r="8" spans="1:26">
      <c r="A8" s="423"/>
      <c r="R8" s="423"/>
    </row>
    <row r="9" spans="1:26" ht="26.4">
      <c r="A9" s="423"/>
      <c r="B9" s="3" t="s">
        <v>571</v>
      </c>
      <c r="C9" s="3" t="s">
        <v>572</v>
      </c>
      <c r="D9" s="3" t="s">
        <v>580</v>
      </c>
      <c r="E9" s="3" t="s">
        <v>574</v>
      </c>
      <c r="G9" s="3" t="s">
        <v>575</v>
      </c>
      <c r="H9" s="13">
        <v>3.3</v>
      </c>
      <c r="N9" s="3">
        <f>COUNT(I9:K9)</f>
        <v>0</v>
      </c>
      <c r="O9" s="3" t="s">
        <v>962</v>
      </c>
      <c r="R9" s="423"/>
      <c r="Y9" s="3">
        <f>COUNT(S9:V9)</f>
        <v>0</v>
      </c>
      <c r="Z9" s="3" t="s">
        <v>962</v>
      </c>
    </row>
    <row r="10" spans="1:26" ht="26.4">
      <c r="A10" s="423"/>
      <c r="G10" s="10" t="s">
        <v>576</v>
      </c>
      <c r="H10" s="10">
        <v>0.12</v>
      </c>
      <c r="I10" s="10"/>
      <c r="J10" s="10"/>
      <c r="K10" s="10"/>
      <c r="L10" s="10"/>
      <c r="M10" s="10"/>
      <c r="N10" s="10">
        <f>COUNT(I10:K10)</f>
        <v>0</v>
      </c>
      <c r="O10" s="10" t="s">
        <v>962</v>
      </c>
      <c r="R10" s="423"/>
      <c r="S10" s="364"/>
      <c r="T10" s="364"/>
      <c r="U10" s="364"/>
      <c r="V10" s="364"/>
      <c r="W10" s="364"/>
      <c r="X10" s="364"/>
      <c r="Y10" s="364">
        <f>COUNT(S10:V10)</f>
        <v>0</v>
      </c>
      <c r="Z10" s="364" t="s">
        <v>962</v>
      </c>
    </row>
    <row r="11" spans="1:26">
      <c r="A11" s="423"/>
      <c r="R11" s="423"/>
    </row>
    <row r="12" spans="1:26" ht="26.4">
      <c r="A12" s="423"/>
      <c r="B12" s="3" t="s">
        <v>571</v>
      </c>
      <c r="C12" s="3" t="s">
        <v>581</v>
      </c>
      <c r="D12" s="3" t="s">
        <v>582</v>
      </c>
      <c r="E12" s="3" t="s">
        <v>574</v>
      </c>
      <c r="G12" s="3" t="s">
        <v>575</v>
      </c>
      <c r="H12" s="13">
        <v>3.3</v>
      </c>
      <c r="N12" s="3">
        <f>COUNT(I12:K12)</f>
        <v>0</v>
      </c>
      <c r="O12" s="3" t="s">
        <v>963</v>
      </c>
      <c r="R12" s="423"/>
      <c r="Y12" s="3">
        <f>COUNT(S12:V12)</f>
        <v>0</v>
      </c>
      <c r="Z12" s="3" t="s">
        <v>962</v>
      </c>
    </row>
    <row r="13" spans="1:26" ht="26.4">
      <c r="A13" s="423"/>
      <c r="G13" s="10" t="s">
        <v>576</v>
      </c>
      <c r="H13" s="10">
        <v>0.12</v>
      </c>
      <c r="I13" s="10"/>
      <c r="J13" s="10"/>
      <c r="K13" s="10"/>
      <c r="L13" s="10"/>
      <c r="M13" s="10"/>
      <c r="N13" s="10">
        <f>COUNT(I13:K13)</f>
        <v>0</v>
      </c>
      <c r="O13" s="10" t="s">
        <v>962</v>
      </c>
      <c r="R13" s="423"/>
      <c r="S13" s="364"/>
      <c r="T13" s="364"/>
      <c r="U13" s="364"/>
      <c r="V13" s="364"/>
      <c r="W13" s="364"/>
      <c r="X13" s="364"/>
      <c r="Y13" s="364">
        <f>COUNT(S13:V13)</f>
        <v>0</v>
      </c>
      <c r="Z13" s="364" t="s">
        <v>962</v>
      </c>
    </row>
    <row r="14" spans="1:26">
      <c r="A14" s="423"/>
      <c r="R14" s="423"/>
    </row>
    <row r="15" spans="1:26" ht="26.4">
      <c r="A15" s="423"/>
      <c r="B15" s="3" t="s">
        <v>571</v>
      </c>
      <c r="C15" s="3" t="s">
        <v>583</v>
      </c>
      <c r="D15" s="15" t="s">
        <v>579</v>
      </c>
      <c r="E15" s="3" t="s">
        <v>574</v>
      </c>
      <c r="G15" s="3" t="s">
        <v>575</v>
      </c>
      <c r="H15" s="13">
        <v>3.3</v>
      </c>
      <c r="N15" s="3">
        <f>COUNT(I15:K15)</f>
        <v>0</v>
      </c>
      <c r="O15" s="3" t="s">
        <v>963</v>
      </c>
      <c r="R15" s="423"/>
      <c r="Y15" s="3">
        <f>COUNT(S15:V15)</f>
        <v>0</v>
      </c>
      <c r="Z15" s="3" t="s">
        <v>972</v>
      </c>
    </row>
    <row r="16" spans="1:26" ht="26.4">
      <c r="A16" s="423"/>
      <c r="G16" s="10" t="s">
        <v>576</v>
      </c>
      <c r="H16" s="10">
        <v>0.12</v>
      </c>
      <c r="I16" s="10"/>
      <c r="J16" s="10"/>
      <c r="K16" s="10"/>
      <c r="L16" s="10"/>
      <c r="M16" s="10"/>
      <c r="N16" s="10">
        <f>COUNT(I16:K16)</f>
        <v>0</v>
      </c>
      <c r="O16" s="10" t="s">
        <v>964</v>
      </c>
      <c r="R16" s="423"/>
      <c r="S16" s="364"/>
      <c r="T16" s="364"/>
      <c r="U16" s="364"/>
      <c r="V16" s="364"/>
      <c r="W16" s="364"/>
      <c r="X16" s="364"/>
      <c r="Y16" s="364">
        <f>COUNT(S16:V16)</f>
        <v>0</v>
      </c>
      <c r="Z16" s="364" t="s">
        <v>962</v>
      </c>
    </row>
    <row r="17" spans="1:26">
      <c r="A17" s="423"/>
      <c r="R17" s="423"/>
    </row>
    <row r="18" spans="1:26" ht="26.4">
      <c r="A18" s="423"/>
      <c r="B18" s="3" t="s">
        <v>571</v>
      </c>
      <c r="C18" s="3" t="s">
        <v>572</v>
      </c>
      <c r="D18" s="3" t="s">
        <v>584</v>
      </c>
      <c r="E18" s="3" t="s">
        <v>574</v>
      </c>
      <c r="G18" s="3" t="s">
        <v>575</v>
      </c>
      <c r="H18" s="13">
        <v>3.3</v>
      </c>
      <c r="N18" s="3">
        <f>COUNT(I18:K18)</f>
        <v>0</v>
      </c>
      <c r="O18" s="3" t="s">
        <v>963</v>
      </c>
      <c r="R18" s="423"/>
      <c r="Y18" s="3">
        <f>COUNT(S18:V18)</f>
        <v>0</v>
      </c>
      <c r="Z18" s="3" t="s">
        <v>962</v>
      </c>
    </row>
    <row r="19" spans="1:26" ht="26.4">
      <c r="A19" s="423"/>
      <c r="G19" s="10" t="s">
        <v>576</v>
      </c>
      <c r="H19" s="10">
        <v>0.12</v>
      </c>
      <c r="I19" s="10"/>
      <c r="J19" s="10"/>
      <c r="K19" s="10"/>
      <c r="L19" s="10"/>
      <c r="M19" s="10"/>
      <c r="N19" s="10">
        <f>COUNT(I19:K19)</f>
        <v>0</v>
      </c>
      <c r="O19" s="10" t="s">
        <v>965</v>
      </c>
      <c r="R19" s="423"/>
      <c r="S19" s="364"/>
      <c r="T19" s="364"/>
      <c r="U19" s="364"/>
      <c r="V19" s="364"/>
      <c r="W19" s="364"/>
      <c r="X19" s="364"/>
      <c r="Y19" s="364">
        <f>COUNT(S19:V19)</f>
        <v>0</v>
      </c>
      <c r="Z19" s="364" t="s">
        <v>980</v>
      </c>
    </row>
    <row r="20" spans="1:26">
      <c r="A20" s="423"/>
      <c r="R20" s="423"/>
    </row>
    <row r="21" spans="1:26" ht="26.4">
      <c r="A21" s="423"/>
      <c r="B21" s="3" t="s">
        <v>571</v>
      </c>
      <c r="C21" s="3" t="s">
        <v>572</v>
      </c>
      <c r="D21" s="3" t="s">
        <v>585</v>
      </c>
      <c r="E21" s="3" t="s">
        <v>574</v>
      </c>
      <c r="G21" s="3" t="s">
        <v>575</v>
      </c>
      <c r="H21" s="13">
        <v>3.3</v>
      </c>
      <c r="J21" s="3">
        <v>5.26</v>
      </c>
      <c r="L21" s="3">
        <f>AVERAGE(I21:K21)</f>
        <v>5.26</v>
      </c>
      <c r="N21" s="3">
        <f>COUNT(I21:K21)</f>
        <v>1</v>
      </c>
      <c r="O21" s="3" t="s">
        <v>966</v>
      </c>
      <c r="R21" s="423"/>
      <c r="Y21" s="3">
        <f>COUNT(S21:V21)</f>
        <v>0</v>
      </c>
      <c r="Z21" s="3" t="s">
        <v>962</v>
      </c>
    </row>
    <row r="22" spans="1:26" ht="26.4">
      <c r="A22" s="423"/>
      <c r="G22" s="10" t="s">
        <v>576</v>
      </c>
      <c r="H22" s="10">
        <v>0.12</v>
      </c>
      <c r="I22" s="10"/>
      <c r="J22" s="10">
        <v>0.17</v>
      </c>
      <c r="K22" s="10"/>
      <c r="L22" s="10">
        <f>AVERAGE(I22:K22)</f>
        <v>0.17</v>
      </c>
      <c r="M22" s="10"/>
      <c r="N22" s="10">
        <f>COUNT(I22:K22)</f>
        <v>1</v>
      </c>
      <c r="O22" s="10" t="s">
        <v>966</v>
      </c>
      <c r="R22" s="423"/>
      <c r="S22" s="364"/>
      <c r="T22" s="364"/>
      <c r="U22" s="364"/>
      <c r="V22" s="364"/>
      <c r="W22" s="364"/>
      <c r="X22" s="364"/>
      <c r="Y22" s="364">
        <f>COUNT(S22:V22)</f>
        <v>0</v>
      </c>
      <c r="Z22" s="364" t="s">
        <v>962</v>
      </c>
    </row>
    <row r="23" spans="1:26">
      <c r="A23" s="423"/>
      <c r="R23" s="423"/>
    </row>
    <row r="24" spans="1:26" ht="39.6">
      <c r="A24" s="423"/>
      <c r="B24" s="3" t="s">
        <v>577</v>
      </c>
      <c r="C24" s="3" t="s">
        <v>572</v>
      </c>
      <c r="D24" s="202" t="s">
        <v>723</v>
      </c>
      <c r="E24" s="3" t="s">
        <v>574</v>
      </c>
      <c r="G24" s="3" t="s">
        <v>575</v>
      </c>
      <c r="H24" s="13">
        <v>3.3</v>
      </c>
      <c r="I24" s="3">
        <v>4.6639999999999997</v>
      </c>
      <c r="L24" s="3">
        <f>AVERAGE(I24:K24)</f>
        <v>4.6639999999999997</v>
      </c>
      <c r="N24" s="3">
        <f>COUNT(I24:K24)</f>
        <v>1</v>
      </c>
      <c r="O24" s="3" t="s">
        <v>960</v>
      </c>
      <c r="R24" s="423"/>
      <c r="S24" s="3">
        <v>4.3899999999999997</v>
      </c>
      <c r="T24" s="3">
        <v>4.6280000000000001</v>
      </c>
      <c r="W24" s="3">
        <f>AVERAGE(S24:V24)</f>
        <v>4.5090000000000003</v>
      </c>
      <c r="X24" s="3">
        <f>_xlfn.STDEV.S(S24:V24)</f>
        <v>0.16829141392239863</v>
      </c>
      <c r="Y24" s="3">
        <f>COUNT(S24:V24)</f>
        <v>2</v>
      </c>
      <c r="Z24" s="3" t="s">
        <v>981</v>
      </c>
    </row>
    <row r="25" spans="1:26" ht="26.4">
      <c r="A25" s="423"/>
      <c r="G25" s="10" t="s">
        <v>576</v>
      </c>
      <c r="H25" s="10">
        <v>0.12</v>
      </c>
      <c r="I25" s="10">
        <v>0.12</v>
      </c>
      <c r="J25" s="10"/>
      <c r="K25" s="10"/>
      <c r="L25" s="10">
        <f>AVERAGE(I25:K25)</f>
        <v>0.12</v>
      </c>
      <c r="M25" s="10"/>
      <c r="N25" s="10">
        <f>COUNT(I25:K25)</f>
        <v>1</v>
      </c>
      <c r="O25" s="10" t="s">
        <v>967</v>
      </c>
      <c r="R25" s="423"/>
      <c r="S25" s="364">
        <v>0.127</v>
      </c>
      <c r="T25" s="364">
        <v>0.12</v>
      </c>
      <c r="U25" s="364"/>
      <c r="V25" s="364"/>
      <c r="W25" s="364">
        <f>AVERAGE(S25:V25)</f>
        <v>0.1235</v>
      </c>
      <c r="X25" s="364">
        <f>_xlfn.STDEV.S(S25:V25)</f>
        <v>4.9497474683058368E-3</v>
      </c>
      <c r="Y25" s="364">
        <f>COUNT(S25:V25)</f>
        <v>2</v>
      </c>
      <c r="Z25" s="364" t="s">
        <v>981</v>
      </c>
    </row>
    <row r="26" spans="1:26">
      <c r="A26" s="423"/>
      <c r="R26" s="423"/>
    </row>
    <row r="27" spans="1:26" ht="39.6">
      <c r="A27" s="423"/>
      <c r="B27" s="3" t="s">
        <v>577</v>
      </c>
      <c r="C27" s="3" t="s">
        <v>583</v>
      </c>
      <c r="D27" s="202" t="s">
        <v>724</v>
      </c>
      <c r="E27" s="3" t="s">
        <v>574</v>
      </c>
      <c r="G27" s="3" t="s">
        <v>575</v>
      </c>
      <c r="H27" s="13">
        <v>3.3</v>
      </c>
      <c r="N27" s="3">
        <f>COUNT(I27:K27)</f>
        <v>0</v>
      </c>
      <c r="O27" s="3" t="s">
        <v>962</v>
      </c>
      <c r="R27" s="423"/>
      <c r="Y27" s="3">
        <f>COUNT(S27:V27)</f>
        <v>0</v>
      </c>
      <c r="Z27" s="3" t="s">
        <v>972</v>
      </c>
    </row>
    <row r="28" spans="1:26" ht="26.4">
      <c r="A28" s="423"/>
      <c r="G28" s="10" t="s">
        <v>576</v>
      </c>
      <c r="H28" s="10">
        <v>0.12</v>
      </c>
      <c r="I28" s="10"/>
      <c r="J28" s="10"/>
      <c r="K28" s="10"/>
      <c r="L28" s="10"/>
      <c r="M28" s="10"/>
      <c r="N28" s="10">
        <f>COUNT(I28:K28)</f>
        <v>0</v>
      </c>
      <c r="O28" s="10" t="s">
        <v>962</v>
      </c>
      <c r="R28" s="423"/>
      <c r="S28" s="364"/>
      <c r="T28" s="364"/>
      <c r="U28" s="364"/>
      <c r="V28" s="364"/>
      <c r="W28" s="364"/>
      <c r="X28" s="364"/>
      <c r="Y28" s="364">
        <f>COUNT(S28:V28)</f>
        <v>0</v>
      </c>
      <c r="Z28" s="364" t="s">
        <v>971</v>
      </c>
    </row>
    <row r="29" spans="1:26">
      <c r="A29" s="423"/>
      <c r="R29" s="423"/>
    </row>
    <row r="30" spans="1:26">
      <c r="A30" s="423"/>
      <c r="B30" s="8" t="s">
        <v>75</v>
      </c>
      <c r="C30" s="8"/>
      <c r="D30" s="8" t="s">
        <v>75</v>
      </c>
      <c r="E30" s="8"/>
      <c r="F30" s="8"/>
      <c r="G30" s="12"/>
      <c r="H30" s="12"/>
      <c r="I30" s="12"/>
      <c r="J30" s="12"/>
      <c r="K30" s="12"/>
      <c r="L30" s="12"/>
      <c r="M30" s="12"/>
      <c r="N30" s="12"/>
      <c r="O30" s="12"/>
      <c r="R30" s="423"/>
      <c r="S30" s="12"/>
      <c r="T30" s="12"/>
      <c r="U30" s="12"/>
      <c r="V30" s="12"/>
      <c r="W30" s="12"/>
      <c r="X30" s="12"/>
      <c r="Y30" s="12"/>
      <c r="Z30" s="12"/>
    </row>
    <row r="31" spans="1:26" ht="31.5" customHeight="1">
      <c r="A31" s="423"/>
      <c r="B31" s="3" t="s">
        <v>571</v>
      </c>
      <c r="C31" s="3" t="s">
        <v>572</v>
      </c>
      <c r="D31" s="15" t="s">
        <v>586</v>
      </c>
      <c r="E31" s="3" t="s">
        <v>587</v>
      </c>
      <c r="F31" s="3" t="s">
        <v>97</v>
      </c>
      <c r="G31" s="3" t="s">
        <v>575</v>
      </c>
      <c r="H31" s="13">
        <v>3.3</v>
      </c>
      <c r="I31" s="3">
        <v>7.8167547169811336</v>
      </c>
      <c r="L31" s="3">
        <f>AVERAGE(I31:K31)</f>
        <v>7.8167547169811336</v>
      </c>
      <c r="N31" s="3">
        <f>COUNT(I31:K31)</f>
        <v>1</v>
      </c>
      <c r="O31" s="3" t="s">
        <v>961</v>
      </c>
      <c r="R31" s="423"/>
      <c r="S31" s="3">
        <v>6.6120000000000001</v>
      </c>
      <c r="T31" s="3">
        <v>7.747471698113209</v>
      </c>
      <c r="W31" s="3">
        <f>AVERAGE(S31:V31)</f>
        <v>7.1797358490566046</v>
      </c>
      <c r="X31" s="3">
        <f>_xlfn.STDEV.S(S31:V31)</f>
        <v>0.80289973758125444</v>
      </c>
      <c r="Y31" s="3">
        <f>COUNT(S31:V31)</f>
        <v>2</v>
      </c>
      <c r="Z31" s="3" t="s">
        <v>981</v>
      </c>
    </row>
    <row r="32" spans="1:26" ht="26.4">
      <c r="A32" s="423"/>
      <c r="G32" s="10" t="s">
        <v>576</v>
      </c>
      <c r="H32" s="10">
        <v>0.12</v>
      </c>
      <c r="I32" s="253">
        <v>0.1925660377358491</v>
      </c>
      <c r="J32" s="253"/>
      <c r="K32" s="253"/>
      <c r="L32" s="253">
        <f>AVERAGE(I32:K32)</f>
        <v>0.1925660377358491</v>
      </c>
      <c r="M32" s="253"/>
      <c r="N32" s="253">
        <f>COUNT(I32:K32)</f>
        <v>1</v>
      </c>
      <c r="O32" s="253" t="s">
        <v>968</v>
      </c>
      <c r="R32" s="423"/>
      <c r="S32" s="364">
        <v>0.188</v>
      </c>
      <c r="T32" s="364">
        <v>0.1884905660377359</v>
      </c>
      <c r="U32" s="364"/>
      <c r="V32" s="364"/>
      <c r="W32" s="364">
        <f>AVERAGE(S32:V32)</f>
        <v>0.18824528301886795</v>
      </c>
      <c r="X32" s="364">
        <f>_xlfn.STDEV.S(S32:V32)</f>
        <v>3.4688257190286753E-4</v>
      </c>
      <c r="Y32" s="364">
        <f>COUNT(S32:V32)</f>
        <v>2</v>
      </c>
      <c r="Z32" s="364" t="s">
        <v>982</v>
      </c>
    </row>
    <row r="33" spans="1:26">
      <c r="A33" s="7"/>
      <c r="R33" s="423"/>
    </row>
    <row r="34" spans="1:26" ht="31.5" customHeight="1">
      <c r="A34" s="7"/>
      <c r="B34" s="3" t="s">
        <v>571</v>
      </c>
      <c r="C34" s="3" t="s">
        <v>572</v>
      </c>
      <c r="D34" s="15" t="s">
        <v>586</v>
      </c>
      <c r="E34" s="3" t="s">
        <v>574</v>
      </c>
      <c r="F34" s="3" t="s">
        <v>97</v>
      </c>
      <c r="G34" s="3" t="s">
        <v>575</v>
      </c>
      <c r="H34" s="13">
        <v>3.3</v>
      </c>
      <c r="I34" s="3">
        <v>7.6567924528301887</v>
      </c>
      <c r="L34" s="3">
        <f>AVERAGE(I34:K34)</f>
        <v>7.6567924528301887</v>
      </c>
      <c r="N34" s="3">
        <f>COUNT(I34:K34)</f>
        <v>1</v>
      </c>
      <c r="O34" s="3" t="s">
        <v>969</v>
      </c>
      <c r="R34" s="423"/>
      <c r="S34" s="3">
        <v>6.2519999999999998</v>
      </c>
      <c r="T34" s="3">
        <v>7.5732452830188679</v>
      </c>
      <c r="V34" s="3">
        <v>4.88</v>
      </c>
      <c r="W34" s="3">
        <f>AVERAGE(S34:V34)</f>
        <v>6.2350817610062892</v>
      </c>
      <c r="X34" s="3">
        <f>_xlfn.STDEV.S(S34:V34)</f>
        <v>1.3467023460044298</v>
      </c>
      <c r="Y34" s="3">
        <f>COUNT(S34:V34)</f>
        <v>3</v>
      </c>
      <c r="Z34" s="3" t="s">
        <v>961</v>
      </c>
    </row>
    <row r="35" spans="1:26" ht="26.4">
      <c r="A35" s="7"/>
      <c r="G35" s="10" t="s">
        <v>576</v>
      </c>
      <c r="H35" s="10">
        <v>0.12</v>
      </c>
      <c r="I35" s="10">
        <v>0.16403773584905662</v>
      </c>
      <c r="J35" s="10"/>
      <c r="K35" s="10"/>
      <c r="L35" s="10">
        <f>AVERAGE(I35:K35)</f>
        <v>0.16403773584905662</v>
      </c>
      <c r="M35" s="10"/>
      <c r="N35" s="10">
        <f>COUNT(I35:K35)</f>
        <v>1</v>
      </c>
      <c r="O35" s="10" t="s">
        <v>961</v>
      </c>
      <c r="R35" s="423"/>
      <c r="S35" s="364">
        <v>0.16300000000000001</v>
      </c>
      <c r="T35" s="364">
        <v>0.1589433962264151</v>
      </c>
      <c r="U35" s="364"/>
      <c r="V35" s="364">
        <v>0.13700000000000001</v>
      </c>
      <c r="W35" s="364">
        <f>AVERAGE(S35:V35)</f>
        <v>0.1529811320754717</v>
      </c>
      <c r="X35" s="364">
        <f>_xlfn.STDEV.S(S35:V35)</f>
        <v>1.3987903536778428E-2</v>
      </c>
      <c r="Y35" s="364">
        <f>COUNT(S35:V35)</f>
        <v>3</v>
      </c>
      <c r="Z35" s="364" t="s">
        <v>960</v>
      </c>
    </row>
    <row r="36" spans="1:26">
      <c r="A36" s="7"/>
      <c r="R36" s="423"/>
    </row>
    <row r="37" spans="1:26" ht="31.5" customHeight="1">
      <c r="A37" s="7"/>
      <c r="B37" s="3" t="s">
        <v>571</v>
      </c>
      <c r="C37" s="3" t="s">
        <v>578</v>
      </c>
      <c r="D37" s="15" t="s">
        <v>588</v>
      </c>
      <c r="E37" s="3" t="s">
        <v>587</v>
      </c>
      <c r="F37" s="3" t="s">
        <v>97</v>
      </c>
      <c r="G37" s="3" t="s">
        <v>575</v>
      </c>
      <c r="H37" s="13">
        <v>3.3</v>
      </c>
      <c r="I37" s="3">
        <v>9.2115849056603754</v>
      </c>
      <c r="L37" s="3">
        <f>AVERAGE(I37:K37)</f>
        <v>9.2115849056603754</v>
      </c>
      <c r="N37" s="3">
        <f>COUNT(I37:K37)</f>
        <v>1</v>
      </c>
      <c r="O37" s="3" t="s">
        <v>968</v>
      </c>
      <c r="R37" s="423"/>
      <c r="T37" s="3">
        <v>9.219735849056601</v>
      </c>
      <c r="W37" s="3">
        <f>AVERAGE(S37:V37)</f>
        <v>9.219735849056601</v>
      </c>
      <c r="Y37" s="3">
        <f>COUNT(S37:V37)</f>
        <v>1</v>
      </c>
      <c r="Z37" s="3" t="s">
        <v>960</v>
      </c>
    </row>
    <row r="38" spans="1:26" ht="26.4">
      <c r="A38" s="7"/>
      <c r="G38" s="10" t="s">
        <v>576</v>
      </c>
      <c r="H38" s="10">
        <v>0.12</v>
      </c>
      <c r="I38" s="10">
        <v>0.21396226415094335</v>
      </c>
      <c r="J38" s="10"/>
      <c r="K38" s="10"/>
      <c r="L38" s="10">
        <f>AVERAGE(I38:K38)</f>
        <v>0.21396226415094335</v>
      </c>
      <c r="M38" s="10"/>
      <c r="N38" s="10">
        <f>COUNT(I38:K38)</f>
        <v>1</v>
      </c>
      <c r="O38" s="10" t="s">
        <v>961</v>
      </c>
      <c r="R38" s="423"/>
      <c r="S38" s="364"/>
      <c r="T38" s="364">
        <v>0.21905660377358485</v>
      </c>
      <c r="U38" s="364"/>
      <c r="V38" s="364"/>
      <c r="W38" s="364">
        <f>AVERAGE(S38:V38)</f>
        <v>0.21905660377358485</v>
      </c>
      <c r="X38" s="364"/>
      <c r="Y38" s="364">
        <f>COUNT(S38:V38)</f>
        <v>1</v>
      </c>
      <c r="Z38" s="364" t="s">
        <v>981</v>
      </c>
    </row>
    <row r="39" spans="1:26">
      <c r="A39" s="7"/>
      <c r="R39" s="423"/>
    </row>
    <row r="40" spans="1:26" ht="31.5" customHeight="1">
      <c r="A40" s="7"/>
      <c r="B40" s="3" t="s">
        <v>571</v>
      </c>
      <c r="C40" s="3" t="s">
        <v>578</v>
      </c>
      <c r="D40" s="15" t="s">
        <v>588</v>
      </c>
      <c r="E40" s="3" t="s">
        <v>574</v>
      </c>
      <c r="F40" s="3" t="s">
        <v>97</v>
      </c>
      <c r="G40" s="3" t="s">
        <v>575</v>
      </c>
      <c r="H40" s="13">
        <v>3.3</v>
      </c>
      <c r="I40" s="3">
        <v>8.8967547169811318</v>
      </c>
      <c r="L40" s="3">
        <f>AVERAGE(I40:K40)</f>
        <v>8.8967547169811318</v>
      </c>
      <c r="N40" s="3">
        <f>COUNT(I40:K40)</f>
        <v>1</v>
      </c>
      <c r="O40" s="3" t="s">
        <v>961</v>
      </c>
      <c r="R40" s="423"/>
      <c r="T40" s="3">
        <v>8.9487169811320744</v>
      </c>
      <c r="W40" s="3">
        <f>AVERAGE(S40:V40)</f>
        <v>8.9487169811320744</v>
      </c>
      <c r="Y40" s="3">
        <f>COUNT(S40:V40)</f>
        <v>1</v>
      </c>
      <c r="Z40" s="3" t="s">
        <v>966</v>
      </c>
    </row>
    <row r="41" spans="1:26" ht="26.4">
      <c r="A41" s="7"/>
      <c r="G41" s="10" t="s">
        <v>576</v>
      </c>
      <c r="H41" s="10">
        <v>0.12</v>
      </c>
      <c r="I41" s="10">
        <v>0.17728301886792452</v>
      </c>
      <c r="J41" s="10"/>
      <c r="K41" s="10"/>
      <c r="L41" s="10">
        <f>AVERAGE(I41:K41)</f>
        <v>0.17728301886792452</v>
      </c>
      <c r="M41" s="10"/>
      <c r="N41" s="10">
        <f>COUNT(I41:K41)</f>
        <v>1</v>
      </c>
      <c r="O41" s="10" t="s">
        <v>961</v>
      </c>
      <c r="R41" s="423"/>
      <c r="S41" s="364"/>
      <c r="T41" s="364">
        <v>0.18339622641509434</v>
      </c>
      <c r="U41" s="364"/>
      <c r="V41" s="364"/>
      <c r="W41" s="364">
        <f>AVERAGE(S41:V41)</f>
        <v>0.18339622641509434</v>
      </c>
      <c r="X41" s="364"/>
      <c r="Y41" s="364">
        <f>COUNT(S41:V41)</f>
        <v>1</v>
      </c>
      <c r="Z41" s="364" t="s">
        <v>966</v>
      </c>
    </row>
    <row r="42" spans="1:26">
      <c r="A42" s="7"/>
      <c r="R42" s="423"/>
    </row>
    <row r="43" spans="1:26" ht="40.5" customHeight="1">
      <c r="A43" s="7"/>
      <c r="B43" s="3" t="s">
        <v>571</v>
      </c>
      <c r="C43" s="3" t="s">
        <v>581</v>
      </c>
      <c r="D43" s="202" t="s">
        <v>655</v>
      </c>
      <c r="E43" s="3" t="s">
        <v>574</v>
      </c>
      <c r="F43" s="3" t="s">
        <v>98</v>
      </c>
      <c r="G43" s="3" t="s">
        <v>575</v>
      </c>
      <c r="H43" s="13">
        <v>3.3</v>
      </c>
      <c r="N43" s="3">
        <f>COUNT(I43:K43)</f>
        <v>0</v>
      </c>
      <c r="O43" s="3" t="s">
        <v>970</v>
      </c>
      <c r="R43" s="423"/>
      <c r="Y43" s="3">
        <f>COUNT(S43:V43)</f>
        <v>0</v>
      </c>
      <c r="Z43" s="3" t="s">
        <v>963</v>
      </c>
    </row>
    <row r="44" spans="1:26" ht="26.4">
      <c r="A44" s="7"/>
      <c r="G44" s="10" t="s">
        <v>576</v>
      </c>
      <c r="H44" s="10">
        <v>0.12</v>
      </c>
      <c r="I44" s="10"/>
      <c r="J44" s="10"/>
      <c r="K44" s="10"/>
      <c r="L44" s="10"/>
      <c r="M44" s="10"/>
      <c r="N44" s="10">
        <f>COUNT(I44:K44)</f>
        <v>0</v>
      </c>
      <c r="O44" s="10" t="s">
        <v>962</v>
      </c>
      <c r="R44" s="423"/>
      <c r="S44" s="10"/>
      <c r="T44" s="10"/>
      <c r="U44" s="10"/>
      <c r="V44" s="10"/>
      <c r="W44" s="10"/>
      <c r="X44" s="10"/>
      <c r="Y44" s="10">
        <f>COUNT(S44:V44)</f>
        <v>0</v>
      </c>
      <c r="Z44" s="10" t="s">
        <v>972</v>
      </c>
    </row>
    <row r="45" spans="1:26">
      <c r="A45" s="7"/>
      <c r="R45" s="7"/>
    </row>
    <row r="46" spans="1:26" ht="26.4">
      <c r="A46" s="7"/>
      <c r="B46" s="3" t="s">
        <v>571</v>
      </c>
      <c r="C46" s="3" t="s">
        <v>572</v>
      </c>
      <c r="D46" s="15" t="s">
        <v>586</v>
      </c>
      <c r="E46" s="3" t="s">
        <v>574</v>
      </c>
      <c r="F46" s="3" t="s">
        <v>98</v>
      </c>
      <c r="G46" s="3" t="s">
        <v>575</v>
      </c>
      <c r="H46" s="13">
        <v>3.3</v>
      </c>
      <c r="J46" s="3">
        <v>6.3979746835443043</v>
      </c>
      <c r="L46" s="3">
        <f>AVERAGE(I46:K46)</f>
        <v>6.3979746835443043</v>
      </c>
      <c r="N46" s="3">
        <f>COUNT(I46:K46)</f>
        <v>1</v>
      </c>
      <c r="O46" s="3" t="s">
        <v>960</v>
      </c>
      <c r="R46" s="7"/>
      <c r="V46" s="3">
        <v>5.024</v>
      </c>
      <c r="W46" s="3">
        <f>AVERAGE(S46:V46)</f>
        <v>5.024</v>
      </c>
      <c r="Y46" s="3">
        <f>COUNT(S46:V46)</f>
        <v>1</v>
      </c>
      <c r="Z46" s="3" t="s">
        <v>960</v>
      </c>
    </row>
    <row r="47" spans="1:26" ht="26.4">
      <c r="A47" s="7"/>
      <c r="G47" s="10" t="s">
        <v>576</v>
      </c>
      <c r="H47" s="10">
        <v>0.12</v>
      </c>
      <c r="I47" s="10"/>
      <c r="J47" s="10">
        <v>0.18759493670886077</v>
      </c>
      <c r="K47" s="10"/>
      <c r="L47" s="10">
        <f>AVERAGE(I47:K47)</f>
        <v>0.18759493670886077</v>
      </c>
      <c r="M47" s="10"/>
      <c r="N47" s="10">
        <f>COUNT(I47:K47)</f>
        <v>1</v>
      </c>
      <c r="O47" s="10" t="s">
        <v>960</v>
      </c>
      <c r="R47" s="7"/>
      <c r="S47" s="10"/>
      <c r="T47" s="10"/>
      <c r="U47" s="10"/>
      <c r="V47" s="10">
        <v>0.14499999999999999</v>
      </c>
      <c r="W47" s="10">
        <f>AVERAGE(S47:V47)</f>
        <v>0.14499999999999999</v>
      </c>
      <c r="X47" s="10"/>
      <c r="Y47" s="10">
        <f>COUNT(S47:V47)</f>
        <v>1</v>
      </c>
      <c r="Z47" s="10" t="s">
        <v>979</v>
      </c>
    </row>
    <row r="48" spans="1:26">
      <c r="A48" s="7"/>
      <c r="R48" s="7"/>
    </row>
    <row r="49" spans="1:26" ht="26.4">
      <c r="A49" s="7"/>
      <c r="B49" s="3" t="s">
        <v>571</v>
      </c>
      <c r="C49" s="3" t="s">
        <v>572</v>
      </c>
      <c r="D49" s="15" t="s">
        <v>586</v>
      </c>
      <c r="E49" s="15" t="s">
        <v>587</v>
      </c>
      <c r="F49" s="3" t="s">
        <v>98</v>
      </c>
      <c r="G49" s="3" t="s">
        <v>575</v>
      </c>
      <c r="H49" s="13">
        <v>3.3</v>
      </c>
      <c r="N49" s="3">
        <f>COUNT(I49:K49)</f>
        <v>0</v>
      </c>
      <c r="O49" s="3" t="s">
        <v>971</v>
      </c>
      <c r="R49" s="7"/>
      <c r="Y49" s="3">
        <f>COUNT(S49:V49)</f>
        <v>0</v>
      </c>
      <c r="Z49" s="3" t="s">
        <v>972</v>
      </c>
    </row>
    <row r="50" spans="1:26" ht="26.4">
      <c r="A50" s="7"/>
      <c r="G50" s="10" t="s">
        <v>576</v>
      </c>
      <c r="H50" s="10">
        <v>0.12</v>
      </c>
      <c r="I50" s="10"/>
      <c r="J50" s="10"/>
      <c r="K50" s="10"/>
      <c r="L50" s="10"/>
      <c r="M50" s="10"/>
      <c r="N50" s="10">
        <f>COUNT(I50:K50)</f>
        <v>0</v>
      </c>
      <c r="O50" s="10" t="s">
        <v>972</v>
      </c>
      <c r="R50" s="7"/>
      <c r="S50" s="10"/>
      <c r="T50" s="10"/>
      <c r="U50" s="10"/>
      <c r="V50" s="10"/>
      <c r="W50" s="10"/>
      <c r="X50" s="10"/>
      <c r="Y50" s="10">
        <f>COUNT(S50:V50)</f>
        <v>0</v>
      </c>
      <c r="Z50" s="10" t="s">
        <v>983</v>
      </c>
    </row>
    <row r="51" spans="1:26">
      <c r="A51" s="7"/>
      <c r="R51" s="7"/>
    </row>
    <row r="52" spans="1:26" ht="26.4">
      <c r="A52" s="7"/>
      <c r="B52" s="3" t="s">
        <v>571</v>
      </c>
      <c r="C52" s="3" t="s">
        <v>583</v>
      </c>
      <c r="D52" s="3" t="s">
        <v>589</v>
      </c>
      <c r="E52" s="15" t="s">
        <v>587</v>
      </c>
      <c r="F52" s="15" t="s">
        <v>100</v>
      </c>
      <c r="G52" s="3" t="s">
        <v>575</v>
      </c>
      <c r="H52" s="13">
        <v>3.3</v>
      </c>
      <c r="N52" s="3">
        <f>COUNT(I52:K52)</f>
        <v>0</v>
      </c>
      <c r="O52" s="3" t="s">
        <v>972</v>
      </c>
      <c r="R52" s="7"/>
      <c r="Y52" s="3">
        <f>COUNT(S52:V52)</f>
        <v>0</v>
      </c>
      <c r="Z52" s="3" t="s">
        <v>970</v>
      </c>
    </row>
    <row r="53" spans="1:26" ht="26.4">
      <c r="A53" s="7"/>
      <c r="G53" s="10" t="s">
        <v>576</v>
      </c>
      <c r="H53" s="10">
        <v>0.12</v>
      </c>
      <c r="I53" s="10"/>
      <c r="J53" s="10"/>
      <c r="K53" s="10"/>
      <c r="L53" s="10"/>
      <c r="M53" s="10"/>
      <c r="N53" s="10">
        <f>COUNT(I53:K53)</f>
        <v>0</v>
      </c>
      <c r="O53" s="10" t="s">
        <v>963</v>
      </c>
      <c r="R53" s="7"/>
      <c r="S53" s="364"/>
      <c r="T53" s="364"/>
      <c r="U53" s="364"/>
      <c r="V53" s="364"/>
      <c r="W53" s="364"/>
      <c r="X53" s="364"/>
      <c r="Y53" s="364">
        <f>COUNT(S53:V53)</f>
        <v>0</v>
      </c>
      <c r="Z53" s="364" t="s">
        <v>963</v>
      </c>
    </row>
    <row r="54" spans="1:26">
      <c r="A54" s="7"/>
      <c r="R54" s="226"/>
    </row>
    <row r="55" spans="1:26" ht="26.4">
      <c r="A55" s="7"/>
      <c r="B55" s="15" t="s">
        <v>577</v>
      </c>
      <c r="C55" s="3" t="s">
        <v>583</v>
      </c>
      <c r="D55" s="15" t="s">
        <v>588</v>
      </c>
      <c r="E55" s="3" t="s">
        <v>574</v>
      </c>
      <c r="F55" s="3" t="s">
        <v>98</v>
      </c>
      <c r="G55" s="3" t="s">
        <v>575</v>
      </c>
      <c r="H55" s="13">
        <v>3.3</v>
      </c>
      <c r="N55" s="3">
        <f t="shared" ref="N55:N62" si="0">COUNT(I55:K55)</f>
        <v>0</v>
      </c>
      <c r="O55" s="3" t="s">
        <v>962</v>
      </c>
      <c r="R55" s="7"/>
      <c r="Y55" s="3">
        <f t="shared" ref="Y55:Y62" si="1">COUNT(S55:V55)</f>
        <v>0</v>
      </c>
      <c r="Z55" s="3" t="s">
        <v>983</v>
      </c>
    </row>
    <row r="56" spans="1:26" ht="26.4">
      <c r="A56" s="7"/>
      <c r="G56" s="10" t="s">
        <v>576</v>
      </c>
      <c r="H56" s="10">
        <v>0.12</v>
      </c>
      <c r="I56" s="10"/>
      <c r="J56" s="10"/>
      <c r="K56" s="10"/>
      <c r="L56" s="10"/>
      <c r="M56" s="10"/>
      <c r="N56" s="10">
        <f t="shared" si="0"/>
        <v>0</v>
      </c>
      <c r="O56" s="10" t="s">
        <v>972</v>
      </c>
      <c r="R56" s="7"/>
      <c r="S56" s="10"/>
      <c r="T56" s="10"/>
      <c r="U56" s="10"/>
      <c r="V56" s="10"/>
      <c r="W56" s="10"/>
      <c r="X56" s="10"/>
      <c r="Y56" s="10">
        <f t="shared" si="1"/>
        <v>0</v>
      </c>
      <c r="Z56" s="10" t="s">
        <v>972</v>
      </c>
    </row>
    <row r="57" spans="1:26" ht="26.4">
      <c r="A57" s="226"/>
      <c r="B57" s="242" t="s">
        <v>571</v>
      </c>
      <c r="C57" s="242" t="s">
        <v>781</v>
      </c>
      <c r="D57" s="242" t="s">
        <v>586</v>
      </c>
      <c r="E57" s="242" t="s">
        <v>587</v>
      </c>
      <c r="F57" s="242" t="s">
        <v>683</v>
      </c>
      <c r="G57" s="3" t="s">
        <v>575</v>
      </c>
      <c r="H57" s="13">
        <v>3.3</v>
      </c>
      <c r="N57" s="3">
        <f t="shared" si="0"/>
        <v>0</v>
      </c>
      <c r="O57" s="3" t="s">
        <v>962</v>
      </c>
      <c r="R57" s="226"/>
      <c r="Y57" s="3">
        <f t="shared" si="1"/>
        <v>0</v>
      </c>
      <c r="Z57" s="3" t="s">
        <v>972</v>
      </c>
    </row>
    <row r="58" spans="1:26" ht="26.4">
      <c r="A58" s="226"/>
      <c r="B58" s="242"/>
      <c r="C58" s="242"/>
      <c r="D58" s="242"/>
      <c r="E58" s="242"/>
      <c r="F58" s="242"/>
      <c r="G58" s="10" t="s">
        <v>576</v>
      </c>
      <c r="H58" s="10">
        <v>0.12</v>
      </c>
      <c r="I58" s="10"/>
      <c r="J58" s="10"/>
      <c r="K58" s="10"/>
      <c r="L58" s="10"/>
      <c r="M58" s="10"/>
      <c r="N58" s="10">
        <f t="shared" si="0"/>
        <v>0</v>
      </c>
      <c r="O58" s="10" t="s">
        <v>962</v>
      </c>
      <c r="R58" s="226"/>
      <c r="S58" s="10"/>
      <c r="T58" s="10"/>
      <c r="U58" s="10"/>
      <c r="V58" s="10"/>
      <c r="W58" s="10"/>
      <c r="X58" s="10"/>
      <c r="Y58" s="10">
        <f t="shared" si="1"/>
        <v>0</v>
      </c>
      <c r="Z58" s="10" t="s">
        <v>972</v>
      </c>
    </row>
    <row r="59" spans="1:26" ht="26.4">
      <c r="A59" s="226"/>
      <c r="B59" s="242" t="s">
        <v>571</v>
      </c>
      <c r="C59" s="242" t="s">
        <v>781</v>
      </c>
      <c r="D59" s="242" t="s">
        <v>586</v>
      </c>
      <c r="E59" s="242" t="s">
        <v>587</v>
      </c>
      <c r="F59" s="242" t="s">
        <v>684</v>
      </c>
      <c r="G59" s="3" t="s">
        <v>575</v>
      </c>
      <c r="H59" s="13">
        <v>3.3</v>
      </c>
      <c r="N59" s="3">
        <f t="shared" si="0"/>
        <v>0</v>
      </c>
      <c r="O59" s="3" t="s">
        <v>962</v>
      </c>
      <c r="R59" s="226"/>
      <c r="Y59" s="3">
        <f t="shared" si="1"/>
        <v>0</v>
      </c>
      <c r="Z59" s="3" t="s">
        <v>963</v>
      </c>
    </row>
    <row r="60" spans="1:26" ht="26.4">
      <c r="A60" s="226"/>
      <c r="G60" s="10" t="s">
        <v>576</v>
      </c>
      <c r="H60" s="10">
        <v>0.12</v>
      </c>
      <c r="I60" s="10"/>
      <c r="J60" s="10"/>
      <c r="K60" s="10"/>
      <c r="L60" s="10"/>
      <c r="M60" s="10"/>
      <c r="N60" s="10">
        <f t="shared" si="0"/>
        <v>0</v>
      </c>
      <c r="O60" s="10" t="s">
        <v>972</v>
      </c>
      <c r="R60" s="226"/>
      <c r="S60" s="10"/>
      <c r="T60" s="10"/>
      <c r="U60" s="10"/>
      <c r="V60" s="10"/>
      <c r="W60" s="10"/>
      <c r="X60" s="10"/>
      <c r="Y60" s="10">
        <f t="shared" si="1"/>
        <v>0</v>
      </c>
      <c r="Z60" s="10" t="s">
        <v>963</v>
      </c>
    </row>
    <row r="61" spans="1:26" ht="26.4">
      <c r="A61" s="226"/>
      <c r="B61" s="242" t="s">
        <v>577</v>
      </c>
      <c r="C61" s="242" t="s">
        <v>781</v>
      </c>
      <c r="D61" s="242" t="s">
        <v>586</v>
      </c>
      <c r="E61" s="242" t="s">
        <v>574</v>
      </c>
      <c r="F61" s="242" t="s">
        <v>777</v>
      </c>
      <c r="G61" s="3" t="s">
        <v>575</v>
      </c>
      <c r="H61" s="13">
        <v>3.3</v>
      </c>
      <c r="N61" s="3">
        <f t="shared" si="0"/>
        <v>0</v>
      </c>
      <c r="O61" s="3" t="s">
        <v>971</v>
      </c>
      <c r="R61" s="226"/>
      <c r="Y61" s="3">
        <f t="shared" si="1"/>
        <v>0</v>
      </c>
      <c r="Z61" s="3" t="s">
        <v>965</v>
      </c>
    </row>
    <row r="62" spans="1:26" ht="26.4">
      <c r="A62" s="226"/>
      <c r="G62" s="10" t="s">
        <v>576</v>
      </c>
      <c r="H62" s="10">
        <v>0.12</v>
      </c>
      <c r="I62" s="10"/>
      <c r="J62" s="10"/>
      <c r="K62" s="10"/>
      <c r="L62" s="10"/>
      <c r="M62" s="10"/>
      <c r="N62" s="10">
        <f t="shared" si="0"/>
        <v>0</v>
      </c>
      <c r="O62" s="10" t="s">
        <v>973</v>
      </c>
      <c r="R62" s="226"/>
      <c r="S62" s="10"/>
      <c r="T62" s="10"/>
      <c r="U62" s="10"/>
      <c r="V62" s="10"/>
      <c r="W62" s="10"/>
      <c r="X62" s="10"/>
      <c r="Y62" s="10">
        <f t="shared" si="1"/>
        <v>0</v>
      </c>
      <c r="Z62" s="10" t="s">
        <v>972</v>
      </c>
    </row>
    <row r="63" spans="1:26">
      <c r="A63" s="7"/>
      <c r="R63" s="7"/>
    </row>
    <row r="64" spans="1:26">
      <c r="A64" s="421" t="s">
        <v>590</v>
      </c>
      <c r="B64" s="8" t="s">
        <v>74</v>
      </c>
      <c r="C64" s="8"/>
      <c r="D64" s="8" t="s">
        <v>74</v>
      </c>
      <c r="E64" s="8"/>
      <c r="F64" s="8"/>
      <c r="G64" s="12"/>
      <c r="H64" s="12"/>
      <c r="I64" s="12"/>
      <c r="J64" s="12"/>
      <c r="K64" s="12"/>
      <c r="L64" s="12"/>
      <c r="M64" s="12"/>
      <c r="N64" s="12"/>
      <c r="O64" s="12"/>
      <c r="R64" s="421" t="s">
        <v>590</v>
      </c>
      <c r="S64" s="12"/>
      <c r="T64" s="12"/>
      <c r="U64" s="12"/>
      <c r="V64" s="12"/>
      <c r="W64" s="12"/>
      <c r="X64" s="12"/>
      <c r="Y64" s="12"/>
      <c r="Z64" s="12"/>
    </row>
    <row r="65" spans="1:26" ht="26.4">
      <c r="A65" s="421"/>
      <c r="B65" s="3" t="s">
        <v>571</v>
      </c>
      <c r="C65" s="3" t="s">
        <v>572</v>
      </c>
      <c r="D65" s="3" t="s">
        <v>591</v>
      </c>
      <c r="E65" s="3" t="s">
        <v>574</v>
      </c>
      <c r="G65" s="3" t="s">
        <v>575</v>
      </c>
      <c r="H65" s="13">
        <v>1.6</v>
      </c>
      <c r="I65" s="3">
        <v>4.2791578733766231</v>
      </c>
      <c r="L65" s="3">
        <f>AVERAGE(I65:K65)</f>
        <v>4.2791578733766231</v>
      </c>
      <c r="N65" s="3">
        <f>COUNT(I65:K65)</f>
        <v>1</v>
      </c>
      <c r="O65" s="3" t="s">
        <v>974</v>
      </c>
      <c r="R65" s="421"/>
      <c r="T65" s="3">
        <v>4.293524350649351</v>
      </c>
      <c r="W65" s="3">
        <f>AVERAGE(S65:V65)</f>
        <v>4.293524350649351</v>
      </c>
      <c r="Y65" s="3">
        <f>COUNT(S65:V65)</f>
        <v>1</v>
      </c>
      <c r="Z65" s="3" t="s">
        <v>960</v>
      </c>
    </row>
    <row r="66" spans="1:26" ht="26.4">
      <c r="A66" s="421"/>
      <c r="G66" s="10" t="s">
        <v>576</v>
      </c>
      <c r="H66" s="10">
        <v>4.4999999999999998E-2</v>
      </c>
      <c r="I66" s="10">
        <v>0.13750771103896103</v>
      </c>
      <c r="J66" s="10"/>
      <c r="K66" s="10"/>
      <c r="L66" s="10">
        <f>AVERAGE(I66:K66)</f>
        <v>0.13750771103896103</v>
      </c>
      <c r="M66" s="10"/>
      <c r="N66" s="10">
        <f>COUNT(I66:K66)</f>
        <v>1</v>
      </c>
      <c r="O66" s="10" t="s">
        <v>960</v>
      </c>
      <c r="R66" s="421"/>
      <c r="S66" s="364"/>
      <c r="T66" s="364">
        <v>0.1282721185064935</v>
      </c>
      <c r="U66" s="364"/>
      <c r="V66" s="364"/>
      <c r="W66" s="364">
        <f>AVERAGE(S66:V66)</f>
        <v>0.1282721185064935</v>
      </c>
      <c r="X66" s="364"/>
      <c r="Y66" s="364">
        <f>COUNT(S66:V66)</f>
        <v>1</v>
      </c>
      <c r="Z66" s="364" t="s">
        <v>979</v>
      </c>
    </row>
    <row r="67" spans="1:26">
      <c r="A67" s="421"/>
      <c r="R67" s="421"/>
    </row>
    <row r="68" spans="1:26" ht="26.4">
      <c r="A68" s="421"/>
      <c r="B68" s="3" t="s">
        <v>571</v>
      </c>
      <c r="C68" s="3" t="s">
        <v>581</v>
      </c>
      <c r="D68" s="3" t="s">
        <v>593</v>
      </c>
      <c r="E68" s="3" t="s">
        <v>574</v>
      </c>
      <c r="G68" s="3" t="s">
        <v>575</v>
      </c>
      <c r="H68" s="13">
        <v>1.6</v>
      </c>
      <c r="N68" s="3">
        <f>COUNT(I68:K68)</f>
        <v>0</v>
      </c>
      <c r="O68" s="3" t="s">
        <v>975</v>
      </c>
      <c r="R68" s="421"/>
      <c r="Y68" s="3">
        <f>COUNT(S68:V68)</f>
        <v>0</v>
      </c>
      <c r="Z68" s="3" t="s">
        <v>965</v>
      </c>
    </row>
    <row r="69" spans="1:26" ht="26.4">
      <c r="A69" s="421"/>
      <c r="G69" s="10" t="s">
        <v>576</v>
      </c>
      <c r="H69" s="10">
        <v>4.4999999999999998E-2</v>
      </c>
      <c r="I69" s="10"/>
      <c r="J69" s="10"/>
      <c r="K69" s="10"/>
      <c r="L69" s="10"/>
      <c r="M69" s="10"/>
      <c r="N69" s="10">
        <f>COUNT(I69:K69)</f>
        <v>0</v>
      </c>
      <c r="O69" s="10" t="s">
        <v>975</v>
      </c>
      <c r="R69" s="421"/>
      <c r="S69" s="364"/>
      <c r="T69" s="364"/>
      <c r="U69" s="364"/>
      <c r="V69" s="364"/>
      <c r="W69" s="364"/>
      <c r="X69" s="364"/>
      <c r="Y69" s="364">
        <f>COUNT(S69:V69)</f>
        <v>0</v>
      </c>
      <c r="Z69" s="364" t="s">
        <v>963</v>
      </c>
    </row>
    <row r="70" spans="1:26">
      <c r="A70" s="421"/>
      <c r="R70" s="421"/>
    </row>
    <row r="71" spans="1:26" ht="26.4">
      <c r="A71" s="421"/>
      <c r="B71" s="15" t="s">
        <v>571</v>
      </c>
      <c r="C71" s="3" t="s">
        <v>572</v>
      </c>
      <c r="D71" s="15" t="s">
        <v>594</v>
      </c>
      <c r="E71" s="3" t="s">
        <v>574</v>
      </c>
      <c r="G71" s="3" t="s">
        <v>575</v>
      </c>
      <c r="H71" s="13">
        <v>1.6</v>
      </c>
      <c r="I71" s="3">
        <v>6.3427997159090905</v>
      </c>
      <c r="L71" s="3">
        <f>AVERAGE(I71:K71)</f>
        <v>6.3427997159090905</v>
      </c>
      <c r="N71" s="3">
        <f>COUNT(I71:K71)</f>
        <v>1</v>
      </c>
      <c r="O71" s="3" t="s">
        <v>960</v>
      </c>
      <c r="R71" s="421"/>
      <c r="S71" s="3">
        <v>5.5049999999999999</v>
      </c>
      <c r="T71" s="3">
        <v>6.3664017857142854</v>
      </c>
      <c r="W71" s="3">
        <f>AVERAGE(S71:V71)</f>
        <v>5.9357008928571426</v>
      </c>
      <c r="X71" s="3">
        <f>_xlfn.STDEV.S(S71:V71)</f>
        <v>0.60910304400477255</v>
      </c>
      <c r="Y71" s="3">
        <f>COUNT(S71:V71)</f>
        <v>2</v>
      </c>
      <c r="Z71" s="3" t="s">
        <v>966</v>
      </c>
    </row>
    <row r="72" spans="1:26" ht="26.4">
      <c r="A72" s="421"/>
      <c r="G72" s="10" t="s">
        <v>576</v>
      </c>
      <c r="H72" s="10">
        <v>4.4999999999999998E-2</v>
      </c>
      <c r="I72" s="10">
        <v>0.14366477272727274</v>
      </c>
      <c r="J72" s="10"/>
      <c r="K72" s="10"/>
      <c r="L72" s="10">
        <f>AVERAGE(I72:K72)</f>
        <v>0.14366477272727274</v>
      </c>
      <c r="M72" s="10"/>
      <c r="N72" s="10">
        <f>COUNT(I72:K72)</f>
        <v>1</v>
      </c>
      <c r="O72" s="10" t="s">
        <v>960</v>
      </c>
      <c r="R72" s="421"/>
      <c r="S72" s="364">
        <v>0.16</v>
      </c>
      <c r="T72" s="364">
        <v>0.1364815340909091</v>
      </c>
      <c r="U72" s="364"/>
      <c r="V72" s="364"/>
      <c r="W72" s="364">
        <f>AVERAGE(S72:V72)</f>
        <v>0.14824076704545455</v>
      </c>
      <c r="X72" s="364">
        <f>_xlfn.STDEV.S(S72:V72)</f>
        <v>1.6630066727422819E-2</v>
      </c>
      <c r="Y72" s="364">
        <f>COUNT(S72:V72)</f>
        <v>2</v>
      </c>
      <c r="Z72" s="364" t="s">
        <v>979</v>
      </c>
    </row>
    <row r="73" spans="1:26">
      <c r="A73" s="421"/>
      <c r="R73" s="421"/>
    </row>
    <row r="74" spans="1:26" ht="26.4">
      <c r="A74" s="421"/>
      <c r="B74" s="3" t="s">
        <v>571</v>
      </c>
      <c r="C74" s="3" t="s">
        <v>572</v>
      </c>
      <c r="D74" s="3" t="s">
        <v>594</v>
      </c>
      <c r="E74" s="3" t="s">
        <v>574</v>
      </c>
      <c r="G74" s="3" t="s">
        <v>575</v>
      </c>
      <c r="H74" s="19">
        <v>1.6</v>
      </c>
      <c r="N74" s="3">
        <f>COUNT(I74:K74)</f>
        <v>0</v>
      </c>
      <c r="O74" s="3" t="s">
        <v>975</v>
      </c>
      <c r="R74" s="421"/>
      <c r="Y74" s="3">
        <f>COUNT(S74:V74)</f>
        <v>0</v>
      </c>
      <c r="Z74" s="3" t="s">
        <v>962</v>
      </c>
    </row>
    <row r="75" spans="1:26" ht="26.4">
      <c r="A75" s="421"/>
      <c r="G75" s="10" t="s">
        <v>576</v>
      </c>
      <c r="H75" s="10">
        <v>4.4999999999999998E-2</v>
      </c>
      <c r="I75" s="10"/>
      <c r="J75" s="10"/>
      <c r="K75" s="10"/>
      <c r="L75" s="10"/>
      <c r="M75" s="10"/>
      <c r="N75" s="10">
        <f>COUNT(I75:K75)</f>
        <v>0</v>
      </c>
      <c r="O75" s="10" t="s">
        <v>975</v>
      </c>
      <c r="R75" s="421"/>
      <c r="S75" s="364"/>
      <c r="T75" s="364"/>
      <c r="U75" s="364"/>
      <c r="V75" s="364"/>
      <c r="W75" s="364"/>
      <c r="X75" s="364"/>
      <c r="Y75" s="364">
        <f>COUNT(S75:V75)</f>
        <v>0</v>
      </c>
      <c r="Z75" s="364" t="s">
        <v>972</v>
      </c>
    </row>
    <row r="76" spans="1:26">
      <c r="A76" s="421"/>
      <c r="R76" s="421"/>
    </row>
    <row r="77" spans="1:26" ht="39.6">
      <c r="A77" s="421"/>
      <c r="B77" s="3" t="s">
        <v>577</v>
      </c>
      <c r="C77" s="202" t="s">
        <v>781</v>
      </c>
      <c r="D77" s="3" t="s">
        <v>592</v>
      </c>
      <c r="E77" s="3" t="s">
        <v>574</v>
      </c>
      <c r="G77" s="3" t="s">
        <v>575</v>
      </c>
      <c r="H77" s="13">
        <v>1.6</v>
      </c>
      <c r="I77" s="3">
        <v>3.5854622564935066</v>
      </c>
      <c r="L77" s="3">
        <f>AVERAGE(I77:K77)</f>
        <v>3.5854622564935066</v>
      </c>
      <c r="N77" s="3">
        <f>COUNT(I77:K77)</f>
        <v>1</v>
      </c>
      <c r="O77" s="3" t="s">
        <v>960</v>
      </c>
      <c r="R77" s="421"/>
      <c r="T77" s="3">
        <v>3.5926454951298701</v>
      </c>
      <c r="W77" s="3">
        <f>AVERAGE(S77:V77)</f>
        <v>3.5926454951298701</v>
      </c>
      <c r="Y77" s="3">
        <f>COUNT(S77:V77)</f>
        <v>1</v>
      </c>
      <c r="Z77" s="3" t="s">
        <v>961</v>
      </c>
    </row>
    <row r="78" spans="1:26" ht="26.4">
      <c r="A78" s="421"/>
      <c r="G78" s="10" t="s">
        <v>576</v>
      </c>
      <c r="H78" s="10">
        <v>4.4999999999999998E-2</v>
      </c>
      <c r="I78" s="10">
        <v>0.10261769480519481</v>
      </c>
      <c r="J78" s="10"/>
      <c r="K78" s="10"/>
      <c r="L78" s="10">
        <f>AVERAGE(I78:K78)</f>
        <v>0.10261769480519481</v>
      </c>
      <c r="M78" s="10"/>
      <c r="N78" s="10">
        <f>COUNT(I78:K78)</f>
        <v>1</v>
      </c>
      <c r="O78" s="10" t="s">
        <v>960</v>
      </c>
      <c r="R78" s="421"/>
      <c r="S78" s="364"/>
      <c r="T78" s="364">
        <v>0.10261769480519481</v>
      </c>
      <c r="U78" s="364"/>
      <c r="V78" s="364"/>
      <c r="W78" s="364">
        <f>AVERAGE(S78:V78)</f>
        <v>0.10261769480519481</v>
      </c>
      <c r="X78" s="364"/>
      <c r="Y78" s="364">
        <f>COUNT(S78:V78)</f>
        <v>1</v>
      </c>
      <c r="Z78" s="364" t="s">
        <v>961</v>
      </c>
    </row>
    <row r="79" spans="1:26">
      <c r="A79" s="421"/>
      <c r="R79" s="421"/>
    </row>
    <row r="80" spans="1:26" ht="26.4">
      <c r="A80" s="421"/>
      <c r="B80" s="15" t="s">
        <v>577</v>
      </c>
      <c r="C80" s="202" t="s">
        <v>781</v>
      </c>
      <c r="D80" s="202" t="s">
        <v>722</v>
      </c>
      <c r="E80" s="3" t="s">
        <v>574</v>
      </c>
      <c r="G80" s="3" t="s">
        <v>575</v>
      </c>
      <c r="H80" s="13">
        <v>1.6</v>
      </c>
      <c r="N80" s="3">
        <f>COUNT(I80:K80)</f>
        <v>0</v>
      </c>
      <c r="O80" s="3" t="s">
        <v>962</v>
      </c>
      <c r="R80" s="421"/>
      <c r="S80" s="3">
        <v>5.2</v>
      </c>
      <c r="W80" s="3">
        <f>AVERAGE(S80:V80)</f>
        <v>5.2</v>
      </c>
      <c r="Y80" s="3">
        <f>COUNT(S80:V80)</f>
        <v>1</v>
      </c>
      <c r="Z80" s="3" t="s">
        <v>960</v>
      </c>
    </row>
    <row r="81" spans="1:26" ht="26.4">
      <c r="A81" s="421"/>
      <c r="G81" s="10" t="s">
        <v>576</v>
      </c>
      <c r="H81" s="10">
        <v>4.4999999999999998E-2</v>
      </c>
      <c r="I81" s="10"/>
      <c r="J81" s="10"/>
      <c r="K81" s="10"/>
      <c r="L81" s="10"/>
      <c r="M81" s="10"/>
      <c r="N81" s="10">
        <f>COUNT(I81:K81)</f>
        <v>0</v>
      </c>
      <c r="O81" s="10" t="s">
        <v>962</v>
      </c>
      <c r="R81" s="421"/>
      <c r="S81" s="364">
        <v>0.15</v>
      </c>
      <c r="T81" s="364"/>
      <c r="U81" s="364"/>
      <c r="V81" s="364"/>
      <c r="W81" s="364">
        <f>AVERAGE(S81:V81)</f>
        <v>0.15</v>
      </c>
      <c r="X81" s="364"/>
      <c r="Y81" s="364">
        <f>COUNT(S81:V81)</f>
        <v>1</v>
      </c>
      <c r="Z81" s="364" t="s">
        <v>960</v>
      </c>
    </row>
    <row r="82" spans="1:26">
      <c r="A82" s="421"/>
      <c r="R82" s="421"/>
    </row>
    <row r="83" spans="1:26">
      <c r="A83" s="421"/>
      <c r="B83" s="8" t="s">
        <v>75</v>
      </c>
      <c r="C83" s="8"/>
      <c r="D83" s="8" t="s">
        <v>75</v>
      </c>
      <c r="E83" s="8"/>
      <c r="F83" s="8"/>
      <c r="G83" s="12"/>
      <c r="H83" s="12"/>
      <c r="I83" s="12"/>
      <c r="J83" s="12"/>
      <c r="K83" s="12"/>
      <c r="L83" s="12"/>
      <c r="M83" s="12"/>
      <c r="N83" s="12"/>
      <c r="O83" s="12"/>
      <c r="R83" s="421"/>
      <c r="S83" s="12"/>
      <c r="T83" s="12"/>
      <c r="U83" s="12"/>
      <c r="V83" s="12"/>
      <c r="W83" s="12"/>
      <c r="X83" s="12"/>
      <c r="Y83" s="12"/>
      <c r="Z83" s="12"/>
    </row>
    <row r="84" spans="1:26" ht="39.6">
      <c r="A84" s="421"/>
      <c r="B84" s="3" t="s">
        <v>571</v>
      </c>
      <c r="C84" s="3" t="s">
        <v>572</v>
      </c>
      <c r="D84" s="3" t="s">
        <v>595</v>
      </c>
      <c r="E84" s="3" t="s">
        <v>587</v>
      </c>
      <c r="F84" s="3" t="s">
        <v>97</v>
      </c>
      <c r="G84" s="3" t="s">
        <v>575</v>
      </c>
      <c r="H84" s="13">
        <v>1.6</v>
      </c>
      <c r="I84" s="3">
        <v>4.751482352941176</v>
      </c>
      <c r="L84" s="3">
        <f>AVERAGE(I84:K84)</f>
        <v>4.751482352941176</v>
      </c>
      <c r="N84" s="3">
        <f>COUNT(I84:K84)</f>
        <v>1</v>
      </c>
      <c r="O84" s="3" t="s">
        <v>960</v>
      </c>
      <c r="R84" s="421"/>
      <c r="S84" s="3">
        <v>4.8819999999999997</v>
      </c>
      <c r="T84" s="3">
        <v>4.7625344537815124</v>
      </c>
      <c r="W84" s="3">
        <f>AVERAGE(S84:V84)</f>
        <v>4.822267226890756</v>
      </c>
      <c r="X84" s="3">
        <f>_xlfn.STDEV.S(S84:V84)</f>
        <v>8.4474897849247249E-2</v>
      </c>
      <c r="Y84" s="3">
        <f>COUNT(S84:V84)</f>
        <v>2</v>
      </c>
      <c r="Z84" s="3" t="s">
        <v>960</v>
      </c>
    </row>
    <row r="85" spans="1:26" ht="26.4">
      <c r="A85" s="421"/>
      <c r="G85" s="10" t="s">
        <v>576</v>
      </c>
      <c r="H85" s="10">
        <v>4.4999999999999998E-2</v>
      </c>
      <c r="I85" s="10">
        <v>0.10407394957983193</v>
      </c>
      <c r="J85" s="10"/>
      <c r="K85" s="10"/>
      <c r="L85" s="10">
        <f>AVERAGE(I85:K85)</f>
        <v>0.10407394957983193</v>
      </c>
      <c r="M85" s="10"/>
      <c r="N85" s="10">
        <f>COUNT(I85:K85)</f>
        <v>1</v>
      </c>
      <c r="O85" s="10" t="s">
        <v>961</v>
      </c>
      <c r="R85" s="421"/>
      <c r="S85" s="364">
        <v>0.11</v>
      </c>
      <c r="T85" s="364">
        <v>9.854789915966386E-2</v>
      </c>
      <c r="U85" s="364"/>
      <c r="V85" s="364"/>
      <c r="W85" s="364">
        <f>AVERAGE(S85:V85)</f>
        <v>0.10427394957983194</v>
      </c>
      <c r="X85" s="364">
        <f>_xlfn.STDEV.S(S85:V85)</f>
        <v>8.0978581630338446E-3</v>
      </c>
      <c r="Y85" s="364">
        <f>COUNT(S85:V85)</f>
        <v>2</v>
      </c>
      <c r="Z85" s="364" t="s">
        <v>978</v>
      </c>
    </row>
    <row r="86" spans="1:26">
      <c r="A86" s="16"/>
      <c r="R86" s="16"/>
    </row>
    <row r="87" spans="1:26" ht="39.6">
      <c r="A87" s="16"/>
      <c r="B87" s="3" t="s">
        <v>571</v>
      </c>
      <c r="C87" s="3" t="s">
        <v>572</v>
      </c>
      <c r="D87" s="3" t="s">
        <v>595</v>
      </c>
      <c r="E87" s="3" t="s">
        <v>574</v>
      </c>
      <c r="F87" s="3" t="s">
        <v>97</v>
      </c>
      <c r="G87" s="3" t="s">
        <v>575</v>
      </c>
      <c r="H87" s="13">
        <v>1.6</v>
      </c>
      <c r="I87" s="3">
        <v>5.0812033613445378</v>
      </c>
      <c r="L87" s="3">
        <f>AVERAGE(I87:K87)</f>
        <v>5.0812033613445378</v>
      </c>
      <c r="N87" s="3">
        <f>COUNT(I87:K87)</f>
        <v>1</v>
      </c>
      <c r="O87" s="3" t="s">
        <v>961</v>
      </c>
      <c r="R87" s="16"/>
      <c r="S87" s="3">
        <v>4.6470000000000002</v>
      </c>
      <c r="T87" s="3">
        <v>5.0498890756302517</v>
      </c>
      <c r="W87" s="3">
        <f>AVERAGE(S87:V87)</f>
        <v>4.8484445378151264</v>
      </c>
      <c r="X87" s="3">
        <f>_xlfn.STDEV.S(S87:V87)</f>
        <v>0.28488559744413061</v>
      </c>
      <c r="Y87" s="3">
        <f>COUNT(S87:V87)</f>
        <v>2</v>
      </c>
      <c r="Z87" s="3" t="s">
        <v>960</v>
      </c>
    </row>
    <row r="88" spans="1:26" ht="26.4">
      <c r="A88" s="16"/>
      <c r="G88" s="10" t="s">
        <v>576</v>
      </c>
      <c r="H88" s="10">
        <v>4.4999999999999998E-2</v>
      </c>
      <c r="I88" s="10">
        <v>9.5784873949579824E-2</v>
      </c>
      <c r="J88" s="10"/>
      <c r="K88" s="10"/>
      <c r="L88" s="10">
        <f>AVERAGE(I88:K88)</f>
        <v>9.5784873949579824E-2</v>
      </c>
      <c r="M88" s="10"/>
      <c r="N88" s="10">
        <f>COUNT(I88:K88)</f>
        <v>1</v>
      </c>
      <c r="O88" s="10" t="s">
        <v>961</v>
      </c>
      <c r="R88" s="16"/>
      <c r="S88" s="364">
        <v>0.10100000000000001</v>
      </c>
      <c r="T88" s="364">
        <v>8.6574789915966385E-2</v>
      </c>
      <c r="U88" s="364"/>
      <c r="V88" s="364"/>
      <c r="W88" s="364">
        <f>AVERAGE(S88:V88)</f>
        <v>9.3787394957983189E-2</v>
      </c>
      <c r="X88" s="364">
        <f>_xlfn.STDEV.S(S88:V88)</f>
        <v>1.020016387046074E-2</v>
      </c>
      <c r="Y88" s="364">
        <f>COUNT(S88:V88)</f>
        <v>2</v>
      </c>
      <c r="Z88" s="364" t="s">
        <v>984</v>
      </c>
    </row>
    <row r="89" spans="1:26">
      <c r="A89" s="16"/>
      <c r="R89" s="16"/>
    </row>
    <row r="90" spans="1:26" ht="39.6">
      <c r="A90" s="16"/>
      <c r="B90" s="3" t="s">
        <v>571</v>
      </c>
      <c r="C90" s="3" t="s">
        <v>581</v>
      </c>
      <c r="D90" s="3" t="s">
        <v>596</v>
      </c>
      <c r="E90" s="3" t="s">
        <v>574</v>
      </c>
      <c r="F90" s="3" t="s">
        <v>98</v>
      </c>
      <c r="G90" s="3" t="s">
        <v>575</v>
      </c>
      <c r="H90" s="13">
        <v>1.6</v>
      </c>
      <c r="N90" s="3">
        <f>COUNT(I90:K90)</f>
        <v>0</v>
      </c>
      <c r="O90" s="3" t="s">
        <v>976</v>
      </c>
      <c r="R90" s="16"/>
      <c r="Y90" s="3">
        <f>COUNT(S90:V90)</f>
        <v>0</v>
      </c>
      <c r="Z90" s="3" t="s">
        <v>971</v>
      </c>
    </row>
    <row r="91" spans="1:26" ht="26.4">
      <c r="A91" s="16"/>
      <c r="G91" s="10" t="s">
        <v>576</v>
      </c>
      <c r="H91" s="10">
        <v>4.4999999999999998E-2</v>
      </c>
      <c r="I91" s="10"/>
      <c r="J91" s="10"/>
      <c r="K91" s="10"/>
      <c r="L91" s="10"/>
      <c r="M91" s="10"/>
      <c r="N91" s="10">
        <f>COUNT(I91:K91)</f>
        <v>0</v>
      </c>
      <c r="O91" s="10" t="s">
        <v>972</v>
      </c>
      <c r="R91" s="16"/>
      <c r="S91" s="364"/>
      <c r="T91" s="364"/>
      <c r="U91" s="364"/>
      <c r="V91" s="364"/>
      <c r="W91" s="364"/>
      <c r="X91" s="364"/>
      <c r="Y91" s="364">
        <f>COUNT(S91:V91)</f>
        <v>0</v>
      </c>
      <c r="Z91" s="364" t="s">
        <v>965</v>
      </c>
    </row>
    <row r="92" spans="1:26" ht="14.1" customHeight="1">
      <c r="A92" s="16"/>
      <c r="R92" s="16"/>
    </row>
    <row r="93" spans="1:26" ht="26.4">
      <c r="A93" s="16"/>
      <c r="B93" s="15" t="s">
        <v>571</v>
      </c>
      <c r="C93" s="3" t="s">
        <v>572</v>
      </c>
      <c r="D93" s="15" t="s">
        <v>594</v>
      </c>
      <c r="E93" s="3" t="s">
        <v>574</v>
      </c>
      <c r="F93" s="3" t="s">
        <v>98</v>
      </c>
      <c r="G93" s="3" t="s">
        <v>575</v>
      </c>
      <c r="H93" s="13">
        <v>1.6</v>
      </c>
      <c r="N93" s="3">
        <f>COUNT(I93:K93)</f>
        <v>0</v>
      </c>
      <c r="O93" s="3" t="s">
        <v>962</v>
      </c>
      <c r="R93" s="16"/>
      <c r="Y93" s="3">
        <f>COUNT(S93:V93)</f>
        <v>0</v>
      </c>
      <c r="Z93" s="3" t="s">
        <v>962</v>
      </c>
    </row>
    <row r="94" spans="1:26" ht="26.4">
      <c r="A94" s="16"/>
      <c r="G94" s="10" t="s">
        <v>576</v>
      </c>
      <c r="H94" s="10">
        <v>4.4999999999999998E-2</v>
      </c>
      <c r="I94" s="10"/>
      <c r="J94" s="10"/>
      <c r="K94" s="10"/>
      <c r="L94" s="10"/>
      <c r="M94" s="10"/>
      <c r="N94" s="10">
        <f>COUNT(I94:K94)</f>
        <v>0</v>
      </c>
      <c r="O94" s="10" t="s">
        <v>972</v>
      </c>
      <c r="R94" s="421"/>
      <c r="S94" s="364"/>
      <c r="T94" s="364"/>
      <c r="U94" s="364"/>
      <c r="V94" s="364"/>
      <c r="W94" s="364"/>
      <c r="X94" s="364"/>
      <c r="Y94" s="364">
        <f>COUNT(S94:V94)</f>
        <v>0</v>
      </c>
      <c r="Z94" s="364" t="s">
        <v>972</v>
      </c>
    </row>
    <row r="95" spans="1:26">
      <c r="A95" s="16"/>
      <c r="R95" s="421"/>
    </row>
    <row r="96" spans="1:26" ht="39.6">
      <c r="A96" s="16"/>
      <c r="B96" s="15" t="s">
        <v>571</v>
      </c>
      <c r="C96" s="3" t="s">
        <v>572</v>
      </c>
      <c r="D96" s="202" t="s">
        <v>727</v>
      </c>
      <c r="E96" s="15" t="s">
        <v>587</v>
      </c>
      <c r="F96" s="3" t="s">
        <v>98</v>
      </c>
      <c r="G96" s="3" t="s">
        <v>575</v>
      </c>
      <c r="H96" s="13">
        <v>1.6</v>
      </c>
      <c r="N96" s="3">
        <f>COUNT(I96:K96)</f>
        <v>0</v>
      </c>
      <c r="O96" s="3" t="s">
        <v>972</v>
      </c>
      <c r="R96" s="421"/>
      <c r="Y96" s="3">
        <f>COUNT(S96:V96)</f>
        <v>0</v>
      </c>
      <c r="Z96" s="3" t="s">
        <v>962</v>
      </c>
    </row>
    <row r="97" spans="1:26" ht="26.4">
      <c r="A97" s="16"/>
      <c r="G97" s="10" t="s">
        <v>576</v>
      </c>
      <c r="H97" s="10">
        <v>4.4999999999999998E-2</v>
      </c>
      <c r="I97" s="10"/>
      <c r="J97" s="10"/>
      <c r="K97" s="10"/>
      <c r="L97" s="10"/>
      <c r="M97" s="10"/>
      <c r="N97" s="10">
        <f>COUNT(I97:K97)</f>
        <v>0</v>
      </c>
      <c r="O97" s="10" t="s">
        <v>976</v>
      </c>
      <c r="R97" s="421"/>
      <c r="S97" s="364"/>
      <c r="T97" s="364"/>
      <c r="U97" s="364"/>
      <c r="V97" s="364"/>
      <c r="W97" s="364"/>
      <c r="X97" s="364"/>
      <c r="Y97" s="364">
        <f>COUNT(S97:V97)</f>
        <v>0</v>
      </c>
      <c r="Z97" s="364" t="s">
        <v>962</v>
      </c>
    </row>
    <row r="98" spans="1:26">
      <c r="A98" s="16"/>
      <c r="R98" s="421"/>
    </row>
    <row r="99" spans="1:26" ht="39.6">
      <c r="A99" s="16"/>
      <c r="B99" s="15" t="s">
        <v>571</v>
      </c>
      <c r="C99" s="3" t="s">
        <v>572</v>
      </c>
      <c r="D99" s="202" t="s">
        <v>728</v>
      </c>
      <c r="E99" s="3" t="s">
        <v>574</v>
      </c>
      <c r="F99" s="3" t="s">
        <v>98</v>
      </c>
      <c r="G99" s="3" t="s">
        <v>575</v>
      </c>
      <c r="H99" s="13">
        <v>1.6</v>
      </c>
      <c r="N99" s="3">
        <f>COUNT(I99:K99)</f>
        <v>0</v>
      </c>
      <c r="O99" s="3" t="s">
        <v>972</v>
      </c>
      <c r="R99" s="421"/>
      <c r="Y99" s="3">
        <f>COUNT(S99:V99)</f>
        <v>0</v>
      </c>
      <c r="Z99" s="3" t="s">
        <v>972</v>
      </c>
    </row>
    <row r="100" spans="1:26" ht="26.4">
      <c r="A100" s="16"/>
      <c r="G100" s="10" t="s">
        <v>576</v>
      </c>
      <c r="H100" s="10">
        <v>4.4999999999999998E-2</v>
      </c>
      <c r="I100" s="10"/>
      <c r="J100" s="10"/>
      <c r="K100" s="10"/>
      <c r="L100" s="10"/>
      <c r="M100" s="10"/>
      <c r="N100" s="10">
        <f>COUNT(I100:K100)</f>
        <v>0</v>
      </c>
      <c r="O100" s="10" t="s">
        <v>965</v>
      </c>
      <c r="R100" s="421"/>
      <c r="S100" s="364"/>
      <c r="T100" s="364"/>
      <c r="U100" s="364"/>
      <c r="V100" s="364"/>
      <c r="W100" s="364"/>
      <c r="X100" s="364"/>
      <c r="Y100" s="364">
        <f>COUNT(S100:V100)</f>
        <v>0</v>
      </c>
      <c r="Z100" s="364" t="s">
        <v>962</v>
      </c>
    </row>
    <row r="101" spans="1:26">
      <c r="A101" s="16"/>
      <c r="R101" s="421"/>
    </row>
    <row r="102" spans="1:26" ht="39.6">
      <c r="A102" s="16"/>
      <c r="B102" s="15" t="s">
        <v>571</v>
      </c>
      <c r="C102" s="3" t="s">
        <v>572</v>
      </c>
      <c r="D102" s="202" t="s">
        <v>729</v>
      </c>
      <c r="E102" s="15" t="s">
        <v>587</v>
      </c>
      <c r="F102" s="3" t="s">
        <v>98</v>
      </c>
      <c r="G102" s="3" t="s">
        <v>575</v>
      </c>
      <c r="H102" s="13">
        <v>1.6</v>
      </c>
      <c r="N102" s="3">
        <f>COUNT(I102:K102)</f>
        <v>0</v>
      </c>
      <c r="O102" s="3" t="s">
        <v>962</v>
      </c>
      <c r="R102" s="421"/>
      <c r="Y102" s="3">
        <f>COUNT(S102:V102)</f>
        <v>0</v>
      </c>
      <c r="Z102" s="3" t="s">
        <v>972</v>
      </c>
    </row>
    <row r="103" spans="1:26" ht="26.4">
      <c r="A103" s="16"/>
      <c r="G103" s="10" t="s">
        <v>576</v>
      </c>
      <c r="H103" s="10">
        <v>4.4999999999999998E-2</v>
      </c>
      <c r="I103" s="10"/>
      <c r="J103" s="10"/>
      <c r="K103" s="10"/>
      <c r="L103" s="10"/>
      <c r="M103" s="10"/>
      <c r="N103" s="10">
        <f>COUNT(I103:K103)</f>
        <v>0</v>
      </c>
      <c r="O103" s="10" t="s">
        <v>965</v>
      </c>
      <c r="R103" s="421"/>
      <c r="S103" s="10"/>
      <c r="T103" s="10"/>
      <c r="U103" s="10"/>
      <c r="V103" s="10"/>
      <c r="W103" s="10"/>
      <c r="X103" s="10"/>
      <c r="Y103" s="10">
        <f>COUNT(S103:V103)</f>
        <v>0</v>
      </c>
      <c r="Z103" s="10" t="s">
        <v>962</v>
      </c>
    </row>
    <row r="104" spans="1:26">
      <c r="A104" s="16"/>
      <c r="G104" s="10"/>
      <c r="H104" s="10"/>
      <c r="I104" s="10"/>
      <c r="J104" s="10"/>
      <c r="K104" s="10"/>
      <c r="L104" s="10"/>
      <c r="M104" s="10"/>
      <c r="N104" s="10"/>
      <c r="O104" s="10"/>
      <c r="R104" s="421"/>
      <c r="S104" s="10"/>
      <c r="T104" s="10"/>
      <c r="U104" s="10"/>
      <c r="V104" s="10"/>
      <c r="W104" s="10"/>
      <c r="X104" s="10"/>
      <c r="Y104" s="10"/>
      <c r="Z104" s="10"/>
    </row>
    <row r="105" spans="1:26" ht="39.6">
      <c r="A105" s="16"/>
      <c r="B105" s="3" t="s">
        <v>571</v>
      </c>
      <c r="C105" s="3" t="s">
        <v>583</v>
      </c>
      <c r="D105" s="202" t="s">
        <v>730</v>
      </c>
      <c r="E105" s="3" t="s">
        <v>587</v>
      </c>
      <c r="F105" s="15" t="s">
        <v>100</v>
      </c>
      <c r="G105" s="3" t="s">
        <v>575</v>
      </c>
      <c r="H105" s="13">
        <v>1.6</v>
      </c>
      <c r="N105" s="3">
        <f>COUNT(I105:K105)</f>
        <v>0</v>
      </c>
      <c r="O105" s="3" t="s">
        <v>962</v>
      </c>
      <c r="R105" s="421"/>
      <c r="Y105" s="3">
        <f>COUNT(S105:V105)</f>
        <v>0</v>
      </c>
      <c r="Z105" s="3" t="s">
        <v>962</v>
      </c>
    </row>
    <row r="106" spans="1:26" ht="26.4">
      <c r="A106" s="16"/>
      <c r="G106" s="10" t="s">
        <v>576</v>
      </c>
      <c r="H106" s="10">
        <v>4.4999999999999998E-2</v>
      </c>
      <c r="I106" s="10"/>
      <c r="J106" s="10"/>
      <c r="K106" s="10"/>
      <c r="L106" s="10"/>
      <c r="M106" s="10"/>
      <c r="N106" s="10">
        <f>COUNT(I106:K106)</f>
        <v>0</v>
      </c>
      <c r="O106" s="10" t="s">
        <v>972</v>
      </c>
      <c r="R106" s="421"/>
      <c r="S106" s="10"/>
      <c r="T106" s="10"/>
      <c r="U106" s="10"/>
      <c r="V106" s="10"/>
      <c r="W106" s="10"/>
      <c r="X106" s="10"/>
      <c r="Y106" s="10">
        <f>COUNT(S106:V106)</f>
        <v>0</v>
      </c>
      <c r="Z106" s="10" t="s">
        <v>972</v>
      </c>
    </row>
    <row r="107" spans="1:26">
      <c r="A107" s="16"/>
      <c r="R107" s="421"/>
    </row>
    <row r="108" spans="1:26" ht="39.6">
      <c r="A108" s="16"/>
      <c r="B108" s="15" t="s">
        <v>577</v>
      </c>
      <c r="C108" s="202" t="s">
        <v>781</v>
      </c>
      <c r="D108" s="202" t="s">
        <v>731</v>
      </c>
      <c r="E108" s="3" t="s">
        <v>574</v>
      </c>
      <c r="F108" s="3" t="s">
        <v>98</v>
      </c>
      <c r="G108" s="3" t="s">
        <v>575</v>
      </c>
      <c r="H108" s="13">
        <v>1.6</v>
      </c>
      <c r="N108" s="3">
        <f>COUNT(I108:K108)</f>
        <v>0</v>
      </c>
      <c r="O108" s="3" t="s">
        <v>965</v>
      </c>
      <c r="R108" s="16"/>
      <c r="Y108" s="3">
        <f>COUNT(S108:V108)</f>
        <v>0</v>
      </c>
      <c r="Z108" s="3" t="s">
        <v>972</v>
      </c>
    </row>
    <row r="109" spans="1:26" ht="26.4">
      <c r="A109" s="16"/>
      <c r="G109" s="10" t="s">
        <v>576</v>
      </c>
      <c r="H109" s="10">
        <v>4.4999999999999998E-2</v>
      </c>
      <c r="I109" s="10"/>
      <c r="J109" s="10"/>
      <c r="K109" s="10"/>
      <c r="L109" s="10"/>
      <c r="M109" s="10"/>
      <c r="N109" s="10">
        <f>COUNT(I109:K109)</f>
        <v>0</v>
      </c>
      <c r="O109" s="10" t="s">
        <v>972</v>
      </c>
      <c r="R109" s="225"/>
      <c r="S109" s="10"/>
      <c r="T109" s="10"/>
      <c r="U109" s="10"/>
      <c r="V109" s="10"/>
      <c r="W109" s="10"/>
      <c r="X109" s="10"/>
      <c r="Y109" s="10">
        <f>COUNT(S109:V109)</f>
        <v>0</v>
      </c>
      <c r="Z109" s="10" t="s">
        <v>976</v>
      </c>
    </row>
    <row r="110" spans="1:26">
      <c r="A110" s="16"/>
      <c r="R110" s="225"/>
    </row>
    <row r="111" spans="1:26" ht="39.6">
      <c r="A111" s="225"/>
      <c r="B111" s="242" t="s">
        <v>571</v>
      </c>
      <c r="C111" s="242" t="s">
        <v>572</v>
      </c>
      <c r="D111" s="242" t="s">
        <v>729</v>
      </c>
      <c r="E111" s="242" t="s">
        <v>587</v>
      </c>
      <c r="F111" s="242" t="s">
        <v>696</v>
      </c>
      <c r="G111" s="3" t="s">
        <v>575</v>
      </c>
      <c r="H111" s="13">
        <v>1.6</v>
      </c>
      <c r="N111" s="3">
        <f t="shared" ref="N111:N118" si="2">COUNT(I111:K111)</f>
        <v>0</v>
      </c>
      <c r="O111" s="3" t="s">
        <v>973</v>
      </c>
      <c r="R111" s="225"/>
      <c r="Y111" s="3">
        <f t="shared" ref="Y111:Y118" si="3">COUNT(S111:V111)</f>
        <v>0</v>
      </c>
      <c r="Z111" s="3" t="s">
        <v>962</v>
      </c>
    </row>
    <row r="112" spans="1:26" ht="26.4">
      <c r="A112" s="225"/>
      <c r="B112" s="242"/>
      <c r="C112" s="242"/>
      <c r="D112" s="242"/>
      <c r="E112" s="242"/>
      <c r="F112" s="242"/>
      <c r="G112" s="10" t="s">
        <v>576</v>
      </c>
      <c r="H112" s="10">
        <v>4.4999999999999998E-2</v>
      </c>
      <c r="I112" s="10"/>
      <c r="J112" s="10"/>
      <c r="K112" s="10"/>
      <c r="L112" s="10"/>
      <c r="M112" s="10"/>
      <c r="N112" s="10">
        <f t="shared" si="2"/>
        <v>0</v>
      </c>
      <c r="O112" s="10" t="s">
        <v>973</v>
      </c>
      <c r="R112" s="225"/>
      <c r="S112" s="364"/>
      <c r="T112" s="364"/>
      <c r="U112" s="364"/>
      <c r="V112" s="364"/>
      <c r="W112" s="364"/>
      <c r="X112" s="364"/>
      <c r="Y112" s="364">
        <f t="shared" si="3"/>
        <v>0</v>
      </c>
      <c r="Z112" s="364" t="s">
        <v>972</v>
      </c>
    </row>
    <row r="113" spans="1:26" ht="39.6">
      <c r="A113" s="225"/>
      <c r="B113" s="242" t="s">
        <v>571</v>
      </c>
      <c r="C113" s="242" t="s">
        <v>572</v>
      </c>
      <c r="D113" s="242" t="s">
        <v>729</v>
      </c>
      <c r="E113" s="242" t="s">
        <v>587</v>
      </c>
      <c r="F113" s="242" t="s">
        <v>697</v>
      </c>
      <c r="G113" s="3" t="s">
        <v>575</v>
      </c>
      <c r="H113" s="13">
        <v>1.6</v>
      </c>
      <c r="N113" s="3">
        <f t="shared" si="2"/>
        <v>0</v>
      </c>
      <c r="O113" s="3" t="s">
        <v>965</v>
      </c>
      <c r="R113" s="225"/>
      <c r="Y113" s="3">
        <f t="shared" si="3"/>
        <v>0</v>
      </c>
      <c r="Z113" s="3" t="s">
        <v>976</v>
      </c>
    </row>
    <row r="114" spans="1:26" ht="26.4">
      <c r="A114" s="225"/>
      <c r="G114" s="10" t="s">
        <v>576</v>
      </c>
      <c r="H114" s="10">
        <v>4.4999999999999998E-2</v>
      </c>
      <c r="I114" s="10"/>
      <c r="J114" s="10"/>
      <c r="K114" s="10"/>
      <c r="L114" s="10"/>
      <c r="M114" s="10"/>
      <c r="N114" s="10">
        <f t="shared" si="2"/>
        <v>0</v>
      </c>
      <c r="O114" s="10" t="s">
        <v>972</v>
      </c>
      <c r="R114" s="225"/>
      <c r="S114" s="364"/>
      <c r="T114" s="364"/>
      <c r="U114" s="364"/>
      <c r="V114" s="364"/>
      <c r="W114" s="364"/>
      <c r="X114" s="364"/>
      <c r="Y114" s="364">
        <f t="shared" si="3"/>
        <v>0</v>
      </c>
      <c r="Z114" s="364" t="s">
        <v>962</v>
      </c>
    </row>
    <row r="115" spans="1:26" s="242" customFormat="1" ht="39.6">
      <c r="A115" s="302"/>
      <c r="B115" s="242" t="s">
        <v>571</v>
      </c>
      <c r="C115" s="242" t="s">
        <v>572</v>
      </c>
      <c r="D115" s="242" t="s">
        <v>727</v>
      </c>
      <c r="E115" s="242" t="s">
        <v>574</v>
      </c>
      <c r="F115" s="242" t="s">
        <v>98</v>
      </c>
      <c r="G115" s="242" t="s">
        <v>575</v>
      </c>
      <c r="H115" s="303">
        <v>1.6</v>
      </c>
      <c r="N115" s="242">
        <f t="shared" si="2"/>
        <v>0</v>
      </c>
      <c r="O115" s="242" t="s">
        <v>972</v>
      </c>
      <c r="R115" s="302"/>
      <c r="S115" s="3"/>
      <c r="T115" s="3"/>
      <c r="U115" s="3"/>
      <c r="V115" s="3">
        <v>5.3310000000000004</v>
      </c>
      <c r="W115" s="3">
        <f>AVERAGE(S115:V115)</f>
        <v>5.3310000000000004</v>
      </c>
      <c r="X115" s="3"/>
      <c r="Y115" s="3">
        <f t="shared" si="3"/>
        <v>1</v>
      </c>
      <c r="Z115" s="3" t="s">
        <v>961</v>
      </c>
    </row>
    <row r="116" spans="1:26" s="242" customFormat="1" ht="26.4">
      <c r="A116" s="302"/>
      <c r="G116" s="304" t="s">
        <v>576</v>
      </c>
      <c r="H116" s="304">
        <v>4.4999999999999998E-2</v>
      </c>
      <c r="I116" s="304"/>
      <c r="J116" s="304"/>
      <c r="K116" s="304"/>
      <c r="L116" s="304"/>
      <c r="M116" s="304"/>
      <c r="N116" s="304">
        <f t="shared" si="2"/>
        <v>0</v>
      </c>
      <c r="O116" s="304" t="s">
        <v>973</v>
      </c>
      <c r="R116" s="302"/>
      <c r="S116" s="364"/>
      <c r="T116" s="364"/>
      <c r="U116" s="364"/>
      <c r="V116" s="364">
        <v>0.14199999999999999</v>
      </c>
      <c r="W116" s="364">
        <f>AVERAGE(S116:V116)</f>
        <v>0.14199999999999999</v>
      </c>
      <c r="X116" s="364"/>
      <c r="Y116" s="364">
        <f t="shared" si="3"/>
        <v>1</v>
      </c>
      <c r="Z116" s="364" t="s">
        <v>984</v>
      </c>
    </row>
    <row r="117" spans="1:26" s="242" customFormat="1" ht="39.6">
      <c r="A117" s="302"/>
      <c r="B117" s="242" t="s">
        <v>571</v>
      </c>
      <c r="C117" s="242" t="s">
        <v>572</v>
      </c>
      <c r="D117" s="242" t="s">
        <v>727</v>
      </c>
      <c r="E117" s="242" t="s">
        <v>574</v>
      </c>
      <c r="F117" s="242" t="s">
        <v>831</v>
      </c>
      <c r="G117" s="242" t="s">
        <v>575</v>
      </c>
      <c r="H117" s="303">
        <v>1.6</v>
      </c>
      <c r="N117" s="242">
        <f t="shared" si="2"/>
        <v>0</v>
      </c>
      <c r="O117" s="242" t="s">
        <v>973</v>
      </c>
      <c r="R117" s="302"/>
      <c r="S117" s="3"/>
      <c r="T117" s="3"/>
      <c r="U117" s="3"/>
      <c r="V117" s="3">
        <v>4.532</v>
      </c>
      <c r="W117" s="3">
        <f>AVERAGE(S117:V117)</f>
        <v>4.532</v>
      </c>
      <c r="X117" s="3"/>
      <c r="Y117" s="3">
        <f t="shared" si="3"/>
        <v>1</v>
      </c>
      <c r="Z117" s="3" t="s">
        <v>961</v>
      </c>
    </row>
    <row r="118" spans="1:26" s="242" customFormat="1" ht="26.4">
      <c r="A118" s="302"/>
      <c r="G118" s="304" t="s">
        <v>576</v>
      </c>
      <c r="H118" s="304">
        <v>4.4999999999999998E-2</v>
      </c>
      <c r="I118" s="304"/>
      <c r="J118" s="304"/>
      <c r="K118" s="304"/>
      <c r="L118" s="304"/>
      <c r="M118" s="304"/>
      <c r="N118" s="304">
        <f t="shared" si="2"/>
        <v>0</v>
      </c>
      <c r="O118" s="304" t="s">
        <v>973</v>
      </c>
      <c r="R118" s="302"/>
      <c r="S118" s="364"/>
      <c r="T118" s="364"/>
      <c r="U118" s="364"/>
      <c r="V118" s="364">
        <v>0.13100000000000001</v>
      </c>
      <c r="W118" s="364">
        <f>AVERAGE(S118:V118)</f>
        <v>0.13100000000000001</v>
      </c>
      <c r="X118" s="364"/>
      <c r="Y118" s="364">
        <f t="shared" si="3"/>
        <v>1</v>
      </c>
      <c r="Z118" s="364" t="s">
        <v>968</v>
      </c>
    </row>
  </sheetData>
  <customSheetViews>
    <customSheetView guid="{67590F70-5005-492E-AD47-1C13C49F2D83}" scale="70">
      <pane xSplit="8" ySplit="2" topLeftCell="S63" activePane="bottomRight" state="frozen"/>
      <selection pane="bottomRight" activeCell="AC64" sqref="AC64:AC85"/>
      <pageMargins left="0.69930555555555596" right="0.69930555555555596" top="0.75" bottom="0.75" header="0.3" footer="0.3"/>
      <pageSetup paperSize="9" orientation="portrait"/>
    </customSheetView>
    <customSheetView guid="{A0559F95-FBE7-4275-9B44-A293A1B62940}" scale="70">
      <pane xSplit="8" ySplit="2" topLeftCell="S63" activePane="bottomRight" state="frozen"/>
      <selection pane="bottomRight" activeCell="AC64" sqref="AC64:AC85"/>
      <pageMargins left="0.69930555555555596" right="0.69930555555555596" top="0.75" bottom="0.75" header="0.3" footer="0.3"/>
      <pageSetup paperSize="9" orientation="portrait"/>
    </customSheetView>
    <customSheetView guid="{11FB768A-9BE5-454D-8324-F7BD8513C471}" scale="70">
      <pane xSplit="8" ySplit="2" topLeftCell="S66" activePane="bottomRight" state="frozen"/>
      <selection pane="bottomRight" activeCell="D108" sqref="D108"/>
      <pageMargins left="0.69930555555555596" right="0.69930555555555596" top="0.75" bottom="0.75" header="0.3" footer="0.3"/>
      <pageSetup paperSize="9" orientation="portrait"/>
    </customSheetView>
    <customSheetView guid="{656CB8E5-9B79-4056-861F-BA0520B66BDB}" scale="85">
      <pane xSplit="8" ySplit="2" topLeftCell="J51" activePane="bottomRight" state="frozen"/>
      <selection pane="bottomRight" activeCell="N53" sqref="N53"/>
      <pageMargins left="0.69930555555555596" right="0.69930555555555596" top="0.75" bottom="0.75" header="0.3" footer="0.3"/>
      <pageSetup paperSize="9" orientation="portrait"/>
    </customSheetView>
    <customSheetView guid="{3A76011A-5D7E-44CA-8EBC-D2C75FB686D2}" scale="70">
      <pane xSplit="8" ySplit="2" topLeftCell="S66" activePane="bottomRight" state="frozen"/>
      <selection pane="bottomRight" activeCell="D108" sqref="D108"/>
      <pageMargins left="0.69930555555555596" right="0.69930555555555596" top="0.75" bottom="0.75" header="0.3" footer="0.3"/>
      <pageSetup paperSize="9" orientation="portrait"/>
    </customSheetView>
  </customSheetViews>
  <mergeCells count="6">
    <mergeCell ref="R94:R107"/>
    <mergeCell ref="G1:H1"/>
    <mergeCell ref="A2:A32"/>
    <mergeCell ref="A64:A85"/>
    <mergeCell ref="R2:R44"/>
    <mergeCell ref="R64:R85"/>
  </mergeCells>
  <phoneticPr fontId="9" type="noConversion"/>
  <pageMargins left="0.69930555555555596" right="0.69930555555555596"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Y137"/>
  <sheetViews>
    <sheetView zoomScale="70" zoomScaleNormal="70" workbookViewId="0">
      <pane xSplit="8" ySplit="2" topLeftCell="I3" activePane="bottomRight" state="frozen"/>
      <selection pane="topRight" activeCell="I1" sqref="I1"/>
      <selection pane="bottomLeft" activeCell="A3" sqref="A3"/>
      <selection pane="bottomRight" activeCell="I1" sqref="I1:I1048576"/>
    </sheetView>
  </sheetViews>
  <sheetFormatPr defaultColWidth="9.44140625" defaultRowHeight="13.2"/>
  <cols>
    <col min="1" max="1" width="9.44140625" style="3"/>
    <col min="2" max="2" width="5.5546875" style="3" customWidth="1"/>
    <col min="3" max="3" width="24.44140625" style="3" customWidth="1"/>
    <col min="4" max="4" width="18.5546875" style="3" customWidth="1"/>
    <col min="5" max="5" width="11.44140625" style="3" customWidth="1"/>
    <col min="6" max="6" width="9.44140625" style="3" customWidth="1"/>
    <col min="7" max="7" width="16.44140625" style="3" customWidth="1"/>
    <col min="8" max="8" width="6.44140625" style="3" customWidth="1"/>
    <col min="9" max="15" width="9.44140625" style="3" customWidth="1"/>
    <col min="16" max="18" width="9.44140625" style="3"/>
    <col min="19" max="25" width="9.44140625" style="3" customWidth="1"/>
    <col min="26" max="16384" width="9.44140625" style="3"/>
  </cols>
  <sheetData>
    <row r="1" spans="1:25" s="1" customFormat="1" ht="41.1" customHeight="1">
      <c r="A1" s="5" t="s">
        <v>561</v>
      </c>
      <c r="B1" s="1" t="s">
        <v>562</v>
      </c>
      <c r="C1" s="1" t="s">
        <v>563</v>
      </c>
      <c r="D1" s="1" t="s">
        <v>564</v>
      </c>
      <c r="E1" s="1" t="s">
        <v>82</v>
      </c>
      <c r="F1" s="1" t="s">
        <v>95</v>
      </c>
      <c r="G1" s="422" t="s">
        <v>565</v>
      </c>
      <c r="H1" s="422"/>
      <c r="I1" s="1" t="s">
        <v>15</v>
      </c>
      <c r="J1" s="1" t="s">
        <v>5</v>
      </c>
      <c r="K1" s="1" t="s">
        <v>20</v>
      </c>
      <c r="L1" s="1" t="s">
        <v>566</v>
      </c>
      <c r="M1" s="1" t="s">
        <v>567</v>
      </c>
      <c r="N1" s="1" t="s">
        <v>568</v>
      </c>
      <c r="O1" s="1" t="s">
        <v>959</v>
      </c>
      <c r="R1" s="5" t="s">
        <v>569</v>
      </c>
      <c r="S1" s="1" t="s">
        <v>15</v>
      </c>
      <c r="T1" s="1" t="s">
        <v>5</v>
      </c>
      <c r="U1" s="1" t="s">
        <v>20</v>
      </c>
      <c r="V1" s="1" t="s">
        <v>566</v>
      </c>
      <c r="W1" s="1" t="s">
        <v>567</v>
      </c>
      <c r="X1" s="1" t="s">
        <v>568</v>
      </c>
      <c r="Y1" s="1" t="s">
        <v>987</v>
      </c>
    </row>
    <row r="2" spans="1:25">
      <c r="A2" s="423" t="s">
        <v>570</v>
      </c>
      <c r="B2" s="8" t="s">
        <v>74</v>
      </c>
      <c r="C2" s="8"/>
      <c r="D2" s="8" t="s">
        <v>74</v>
      </c>
      <c r="E2" s="8"/>
      <c r="F2" s="8"/>
      <c r="G2" s="8"/>
      <c r="H2" s="8"/>
      <c r="I2" s="12"/>
      <c r="J2" s="12"/>
      <c r="K2" s="12"/>
      <c r="L2" s="12"/>
      <c r="M2" s="12"/>
      <c r="N2" s="12"/>
      <c r="O2" s="12"/>
      <c r="R2" s="423" t="s">
        <v>570</v>
      </c>
      <c r="S2" s="12"/>
      <c r="T2" s="12"/>
      <c r="U2" s="12"/>
      <c r="V2" s="12"/>
      <c r="W2" s="12"/>
      <c r="X2" s="12"/>
      <c r="Y2" s="12"/>
    </row>
    <row r="3" spans="1:25" ht="26.4">
      <c r="A3" s="423"/>
      <c r="B3" s="3" t="s">
        <v>571</v>
      </c>
      <c r="C3" s="3" t="s">
        <v>598</v>
      </c>
      <c r="D3" s="3" t="s">
        <v>599</v>
      </c>
      <c r="E3" s="3" t="s">
        <v>574</v>
      </c>
      <c r="G3" s="3" t="s">
        <v>575</v>
      </c>
      <c r="H3" s="13">
        <v>3.3</v>
      </c>
      <c r="J3" s="3">
        <v>13.6</v>
      </c>
      <c r="L3" s="3">
        <f>AVERAGE(I3:K3)</f>
        <v>13.6</v>
      </c>
      <c r="N3" s="3">
        <f>COUNT(I3:K3)</f>
        <v>1</v>
      </c>
      <c r="O3" s="3" t="s">
        <v>960</v>
      </c>
      <c r="R3" s="423"/>
      <c r="S3" s="3">
        <v>12.166</v>
      </c>
      <c r="T3" s="3">
        <v>13.532999999999999</v>
      </c>
      <c r="V3" s="3">
        <f>AVERAGE(S3:U3)</f>
        <v>12.849499999999999</v>
      </c>
      <c r="W3" s="3">
        <f>_xlfn.STDEV.S(S3:U3)</f>
        <v>0.9666149698820099</v>
      </c>
      <c r="X3" s="3">
        <f>COUNT(S3:U3)</f>
        <v>2</v>
      </c>
      <c r="Y3" s="3" t="s">
        <v>981</v>
      </c>
    </row>
    <row r="4" spans="1:25" ht="26.4">
      <c r="A4" s="423"/>
      <c r="G4" s="10" t="s">
        <v>576</v>
      </c>
      <c r="H4" s="10">
        <v>0.12</v>
      </c>
      <c r="I4" s="10"/>
      <c r="J4" s="10">
        <v>0.35399999999999998</v>
      </c>
      <c r="K4" s="10"/>
      <c r="L4" s="10">
        <f>AVERAGE(I4:K4)</f>
        <v>0.35399999999999998</v>
      </c>
      <c r="M4" s="10"/>
      <c r="N4" s="10">
        <f>COUNT(I4:K4)</f>
        <v>1</v>
      </c>
      <c r="O4" s="10" t="s">
        <v>960</v>
      </c>
      <c r="R4" s="423"/>
      <c r="S4" s="10">
        <v>0.39</v>
      </c>
      <c r="T4" s="10">
        <v>0.34499999999999997</v>
      </c>
      <c r="U4" s="10"/>
      <c r="V4" s="10">
        <f>AVERAGE(S4:U4)</f>
        <v>0.36749999999999999</v>
      </c>
      <c r="W4" s="10">
        <f>_xlfn.STDEV.S(S4:U4)</f>
        <v>3.1819805153394672E-2</v>
      </c>
      <c r="X4" s="10">
        <f>COUNT(S4:U4)</f>
        <v>2</v>
      </c>
      <c r="Y4" s="10" t="s">
        <v>978</v>
      </c>
    </row>
    <row r="5" spans="1:25">
      <c r="A5" s="423"/>
      <c r="R5" s="423"/>
    </row>
    <row r="6" spans="1:25" ht="26.4">
      <c r="A6" s="423"/>
      <c r="B6" s="3" t="s">
        <v>571</v>
      </c>
      <c r="C6" s="3" t="s">
        <v>600</v>
      </c>
      <c r="D6" s="15" t="s">
        <v>601</v>
      </c>
      <c r="E6" s="3" t="s">
        <v>574</v>
      </c>
      <c r="G6" s="3" t="s">
        <v>575</v>
      </c>
      <c r="H6" s="13">
        <v>3.3</v>
      </c>
      <c r="N6" s="3">
        <f>COUNT(I6:K6)</f>
        <v>0</v>
      </c>
      <c r="O6" s="3" t="s">
        <v>962</v>
      </c>
      <c r="R6" s="423"/>
      <c r="X6" s="3">
        <f>COUNT(S6:U6)</f>
        <v>0</v>
      </c>
      <c r="Y6" s="3" t="s">
        <v>963</v>
      </c>
    </row>
    <row r="7" spans="1:25" ht="26.4">
      <c r="A7" s="423"/>
      <c r="G7" s="10" t="s">
        <v>576</v>
      </c>
      <c r="H7" s="10">
        <v>0.12</v>
      </c>
      <c r="I7" s="10"/>
      <c r="J7" s="10"/>
      <c r="K7" s="10"/>
      <c r="L7" s="10"/>
      <c r="M7" s="10"/>
      <c r="N7" s="10">
        <f>COUNT(I7:K7)</f>
        <v>0</v>
      </c>
      <c r="O7" s="10" t="s">
        <v>972</v>
      </c>
      <c r="R7" s="423"/>
      <c r="S7" s="10"/>
      <c r="T7" s="10"/>
      <c r="U7" s="10"/>
      <c r="V7" s="10"/>
      <c r="W7" s="10"/>
      <c r="X7" s="10">
        <f>COUNT(S7:U7)</f>
        <v>0</v>
      </c>
      <c r="Y7" s="10" t="s">
        <v>963</v>
      </c>
    </row>
    <row r="8" spans="1:25">
      <c r="A8" s="423"/>
      <c r="R8" s="423"/>
    </row>
    <row r="9" spans="1:25" ht="26.4">
      <c r="A9" s="423"/>
      <c r="B9" s="3" t="s">
        <v>571</v>
      </c>
      <c r="C9" s="3" t="s">
        <v>602</v>
      </c>
      <c r="D9" s="15" t="s">
        <v>603</v>
      </c>
      <c r="E9" s="3" t="s">
        <v>574</v>
      </c>
      <c r="G9" s="3" t="s">
        <v>575</v>
      </c>
      <c r="H9" s="13">
        <v>3.3</v>
      </c>
      <c r="N9" s="3">
        <f>COUNT(I9:K9)</f>
        <v>0</v>
      </c>
      <c r="O9" s="3" t="s">
        <v>962</v>
      </c>
      <c r="R9" s="423"/>
      <c r="X9" s="3">
        <f>COUNT(S9:U9)</f>
        <v>0</v>
      </c>
      <c r="Y9" s="3" t="s">
        <v>963</v>
      </c>
    </row>
    <row r="10" spans="1:25" ht="26.4">
      <c r="A10" s="423"/>
      <c r="G10" s="10" t="s">
        <v>576</v>
      </c>
      <c r="H10" s="10">
        <v>0.12</v>
      </c>
      <c r="I10" s="10"/>
      <c r="J10" s="10"/>
      <c r="K10" s="10"/>
      <c r="L10" s="10"/>
      <c r="M10" s="10"/>
      <c r="N10" s="10">
        <f>COUNT(I10:K10)</f>
        <v>0</v>
      </c>
      <c r="O10" s="10" t="s">
        <v>972</v>
      </c>
      <c r="R10" s="423"/>
      <c r="S10" s="10"/>
      <c r="T10" s="10"/>
      <c r="U10" s="10"/>
      <c r="V10" s="10"/>
      <c r="W10" s="10"/>
      <c r="X10" s="10">
        <f>COUNT(S10:U10)</f>
        <v>0</v>
      </c>
      <c r="Y10" s="10" t="s">
        <v>988</v>
      </c>
    </row>
    <row r="11" spans="1:25">
      <c r="A11" s="423"/>
      <c r="R11" s="423"/>
    </row>
    <row r="12" spans="1:25" ht="26.4">
      <c r="A12" s="423"/>
      <c r="B12" s="3" t="s">
        <v>571</v>
      </c>
      <c r="C12" s="3" t="s">
        <v>602</v>
      </c>
      <c r="D12" s="3" t="s">
        <v>604</v>
      </c>
      <c r="E12" s="3" t="s">
        <v>574</v>
      </c>
      <c r="G12" s="3" t="s">
        <v>575</v>
      </c>
      <c r="H12" s="13">
        <v>3.3</v>
      </c>
      <c r="N12" s="3">
        <f>COUNT(I12:K12)</f>
        <v>0</v>
      </c>
      <c r="O12" s="3" t="s">
        <v>962</v>
      </c>
      <c r="R12" s="423"/>
      <c r="X12" s="3">
        <f>COUNT(S12:U12)</f>
        <v>0</v>
      </c>
      <c r="Y12" s="3" t="s">
        <v>989</v>
      </c>
    </row>
    <row r="13" spans="1:25" ht="26.4">
      <c r="A13" s="423"/>
      <c r="G13" s="10" t="s">
        <v>576</v>
      </c>
      <c r="H13" s="10">
        <v>0.12</v>
      </c>
      <c r="I13" s="10"/>
      <c r="J13" s="10"/>
      <c r="K13" s="10"/>
      <c r="L13" s="10"/>
      <c r="M13" s="10"/>
      <c r="N13" s="10">
        <f>COUNT(I13:K13)</f>
        <v>0</v>
      </c>
      <c r="O13" s="10" t="s">
        <v>972</v>
      </c>
      <c r="R13" s="423"/>
      <c r="S13" s="10"/>
      <c r="T13" s="10"/>
      <c r="U13" s="10"/>
      <c r="V13" s="10"/>
      <c r="W13" s="10"/>
      <c r="X13" s="10">
        <f>COUNT(S13:U13)</f>
        <v>0</v>
      </c>
      <c r="Y13" s="10" t="s">
        <v>972</v>
      </c>
    </row>
    <row r="14" spans="1:25">
      <c r="A14" s="423"/>
      <c r="R14" s="423"/>
    </row>
    <row r="15" spans="1:25" ht="26.4">
      <c r="A15" s="423"/>
      <c r="B15" s="3" t="s">
        <v>571</v>
      </c>
      <c r="C15" s="3" t="s">
        <v>602</v>
      </c>
      <c r="D15" s="3" t="s">
        <v>605</v>
      </c>
      <c r="E15" s="3" t="s">
        <v>574</v>
      </c>
      <c r="G15" s="3" t="s">
        <v>575</v>
      </c>
      <c r="H15" s="13">
        <v>3.3</v>
      </c>
      <c r="N15" s="3">
        <f>COUNT(I15:K15)</f>
        <v>0</v>
      </c>
      <c r="O15" s="3" t="s">
        <v>962</v>
      </c>
      <c r="R15" s="423"/>
      <c r="X15" s="3">
        <f>COUNT(S15:U15)</f>
        <v>0</v>
      </c>
      <c r="Y15" s="3" t="s">
        <v>972</v>
      </c>
    </row>
    <row r="16" spans="1:25" ht="26.4">
      <c r="A16" s="423"/>
      <c r="G16" s="10" t="s">
        <v>576</v>
      </c>
      <c r="H16" s="10">
        <v>0.12</v>
      </c>
      <c r="I16" s="10"/>
      <c r="J16" s="10"/>
      <c r="K16" s="10"/>
      <c r="L16" s="10"/>
      <c r="M16" s="10"/>
      <c r="N16" s="10">
        <f>COUNT(I16:K16)</f>
        <v>0</v>
      </c>
      <c r="O16" s="10" t="s">
        <v>972</v>
      </c>
      <c r="R16" s="423"/>
      <c r="S16" s="10"/>
      <c r="T16" s="10"/>
      <c r="U16" s="10"/>
      <c r="V16" s="10"/>
      <c r="W16" s="10"/>
      <c r="X16" s="10">
        <f>COUNT(S16:U16)</f>
        <v>0</v>
      </c>
      <c r="Y16" s="10" t="s">
        <v>965</v>
      </c>
    </row>
    <row r="17" spans="1:25">
      <c r="A17" s="423"/>
      <c r="R17" s="423"/>
    </row>
    <row r="18" spans="1:25" ht="26.4">
      <c r="A18" s="423"/>
      <c r="B18" s="3" t="s">
        <v>571</v>
      </c>
      <c r="C18" s="3" t="s">
        <v>602</v>
      </c>
      <c r="D18" s="3" t="s">
        <v>606</v>
      </c>
      <c r="E18" s="3" t="s">
        <v>574</v>
      </c>
      <c r="G18" s="3" t="s">
        <v>575</v>
      </c>
      <c r="H18" s="13">
        <v>3.3</v>
      </c>
      <c r="N18" s="3">
        <f>COUNT(I18:K18)</f>
        <v>0</v>
      </c>
      <c r="O18" s="3" t="s">
        <v>962</v>
      </c>
      <c r="R18" s="423"/>
      <c r="X18" s="3">
        <f>COUNT(S18:U18)</f>
        <v>0</v>
      </c>
      <c r="Y18" s="3" t="s">
        <v>963</v>
      </c>
    </row>
    <row r="19" spans="1:25" ht="26.4">
      <c r="A19" s="423"/>
      <c r="G19" s="10" t="s">
        <v>576</v>
      </c>
      <c r="H19" s="10">
        <v>0.12</v>
      </c>
      <c r="I19" s="10"/>
      <c r="J19" s="10"/>
      <c r="K19" s="10"/>
      <c r="L19" s="10"/>
      <c r="M19" s="10"/>
      <c r="N19" s="10">
        <f>COUNT(I19:K19)</f>
        <v>0</v>
      </c>
      <c r="O19" s="10" t="s">
        <v>972</v>
      </c>
      <c r="R19" s="423"/>
      <c r="S19" s="10"/>
      <c r="T19" s="10"/>
      <c r="U19" s="10"/>
      <c r="V19" s="10"/>
      <c r="W19" s="10"/>
      <c r="X19" s="10">
        <f>COUNT(S19:U19)</f>
        <v>0</v>
      </c>
      <c r="Y19" s="10" t="s">
        <v>963</v>
      </c>
    </row>
    <row r="20" spans="1:25">
      <c r="A20" s="423"/>
      <c r="R20" s="423"/>
    </row>
    <row r="21" spans="1:25" ht="26.4">
      <c r="A21" s="423"/>
      <c r="B21" s="3" t="s">
        <v>571</v>
      </c>
      <c r="C21" s="3" t="s">
        <v>600</v>
      </c>
      <c r="D21" s="3" t="s">
        <v>607</v>
      </c>
      <c r="E21" s="3" t="s">
        <v>574</v>
      </c>
      <c r="G21" s="3" t="s">
        <v>575</v>
      </c>
      <c r="H21" s="13">
        <v>3.3</v>
      </c>
      <c r="N21" s="3">
        <f>COUNT(I21:K21)</f>
        <v>0</v>
      </c>
      <c r="O21" s="3" t="s">
        <v>971</v>
      </c>
      <c r="R21" s="423"/>
      <c r="X21" s="3">
        <f>COUNT(S21:U21)</f>
        <v>0</v>
      </c>
      <c r="Y21" s="3" t="s">
        <v>989</v>
      </c>
    </row>
    <row r="22" spans="1:25" ht="26.4">
      <c r="A22" s="423"/>
      <c r="G22" s="10" t="s">
        <v>576</v>
      </c>
      <c r="H22" s="10">
        <v>0.12</v>
      </c>
      <c r="I22" s="10"/>
      <c r="J22" s="10"/>
      <c r="K22" s="10"/>
      <c r="L22" s="10"/>
      <c r="M22" s="10"/>
      <c r="N22" s="10">
        <f>COUNT(I22:K22)</f>
        <v>0</v>
      </c>
      <c r="O22" s="10" t="s">
        <v>972</v>
      </c>
      <c r="R22" s="423"/>
      <c r="S22" s="10"/>
      <c r="T22" s="10"/>
      <c r="U22" s="10"/>
      <c r="V22" s="10"/>
      <c r="W22" s="10"/>
      <c r="X22" s="10">
        <f>COUNT(S22:U22)</f>
        <v>0</v>
      </c>
      <c r="Y22" s="10" t="s">
        <v>989</v>
      </c>
    </row>
    <row r="23" spans="1:25">
      <c r="A23" s="423"/>
      <c r="R23" s="423"/>
    </row>
    <row r="24" spans="1:25" ht="39.6">
      <c r="A24" s="423"/>
      <c r="B24" s="15" t="s">
        <v>577</v>
      </c>
      <c r="C24" s="202" t="s">
        <v>778</v>
      </c>
      <c r="D24" s="202" t="s">
        <v>725</v>
      </c>
      <c r="E24" s="3" t="s">
        <v>574</v>
      </c>
      <c r="G24" s="3" t="s">
        <v>575</v>
      </c>
      <c r="H24" s="13">
        <v>3.3</v>
      </c>
      <c r="N24" s="3">
        <f>COUNT(I24:K24)</f>
        <v>0</v>
      </c>
      <c r="O24" s="3" t="s">
        <v>962</v>
      </c>
      <c r="R24" s="423"/>
      <c r="X24" s="3">
        <f>COUNT(S24:U24)</f>
        <v>0</v>
      </c>
      <c r="Y24" s="3" t="s">
        <v>989</v>
      </c>
    </row>
    <row r="25" spans="1:25" ht="26.4">
      <c r="A25" s="423"/>
      <c r="G25" s="10" t="s">
        <v>576</v>
      </c>
      <c r="H25" s="10">
        <v>0.12</v>
      </c>
      <c r="I25" s="10"/>
      <c r="J25" s="10"/>
      <c r="K25" s="10"/>
      <c r="L25" s="10"/>
      <c r="M25" s="10"/>
      <c r="N25" s="10">
        <f>COUNT(I25:K25)</f>
        <v>0</v>
      </c>
      <c r="O25" s="10" t="s">
        <v>962</v>
      </c>
      <c r="R25" s="423"/>
      <c r="S25" s="10"/>
      <c r="T25" s="10"/>
      <c r="U25" s="10"/>
      <c r="V25" s="10"/>
      <c r="W25" s="10"/>
      <c r="X25" s="10">
        <f>COUNT(S25:U25)</f>
        <v>0</v>
      </c>
      <c r="Y25" s="10" t="s">
        <v>989</v>
      </c>
    </row>
    <row r="26" spans="1:25">
      <c r="A26" s="423"/>
      <c r="R26" s="423"/>
    </row>
    <row r="27" spans="1:25">
      <c r="A27" s="423"/>
      <c r="R27" s="423"/>
    </row>
    <row r="28" spans="1:25">
      <c r="A28" s="423"/>
      <c r="B28" s="8" t="s">
        <v>75</v>
      </c>
      <c r="C28" s="8"/>
      <c r="D28" s="8" t="s">
        <v>75</v>
      </c>
      <c r="E28" s="8"/>
      <c r="F28" s="8"/>
      <c r="G28" s="12"/>
      <c r="H28" s="12"/>
      <c r="I28" s="12"/>
      <c r="J28" s="12"/>
      <c r="K28" s="12"/>
      <c r="L28" s="12"/>
      <c r="M28" s="12"/>
      <c r="N28" s="12"/>
      <c r="O28" s="12"/>
      <c r="R28" s="423"/>
      <c r="S28" s="12"/>
      <c r="T28" s="12"/>
      <c r="U28" s="12"/>
      <c r="V28" s="12"/>
      <c r="W28" s="12"/>
      <c r="X28" s="12"/>
      <c r="Y28" s="12"/>
    </row>
    <row r="29" spans="1:25" ht="31.5" customHeight="1">
      <c r="A29" s="423"/>
      <c r="B29" s="3" t="s">
        <v>571</v>
      </c>
      <c r="C29" s="3" t="s">
        <v>598</v>
      </c>
      <c r="D29" s="3" t="s">
        <v>608</v>
      </c>
      <c r="E29" s="3" t="s">
        <v>587</v>
      </c>
      <c r="F29" s="3" t="s">
        <v>97</v>
      </c>
      <c r="G29" s="3" t="s">
        <v>575</v>
      </c>
      <c r="H29" s="13">
        <v>3.3</v>
      </c>
      <c r="J29" s="3">
        <v>15.345169811320755</v>
      </c>
      <c r="L29" s="3">
        <f>AVERAGE(I29:K29)</f>
        <v>15.345169811320755</v>
      </c>
      <c r="N29" s="3">
        <f>COUNT(I29:K29)</f>
        <v>1</v>
      </c>
      <c r="O29" s="3" t="s">
        <v>981</v>
      </c>
      <c r="R29" s="423"/>
      <c r="S29" s="3">
        <v>15.022</v>
      </c>
      <c r="T29" s="3">
        <v>15.228</v>
      </c>
      <c r="V29" s="3">
        <f>AVERAGE(S29:U29)</f>
        <v>15.125</v>
      </c>
      <c r="W29" s="3">
        <f>_xlfn.STDEV.S(S29:U29)</f>
        <v>0.14566399692442844</v>
      </c>
      <c r="X29" s="3">
        <f>COUNT(S29:U29)</f>
        <v>2</v>
      </c>
      <c r="Y29" s="3" t="s">
        <v>978</v>
      </c>
    </row>
    <row r="30" spans="1:25" ht="26.4">
      <c r="A30" s="423"/>
      <c r="G30" s="10" t="s">
        <v>576</v>
      </c>
      <c r="H30" s="10">
        <v>0.12</v>
      </c>
      <c r="I30" s="10"/>
      <c r="J30" s="10">
        <v>0.38105660377358491</v>
      </c>
      <c r="K30" s="10"/>
      <c r="L30" s="10">
        <f>AVERAGE(I30:K30)</f>
        <v>0.38105660377358491</v>
      </c>
      <c r="M30" s="10"/>
      <c r="N30" s="10">
        <f>COUNT(I30:K30)</f>
        <v>1</v>
      </c>
      <c r="O30" s="10" t="s">
        <v>981</v>
      </c>
      <c r="R30" s="423"/>
      <c r="S30" s="10">
        <v>0.45200000000000001</v>
      </c>
      <c r="T30" s="10">
        <v>0.37698113207547168</v>
      </c>
      <c r="U30" s="10"/>
      <c r="V30" s="10">
        <f>AVERAGE(S30:U30)</f>
        <v>0.41449056603773582</v>
      </c>
      <c r="W30" s="10">
        <f>_xlfn.STDEV.S(S30:U30)</f>
        <v>5.3046350226371962E-2</v>
      </c>
      <c r="X30" s="10">
        <f>COUNT(S30:U30)</f>
        <v>2</v>
      </c>
      <c r="Y30" s="10" t="s">
        <v>978</v>
      </c>
    </row>
    <row r="31" spans="1:25">
      <c r="A31" s="7"/>
      <c r="R31" s="7"/>
    </row>
    <row r="32" spans="1:25" ht="31.5" customHeight="1">
      <c r="A32" s="7"/>
      <c r="B32" s="3" t="s">
        <v>571</v>
      </c>
      <c r="C32" s="3" t="s">
        <v>598</v>
      </c>
      <c r="D32" s="202" t="s">
        <v>661</v>
      </c>
      <c r="E32" s="3" t="s">
        <v>574</v>
      </c>
      <c r="F32" s="3" t="s">
        <v>97</v>
      </c>
      <c r="G32" s="3" t="s">
        <v>575</v>
      </c>
      <c r="H32" s="13">
        <v>3.3</v>
      </c>
      <c r="J32" s="3">
        <v>15.309509433962264</v>
      </c>
      <c r="L32" s="3">
        <f>AVERAGE(I32:K32)</f>
        <v>15.309509433962264</v>
      </c>
      <c r="N32" s="3">
        <f>COUNT(I32:K32)</f>
        <v>1</v>
      </c>
      <c r="O32" s="3" t="s">
        <v>961</v>
      </c>
      <c r="R32" s="7"/>
      <c r="S32" s="3">
        <v>14.436999999999999</v>
      </c>
      <c r="T32" s="3">
        <v>15.182150943396227</v>
      </c>
      <c r="V32" s="3">
        <f>AVERAGE(S32:U32)</f>
        <v>14.809575471698114</v>
      </c>
      <c r="W32" s="3">
        <f>_xlfn.STDEV.S(S32:U32)</f>
        <v>0.52690128508302581</v>
      </c>
      <c r="X32" s="3">
        <f>COUNT(S32:U32)</f>
        <v>2</v>
      </c>
      <c r="Y32" s="3" t="s">
        <v>981</v>
      </c>
    </row>
    <row r="33" spans="1:25" ht="26.4">
      <c r="A33" s="7"/>
      <c r="G33" s="10" t="s">
        <v>576</v>
      </c>
      <c r="H33" s="10">
        <v>0.12</v>
      </c>
      <c r="I33" s="10"/>
      <c r="J33" s="10">
        <v>0.36781132075471695</v>
      </c>
      <c r="K33" s="10"/>
      <c r="L33" s="10">
        <f>AVERAGE(I33:K33)</f>
        <v>0.36781132075471695</v>
      </c>
      <c r="M33" s="10"/>
      <c r="N33" s="10">
        <f>COUNT(I33:K33)</f>
        <v>1</v>
      </c>
      <c r="O33" s="10" t="s">
        <v>961</v>
      </c>
      <c r="R33" s="7"/>
      <c r="S33" s="10">
        <v>0.41799999999999998</v>
      </c>
      <c r="T33" s="10">
        <v>0.36577358490566036</v>
      </c>
      <c r="U33" s="10"/>
      <c r="V33" s="10">
        <f>AVERAGE(S33:U33)</f>
        <v>0.3918867924528302</v>
      </c>
      <c r="W33" s="10">
        <f>_xlfn.STDEV.S(S33:U33)</f>
        <v>3.6929652270271007E-2</v>
      </c>
      <c r="X33" s="10">
        <f>COUNT(S33:U33)</f>
        <v>2</v>
      </c>
      <c r="Y33" s="10" t="s">
        <v>981</v>
      </c>
    </row>
    <row r="34" spans="1:25">
      <c r="A34" s="7"/>
      <c r="R34" s="7"/>
    </row>
    <row r="35" spans="1:25" ht="26.4">
      <c r="A35" s="7"/>
      <c r="B35" s="3" t="s">
        <v>571</v>
      </c>
      <c r="C35" s="3" t="s">
        <v>609</v>
      </c>
      <c r="D35" s="3" t="s">
        <v>610</v>
      </c>
      <c r="E35" s="3" t="s">
        <v>574</v>
      </c>
      <c r="F35" s="3" t="s">
        <v>98</v>
      </c>
      <c r="G35" s="3" t="s">
        <v>575</v>
      </c>
      <c r="H35" s="13">
        <v>3.3</v>
      </c>
      <c r="N35" s="3">
        <f>COUNT(I35:K35)</f>
        <v>0</v>
      </c>
      <c r="O35" s="3" t="s">
        <v>962</v>
      </c>
      <c r="R35" s="7"/>
      <c r="X35" s="3">
        <f>COUNT(S35:U35)</f>
        <v>0</v>
      </c>
      <c r="Y35" s="3" t="s">
        <v>989</v>
      </c>
    </row>
    <row r="36" spans="1:25" ht="26.4">
      <c r="A36" s="7"/>
      <c r="G36" s="10" t="s">
        <v>576</v>
      </c>
      <c r="H36" s="10">
        <v>0.12</v>
      </c>
      <c r="I36" s="10"/>
      <c r="J36" s="10"/>
      <c r="K36" s="10"/>
      <c r="L36" s="10"/>
      <c r="M36" s="10"/>
      <c r="N36" s="10">
        <f>COUNT(I36:K36)</f>
        <v>0</v>
      </c>
      <c r="O36" s="10" t="s">
        <v>962</v>
      </c>
      <c r="R36" s="7"/>
      <c r="S36" s="10"/>
      <c r="T36" s="10"/>
      <c r="U36" s="10"/>
      <c r="V36" s="10"/>
      <c r="W36" s="10"/>
      <c r="X36" s="10">
        <f>COUNT(S36:U36)</f>
        <v>0</v>
      </c>
      <c r="Y36" s="10" t="s">
        <v>971</v>
      </c>
    </row>
    <row r="37" spans="1:25">
      <c r="A37" s="7"/>
      <c r="R37" s="7"/>
    </row>
    <row r="38" spans="1:25" ht="26.4">
      <c r="A38" s="7"/>
      <c r="B38" s="3" t="s">
        <v>571</v>
      </c>
      <c r="C38" s="3" t="s">
        <v>598</v>
      </c>
      <c r="D38" s="15" t="s">
        <v>608</v>
      </c>
      <c r="E38" s="3" t="s">
        <v>574</v>
      </c>
      <c r="F38" s="3" t="s">
        <v>98</v>
      </c>
      <c r="G38" s="3" t="s">
        <v>575</v>
      </c>
      <c r="H38" s="13">
        <v>3.3</v>
      </c>
      <c r="N38" s="3">
        <f>COUNT(I38:K38)</f>
        <v>0</v>
      </c>
      <c r="O38" s="3" t="s">
        <v>975</v>
      </c>
      <c r="R38" s="7"/>
      <c r="X38" s="3">
        <f>COUNT(S38:U38)</f>
        <v>0</v>
      </c>
      <c r="Y38" s="3" t="s">
        <v>972</v>
      </c>
    </row>
    <row r="39" spans="1:25" ht="26.4">
      <c r="A39" s="7"/>
      <c r="G39" s="10" t="s">
        <v>576</v>
      </c>
      <c r="H39" s="10">
        <v>0.12</v>
      </c>
      <c r="I39" s="10"/>
      <c r="J39" s="10"/>
      <c r="K39" s="10"/>
      <c r="L39" s="10"/>
      <c r="M39" s="10"/>
      <c r="N39" s="10">
        <f>COUNT(I39:K39)</f>
        <v>0</v>
      </c>
      <c r="O39" s="10" t="s">
        <v>971</v>
      </c>
      <c r="R39" s="7"/>
      <c r="S39" s="10"/>
      <c r="T39" s="10"/>
      <c r="U39" s="10"/>
      <c r="V39" s="10"/>
      <c r="W39" s="10"/>
      <c r="X39" s="10">
        <f>COUNT(S39:U39)</f>
        <v>0</v>
      </c>
      <c r="Y39" s="10" t="s">
        <v>971</v>
      </c>
    </row>
    <row r="40" spans="1:25">
      <c r="A40" s="7"/>
      <c r="R40" s="7"/>
    </row>
    <row r="41" spans="1:25" ht="26.4">
      <c r="A41" s="7"/>
      <c r="B41" s="3" t="s">
        <v>571</v>
      </c>
      <c r="C41" s="3" t="s">
        <v>598</v>
      </c>
      <c r="D41" s="3" t="s">
        <v>608</v>
      </c>
      <c r="E41" s="15" t="s">
        <v>587</v>
      </c>
      <c r="F41" s="3" t="s">
        <v>98</v>
      </c>
      <c r="G41" s="3" t="s">
        <v>575</v>
      </c>
      <c r="H41" s="13">
        <v>3.3</v>
      </c>
      <c r="N41" s="3">
        <f>COUNT(I41:K41)</f>
        <v>0</v>
      </c>
      <c r="O41" s="3" t="s">
        <v>971</v>
      </c>
      <c r="R41" s="7"/>
      <c r="X41" s="3">
        <f>COUNT(S41:U41)</f>
        <v>0</v>
      </c>
      <c r="Y41" s="3" t="s">
        <v>971</v>
      </c>
    </row>
    <row r="42" spans="1:25" ht="26.4">
      <c r="A42" s="7"/>
      <c r="G42" s="10" t="s">
        <v>576</v>
      </c>
      <c r="H42" s="10">
        <v>0.12</v>
      </c>
      <c r="I42" s="10"/>
      <c r="J42" s="10"/>
      <c r="K42" s="10"/>
      <c r="L42" s="10"/>
      <c r="M42" s="10"/>
      <c r="N42" s="10">
        <f>COUNT(I42:K42)</f>
        <v>0</v>
      </c>
      <c r="O42" s="10" t="s">
        <v>980</v>
      </c>
      <c r="R42" s="7"/>
      <c r="S42" s="10"/>
      <c r="T42" s="10"/>
      <c r="U42" s="10"/>
      <c r="V42" s="10"/>
      <c r="W42" s="10"/>
      <c r="X42" s="10">
        <f>COUNT(S42:U42)</f>
        <v>0</v>
      </c>
      <c r="Y42" s="10" t="s">
        <v>972</v>
      </c>
    </row>
    <row r="43" spans="1:25">
      <c r="A43" s="7"/>
      <c r="R43" s="7"/>
    </row>
    <row r="44" spans="1:25" ht="26.4">
      <c r="A44" s="7"/>
      <c r="B44" s="3" t="s">
        <v>571</v>
      </c>
      <c r="C44" s="3" t="s">
        <v>613</v>
      </c>
      <c r="D44" s="15" t="s">
        <v>614</v>
      </c>
      <c r="E44" s="15" t="s">
        <v>587</v>
      </c>
      <c r="F44" s="3" t="s">
        <v>615</v>
      </c>
      <c r="G44" s="3" t="s">
        <v>575</v>
      </c>
      <c r="H44" s="21">
        <v>3.3</v>
      </c>
      <c r="N44" s="3">
        <f>COUNT(I44:K44)</f>
        <v>0</v>
      </c>
      <c r="O44" s="3" t="s">
        <v>972</v>
      </c>
      <c r="R44" s="7"/>
      <c r="X44" s="3">
        <f>COUNT(S44:U44)</f>
        <v>0</v>
      </c>
      <c r="Y44" s="3" t="s">
        <v>972</v>
      </c>
    </row>
    <row r="45" spans="1:25" ht="26.4">
      <c r="A45" s="7"/>
      <c r="G45" s="10" t="s">
        <v>576</v>
      </c>
      <c r="H45" s="10">
        <v>0.12</v>
      </c>
      <c r="I45" s="10"/>
      <c r="J45" s="10"/>
      <c r="K45" s="10"/>
      <c r="L45" s="10"/>
      <c r="M45" s="10"/>
      <c r="N45" s="10">
        <f>COUNT(I45:K45)</f>
        <v>0</v>
      </c>
      <c r="O45" s="10" t="s">
        <v>972</v>
      </c>
      <c r="R45" s="7"/>
      <c r="S45" s="10"/>
      <c r="T45" s="10"/>
      <c r="U45" s="10"/>
      <c r="V45" s="10"/>
      <c r="W45" s="10"/>
      <c r="X45" s="10">
        <f>COUNT(S45:U45)</f>
        <v>0</v>
      </c>
      <c r="Y45" s="10" t="s">
        <v>972</v>
      </c>
    </row>
    <row r="46" spans="1:25">
      <c r="A46" s="7"/>
      <c r="R46" s="7"/>
    </row>
    <row r="47" spans="1:25">
      <c r="A47" s="7"/>
      <c r="R47" s="7"/>
    </row>
    <row r="48" spans="1:25" ht="26.4">
      <c r="A48" s="7"/>
      <c r="B48" s="3" t="s">
        <v>571</v>
      </c>
      <c r="C48" s="3" t="s">
        <v>613</v>
      </c>
      <c r="D48" s="15" t="s">
        <v>614</v>
      </c>
      <c r="E48" s="15" t="s">
        <v>587</v>
      </c>
      <c r="F48" s="15" t="s">
        <v>98</v>
      </c>
      <c r="G48" s="3" t="s">
        <v>575</v>
      </c>
      <c r="H48" s="21">
        <v>3.3</v>
      </c>
      <c r="N48" s="3">
        <f>COUNT(I48:K48)</f>
        <v>0</v>
      </c>
      <c r="O48" s="3" t="s">
        <v>962</v>
      </c>
      <c r="R48" s="7"/>
      <c r="X48" s="3">
        <f>COUNT(S48:U48)</f>
        <v>0</v>
      </c>
      <c r="Y48" s="3" t="s">
        <v>989</v>
      </c>
    </row>
    <row r="49" spans="1:25" ht="26.4">
      <c r="A49" s="7"/>
      <c r="G49" s="10" t="s">
        <v>576</v>
      </c>
      <c r="H49" s="10">
        <v>0.12</v>
      </c>
      <c r="I49" s="10"/>
      <c r="J49" s="10"/>
      <c r="K49" s="10"/>
      <c r="L49" s="10"/>
      <c r="M49" s="10"/>
      <c r="N49" s="10">
        <f>COUNT(I49:K49)</f>
        <v>0</v>
      </c>
      <c r="O49" s="10" t="s">
        <v>970</v>
      </c>
      <c r="R49" s="423"/>
      <c r="S49" s="10"/>
      <c r="T49" s="10"/>
      <c r="U49" s="10"/>
      <c r="V49" s="10"/>
      <c r="W49" s="10"/>
      <c r="X49" s="10">
        <f>COUNT(S49:U49)</f>
        <v>0</v>
      </c>
      <c r="Y49" s="10" t="s">
        <v>972</v>
      </c>
    </row>
    <row r="50" spans="1:25">
      <c r="A50" s="7"/>
      <c r="R50" s="423"/>
    </row>
    <row r="51" spans="1:25" ht="26.4">
      <c r="A51" s="7"/>
      <c r="B51" s="3" t="s">
        <v>571</v>
      </c>
      <c r="C51" s="3" t="s">
        <v>613</v>
      </c>
      <c r="D51" s="15" t="s">
        <v>614</v>
      </c>
      <c r="E51" s="15" t="s">
        <v>587</v>
      </c>
      <c r="F51" s="15" t="s">
        <v>97</v>
      </c>
      <c r="G51" s="3" t="s">
        <v>575</v>
      </c>
      <c r="H51" s="21">
        <v>3.3</v>
      </c>
      <c r="N51" s="3">
        <f>COUNT(I51:K51)</f>
        <v>0</v>
      </c>
      <c r="O51" s="3" t="s">
        <v>962</v>
      </c>
      <c r="R51" s="423"/>
      <c r="X51" s="3">
        <f>COUNT(S51:U51)</f>
        <v>0</v>
      </c>
      <c r="Y51" s="3" t="s">
        <v>990</v>
      </c>
    </row>
    <row r="52" spans="1:25" ht="26.4">
      <c r="A52" s="7"/>
      <c r="G52" s="10" t="s">
        <v>576</v>
      </c>
      <c r="H52" s="10">
        <v>0.12</v>
      </c>
      <c r="I52" s="10"/>
      <c r="J52" s="10"/>
      <c r="K52" s="10"/>
      <c r="L52" s="10"/>
      <c r="M52" s="10"/>
      <c r="N52" s="10">
        <f>COUNT(I52:K52)</f>
        <v>0</v>
      </c>
      <c r="O52" s="10" t="s">
        <v>962</v>
      </c>
      <c r="R52" s="423"/>
      <c r="S52" s="10"/>
      <c r="T52" s="10"/>
      <c r="U52" s="10"/>
      <c r="V52" s="10"/>
      <c r="W52" s="10"/>
      <c r="X52" s="10">
        <f>COUNT(S52:U52)</f>
        <v>0</v>
      </c>
      <c r="Y52" s="10" t="s">
        <v>989</v>
      </c>
    </row>
    <row r="53" spans="1:25">
      <c r="A53" s="7"/>
      <c r="R53" s="423"/>
    </row>
    <row r="54" spans="1:25" ht="26.4">
      <c r="A54" s="7"/>
      <c r="B54" s="18" t="s">
        <v>571</v>
      </c>
      <c r="C54" s="3" t="s">
        <v>617</v>
      </c>
      <c r="D54" s="18" t="s">
        <v>618</v>
      </c>
      <c r="E54" s="18" t="s">
        <v>587</v>
      </c>
      <c r="F54" s="18" t="s">
        <v>100</v>
      </c>
      <c r="G54" s="3" t="s">
        <v>575</v>
      </c>
      <c r="H54" s="21">
        <v>3.3</v>
      </c>
      <c r="N54" s="3">
        <f>COUNT(I54:K54)</f>
        <v>0</v>
      </c>
      <c r="O54" s="3" t="s">
        <v>962</v>
      </c>
      <c r="R54" s="423"/>
      <c r="X54" s="3">
        <f>COUNT(S54:U54)</f>
        <v>0</v>
      </c>
      <c r="Y54" s="3" t="s">
        <v>972</v>
      </c>
    </row>
    <row r="55" spans="1:25" ht="26.25" customHeight="1">
      <c r="A55" s="7"/>
      <c r="G55" s="10" t="s">
        <v>576</v>
      </c>
      <c r="H55" s="10">
        <v>0.12</v>
      </c>
      <c r="I55" s="10"/>
      <c r="J55" s="10"/>
      <c r="K55" s="10"/>
      <c r="L55" s="10"/>
      <c r="M55" s="10"/>
      <c r="N55" s="10">
        <f>COUNT(I55:K55)</f>
        <v>0</v>
      </c>
      <c r="O55" s="10" t="s">
        <v>975</v>
      </c>
      <c r="R55" s="7"/>
      <c r="S55" s="10"/>
      <c r="T55" s="10"/>
      <c r="U55" s="10"/>
      <c r="V55" s="10"/>
      <c r="W55" s="10"/>
      <c r="X55" s="10">
        <f>COUNT(S55:U55)</f>
        <v>0</v>
      </c>
      <c r="Y55" s="10" t="s">
        <v>971</v>
      </c>
    </row>
    <row r="56" spans="1:25">
      <c r="A56" s="211"/>
      <c r="R56" s="211"/>
    </row>
    <row r="57" spans="1:25" ht="26.4">
      <c r="A57" s="211"/>
      <c r="B57" s="15" t="s">
        <v>571</v>
      </c>
      <c r="C57" s="3" t="s">
        <v>611</v>
      </c>
      <c r="D57" s="3" t="s">
        <v>612</v>
      </c>
      <c r="E57" s="3" t="s">
        <v>574</v>
      </c>
      <c r="F57" s="202" t="s">
        <v>658</v>
      </c>
      <c r="G57" s="3" t="s">
        <v>575</v>
      </c>
      <c r="H57" s="13">
        <v>3.3</v>
      </c>
      <c r="I57" s="3">
        <v>17.375262054507342</v>
      </c>
      <c r="L57" s="3">
        <f>AVERAGE(I57:K57)</f>
        <v>17.375262054507342</v>
      </c>
      <c r="N57" s="3">
        <f>COUNT(I57:K57)</f>
        <v>1</v>
      </c>
      <c r="O57" s="3" t="s">
        <v>984</v>
      </c>
      <c r="R57" s="211"/>
      <c r="X57" s="3">
        <f>COUNT(S57:U57)</f>
        <v>0</v>
      </c>
      <c r="Y57" s="3" t="s">
        <v>963</v>
      </c>
    </row>
    <row r="58" spans="1:25" ht="26.4">
      <c r="A58" s="211"/>
      <c r="G58" s="10" t="s">
        <v>576</v>
      </c>
      <c r="H58" s="10">
        <v>0.12</v>
      </c>
      <c r="I58" s="10">
        <v>0.4254591194968555</v>
      </c>
      <c r="J58" s="10"/>
      <c r="K58" s="10"/>
      <c r="L58" s="10">
        <f>AVERAGE(I58:K58)</f>
        <v>0.4254591194968555</v>
      </c>
      <c r="M58" s="10"/>
      <c r="N58" s="10">
        <f>COUNT(I58:K58)</f>
        <v>1</v>
      </c>
      <c r="O58" s="10" t="s">
        <v>960</v>
      </c>
      <c r="R58" s="211"/>
      <c r="S58" s="10"/>
      <c r="T58" s="10"/>
      <c r="U58" s="10"/>
      <c r="V58" s="10"/>
      <c r="W58" s="10"/>
      <c r="X58" s="10">
        <f>COUNT(S58:U58)</f>
        <v>0</v>
      </c>
      <c r="Y58" s="10" t="s">
        <v>963</v>
      </c>
    </row>
    <row r="59" spans="1:25" ht="26.4">
      <c r="A59" s="211"/>
      <c r="B59" s="3" t="s">
        <v>571</v>
      </c>
      <c r="C59" s="3" t="s">
        <v>609</v>
      </c>
      <c r="D59" s="202" t="s">
        <v>935</v>
      </c>
      <c r="E59" s="3" t="s">
        <v>574</v>
      </c>
      <c r="F59" s="3" t="s">
        <v>98</v>
      </c>
      <c r="G59" s="3" t="s">
        <v>575</v>
      </c>
      <c r="H59" s="13">
        <v>3.3</v>
      </c>
      <c r="N59" s="3">
        <f>COUNT(I59:K59)</f>
        <v>0</v>
      </c>
      <c r="O59" s="3" t="s">
        <v>962</v>
      </c>
      <c r="R59" s="211"/>
      <c r="X59" s="3">
        <f>COUNT(S59:U59)</f>
        <v>0</v>
      </c>
      <c r="Y59" s="3" t="s">
        <v>963</v>
      </c>
    </row>
    <row r="60" spans="1:25" ht="26.4">
      <c r="A60" s="211"/>
      <c r="G60" s="10" t="s">
        <v>576</v>
      </c>
      <c r="H60" s="10">
        <v>0.12</v>
      </c>
      <c r="I60" s="10"/>
      <c r="J60" s="10"/>
      <c r="K60" s="10"/>
      <c r="L60" s="10"/>
      <c r="M60" s="10"/>
      <c r="N60" s="10">
        <f>COUNT(I60:K60)</f>
        <v>0</v>
      </c>
      <c r="O60" s="10" t="s">
        <v>970</v>
      </c>
      <c r="R60" s="211"/>
      <c r="S60" s="10"/>
      <c r="T60" s="10"/>
      <c r="U60" s="10"/>
      <c r="V60" s="10"/>
      <c r="W60" s="10"/>
      <c r="X60" s="10">
        <f>COUNT(S60:U60)</f>
        <v>0</v>
      </c>
      <c r="Y60" s="10" t="s">
        <v>963</v>
      </c>
    </row>
    <row r="61" spans="1:25">
      <c r="A61" s="211"/>
      <c r="R61" s="211"/>
    </row>
    <row r="62" spans="1:25" ht="26.4">
      <c r="A62" s="211"/>
      <c r="B62" s="15" t="s">
        <v>577</v>
      </c>
      <c r="C62" s="202" t="s">
        <v>778</v>
      </c>
      <c r="D62" s="3" t="s">
        <v>608</v>
      </c>
      <c r="E62" s="3" t="s">
        <v>574</v>
      </c>
      <c r="F62" s="3" t="s">
        <v>98</v>
      </c>
      <c r="G62" s="3" t="s">
        <v>575</v>
      </c>
      <c r="H62" s="13">
        <v>3.3</v>
      </c>
      <c r="N62" s="3">
        <f>COUNT(I62:K62)</f>
        <v>0</v>
      </c>
      <c r="O62" s="3" t="s">
        <v>972</v>
      </c>
      <c r="R62" s="211"/>
      <c r="X62" s="3">
        <f>COUNT(S62:U62)</f>
        <v>0</v>
      </c>
      <c r="Y62" s="3" t="s">
        <v>972</v>
      </c>
    </row>
    <row r="63" spans="1:25" ht="26.4">
      <c r="A63" s="211"/>
      <c r="G63" s="10" t="s">
        <v>576</v>
      </c>
      <c r="H63" s="10">
        <v>0.12</v>
      </c>
      <c r="I63" s="10"/>
      <c r="J63" s="10"/>
      <c r="K63" s="10"/>
      <c r="L63" s="10"/>
      <c r="M63" s="10"/>
      <c r="N63" s="10">
        <f>COUNT(I63:K63)</f>
        <v>0</v>
      </c>
      <c r="O63" s="10" t="s">
        <v>962</v>
      </c>
      <c r="R63" s="211"/>
      <c r="S63" s="10"/>
      <c r="T63" s="10"/>
      <c r="U63" s="10"/>
      <c r="V63" s="10"/>
      <c r="W63" s="10"/>
      <c r="X63" s="10">
        <f>COUNT(S63:U63)</f>
        <v>0</v>
      </c>
      <c r="Y63" s="10" t="s">
        <v>970</v>
      </c>
    </row>
    <row r="64" spans="1:25">
      <c r="A64" s="211"/>
    </row>
    <row r="65" spans="1:25" ht="26.4">
      <c r="A65" s="211"/>
      <c r="B65" s="15" t="s">
        <v>577</v>
      </c>
      <c r="C65" s="202" t="s">
        <v>779</v>
      </c>
      <c r="D65" s="3" t="s">
        <v>612</v>
      </c>
      <c r="E65" s="3" t="s">
        <v>574</v>
      </c>
      <c r="F65" s="202" t="s">
        <v>659</v>
      </c>
      <c r="G65" s="3" t="s">
        <v>575</v>
      </c>
      <c r="H65" s="13">
        <v>3.3</v>
      </c>
      <c r="I65" s="3">
        <v>14.745492662473799</v>
      </c>
      <c r="L65" s="3">
        <f>AVERAGE(I65:K65)</f>
        <v>14.745492662473799</v>
      </c>
      <c r="N65" s="3">
        <f t="shared" ref="N65:N72" si="0">COUNT(I65:K65)</f>
        <v>1</v>
      </c>
      <c r="O65" s="3" t="s">
        <v>960</v>
      </c>
      <c r="R65" s="211"/>
      <c r="X65" s="3">
        <f t="shared" ref="X65:X72" si="1">COUNT(S65:U65)</f>
        <v>0</v>
      </c>
      <c r="Y65" s="3" t="s">
        <v>991</v>
      </c>
    </row>
    <row r="66" spans="1:25" ht="26.4">
      <c r="A66" s="211"/>
      <c r="G66" s="10" t="s">
        <v>576</v>
      </c>
      <c r="H66" s="10">
        <v>0.12</v>
      </c>
      <c r="I66" s="10">
        <v>0.35689727463312382</v>
      </c>
      <c r="J66" s="10"/>
      <c r="K66" s="10"/>
      <c r="L66" s="10">
        <f>AVERAGE(I66:K66)</f>
        <v>0.35689727463312382</v>
      </c>
      <c r="M66" s="10"/>
      <c r="N66" s="10">
        <f t="shared" si="0"/>
        <v>1</v>
      </c>
      <c r="O66" s="10" t="s">
        <v>960</v>
      </c>
      <c r="R66" s="211"/>
      <c r="S66" s="10"/>
      <c r="T66" s="10"/>
      <c r="U66" s="10"/>
      <c r="V66" s="10"/>
      <c r="W66" s="10"/>
      <c r="X66" s="10">
        <f t="shared" si="1"/>
        <v>0</v>
      </c>
      <c r="Y66" s="10" t="s">
        <v>972</v>
      </c>
    </row>
    <row r="67" spans="1:25" ht="26.4">
      <c r="A67" s="226"/>
      <c r="B67" s="242" t="s">
        <v>571</v>
      </c>
      <c r="C67" s="242" t="s">
        <v>782</v>
      </c>
      <c r="D67" s="242" t="s">
        <v>689</v>
      </c>
      <c r="E67" s="242" t="s">
        <v>587</v>
      </c>
      <c r="F67" s="242" t="s">
        <v>615</v>
      </c>
      <c r="G67" s="3" t="s">
        <v>575</v>
      </c>
      <c r="H67" s="21">
        <v>3.3</v>
      </c>
      <c r="N67" s="3">
        <f t="shared" si="0"/>
        <v>0</v>
      </c>
      <c r="O67" s="3" t="s">
        <v>962</v>
      </c>
      <c r="R67" s="226"/>
      <c r="X67" s="3">
        <f t="shared" si="1"/>
        <v>0</v>
      </c>
      <c r="Y67" s="3" t="s">
        <v>989</v>
      </c>
    </row>
    <row r="68" spans="1:25" ht="26.4">
      <c r="A68" s="226"/>
      <c r="B68" s="242"/>
      <c r="C68" s="242"/>
      <c r="D68" s="242"/>
      <c r="E68" s="242"/>
      <c r="F68" s="242"/>
      <c r="G68" s="10" t="s">
        <v>576</v>
      </c>
      <c r="H68" s="10">
        <v>0.12</v>
      </c>
      <c r="I68" s="10"/>
      <c r="J68" s="10"/>
      <c r="K68" s="10"/>
      <c r="L68" s="10"/>
      <c r="M68" s="10"/>
      <c r="N68" s="10">
        <f t="shared" si="0"/>
        <v>0</v>
      </c>
      <c r="O68" s="10" t="s">
        <v>970</v>
      </c>
      <c r="R68" s="226"/>
      <c r="S68" s="10"/>
      <c r="T68" s="10"/>
      <c r="U68" s="10"/>
      <c r="V68" s="10"/>
      <c r="W68" s="10"/>
      <c r="X68" s="10">
        <f t="shared" si="1"/>
        <v>0</v>
      </c>
      <c r="Y68" s="10" t="s">
        <v>989</v>
      </c>
    </row>
    <row r="69" spans="1:25" ht="26.4">
      <c r="A69" s="226"/>
      <c r="B69" s="242" t="s">
        <v>571</v>
      </c>
      <c r="C69" s="242" t="s">
        <v>613</v>
      </c>
      <c r="D69" s="242" t="s">
        <v>614</v>
      </c>
      <c r="E69" s="242" t="s">
        <v>587</v>
      </c>
      <c r="F69" s="242" t="s">
        <v>690</v>
      </c>
      <c r="G69" s="3" t="s">
        <v>575</v>
      </c>
      <c r="H69" s="21">
        <v>3.3</v>
      </c>
      <c r="N69" s="3">
        <f t="shared" si="0"/>
        <v>0</v>
      </c>
      <c r="O69" s="3" t="s">
        <v>980</v>
      </c>
      <c r="R69" s="226"/>
      <c r="X69" s="3">
        <f t="shared" si="1"/>
        <v>0</v>
      </c>
      <c r="Y69" s="3" t="s">
        <v>989</v>
      </c>
    </row>
    <row r="70" spans="1:25" ht="26.4">
      <c r="A70" s="226"/>
      <c r="G70" s="10" t="s">
        <v>576</v>
      </c>
      <c r="H70" s="10">
        <v>0.12</v>
      </c>
      <c r="I70" s="10"/>
      <c r="J70" s="10"/>
      <c r="K70" s="10"/>
      <c r="L70" s="10"/>
      <c r="M70" s="10"/>
      <c r="N70" s="10">
        <f t="shared" si="0"/>
        <v>0</v>
      </c>
      <c r="O70" s="10" t="s">
        <v>962</v>
      </c>
      <c r="R70" s="226"/>
      <c r="S70" s="10"/>
      <c r="T70" s="10"/>
      <c r="U70" s="10"/>
      <c r="V70" s="10"/>
      <c r="W70" s="10"/>
      <c r="X70" s="10">
        <f t="shared" si="1"/>
        <v>0</v>
      </c>
      <c r="Y70" s="10" t="s">
        <v>989</v>
      </c>
    </row>
    <row r="71" spans="1:25" ht="26.4">
      <c r="A71" s="284"/>
      <c r="B71" s="242" t="s">
        <v>577</v>
      </c>
      <c r="C71" s="242" t="s">
        <v>778</v>
      </c>
      <c r="D71" s="242" t="s">
        <v>608</v>
      </c>
      <c r="E71" s="242" t="s">
        <v>574</v>
      </c>
      <c r="F71" s="242" t="s">
        <v>738</v>
      </c>
      <c r="G71" s="3" t="s">
        <v>575</v>
      </c>
      <c r="H71" s="13">
        <v>3.3</v>
      </c>
      <c r="N71" s="3">
        <f t="shared" si="0"/>
        <v>0</v>
      </c>
      <c r="O71" s="3" t="s">
        <v>962</v>
      </c>
      <c r="R71" s="284"/>
      <c r="X71" s="3">
        <f t="shared" si="1"/>
        <v>0</v>
      </c>
      <c r="Y71" s="3" t="s">
        <v>989</v>
      </c>
    </row>
    <row r="72" spans="1:25" ht="26.4">
      <c r="A72" s="284"/>
      <c r="G72" s="10" t="s">
        <v>576</v>
      </c>
      <c r="H72" s="10">
        <v>0.12</v>
      </c>
      <c r="I72" s="10"/>
      <c r="J72" s="10"/>
      <c r="K72" s="10"/>
      <c r="L72" s="10"/>
      <c r="M72" s="10"/>
      <c r="N72" s="10">
        <f t="shared" si="0"/>
        <v>0</v>
      </c>
      <c r="O72" s="10" t="s">
        <v>962</v>
      </c>
      <c r="R72" s="284"/>
      <c r="S72" s="10"/>
      <c r="T72" s="10"/>
      <c r="U72" s="10"/>
      <c r="V72" s="10"/>
      <c r="W72" s="10"/>
      <c r="X72" s="10">
        <f t="shared" si="1"/>
        <v>0</v>
      </c>
      <c r="Y72" s="10" t="s">
        <v>965</v>
      </c>
    </row>
    <row r="73" spans="1:25">
      <c r="A73" s="284"/>
      <c r="R73" s="284"/>
    </row>
    <row r="74" spans="1:25" ht="26.4">
      <c r="A74" s="226"/>
      <c r="B74" s="242" t="s">
        <v>832</v>
      </c>
      <c r="C74" s="242" t="s">
        <v>784</v>
      </c>
      <c r="D74" s="242" t="s">
        <v>833</v>
      </c>
      <c r="E74" s="242" t="s">
        <v>574</v>
      </c>
      <c r="F74" s="242" t="s">
        <v>837</v>
      </c>
      <c r="G74" s="3" t="s">
        <v>575</v>
      </c>
      <c r="H74" s="13">
        <v>3.3</v>
      </c>
      <c r="N74" s="3">
        <f>COUNT(I74:K74)</f>
        <v>0</v>
      </c>
      <c r="O74" s="3" t="s">
        <v>963</v>
      </c>
      <c r="R74" s="226"/>
      <c r="U74" s="3">
        <v>11.241</v>
      </c>
      <c r="V74" s="3">
        <f>AVERAGE(S74:U74)</f>
        <v>11.241</v>
      </c>
      <c r="X74" s="3">
        <f>COUNT(S74:U74)</f>
        <v>1</v>
      </c>
      <c r="Y74" s="3" t="s">
        <v>992</v>
      </c>
    </row>
    <row r="75" spans="1:25" ht="26.4">
      <c r="A75" s="226"/>
      <c r="G75" s="10" t="s">
        <v>576</v>
      </c>
      <c r="H75" s="10">
        <v>0.12</v>
      </c>
      <c r="I75" s="10"/>
      <c r="J75" s="10"/>
      <c r="K75" s="10"/>
      <c r="L75" s="10"/>
      <c r="M75" s="10"/>
      <c r="N75" s="10">
        <f>COUNT(I75:K75)</f>
        <v>0</v>
      </c>
      <c r="O75" s="10" t="s">
        <v>963</v>
      </c>
      <c r="R75" s="226"/>
      <c r="S75" s="10"/>
      <c r="T75" s="10"/>
      <c r="U75" s="10">
        <v>0.24399999999999999</v>
      </c>
      <c r="V75" s="10">
        <f>AVERAGE(S75:U75)</f>
        <v>0.24399999999999999</v>
      </c>
      <c r="W75" s="10"/>
      <c r="X75" s="10">
        <f>COUNT(S75:U75)</f>
        <v>1</v>
      </c>
      <c r="Y75" s="10" t="s">
        <v>984</v>
      </c>
    </row>
    <row r="76" spans="1:25">
      <c r="A76" s="284"/>
      <c r="R76" s="284"/>
    </row>
    <row r="77" spans="1:25" ht="26.4">
      <c r="A77" s="284"/>
      <c r="B77" s="242" t="s">
        <v>832</v>
      </c>
      <c r="C77" s="242" t="s">
        <v>784</v>
      </c>
      <c r="D77" s="242" t="s">
        <v>833</v>
      </c>
      <c r="E77" s="242" t="s">
        <v>574</v>
      </c>
      <c r="F77" s="242" t="s">
        <v>699</v>
      </c>
      <c r="G77" s="3" t="s">
        <v>575</v>
      </c>
      <c r="H77" s="13">
        <v>3.3</v>
      </c>
      <c r="N77" s="3">
        <f>COUNT(I77:K77)</f>
        <v>0</v>
      </c>
      <c r="O77" s="3" t="s">
        <v>985</v>
      </c>
      <c r="R77" s="284"/>
      <c r="U77" s="3">
        <v>11.081</v>
      </c>
      <c r="V77" s="3">
        <f>AVERAGE(S77:U77)</f>
        <v>11.081</v>
      </c>
      <c r="X77" s="3">
        <f>COUNT(S77:U77)</f>
        <v>1</v>
      </c>
      <c r="Y77" s="3" t="s">
        <v>982</v>
      </c>
    </row>
    <row r="78" spans="1:25" ht="26.4">
      <c r="A78" s="284"/>
      <c r="G78" s="10" t="s">
        <v>576</v>
      </c>
      <c r="H78" s="10">
        <v>0.12</v>
      </c>
      <c r="I78" s="10"/>
      <c r="J78" s="10"/>
      <c r="K78" s="10"/>
      <c r="L78" s="10"/>
      <c r="M78" s="10"/>
      <c r="N78" s="10">
        <f>COUNT(I78:K78)</f>
        <v>0</v>
      </c>
      <c r="O78" s="10" t="s">
        <v>965</v>
      </c>
      <c r="R78" s="284"/>
      <c r="S78" s="10"/>
      <c r="T78" s="10"/>
      <c r="U78" s="10">
        <v>0.25600000000000001</v>
      </c>
      <c r="V78" s="10">
        <f>AVERAGE(S78:U78)</f>
        <v>0.25600000000000001</v>
      </c>
      <c r="W78" s="10"/>
      <c r="X78" s="10">
        <f>COUNT(S78:U78)</f>
        <v>1</v>
      </c>
      <c r="Y78" s="10" t="s">
        <v>984</v>
      </c>
    </row>
    <row r="79" spans="1:25">
      <c r="A79" s="211"/>
      <c r="R79" s="211"/>
    </row>
    <row r="80" spans="1:25" ht="12.75" customHeight="1">
      <c r="A80" s="421" t="s">
        <v>590</v>
      </c>
      <c r="B80" s="8" t="s">
        <v>74</v>
      </c>
      <c r="C80" s="8"/>
      <c r="D80" s="8" t="s">
        <v>74</v>
      </c>
      <c r="E80" s="8"/>
      <c r="F80" s="8"/>
      <c r="G80" s="12"/>
      <c r="H80" s="12"/>
      <c r="I80" s="12"/>
      <c r="J80" s="12"/>
      <c r="K80" s="12"/>
      <c r="L80" s="12"/>
      <c r="M80" s="12"/>
      <c r="N80" s="12"/>
      <c r="O80" s="12"/>
      <c r="R80" s="421" t="s">
        <v>590</v>
      </c>
      <c r="S80" s="12"/>
      <c r="T80" s="12"/>
      <c r="U80" s="12"/>
      <c r="V80" s="12"/>
      <c r="W80" s="12"/>
      <c r="X80" s="12"/>
      <c r="Y80" s="12"/>
    </row>
    <row r="81" spans="1:25" ht="26.4">
      <c r="A81" s="421"/>
      <c r="B81" s="3" t="s">
        <v>571</v>
      </c>
      <c r="C81" s="3" t="s">
        <v>598</v>
      </c>
      <c r="D81" s="3" t="s">
        <v>619</v>
      </c>
      <c r="E81" s="3" t="s">
        <v>574</v>
      </c>
      <c r="G81" s="3" t="s">
        <v>575</v>
      </c>
      <c r="H81" s="13">
        <v>1.6</v>
      </c>
      <c r="J81" s="3">
        <v>4.3643305600649347</v>
      </c>
      <c r="L81" s="3">
        <f>AVERAGE(I81:K81)</f>
        <v>4.3643305600649347</v>
      </c>
      <c r="N81" s="3">
        <f>COUNT(I81:K81)</f>
        <v>1</v>
      </c>
      <c r="O81" s="3" t="s">
        <v>960</v>
      </c>
      <c r="R81" s="421"/>
      <c r="T81" s="3">
        <v>4.2699222808441553</v>
      </c>
      <c r="V81" s="3">
        <f>AVERAGE(S81:U81)</f>
        <v>4.2699222808441553</v>
      </c>
      <c r="X81" s="3">
        <f>COUNT(S81:U81)</f>
        <v>1</v>
      </c>
      <c r="Y81" s="3" t="s">
        <v>966</v>
      </c>
    </row>
    <row r="82" spans="1:25" ht="26.4">
      <c r="A82" s="421"/>
      <c r="G82" s="10" t="s">
        <v>576</v>
      </c>
      <c r="H82" s="10">
        <v>4.4999999999999998E-2</v>
      </c>
      <c r="I82" s="10"/>
      <c r="J82" s="10">
        <v>0.16726684253246754</v>
      </c>
      <c r="K82" s="10"/>
      <c r="L82" s="10">
        <f>AVERAGE(I82:K82)</f>
        <v>0.16726684253246754</v>
      </c>
      <c r="M82" s="10"/>
      <c r="N82" s="10">
        <f>COUNT(I82:K82)</f>
        <v>1</v>
      </c>
      <c r="O82" s="10" t="s">
        <v>966</v>
      </c>
      <c r="R82" s="421"/>
      <c r="S82" s="203"/>
      <c r="T82" s="203">
        <v>0.1457171266233766</v>
      </c>
      <c r="U82" s="203"/>
      <c r="V82" s="203">
        <f>AVERAGE(S82:U82)</f>
        <v>0.1457171266233766</v>
      </c>
      <c r="W82" s="203"/>
      <c r="X82" s="203">
        <f>COUNT(S82:U82)</f>
        <v>1</v>
      </c>
      <c r="Y82" s="203" t="s">
        <v>984</v>
      </c>
    </row>
    <row r="83" spans="1:25">
      <c r="A83" s="421"/>
      <c r="R83" s="421"/>
    </row>
    <row r="84" spans="1:25" ht="26.4">
      <c r="A84" s="421"/>
      <c r="B84" s="3" t="s">
        <v>571</v>
      </c>
      <c r="C84" s="3" t="s">
        <v>598</v>
      </c>
      <c r="D84" s="3" t="s">
        <v>620</v>
      </c>
      <c r="E84" s="3" t="s">
        <v>574</v>
      </c>
      <c r="G84" s="3" t="s">
        <v>575</v>
      </c>
      <c r="H84" s="13">
        <v>1.6</v>
      </c>
      <c r="J84" s="3">
        <v>7.694274756493507</v>
      </c>
      <c r="L84" s="3">
        <f>AVERAGE(I84:K84)</f>
        <v>7.694274756493507</v>
      </c>
      <c r="N84" s="3">
        <f>COUNT(I84:K84)</f>
        <v>1</v>
      </c>
      <c r="O84" s="3" t="s">
        <v>966</v>
      </c>
      <c r="R84" s="421"/>
      <c r="S84" s="3">
        <v>6.7629999999999999</v>
      </c>
      <c r="T84" s="3">
        <v>7.5567670454545448</v>
      </c>
      <c r="V84" s="3">
        <f>AVERAGE(S84:U84)</f>
        <v>7.1598835227272719</v>
      </c>
      <c r="W84" s="3">
        <f>_xlfn.STDEV.S(S84:U84)</f>
        <v>0.56127806052331919</v>
      </c>
      <c r="X84" s="3">
        <f>COUNT(S84:U84)</f>
        <v>2</v>
      </c>
      <c r="Y84" s="3" t="s">
        <v>993</v>
      </c>
    </row>
    <row r="85" spans="1:25" ht="26.4">
      <c r="A85" s="421"/>
      <c r="G85" s="10" t="s">
        <v>576</v>
      </c>
      <c r="H85" s="10">
        <v>4.4999999999999998E-2</v>
      </c>
      <c r="I85" s="10"/>
      <c r="J85" s="10">
        <v>0.25962276785714283</v>
      </c>
      <c r="K85" s="10"/>
      <c r="L85" s="10">
        <f>AVERAGE(I85:K85)</f>
        <v>0.25962276785714283</v>
      </c>
      <c r="M85" s="10"/>
      <c r="N85" s="10">
        <f>COUNT(I85:K85)</f>
        <v>1</v>
      </c>
      <c r="O85" s="10" t="s">
        <v>981</v>
      </c>
      <c r="R85" s="421"/>
      <c r="S85" s="203">
        <v>0.193</v>
      </c>
      <c r="T85" s="203">
        <v>0.21447098214285712</v>
      </c>
      <c r="U85" s="203"/>
      <c r="V85" s="203">
        <f>AVERAGE(S85:U85)</f>
        <v>0.20373549107142858</v>
      </c>
      <c r="W85" s="203">
        <f>_xlfn.STDEV.S(S85:U85)</f>
        <v>1.5182277071949534E-2</v>
      </c>
      <c r="X85" s="203">
        <f>COUNT(S85:U85)</f>
        <v>2</v>
      </c>
      <c r="Y85" s="203" t="s">
        <v>993</v>
      </c>
    </row>
    <row r="86" spans="1:25">
      <c r="A86" s="421"/>
      <c r="R86" s="421"/>
    </row>
    <row r="87" spans="1:25" ht="26.4">
      <c r="A87" s="421"/>
      <c r="B87" s="3" t="s">
        <v>571</v>
      </c>
      <c r="C87" s="3" t="s">
        <v>609</v>
      </c>
      <c r="D87" s="3" t="s">
        <v>621</v>
      </c>
      <c r="E87" s="3" t="s">
        <v>574</v>
      </c>
      <c r="G87" s="3" t="s">
        <v>575</v>
      </c>
      <c r="H87" s="13">
        <v>1.6</v>
      </c>
      <c r="N87" s="3">
        <f>COUNT(I87:K87)</f>
        <v>0</v>
      </c>
      <c r="O87" s="3" t="s">
        <v>963</v>
      </c>
      <c r="R87" s="421"/>
      <c r="X87" s="3">
        <f>COUNT(S87:U87)</f>
        <v>0</v>
      </c>
      <c r="Y87" s="3" t="s">
        <v>963</v>
      </c>
    </row>
    <row r="88" spans="1:25" ht="26.4">
      <c r="A88" s="421"/>
      <c r="G88" s="10" t="s">
        <v>576</v>
      </c>
      <c r="H88" s="10">
        <v>4.4999999999999998E-2</v>
      </c>
      <c r="I88" s="10"/>
      <c r="J88" s="10"/>
      <c r="K88" s="10"/>
      <c r="L88" s="10"/>
      <c r="M88" s="10"/>
      <c r="N88" s="10">
        <f>COUNT(I88:K88)</f>
        <v>0</v>
      </c>
      <c r="O88" s="10" t="s">
        <v>972</v>
      </c>
      <c r="R88" s="421"/>
      <c r="S88" s="203"/>
      <c r="T88" s="203"/>
      <c r="U88" s="203"/>
      <c r="V88" s="203"/>
      <c r="W88" s="203"/>
      <c r="X88" s="203">
        <f>COUNT(S88:U88)</f>
        <v>0</v>
      </c>
      <c r="Y88" s="203" t="s">
        <v>963</v>
      </c>
    </row>
    <row r="89" spans="1:25">
      <c r="A89" s="421"/>
      <c r="R89" s="421"/>
    </row>
    <row r="90" spans="1:25" ht="26.4">
      <c r="A90" s="421"/>
      <c r="B90" s="3" t="s">
        <v>571</v>
      </c>
      <c r="C90" s="3" t="s">
        <v>598</v>
      </c>
      <c r="D90" s="3" t="s">
        <v>622</v>
      </c>
      <c r="E90" s="3" t="s">
        <v>574</v>
      </c>
      <c r="G90" s="3" t="s">
        <v>575</v>
      </c>
      <c r="H90" s="13">
        <v>1.6</v>
      </c>
      <c r="N90" s="3">
        <f>COUNT(I90:K90)</f>
        <v>0</v>
      </c>
      <c r="O90" s="3" t="s">
        <v>963</v>
      </c>
      <c r="R90" s="421"/>
      <c r="X90" s="3">
        <f>COUNT(S90:U90)</f>
        <v>0</v>
      </c>
      <c r="Y90" s="3" t="s">
        <v>963</v>
      </c>
    </row>
    <row r="91" spans="1:25" ht="26.4">
      <c r="A91" s="421"/>
      <c r="G91" s="10" t="s">
        <v>576</v>
      </c>
      <c r="H91" s="10">
        <v>4.4999999999999998E-2</v>
      </c>
      <c r="I91" s="10"/>
      <c r="J91" s="10"/>
      <c r="K91" s="10"/>
      <c r="L91" s="10"/>
      <c r="M91" s="10"/>
      <c r="N91" s="10">
        <f>COUNT(I91:K91)</f>
        <v>0</v>
      </c>
      <c r="O91" s="10" t="s">
        <v>972</v>
      </c>
      <c r="R91" s="421"/>
      <c r="S91" s="10"/>
      <c r="T91" s="10"/>
      <c r="U91" s="10"/>
      <c r="V91" s="10"/>
      <c r="W91" s="10"/>
      <c r="X91" s="10">
        <f>COUNT(S91:U91)</f>
        <v>0</v>
      </c>
      <c r="Y91" s="10" t="s">
        <v>965</v>
      </c>
    </row>
    <row r="92" spans="1:25">
      <c r="A92" s="421"/>
      <c r="R92" s="421"/>
    </row>
    <row r="93" spans="1:25" ht="26.4">
      <c r="A93" s="421"/>
      <c r="B93" s="3" t="s">
        <v>571</v>
      </c>
      <c r="C93" s="3" t="s">
        <v>602</v>
      </c>
      <c r="D93" s="3" t="s">
        <v>623</v>
      </c>
      <c r="E93" s="3" t="s">
        <v>574</v>
      </c>
      <c r="G93" s="3" t="s">
        <v>575</v>
      </c>
      <c r="H93" s="13">
        <v>1.6</v>
      </c>
      <c r="N93" s="3">
        <f>COUNT(I93:K93)</f>
        <v>0</v>
      </c>
      <c r="O93" s="3" t="s">
        <v>965</v>
      </c>
      <c r="R93" s="421"/>
      <c r="X93" s="3">
        <f>COUNT(S93:U93)</f>
        <v>0</v>
      </c>
      <c r="Y93" s="3" t="s">
        <v>972</v>
      </c>
    </row>
    <row r="94" spans="1:25" ht="26.4">
      <c r="A94" s="421"/>
      <c r="G94" s="10" t="s">
        <v>576</v>
      </c>
      <c r="H94" s="10">
        <v>4.4999999999999998E-2</v>
      </c>
      <c r="I94" s="10"/>
      <c r="J94" s="10"/>
      <c r="K94" s="10"/>
      <c r="L94" s="10"/>
      <c r="M94" s="10"/>
      <c r="N94" s="10">
        <f>COUNT(I94:K94)</f>
        <v>0</v>
      </c>
      <c r="O94" s="10" t="s">
        <v>972</v>
      </c>
      <c r="R94" s="421"/>
      <c r="S94" s="10"/>
      <c r="T94" s="10"/>
      <c r="U94" s="10"/>
      <c r="V94" s="10"/>
      <c r="W94" s="10"/>
      <c r="X94" s="10">
        <f>COUNT(S94:U94)</f>
        <v>0</v>
      </c>
      <c r="Y94" s="10" t="s">
        <v>970</v>
      </c>
    </row>
    <row r="95" spans="1:25">
      <c r="A95" s="421"/>
      <c r="R95" s="421"/>
    </row>
    <row r="96" spans="1:25">
      <c r="A96" s="421"/>
      <c r="B96" s="8" t="s">
        <v>75</v>
      </c>
      <c r="C96" s="8"/>
      <c r="D96" s="8" t="s">
        <v>75</v>
      </c>
      <c r="E96" s="8"/>
      <c r="F96" s="8"/>
      <c r="G96" s="12"/>
      <c r="H96" s="12"/>
      <c r="I96" s="12"/>
      <c r="J96" s="12"/>
      <c r="K96" s="12"/>
      <c r="L96" s="12"/>
      <c r="M96" s="12"/>
      <c r="N96" s="12"/>
      <c r="O96" s="12"/>
      <c r="R96" s="421"/>
      <c r="S96" s="12"/>
      <c r="T96" s="12"/>
      <c r="U96" s="12"/>
      <c r="V96" s="12"/>
      <c r="W96" s="12"/>
      <c r="X96" s="12"/>
      <c r="Y96" s="12"/>
    </row>
    <row r="97" spans="1:25" ht="39.6">
      <c r="A97" s="421"/>
      <c r="B97" s="3" t="s">
        <v>571</v>
      </c>
      <c r="C97" s="3" t="s">
        <v>598</v>
      </c>
      <c r="D97" s="3" t="s">
        <v>624</v>
      </c>
      <c r="E97" s="3" t="s">
        <v>587</v>
      </c>
      <c r="F97" s="3" t="s">
        <v>97</v>
      </c>
      <c r="G97" s="3" t="s">
        <v>575</v>
      </c>
      <c r="H97" s="13">
        <v>1.6</v>
      </c>
      <c r="J97" s="3">
        <v>3.1839260504201676</v>
      </c>
      <c r="L97" s="3">
        <f>AVERAGE(I97:K97)</f>
        <v>3.1839260504201676</v>
      </c>
      <c r="N97" s="3">
        <f>COUNT(I97:K97)</f>
        <v>1</v>
      </c>
      <c r="O97" s="3" t="s">
        <v>984</v>
      </c>
      <c r="R97" s="421"/>
      <c r="T97" s="3">
        <v>3.1166924369747897</v>
      </c>
      <c r="V97" s="3">
        <f>AVERAGE(S97:U97)</f>
        <v>3.1166924369747897</v>
      </c>
      <c r="X97" s="3">
        <f>COUNT(S97:U97)</f>
        <v>1</v>
      </c>
      <c r="Y97" s="3" t="s">
        <v>960</v>
      </c>
    </row>
    <row r="98" spans="1:25" ht="26.4">
      <c r="A98" s="421"/>
      <c r="G98" s="10" t="s">
        <v>576</v>
      </c>
      <c r="H98" s="10">
        <v>4.4999999999999998E-2</v>
      </c>
      <c r="I98" s="10"/>
      <c r="J98" s="10">
        <v>0.11328403361344537</v>
      </c>
      <c r="K98" s="10"/>
      <c r="L98" s="10">
        <f>AVERAGE(I98:K98)</f>
        <v>0.11328403361344537</v>
      </c>
      <c r="M98" s="10"/>
      <c r="N98" s="10">
        <f>COUNT(I98:K98)</f>
        <v>1</v>
      </c>
      <c r="O98" s="10" t="s">
        <v>969</v>
      </c>
      <c r="R98" s="421"/>
      <c r="S98" s="10"/>
      <c r="T98" s="10">
        <v>9.4863865546218479E-2</v>
      </c>
      <c r="U98" s="10"/>
      <c r="V98" s="10">
        <f>AVERAGE(S98:U98)</f>
        <v>9.4863865546218479E-2</v>
      </c>
      <c r="W98" s="10"/>
      <c r="X98" s="10">
        <f>COUNT(S98:U98)</f>
        <v>1</v>
      </c>
      <c r="Y98" s="10" t="s">
        <v>966</v>
      </c>
    </row>
    <row r="99" spans="1:25">
      <c r="A99" s="16"/>
      <c r="R99" s="16"/>
    </row>
    <row r="100" spans="1:25" ht="39.6">
      <c r="A100" s="16"/>
      <c r="B100" s="3" t="s">
        <v>571</v>
      </c>
      <c r="C100" s="3" t="s">
        <v>598</v>
      </c>
      <c r="D100" s="3" t="s">
        <v>624</v>
      </c>
      <c r="E100" s="3" t="s">
        <v>574</v>
      </c>
      <c r="F100" s="3" t="s">
        <v>97</v>
      </c>
      <c r="G100" s="3" t="s">
        <v>575</v>
      </c>
      <c r="H100" s="13">
        <v>1.6</v>
      </c>
      <c r="J100" s="3">
        <v>3.5362671280276818</v>
      </c>
      <c r="L100" s="3">
        <f>AVERAGE(I100:K100)</f>
        <v>3.5362671280276818</v>
      </c>
      <c r="N100" s="3">
        <f>COUNT(I100:K100)</f>
        <v>1</v>
      </c>
      <c r="O100" s="3" t="s">
        <v>966</v>
      </c>
      <c r="R100" s="16"/>
      <c r="T100" s="3">
        <v>3.464001384083045</v>
      </c>
      <c r="V100" s="3">
        <f>AVERAGE(S100:U100)</f>
        <v>3.464001384083045</v>
      </c>
      <c r="X100" s="3">
        <f>COUNT(S100:U100)</f>
        <v>1</v>
      </c>
      <c r="Y100" s="3" t="s">
        <v>966</v>
      </c>
    </row>
    <row r="101" spans="1:25" ht="26.4">
      <c r="A101" s="16"/>
      <c r="G101" s="10" t="s">
        <v>576</v>
      </c>
      <c r="H101" s="10">
        <v>4.4999999999999998E-2</v>
      </c>
      <c r="I101" s="10"/>
      <c r="J101" s="10">
        <v>0.11980899653979239</v>
      </c>
      <c r="K101" s="10"/>
      <c r="L101" s="10">
        <f>AVERAGE(I101:K101)</f>
        <v>0.11980899653979239</v>
      </c>
      <c r="M101" s="10"/>
      <c r="N101" s="10">
        <f>COUNT(I101:K101)</f>
        <v>1</v>
      </c>
      <c r="O101" s="10" t="s">
        <v>966</v>
      </c>
      <c r="R101" s="16"/>
      <c r="S101" s="10"/>
      <c r="T101" s="10">
        <v>9.8889965397923871E-2</v>
      </c>
      <c r="U101" s="10"/>
      <c r="V101" s="10">
        <f>AVERAGE(S101:U101)</f>
        <v>9.8889965397923871E-2</v>
      </c>
      <c r="W101" s="10"/>
      <c r="X101" s="10">
        <f>COUNT(S101:U101)</f>
        <v>1</v>
      </c>
      <c r="Y101" s="10" t="s">
        <v>960</v>
      </c>
    </row>
    <row r="102" spans="1:25">
      <c r="A102" s="16"/>
      <c r="R102" s="16"/>
    </row>
    <row r="103" spans="1:25" ht="39.6">
      <c r="A103" s="16"/>
      <c r="B103" s="3" t="s">
        <v>571</v>
      </c>
      <c r="C103" s="3" t="s">
        <v>598</v>
      </c>
      <c r="D103" s="3" t="s">
        <v>625</v>
      </c>
      <c r="E103" s="3" t="s">
        <v>587</v>
      </c>
      <c r="F103" s="3" t="s">
        <v>97</v>
      </c>
      <c r="G103" s="3" t="s">
        <v>575</v>
      </c>
      <c r="H103" s="13">
        <v>1.6</v>
      </c>
      <c r="J103" s="3">
        <v>5.7277512605042018</v>
      </c>
      <c r="L103" s="3">
        <f>AVERAGE(I103:K103)</f>
        <v>5.7277512605042018</v>
      </c>
      <c r="N103" s="3">
        <f>COUNT(I103:K103)</f>
        <v>1</v>
      </c>
      <c r="O103" s="3" t="s">
        <v>984</v>
      </c>
      <c r="R103" s="16"/>
      <c r="S103" s="3">
        <v>5.9489999999999998</v>
      </c>
      <c r="T103" s="3">
        <v>5.7627495798319321</v>
      </c>
      <c r="V103" s="3">
        <f>AVERAGE(S103:U103)</f>
        <v>5.8558747899159656</v>
      </c>
      <c r="W103" s="3">
        <f>_xlfn.STDEV.S(S103:U103)</f>
        <v>0.13169893509968439</v>
      </c>
      <c r="X103" s="3">
        <f>COUNT(S103:U103)</f>
        <v>2</v>
      </c>
      <c r="Y103" s="3" t="s">
        <v>960</v>
      </c>
    </row>
    <row r="104" spans="1:25" ht="26.4">
      <c r="A104" s="16"/>
      <c r="G104" s="10" t="s">
        <v>576</v>
      </c>
      <c r="H104" s="10">
        <v>4.4999999999999998E-2</v>
      </c>
      <c r="I104" s="10"/>
      <c r="J104" s="10">
        <v>0.1777546218487395</v>
      </c>
      <c r="K104" s="10"/>
      <c r="L104" s="10">
        <f>AVERAGE(I104:K104)</f>
        <v>0.1777546218487395</v>
      </c>
      <c r="M104" s="10"/>
      <c r="N104" s="10">
        <f>COUNT(I104:K104)</f>
        <v>1</v>
      </c>
      <c r="O104" s="10" t="s">
        <v>966</v>
      </c>
      <c r="R104" s="16"/>
      <c r="S104" s="10">
        <v>0.13600000000000001</v>
      </c>
      <c r="T104" s="10">
        <v>0.12986218487394957</v>
      </c>
      <c r="U104" s="10"/>
      <c r="V104" s="10">
        <f>AVERAGE(S104:U104)</f>
        <v>0.13293109243697479</v>
      </c>
      <c r="W104" s="10">
        <f>_xlfn.STDEV.S(S104:U104)</f>
        <v>4.3400906972996291E-3</v>
      </c>
      <c r="X104" s="10">
        <f>COUNT(S104:U104)</f>
        <v>2</v>
      </c>
      <c r="Y104" s="10" t="s">
        <v>969</v>
      </c>
    </row>
    <row r="105" spans="1:25">
      <c r="A105" s="16"/>
      <c r="R105" s="16"/>
    </row>
    <row r="106" spans="1:25" ht="39.6">
      <c r="A106" s="16"/>
      <c r="B106" s="3" t="s">
        <v>571</v>
      </c>
      <c r="C106" s="3" t="s">
        <v>598</v>
      </c>
      <c r="D106" s="3" t="s">
        <v>625</v>
      </c>
      <c r="E106" s="3" t="s">
        <v>574</v>
      </c>
      <c r="F106" s="3" t="s">
        <v>97</v>
      </c>
      <c r="G106" s="3" t="s">
        <v>575</v>
      </c>
      <c r="H106" s="13">
        <v>1.6</v>
      </c>
      <c r="J106" s="3">
        <v>6.3013826989619375</v>
      </c>
      <c r="L106" s="3">
        <f>AVERAGE(I106:K106)</f>
        <v>6.3013826989619375</v>
      </c>
      <c r="N106" s="3">
        <f>COUNT(I106:K106)</f>
        <v>1</v>
      </c>
      <c r="O106" s="3" t="s">
        <v>960</v>
      </c>
      <c r="R106" s="16"/>
      <c r="S106" s="3">
        <v>5.6710000000000003</v>
      </c>
      <c r="T106" s="3">
        <v>6.0370422145328719</v>
      </c>
      <c r="V106" s="3">
        <f>AVERAGE(S106:U106)</f>
        <v>5.8540211072664361</v>
      </c>
      <c r="W106" s="3">
        <f>_xlfn.STDEV.S(S106:U106)</f>
        <v>0.25883093209673458</v>
      </c>
      <c r="X106" s="3">
        <f>COUNT(S106:U106)</f>
        <v>2</v>
      </c>
      <c r="Y106" s="3" t="s">
        <v>984</v>
      </c>
    </row>
    <row r="107" spans="1:25" ht="26.4">
      <c r="A107" s="16"/>
      <c r="G107" s="10" t="s">
        <v>576</v>
      </c>
      <c r="H107" s="10">
        <v>4.4999999999999998E-2</v>
      </c>
      <c r="I107" s="10"/>
      <c r="J107" s="10">
        <v>0.18541868512110729</v>
      </c>
      <c r="K107" s="10"/>
      <c r="L107" s="10">
        <f>AVERAGE(I107:K107)</f>
        <v>0.18541868512110729</v>
      </c>
      <c r="M107" s="10"/>
      <c r="N107" s="10">
        <f>COUNT(I107:K107)</f>
        <v>1</v>
      </c>
      <c r="O107" s="10" t="s">
        <v>960</v>
      </c>
      <c r="R107" s="16"/>
      <c r="S107" s="10">
        <v>0.124</v>
      </c>
      <c r="T107" s="10">
        <v>0.14928581314878894</v>
      </c>
      <c r="U107" s="10"/>
      <c r="V107" s="10">
        <f>AVERAGE(S107:U107)</f>
        <v>0.13664290657439448</v>
      </c>
      <c r="W107" s="10">
        <f>_xlfn.STDEV.S(S107:U107)</f>
        <v>1.7879769945324631E-2</v>
      </c>
      <c r="X107" s="10">
        <f>COUNT(S107:U107)</f>
        <v>2</v>
      </c>
      <c r="Y107" s="10" t="s">
        <v>960</v>
      </c>
    </row>
    <row r="108" spans="1:25">
      <c r="A108" s="16"/>
      <c r="R108" s="16"/>
    </row>
    <row r="109" spans="1:25" ht="39.6">
      <c r="A109" s="16"/>
      <c r="B109" s="3" t="s">
        <v>571</v>
      </c>
      <c r="C109" s="3" t="s">
        <v>609</v>
      </c>
      <c r="D109" s="3" t="s">
        <v>626</v>
      </c>
      <c r="E109" s="3" t="s">
        <v>574</v>
      </c>
      <c r="F109" s="3" t="s">
        <v>98</v>
      </c>
      <c r="G109" s="3" t="s">
        <v>575</v>
      </c>
      <c r="H109" s="13">
        <v>1.6</v>
      </c>
      <c r="N109" s="3">
        <f>COUNT(I109:K109)</f>
        <v>0</v>
      </c>
      <c r="O109" s="3" t="s">
        <v>963</v>
      </c>
      <c r="R109" s="16"/>
      <c r="X109" s="3">
        <f>COUNT(S109:U109)</f>
        <v>0</v>
      </c>
      <c r="Y109" s="3" t="s">
        <v>972</v>
      </c>
    </row>
    <row r="110" spans="1:25" ht="26.4">
      <c r="A110" s="16"/>
      <c r="G110" s="10" t="s">
        <v>576</v>
      </c>
      <c r="H110" s="10">
        <v>4.4999999999999998E-2</v>
      </c>
      <c r="I110" s="10"/>
      <c r="J110" s="10"/>
      <c r="K110" s="10"/>
      <c r="L110" s="10"/>
      <c r="M110" s="10"/>
      <c r="N110" s="10">
        <f>COUNT(I110:K110)</f>
        <v>0</v>
      </c>
      <c r="O110" s="10" t="s">
        <v>972</v>
      </c>
      <c r="R110" s="16"/>
      <c r="S110" s="10"/>
      <c r="T110" s="10"/>
      <c r="U110" s="10"/>
      <c r="V110" s="10"/>
      <c r="W110" s="10"/>
      <c r="X110" s="10">
        <f>COUNT(S110:U110)</f>
        <v>0</v>
      </c>
      <c r="Y110" s="10" t="s">
        <v>972</v>
      </c>
    </row>
    <row r="111" spans="1:25">
      <c r="A111" s="16"/>
      <c r="R111" s="16"/>
    </row>
    <row r="112" spans="1:25" ht="39.6">
      <c r="A112" s="16"/>
      <c r="B112" s="3" t="s">
        <v>571</v>
      </c>
      <c r="C112" s="3" t="s">
        <v>611</v>
      </c>
      <c r="D112" s="3" t="s">
        <v>627</v>
      </c>
      <c r="E112" s="3" t="s">
        <v>574</v>
      </c>
      <c r="F112" s="3" t="s">
        <v>97</v>
      </c>
      <c r="G112" s="3" t="s">
        <v>575</v>
      </c>
      <c r="H112" s="13">
        <v>1.6</v>
      </c>
      <c r="I112" s="3">
        <v>10.730946291560102</v>
      </c>
      <c r="L112" s="3">
        <f>AVERAGE(I112:K112)</f>
        <v>10.730946291560102</v>
      </c>
      <c r="N112" s="3">
        <f>COUNT(I112:K112)</f>
        <v>1</v>
      </c>
      <c r="O112" s="3" t="s">
        <v>960</v>
      </c>
      <c r="R112" s="16"/>
      <c r="X112" s="3">
        <f>COUNT(S112:U112)</f>
        <v>0</v>
      </c>
      <c r="Y112" s="3" t="s">
        <v>972</v>
      </c>
    </row>
    <row r="113" spans="1:25" ht="26.4">
      <c r="A113" s="16"/>
      <c r="G113" s="10" t="s">
        <v>576</v>
      </c>
      <c r="H113" s="10">
        <v>4.4999999999999998E-2</v>
      </c>
      <c r="I113" s="10">
        <v>7.3473145780051152E-2</v>
      </c>
      <c r="J113" s="10"/>
      <c r="K113" s="10"/>
      <c r="L113" s="10">
        <f>AVERAGE(I113:K113)</f>
        <v>7.3473145780051152E-2</v>
      </c>
      <c r="M113" s="10"/>
      <c r="N113" s="10">
        <f>COUNT(I113:K113)</f>
        <v>1</v>
      </c>
      <c r="O113" s="10" t="s">
        <v>960</v>
      </c>
      <c r="R113" s="16"/>
      <c r="S113" s="10"/>
      <c r="T113" s="10"/>
      <c r="U113" s="10"/>
      <c r="V113" s="10"/>
      <c r="W113" s="10"/>
      <c r="X113" s="10">
        <f>COUNT(S113:U113)</f>
        <v>0</v>
      </c>
      <c r="Y113" s="10" t="s">
        <v>972</v>
      </c>
    </row>
    <row r="114" spans="1:25">
      <c r="A114" s="16"/>
      <c r="R114" s="421"/>
    </row>
    <row r="115" spans="1:25" ht="39.6">
      <c r="A115" s="16"/>
      <c r="B115" s="3" t="s">
        <v>571</v>
      </c>
      <c r="C115" s="3" t="s">
        <v>613</v>
      </c>
      <c r="D115" s="15" t="s">
        <v>629</v>
      </c>
      <c r="E115" s="3" t="s">
        <v>587</v>
      </c>
      <c r="F115" s="15" t="s">
        <v>98</v>
      </c>
      <c r="G115" s="3" t="s">
        <v>575</v>
      </c>
      <c r="H115" s="13">
        <v>1.6</v>
      </c>
      <c r="N115" s="3">
        <f>COUNT(I115:K115)</f>
        <v>0</v>
      </c>
      <c r="O115" s="3" t="s">
        <v>963</v>
      </c>
      <c r="R115" s="421"/>
      <c r="X115" s="3">
        <f>COUNT(S115:U115)</f>
        <v>0</v>
      </c>
      <c r="Y115" s="3" t="s">
        <v>989</v>
      </c>
    </row>
    <row r="116" spans="1:25" ht="26.4">
      <c r="A116" s="16"/>
      <c r="G116" s="10" t="s">
        <v>576</v>
      </c>
      <c r="H116" s="10">
        <v>4.4999999999999998E-2</v>
      </c>
      <c r="I116" s="10"/>
      <c r="J116" s="10"/>
      <c r="K116" s="10"/>
      <c r="L116" s="10"/>
      <c r="M116" s="10"/>
      <c r="N116" s="10">
        <f>COUNT(I116:K116)</f>
        <v>0</v>
      </c>
      <c r="O116" s="10" t="s">
        <v>963</v>
      </c>
      <c r="R116" s="421"/>
      <c r="S116" s="10"/>
      <c r="T116" s="10"/>
      <c r="U116" s="10"/>
      <c r="V116" s="10"/>
      <c r="W116" s="10"/>
      <c r="X116" s="10">
        <f>COUNT(S116:U116)</f>
        <v>0</v>
      </c>
      <c r="Y116" s="10" t="s">
        <v>972</v>
      </c>
    </row>
    <row r="117" spans="1:25">
      <c r="A117" s="16"/>
      <c r="R117" s="421"/>
    </row>
    <row r="118" spans="1:25" ht="39.6">
      <c r="A118" s="16"/>
      <c r="B118" s="3" t="s">
        <v>571</v>
      </c>
      <c r="C118" s="3" t="s">
        <v>613</v>
      </c>
      <c r="D118" s="15" t="s">
        <v>629</v>
      </c>
      <c r="E118" s="3" t="s">
        <v>587</v>
      </c>
      <c r="F118" s="3" t="s">
        <v>97</v>
      </c>
      <c r="G118" s="3" t="s">
        <v>575</v>
      </c>
      <c r="H118" s="13">
        <v>1.6</v>
      </c>
      <c r="N118" s="3">
        <f>COUNT(I118:K118)</f>
        <v>0</v>
      </c>
      <c r="O118" s="3" t="s">
        <v>963</v>
      </c>
      <c r="R118" s="421"/>
      <c r="X118" s="3">
        <f>COUNT(S118:U118)</f>
        <v>0</v>
      </c>
      <c r="Y118" s="3" t="s">
        <v>989</v>
      </c>
    </row>
    <row r="119" spans="1:25" ht="26.4">
      <c r="A119" s="16"/>
      <c r="G119" s="10" t="s">
        <v>576</v>
      </c>
      <c r="H119" s="10">
        <v>4.4999999999999998E-2</v>
      </c>
      <c r="I119" s="10"/>
      <c r="J119" s="10"/>
      <c r="K119" s="10"/>
      <c r="L119" s="10"/>
      <c r="M119" s="10"/>
      <c r="N119" s="10">
        <f>COUNT(I119:K119)</f>
        <v>0</v>
      </c>
      <c r="O119" s="10" t="s">
        <v>963</v>
      </c>
      <c r="R119" s="421"/>
      <c r="S119" s="10"/>
      <c r="T119" s="10"/>
      <c r="U119" s="10"/>
      <c r="V119" s="10"/>
      <c r="W119" s="10"/>
      <c r="X119" s="10">
        <f>COUNT(S119:U119)</f>
        <v>0</v>
      </c>
      <c r="Y119" s="10" t="s">
        <v>989</v>
      </c>
    </row>
    <row r="120" spans="1:25">
      <c r="A120" s="16"/>
      <c r="R120" s="421"/>
    </row>
    <row r="121" spans="1:25" ht="39.6">
      <c r="A121" s="16"/>
      <c r="B121" s="3" t="s">
        <v>571</v>
      </c>
      <c r="C121" s="3" t="s">
        <v>630</v>
      </c>
      <c r="D121" s="3" t="s">
        <v>631</v>
      </c>
      <c r="E121" s="3" t="s">
        <v>587</v>
      </c>
      <c r="F121" s="3" t="s">
        <v>100</v>
      </c>
      <c r="G121" s="3" t="s">
        <v>575</v>
      </c>
      <c r="H121" s="13">
        <v>1.6</v>
      </c>
      <c r="N121" s="3">
        <f>COUNT(I121:K121)</f>
        <v>0</v>
      </c>
      <c r="O121" s="3" t="s">
        <v>985</v>
      </c>
      <c r="R121" s="421"/>
      <c r="X121" s="3">
        <f>COUNT(S121:U121)</f>
        <v>0</v>
      </c>
      <c r="Y121" s="3" t="s">
        <v>972</v>
      </c>
    </row>
    <row r="122" spans="1:25" ht="26.4">
      <c r="A122" s="16"/>
      <c r="G122" s="10" t="s">
        <v>576</v>
      </c>
      <c r="H122" s="10">
        <v>4.4999999999999998E-2</v>
      </c>
      <c r="I122" s="10"/>
      <c r="J122" s="10"/>
      <c r="K122" s="10"/>
      <c r="L122" s="10"/>
      <c r="M122" s="10"/>
      <c r="N122" s="10">
        <f>COUNT(I122:K122)</f>
        <v>0</v>
      </c>
      <c r="O122" s="10" t="s">
        <v>972</v>
      </c>
      <c r="R122" s="421"/>
      <c r="S122" s="10"/>
      <c r="T122" s="10"/>
      <c r="U122" s="10"/>
      <c r="V122" s="10"/>
      <c r="W122" s="10"/>
      <c r="X122" s="10">
        <f>COUNT(S122:U122)</f>
        <v>0</v>
      </c>
      <c r="Y122" s="10" t="s">
        <v>972</v>
      </c>
    </row>
    <row r="123" spans="1:25">
      <c r="A123" s="210"/>
      <c r="R123" s="210"/>
    </row>
    <row r="124" spans="1:25" ht="39.6">
      <c r="A124" s="210"/>
      <c r="B124" s="3" t="s">
        <v>577</v>
      </c>
      <c r="C124" s="3" t="s">
        <v>611</v>
      </c>
      <c r="D124" s="202" t="s">
        <v>726</v>
      </c>
      <c r="E124" s="3" t="s">
        <v>574</v>
      </c>
      <c r="F124" s="202" t="s">
        <v>659</v>
      </c>
      <c r="G124" s="3" t="s">
        <v>575</v>
      </c>
      <c r="H124" s="13">
        <v>1.6</v>
      </c>
      <c r="I124" s="3">
        <v>10.150895140664961</v>
      </c>
      <c r="L124" s="3">
        <f>AVERAGE(I124:K124)</f>
        <v>10.150895140664961</v>
      </c>
      <c r="N124" s="3">
        <f t="shared" ref="N124:N131" si="2">COUNT(I124:K124)</f>
        <v>1</v>
      </c>
      <c r="O124" s="3" t="s">
        <v>986</v>
      </c>
      <c r="R124" s="210"/>
      <c r="X124" s="3">
        <f t="shared" ref="X124:X131" si="3">COUNT(S124:U124)</f>
        <v>0</v>
      </c>
      <c r="Y124" s="3" t="s">
        <v>990</v>
      </c>
    </row>
    <row r="125" spans="1:25" ht="26.4">
      <c r="A125" s="210"/>
      <c r="G125" s="10" t="s">
        <v>576</v>
      </c>
      <c r="H125" s="10">
        <v>4.4999999999999998E-2</v>
      </c>
      <c r="I125" s="10">
        <v>6.9606138107416879E-2</v>
      </c>
      <c r="J125" s="10"/>
      <c r="K125" s="10"/>
      <c r="L125" s="10">
        <f>AVERAGE(I125:K125)</f>
        <v>6.9606138107416879E-2</v>
      </c>
      <c r="M125" s="10"/>
      <c r="N125" s="10">
        <f t="shared" si="2"/>
        <v>1</v>
      </c>
      <c r="O125" s="10" t="s">
        <v>960</v>
      </c>
      <c r="R125" s="210"/>
      <c r="S125" s="10"/>
      <c r="T125" s="10"/>
      <c r="U125" s="10"/>
      <c r="V125" s="10"/>
      <c r="W125" s="10"/>
      <c r="X125" s="10">
        <f t="shared" si="3"/>
        <v>0</v>
      </c>
      <c r="Y125" s="10" t="s">
        <v>989</v>
      </c>
    </row>
    <row r="126" spans="1:25" ht="39.6">
      <c r="A126" s="225"/>
      <c r="B126" s="242" t="s">
        <v>571</v>
      </c>
      <c r="C126" s="242" t="s">
        <v>783</v>
      </c>
      <c r="D126" s="242" t="s">
        <v>629</v>
      </c>
      <c r="E126" s="242" t="s">
        <v>587</v>
      </c>
      <c r="F126" s="242" t="s">
        <v>696</v>
      </c>
      <c r="G126" s="3" t="s">
        <v>575</v>
      </c>
      <c r="H126" s="13">
        <v>1.6</v>
      </c>
      <c r="N126" s="3">
        <f t="shared" si="2"/>
        <v>0</v>
      </c>
      <c r="O126" s="3" t="s">
        <v>963</v>
      </c>
      <c r="R126" s="225"/>
      <c r="X126" s="3">
        <f t="shared" si="3"/>
        <v>0</v>
      </c>
      <c r="Y126" s="3" t="s">
        <v>989</v>
      </c>
    </row>
    <row r="127" spans="1:25" ht="26.4">
      <c r="A127" s="225"/>
      <c r="B127" s="242"/>
      <c r="C127" s="242"/>
      <c r="D127" s="242"/>
      <c r="E127" s="242"/>
      <c r="F127" s="242"/>
      <c r="G127" s="10" t="s">
        <v>576</v>
      </c>
      <c r="H127" s="10">
        <v>4.4999999999999998E-2</v>
      </c>
      <c r="I127" s="10"/>
      <c r="J127" s="10"/>
      <c r="K127" s="10"/>
      <c r="L127" s="10"/>
      <c r="M127" s="10"/>
      <c r="N127" s="10">
        <f t="shared" si="2"/>
        <v>0</v>
      </c>
      <c r="O127" s="10" t="s">
        <v>965</v>
      </c>
      <c r="R127" s="225"/>
      <c r="S127" s="10"/>
      <c r="T127" s="10"/>
      <c r="U127" s="10"/>
      <c r="V127" s="10"/>
      <c r="W127" s="10"/>
      <c r="X127" s="10">
        <f t="shared" si="3"/>
        <v>0</v>
      </c>
      <c r="Y127" s="10" t="s">
        <v>989</v>
      </c>
    </row>
    <row r="128" spans="1:25" ht="39.6">
      <c r="A128" s="225"/>
      <c r="B128" s="242" t="s">
        <v>571</v>
      </c>
      <c r="C128" s="242" t="s">
        <v>783</v>
      </c>
      <c r="D128" s="242" t="s">
        <v>629</v>
      </c>
      <c r="E128" s="242" t="s">
        <v>587</v>
      </c>
      <c r="F128" s="242" t="s">
        <v>697</v>
      </c>
      <c r="G128" s="3" t="s">
        <v>575</v>
      </c>
      <c r="H128" s="13">
        <v>1.6</v>
      </c>
      <c r="N128" s="3">
        <f t="shared" si="2"/>
        <v>0</v>
      </c>
      <c r="O128" s="3" t="s">
        <v>962</v>
      </c>
      <c r="R128" s="225"/>
      <c r="X128" s="3">
        <f t="shared" si="3"/>
        <v>0</v>
      </c>
      <c r="Y128" s="3" t="s">
        <v>990</v>
      </c>
    </row>
    <row r="129" spans="1:25" ht="26.4">
      <c r="A129" s="225"/>
      <c r="G129" s="10" t="s">
        <v>576</v>
      </c>
      <c r="H129" s="10">
        <v>4.4999999999999998E-2</v>
      </c>
      <c r="I129" s="10"/>
      <c r="J129" s="10"/>
      <c r="K129" s="10"/>
      <c r="L129" s="10"/>
      <c r="M129" s="10"/>
      <c r="N129" s="10">
        <f t="shared" si="2"/>
        <v>0</v>
      </c>
      <c r="O129" s="10" t="s">
        <v>972</v>
      </c>
      <c r="R129" s="225"/>
      <c r="S129" s="10"/>
      <c r="T129" s="10"/>
      <c r="U129" s="10"/>
      <c r="V129" s="10"/>
      <c r="W129" s="10"/>
      <c r="X129" s="10">
        <f t="shared" si="3"/>
        <v>0</v>
      </c>
      <c r="Y129" s="10" t="s">
        <v>989</v>
      </c>
    </row>
    <row r="130" spans="1:25" ht="39.6">
      <c r="A130" s="225"/>
      <c r="B130" s="242" t="s">
        <v>571</v>
      </c>
      <c r="C130" s="242" t="s">
        <v>784</v>
      </c>
      <c r="D130" s="242" t="s">
        <v>720</v>
      </c>
      <c r="E130" s="242" t="s">
        <v>587</v>
      </c>
      <c r="F130" s="242" t="s">
        <v>97</v>
      </c>
      <c r="G130" s="3" t="s">
        <v>575</v>
      </c>
      <c r="H130" s="13">
        <v>1.6</v>
      </c>
      <c r="N130" s="3">
        <f t="shared" si="2"/>
        <v>0</v>
      </c>
      <c r="O130" s="3" t="s">
        <v>972</v>
      </c>
      <c r="R130" s="225"/>
      <c r="X130" s="3">
        <f t="shared" si="3"/>
        <v>0</v>
      </c>
      <c r="Y130" s="3" t="s">
        <v>989</v>
      </c>
    </row>
    <row r="131" spans="1:25" ht="26.4">
      <c r="A131" s="225"/>
      <c r="G131" s="10" t="s">
        <v>576</v>
      </c>
      <c r="H131" s="10">
        <v>4.4999999999999998E-2</v>
      </c>
      <c r="I131" s="10"/>
      <c r="J131" s="10"/>
      <c r="K131" s="10"/>
      <c r="L131" s="10"/>
      <c r="M131" s="10"/>
      <c r="N131" s="10">
        <f t="shared" si="2"/>
        <v>0</v>
      </c>
      <c r="O131" s="10" t="s">
        <v>965</v>
      </c>
      <c r="R131" s="225"/>
      <c r="S131" s="10"/>
      <c r="T131" s="10"/>
      <c r="U131" s="10"/>
      <c r="V131" s="10"/>
      <c r="W131" s="10"/>
      <c r="X131" s="10">
        <f t="shared" si="3"/>
        <v>0</v>
      </c>
      <c r="Y131" s="10" t="s">
        <v>965</v>
      </c>
    </row>
    <row r="132" spans="1:25">
      <c r="A132" s="283"/>
      <c r="R132" s="283"/>
    </row>
    <row r="133" spans="1:25" ht="39.6">
      <c r="A133" s="283"/>
      <c r="B133" s="242" t="s">
        <v>571</v>
      </c>
      <c r="C133" s="242" t="s">
        <v>784</v>
      </c>
      <c r="D133" s="242" t="s">
        <v>835</v>
      </c>
      <c r="E133" s="242" t="s">
        <v>834</v>
      </c>
      <c r="F133" s="242" t="s">
        <v>837</v>
      </c>
      <c r="G133" s="3" t="s">
        <v>575</v>
      </c>
      <c r="H133" s="13">
        <v>1.6</v>
      </c>
      <c r="N133" s="3">
        <f>COUNT(I133:K133)</f>
        <v>0</v>
      </c>
      <c r="O133" s="3" t="s">
        <v>963</v>
      </c>
      <c r="R133" s="283"/>
      <c r="U133" s="3">
        <v>6.266</v>
      </c>
      <c r="V133" s="3">
        <f>AVERAGE(S133:U133)</f>
        <v>6.266</v>
      </c>
      <c r="X133" s="3">
        <f>COUNT(S133:U133)</f>
        <v>1</v>
      </c>
      <c r="Y133" s="3" t="s">
        <v>992</v>
      </c>
    </row>
    <row r="134" spans="1:25" ht="26.4">
      <c r="A134" s="283"/>
      <c r="G134" s="10" t="s">
        <v>576</v>
      </c>
      <c r="H134" s="10">
        <v>4.4999999999999998E-2</v>
      </c>
      <c r="I134" s="10"/>
      <c r="J134" s="10"/>
      <c r="K134" s="10"/>
      <c r="L134" s="10"/>
      <c r="M134" s="10"/>
      <c r="N134" s="10">
        <f>COUNT(I134:K134)</f>
        <v>0</v>
      </c>
      <c r="O134" s="10" t="s">
        <v>963</v>
      </c>
      <c r="R134" s="283"/>
      <c r="S134" s="10"/>
      <c r="T134" s="10"/>
      <c r="U134" s="10">
        <v>8.4000000000000005E-2</v>
      </c>
      <c r="V134" s="10">
        <f>AVERAGE(S134:U134)</f>
        <v>8.4000000000000005E-2</v>
      </c>
      <c r="W134" s="10"/>
      <c r="X134" s="10">
        <f>COUNT(S134:U134)</f>
        <v>1</v>
      </c>
      <c r="Y134" s="10" t="s">
        <v>992</v>
      </c>
    </row>
    <row r="135" spans="1:25">
      <c r="A135" s="283"/>
      <c r="R135" s="283"/>
    </row>
    <row r="136" spans="1:25" ht="39.6">
      <c r="A136" s="283"/>
      <c r="B136" s="242" t="s">
        <v>571</v>
      </c>
      <c r="C136" s="242" t="s">
        <v>784</v>
      </c>
      <c r="D136" s="242" t="s">
        <v>835</v>
      </c>
      <c r="E136" s="242" t="s">
        <v>834</v>
      </c>
      <c r="F136" s="242" t="s">
        <v>97</v>
      </c>
      <c r="G136" s="3" t="s">
        <v>575</v>
      </c>
      <c r="H136" s="13">
        <v>1.6</v>
      </c>
      <c r="N136" s="3">
        <f>COUNT(I136:K136)</f>
        <v>0</v>
      </c>
      <c r="O136" s="3" t="s">
        <v>963</v>
      </c>
      <c r="R136" s="283"/>
      <c r="U136" s="3">
        <v>5.2450000000000001</v>
      </c>
      <c r="V136" s="3">
        <f>AVERAGE(S136:U136)</f>
        <v>5.2450000000000001</v>
      </c>
      <c r="X136" s="3">
        <f>COUNT(S136:U136)</f>
        <v>1</v>
      </c>
      <c r="Y136" s="3" t="s">
        <v>960</v>
      </c>
    </row>
    <row r="137" spans="1:25" ht="26.4">
      <c r="A137" s="283"/>
      <c r="G137" s="10" t="s">
        <v>576</v>
      </c>
      <c r="H137" s="10">
        <v>4.4999999999999998E-2</v>
      </c>
      <c r="I137" s="10"/>
      <c r="J137" s="10"/>
      <c r="K137" s="10"/>
      <c r="L137" s="10"/>
      <c r="M137" s="10"/>
      <c r="N137" s="10">
        <f>COUNT(I137:K137)</f>
        <v>0</v>
      </c>
      <c r="O137" s="10" t="s">
        <v>963</v>
      </c>
      <c r="R137" s="283"/>
      <c r="S137" s="10"/>
      <c r="T137" s="10"/>
      <c r="U137" s="10">
        <v>7.8E-2</v>
      </c>
      <c r="V137" s="10">
        <f>AVERAGE(S137:U137)</f>
        <v>7.8E-2</v>
      </c>
      <c r="W137" s="10"/>
      <c r="X137" s="10">
        <f>COUNT(S137:U137)</f>
        <v>1</v>
      </c>
      <c r="Y137" s="10" t="s">
        <v>969</v>
      </c>
    </row>
  </sheetData>
  <customSheetViews>
    <customSheetView guid="{67590F70-5005-492E-AD47-1C13C49F2D83}" scale="70">
      <pane xSplit="8" ySplit="2" topLeftCell="T3" activePane="bottomRight" state="frozen"/>
      <selection pane="bottomRight" activeCell="D123" sqref="D123"/>
      <pageMargins left="0.69930555555555596" right="0.69930555555555596" top="0.75" bottom="0.75" header="0.3" footer="0.3"/>
      <pageSetup paperSize="9" orientation="portrait"/>
    </customSheetView>
    <customSheetView guid="{A0559F95-FBE7-4275-9B44-A293A1B62940}" scale="70">
      <pane xSplit="8" ySplit="2" topLeftCell="T3" activePane="bottomRight" state="frozen"/>
      <selection pane="bottomRight" activeCell="D123" sqref="D123"/>
      <pageMargins left="0.69930555555555596" right="0.69930555555555596" top="0.75" bottom="0.75" header="0.3" footer="0.3"/>
      <pageSetup paperSize="9" orientation="portrait"/>
    </customSheetView>
    <customSheetView guid="{11FB768A-9BE5-454D-8324-F7BD8513C471}" scale="70">
      <pane xSplit="8" ySplit="2" topLeftCell="T75" activePane="bottomRight" state="frozen"/>
      <selection pane="bottomRight" activeCell="D123" sqref="D123"/>
      <pageMargins left="0.69930555555555596" right="0.69930555555555596" top="0.75" bottom="0.75" header="0.3" footer="0.3"/>
      <pageSetup paperSize="9" orientation="portrait"/>
    </customSheetView>
    <customSheetView guid="{656CB8E5-9B79-4056-861F-BA0520B66BDB}" scale="70">
      <pane xSplit="8" ySplit="2" topLeftCell="I39" activePane="bottomRight" state="frozen"/>
      <selection pane="bottomRight" activeCell="O12" sqref="O12"/>
      <pageMargins left="0.69930555555555596" right="0.69930555555555596" top="0.75" bottom="0.75" header="0.3" footer="0.3"/>
      <pageSetup paperSize="9" orientation="portrait"/>
    </customSheetView>
    <customSheetView guid="{3A76011A-5D7E-44CA-8EBC-D2C75FB686D2}" scale="70">
      <pane xSplit="8" ySplit="2" topLeftCell="T75" activePane="bottomRight" state="frozen"/>
      <selection pane="bottomRight" activeCell="D123" sqref="D123"/>
      <pageMargins left="0.69930555555555596" right="0.69930555555555596" top="0.75" bottom="0.75" header="0.3" footer="0.3"/>
      <pageSetup paperSize="9" orientation="portrait"/>
    </customSheetView>
  </customSheetViews>
  <mergeCells count="7">
    <mergeCell ref="R114:R122"/>
    <mergeCell ref="G1:H1"/>
    <mergeCell ref="A2:A30"/>
    <mergeCell ref="A80:A98"/>
    <mergeCell ref="R2:R30"/>
    <mergeCell ref="R49:R54"/>
    <mergeCell ref="R80:R98"/>
  </mergeCells>
  <phoneticPr fontId="9" type="noConversion"/>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102"/>
  <sheetViews>
    <sheetView zoomScale="70" zoomScaleNormal="70" workbookViewId="0">
      <pane xSplit="8" ySplit="2" topLeftCell="I3" activePane="bottomRight" state="frozen"/>
      <selection pane="topRight" activeCell="I1" sqref="I1"/>
      <selection pane="bottomLeft" activeCell="A3" sqref="A3"/>
      <selection pane="bottomRight" activeCell="I1" sqref="I1:I1048576"/>
    </sheetView>
  </sheetViews>
  <sheetFormatPr defaultColWidth="9.44140625" defaultRowHeight="13.2"/>
  <cols>
    <col min="1" max="1" width="9.44140625" style="3"/>
    <col min="2" max="2" width="6.5546875" style="3" customWidth="1"/>
    <col min="3" max="3" width="24.5546875" style="3" customWidth="1"/>
    <col min="4" max="4" width="16" style="3" customWidth="1"/>
    <col min="5" max="5" width="11.44140625" style="3" customWidth="1"/>
    <col min="6" max="6" width="9.44140625" style="3" customWidth="1"/>
    <col min="7" max="7" width="16.44140625" style="3" customWidth="1"/>
    <col min="8" max="8" width="6.44140625" style="3" customWidth="1"/>
    <col min="9" max="16" width="9.44140625" style="3" customWidth="1"/>
    <col min="17" max="19" width="9.44140625" style="3"/>
    <col min="20" max="27" width="9.44140625" style="3" customWidth="1"/>
    <col min="28" max="16384" width="9.44140625" style="3"/>
  </cols>
  <sheetData>
    <row r="1" spans="1:27" s="1" customFormat="1" ht="41.1" customHeight="1" thickBot="1">
      <c r="A1" s="5" t="s">
        <v>561</v>
      </c>
      <c r="B1" s="1" t="s">
        <v>562</v>
      </c>
      <c r="C1" s="1" t="s">
        <v>563</v>
      </c>
      <c r="D1" s="1" t="s">
        <v>564</v>
      </c>
      <c r="E1" s="1" t="s">
        <v>82</v>
      </c>
      <c r="F1" s="1" t="s">
        <v>95</v>
      </c>
      <c r="G1" s="422" t="s">
        <v>565</v>
      </c>
      <c r="H1" s="422"/>
      <c r="I1" s="1" t="s">
        <v>15</v>
      </c>
      <c r="J1" s="1" t="s">
        <v>5</v>
      </c>
      <c r="K1" s="1" t="s">
        <v>24</v>
      </c>
      <c r="L1" s="1" t="s">
        <v>20</v>
      </c>
      <c r="M1" s="1" t="s">
        <v>566</v>
      </c>
      <c r="N1" s="1" t="s">
        <v>567</v>
      </c>
      <c r="O1" s="1" t="s">
        <v>568</v>
      </c>
      <c r="P1" s="1" t="s">
        <v>959</v>
      </c>
      <c r="S1" s="5" t="s">
        <v>569</v>
      </c>
      <c r="T1" s="1" t="s">
        <v>15</v>
      </c>
      <c r="U1" s="1" t="s">
        <v>5</v>
      </c>
      <c r="V1" s="1" t="s">
        <v>24</v>
      </c>
      <c r="W1" s="1" t="s">
        <v>20</v>
      </c>
      <c r="X1" s="1" t="s">
        <v>566</v>
      </c>
      <c r="Y1" s="1" t="s">
        <v>567</v>
      </c>
      <c r="Z1" s="1" t="s">
        <v>568</v>
      </c>
      <c r="AA1" s="1" t="s">
        <v>959</v>
      </c>
    </row>
    <row r="2" spans="1:27" ht="12.75" customHeight="1">
      <c r="A2" s="7" t="s">
        <v>570</v>
      </c>
      <c r="B2" s="8" t="s">
        <v>74</v>
      </c>
      <c r="C2" s="8"/>
      <c r="D2" s="8" t="s">
        <v>74</v>
      </c>
      <c r="E2" s="8"/>
      <c r="F2" s="8"/>
      <c r="G2" s="8"/>
      <c r="H2" s="8"/>
      <c r="I2" s="12"/>
      <c r="J2" s="12"/>
      <c r="K2" s="12"/>
      <c r="L2" s="12"/>
      <c r="M2" s="12"/>
      <c r="N2" s="12"/>
      <c r="O2" s="12"/>
      <c r="P2" s="12"/>
      <c r="S2" s="7" t="s">
        <v>570</v>
      </c>
      <c r="T2" s="12"/>
      <c r="U2" s="12"/>
      <c r="V2" s="12"/>
      <c r="W2" s="12"/>
      <c r="X2" s="12"/>
      <c r="Y2" s="12"/>
      <c r="Z2" s="12"/>
      <c r="AA2" s="12"/>
    </row>
    <row r="3" spans="1:27" ht="26.4">
      <c r="A3" s="7"/>
      <c r="B3" s="3" t="s">
        <v>571</v>
      </c>
      <c r="C3" s="3" t="s">
        <v>632</v>
      </c>
      <c r="D3" s="3" t="s">
        <v>580</v>
      </c>
      <c r="E3" s="3" t="s">
        <v>574</v>
      </c>
      <c r="G3" s="3" t="s">
        <v>575</v>
      </c>
      <c r="H3" s="13">
        <v>3.3</v>
      </c>
      <c r="J3" s="3">
        <v>7.5970000000000004</v>
      </c>
      <c r="M3" s="3">
        <f>AVERAGE(I3:L3)</f>
        <v>7.5970000000000004</v>
      </c>
      <c r="O3" s="3">
        <f>COUNT(I3:L3)</f>
        <v>1</v>
      </c>
      <c r="P3" s="3" t="s">
        <v>994</v>
      </c>
      <c r="S3" s="7"/>
      <c r="T3" s="3">
        <v>5.5629999999999997</v>
      </c>
      <c r="U3" s="3">
        <v>7.6070000000000002</v>
      </c>
      <c r="X3" s="3">
        <f>AVERAGE(T3:W3)</f>
        <v>6.585</v>
      </c>
      <c r="Y3" s="3">
        <f>_xlfn.STDEV.S(T3:W3)</f>
        <v>1.445326260745301</v>
      </c>
      <c r="Z3" s="3">
        <f>COUNT(T3:W3)</f>
        <v>2</v>
      </c>
      <c r="AA3" s="3" t="s">
        <v>961</v>
      </c>
    </row>
    <row r="4" spans="1:27" ht="26.4">
      <c r="A4" s="7"/>
      <c r="G4" s="10" t="s">
        <v>576</v>
      </c>
      <c r="H4" s="10">
        <v>0.12</v>
      </c>
      <c r="I4" s="10"/>
      <c r="J4" s="10">
        <v>0.18</v>
      </c>
      <c r="K4" s="10"/>
      <c r="L4" s="10"/>
      <c r="M4" s="10">
        <f>AVERAGE(I4:L4)</f>
        <v>0.18</v>
      </c>
      <c r="N4" s="10"/>
      <c r="O4" s="10">
        <f>COUNT(I4:L4)</f>
        <v>1</v>
      </c>
      <c r="P4" s="10" t="s">
        <v>979</v>
      </c>
      <c r="S4" s="7"/>
      <c r="T4" s="203">
        <v>0.17699999999999999</v>
      </c>
      <c r="U4" s="203">
        <v>0.183</v>
      </c>
      <c r="V4" s="203"/>
      <c r="W4" s="203"/>
      <c r="X4" s="203">
        <f>AVERAGE(T4:W4)</f>
        <v>0.18</v>
      </c>
      <c r="Y4" s="203">
        <f>_xlfn.STDEV.S(T4:W4)</f>
        <v>4.2426406871192892E-3</v>
      </c>
      <c r="Z4" s="203">
        <f>COUNT(T4:W4)</f>
        <v>2</v>
      </c>
      <c r="AA4" s="203" t="s">
        <v>961</v>
      </c>
    </row>
    <row r="5" spans="1:27">
      <c r="A5" s="7"/>
      <c r="S5" s="7"/>
    </row>
    <row r="6" spans="1:27" ht="26.4">
      <c r="A6" s="7"/>
      <c r="B6" s="3" t="s">
        <v>571</v>
      </c>
      <c r="C6" s="3" t="s">
        <v>633</v>
      </c>
      <c r="D6" s="3" t="s">
        <v>582</v>
      </c>
      <c r="E6" s="3" t="s">
        <v>574</v>
      </c>
      <c r="G6" s="3" t="s">
        <v>575</v>
      </c>
      <c r="H6" s="13">
        <v>3.3</v>
      </c>
      <c r="J6" s="3">
        <v>8.1340000000000003</v>
      </c>
      <c r="M6" s="3">
        <f>AVERAGE(I6:L6)</f>
        <v>8.1340000000000003</v>
      </c>
      <c r="O6" s="3">
        <f>COUNT(I6:L6)</f>
        <v>1</v>
      </c>
      <c r="P6" s="3" t="s">
        <v>960</v>
      </c>
      <c r="S6" s="7"/>
      <c r="U6" s="3">
        <v>8.1370000000000005</v>
      </c>
      <c r="X6" s="3">
        <f>AVERAGE(T6:W6)</f>
        <v>8.1370000000000005</v>
      </c>
      <c r="Z6" s="3">
        <f>COUNT(T6:W6)</f>
        <v>1</v>
      </c>
      <c r="AA6" s="3" t="s">
        <v>961</v>
      </c>
    </row>
    <row r="7" spans="1:27" ht="26.4">
      <c r="A7" s="7"/>
      <c r="G7" s="10" t="s">
        <v>576</v>
      </c>
      <c r="H7" s="10">
        <v>0.12</v>
      </c>
      <c r="I7" s="10"/>
      <c r="J7" s="10">
        <v>0.20300000000000001</v>
      </c>
      <c r="K7" s="10"/>
      <c r="L7" s="10"/>
      <c r="M7" s="10">
        <f>AVERAGE(I7:L7)</f>
        <v>0.20300000000000001</v>
      </c>
      <c r="N7" s="10"/>
      <c r="O7" s="10">
        <f>COUNT(I7:L7)</f>
        <v>1</v>
      </c>
      <c r="P7" s="10" t="s">
        <v>986</v>
      </c>
      <c r="S7" s="7"/>
      <c r="T7" s="10"/>
      <c r="U7" s="10">
        <v>0.20100000000000001</v>
      </c>
      <c r="V7" s="10"/>
      <c r="W7" s="10"/>
      <c r="X7" s="10">
        <f>AVERAGE(T7:W7)</f>
        <v>0.20100000000000001</v>
      </c>
      <c r="Y7" s="10"/>
      <c r="Z7" s="10">
        <f>COUNT(T7:W7)</f>
        <v>1</v>
      </c>
      <c r="AA7" s="10" t="s">
        <v>982</v>
      </c>
    </row>
    <row r="8" spans="1:27">
      <c r="A8" s="7"/>
      <c r="S8" s="7"/>
    </row>
    <row r="9" spans="1:27" ht="26.4">
      <c r="A9" s="7"/>
      <c r="B9" s="3" t="s">
        <v>571</v>
      </c>
      <c r="C9" s="3" t="s">
        <v>634</v>
      </c>
      <c r="D9" s="3" t="s">
        <v>582</v>
      </c>
      <c r="E9" s="3" t="s">
        <v>574</v>
      </c>
      <c r="G9" s="3" t="s">
        <v>575</v>
      </c>
      <c r="H9" s="13">
        <v>3.3</v>
      </c>
      <c r="O9" s="3">
        <f>COUNT(I9:L9)</f>
        <v>0</v>
      </c>
      <c r="P9" s="3" t="s">
        <v>963</v>
      </c>
      <c r="S9" s="7"/>
      <c r="Z9" s="3">
        <f>COUNT(T9:W9)</f>
        <v>0</v>
      </c>
      <c r="AA9" s="3" t="s">
        <v>962</v>
      </c>
    </row>
    <row r="10" spans="1:27" ht="26.4">
      <c r="A10" s="7"/>
      <c r="G10" s="10" t="s">
        <v>576</v>
      </c>
      <c r="H10" s="10">
        <v>0.12</v>
      </c>
      <c r="I10" s="10"/>
      <c r="J10" s="10"/>
      <c r="K10" s="10"/>
      <c r="L10" s="10"/>
      <c r="M10" s="10"/>
      <c r="N10" s="10"/>
      <c r="O10" s="10">
        <f>COUNT(I10:L10)</f>
        <v>0</v>
      </c>
      <c r="P10" s="10" t="s">
        <v>963</v>
      </c>
      <c r="S10" s="7"/>
      <c r="T10" s="10"/>
      <c r="U10" s="10"/>
      <c r="V10" s="10"/>
      <c r="W10" s="10"/>
      <c r="X10" s="10"/>
      <c r="Y10" s="10"/>
      <c r="Z10" s="10">
        <f>COUNT(T10:W10)</f>
        <v>0</v>
      </c>
      <c r="AA10" s="10" t="s">
        <v>990</v>
      </c>
    </row>
    <row r="11" spans="1:27">
      <c r="A11" s="7"/>
      <c r="S11" s="7"/>
    </row>
    <row r="12" spans="1:27" ht="39.6">
      <c r="A12" s="11"/>
      <c r="B12" s="3" t="s">
        <v>571</v>
      </c>
      <c r="C12" s="3" t="s">
        <v>632</v>
      </c>
      <c r="D12" s="3" t="s">
        <v>635</v>
      </c>
      <c r="E12" s="3" t="s">
        <v>574</v>
      </c>
      <c r="G12" s="3" t="s">
        <v>575</v>
      </c>
      <c r="H12" s="13">
        <v>3.3</v>
      </c>
      <c r="O12" s="3">
        <f>COUNT(I12:L12)</f>
        <v>0</v>
      </c>
      <c r="P12" s="3" t="s">
        <v>962</v>
      </c>
      <c r="S12" s="11"/>
      <c r="Z12" s="3">
        <f>COUNT(T12:W12)</f>
        <v>0</v>
      </c>
      <c r="AA12" s="3" t="s">
        <v>962</v>
      </c>
    </row>
    <row r="13" spans="1:27" ht="26.4">
      <c r="A13" s="11"/>
      <c r="G13" s="10" t="s">
        <v>576</v>
      </c>
      <c r="H13" s="10">
        <v>0.12</v>
      </c>
      <c r="I13" s="10"/>
      <c r="J13" s="10"/>
      <c r="K13" s="10"/>
      <c r="L13" s="10"/>
      <c r="M13" s="10"/>
      <c r="N13" s="10"/>
      <c r="O13" s="10">
        <f>COUNT(I13:L13)</f>
        <v>0</v>
      </c>
      <c r="P13" s="10" t="s">
        <v>962</v>
      </c>
      <c r="S13" s="11"/>
      <c r="T13" s="10"/>
      <c r="U13" s="10"/>
      <c r="V13" s="10"/>
      <c r="W13" s="10"/>
      <c r="X13" s="10"/>
      <c r="Y13" s="10"/>
      <c r="Z13" s="10">
        <f>COUNT(T13:W13)</f>
        <v>0</v>
      </c>
      <c r="AA13" s="10" t="s">
        <v>962</v>
      </c>
    </row>
    <row r="14" spans="1:27">
      <c r="A14" s="7"/>
      <c r="S14" s="7"/>
    </row>
    <row r="15" spans="1:27" ht="26.4">
      <c r="A15" s="11"/>
      <c r="B15" s="3" t="s">
        <v>571</v>
      </c>
      <c r="C15" s="3" t="s">
        <v>632</v>
      </c>
      <c r="D15" s="3" t="s">
        <v>636</v>
      </c>
      <c r="E15" s="3" t="s">
        <v>574</v>
      </c>
      <c r="G15" s="3" t="s">
        <v>575</v>
      </c>
      <c r="H15" s="13">
        <v>3.3</v>
      </c>
      <c r="K15" s="3">
        <v>6.84</v>
      </c>
      <c r="M15" s="3">
        <f>AVERAGE(I15:L15)</f>
        <v>6.84</v>
      </c>
      <c r="O15" s="3">
        <f>COUNT(I15:L15)</f>
        <v>1</v>
      </c>
      <c r="P15" s="3" t="s">
        <v>961</v>
      </c>
      <c r="S15" s="11"/>
      <c r="Z15" s="3">
        <f>COUNT(T15:W15)</f>
        <v>0</v>
      </c>
      <c r="AA15" s="3" t="s">
        <v>962</v>
      </c>
    </row>
    <row r="16" spans="1:27" ht="26.4">
      <c r="A16" s="11"/>
      <c r="G16" s="10" t="s">
        <v>576</v>
      </c>
      <c r="H16" s="10">
        <v>0.12</v>
      </c>
      <c r="I16" s="10"/>
      <c r="J16" s="10"/>
      <c r="K16" s="10">
        <v>0.25</v>
      </c>
      <c r="L16" s="10"/>
      <c r="M16" s="10">
        <f>AVERAGE(I16:L16)</f>
        <v>0.25</v>
      </c>
      <c r="N16" s="10"/>
      <c r="O16" s="10">
        <f>COUNT(I16:L16)</f>
        <v>1</v>
      </c>
      <c r="P16" s="10" t="s">
        <v>961</v>
      </c>
      <c r="S16" s="11"/>
      <c r="T16" s="10"/>
      <c r="U16" s="10"/>
      <c r="V16" s="10"/>
      <c r="W16" s="10"/>
      <c r="X16" s="10"/>
      <c r="Y16" s="10"/>
      <c r="Z16" s="10">
        <f>COUNT(T16:W16)</f>
        <v>0</v>
      </c>
      <c r="AA16" s="10" t="s">
        <v>972</v>
      </c>
    </row>
    <row r="17" spans="1:27">
      <c r="A17" s="211"/>
      <c r="S17" s="211"/>
    </row>
    <row r="18" spans="1:27" ht="52.8">
      <c r="A18" s="11"/>
      <c r="B18" s="3" t="s">
        <v>571</v>
      </c>
      <c r="C18" s="3" t="s">
        <v>632</v>
      </c>
      <c r="D18" s="202" t="s">
        <v>662</v>
      </c>
      <c r="E18" s="3" t="s">
        <v>574</v>
      </c>
      <c r="G18" s="3" t="s">
        <v>575</v>
      </c>
      <c r="H18" s="13">
        <v>3.3</v>
      </c>
      <c r="O18" s="3">
        <f>COUNT(I18:L18)</f>
        <v>0</v>
      </c>
      <c r="P18" s="3" t="s">
        <v>972</v>
      </c>
      <c r="S18" s="11"/>
      <c r="Z18" s="3">
        <f>COUNT(T18:W18)</f>
        <v>0</v>
      </c>
      <c r="AA18" s="3" t="s">
        <v>972</v>
      </c>
    </row>
    <row r="19" spans="1:27" ht="26.4">
      <c r="A19" s="11"/>
      <c r="G19" s="10" t="s">
        <v>576</v>
      </c>
      <c r="H19" s="10">
        <v>0.12</v>
      </c>
      <c r="I19" s="10"/>
      <c r="J19" s="10"/>
      <c r="K19" s="10"/>
      <c r="L19" s="10"/>
      <c r="M19" s="10"/>
      <c r="N19" s="10"/>
      <c r="O19" s="10">
        <f>COUNT(I19:L19)</f>
        <v>0</v>
      </c>
      <c r="P19" s="10" t="s">
        <v>972</v>
      </c>
      <c r="S19" s="11"/>
      <c r="T19" s="203"/>
      <c r="U19" s="203"/>
      <c r="V19" s="203"/>
      <c r="W19" s="203"/>
      <c r="X19" s="203"/>
      <c r="Y19" s="203"/>
      <c r="Z19" s="203">
        <f>COUNT(T19:W19)</f>
        <v>0</v>
      </c>
      <c r="AA19" s="203" t="s">
        <v>963</v>
      </c>
    </row>
    <row r="20" spans="1:27">
      <c r="A20" s="211"/>
      <c r="S20" s="211"/>
    </row>
    <row r="21" spans="1:27" ht="39.6">
      <c r="A21" s="211"/>
      <c r="B21" s="3" t="s">
        <v>577</v>
      </c>
      <c r="C21" s="202" t="s">
        <v>785</v>
      </c>
      <c r="D21" s="202" t="s">
        <v>732</v>
      </c>
      <c r="E21" s="3" t="s">
        <v>574</v>
      </c>
      <c r="G21" s="3" t="s">
        <v>575</v>
      </c>
      <c r="H21" s="13">
        <v>3.3</v>
      </c>
      <c r="J21" s="3">
        <v>5.9640000000000004</v>
      </c>
      <c r="M21" s="3">
        <f>AVERAGE(I21:L21)</f>
        <v>5.9640000000000004</v>
      </c>
      <c r="O21" s="3">
        <f>COUNT(I21:L21)</f>
        <v>1</v>
      </c>
      <c r="P21" s="3" t="s">
        <v>961</v>
      </c>
      <c r="S21" s="211"/>
      <c r="U21" s="3">
        <v>5.968</v>
      </c>
      <c r="X21" s="3">
        <f>AVERAGE(T21:W21)</f>
        <v>5.968</v>
      </c>
      <c r="Z21" s="3">
        <f>COUNT(T21:W21)</f>
        <v>1</v>
      </c>
      <c r="AA21" s="3" t="s">
        <v>966</v>
      </c>
    </row>
    <row r="22" spans="1:27" ht="26.4">
      <c r="A22" s="211"/>
      <c r="G22" s="10" t="s">
        <v>576</v>
      </c>
      <c r="H22" s="10">
        <v>0.12</v>
      </c>
      <c r="I22" s="10"/>
      <c r="J22" s="10">
        <v>0.14799999999999999</v>
      </c>
      <c r="K22" s="10"/>
      <c r="L22" s="10"/>
      <c r="M22" s="10">
        <f>AVERAGE(I22:L22)</f>
        <v>0.14799999999999999</v>
      </c>
      <c r="N22" s="10"/>
      <c r="O22" s="10">
        <f>COUNT(I22:L22)</f>
        <v>1</v>
      </c>
      <c r="P22" s="10" t="s">
        <v>966</v>
      </c>
      <c r="S22" s="211"/>
      <c r="T22" s="10"/>
      <c r="U22" s="10">
        <v>0.14899999999999999</v>
      </c>
      <c r="V22" s="10"/>
      <c r="W22" s="10"/>
      <c r="X22" s="10">
        <f>AVERAGE(T22:W22)</f>
        <v>0.14899999999999999</v>
      </c>
      <c r="Y22" s="10"/>
      <c r="Z22" s="10">
        <f>COUNT(T22:W22)</f>
        <v>1</v>
      </c>
      <c r="AA22" s="10" t="s">
        <v>961</v>
      </c>
    </row>
    <row r="23" spans="1:27">
      <c r="A23" s="7"/>
      <c r="S23" s="7"/>
    </row>
    <row r="24" spans="1:27">
      <c r="A24" s="7"/>
      <c r="B24" s="8" t="s">
        <v>75</v>
      </c>
      <c r="C24" s="8"/>
      <c r="D24" s="8" t="s">
        <v>75</v>
      </c>
      <c r="E24" s="8"/>
      <c r="F24" s="8"/>
      <c r="G24" s="12"/>
      <c r="H24" s="12"/>
      <c r="I24" s="12"/>
      <c r="J24" s="12"/>
      <c r="K24" s="12"/>
      <c r="L24" s="12"/>
      <c r="M24" s="12"/>
      <c r="N24" s="12"/>
      <c r="O24" s="12"/>
      <c r="P24" s="12"/>
      <c r="S24" s="7"/>
      <c r="T24" s="12"/>
      <c r="U24" s="12"/>
      <c r="V24" s="12"/>
      <c r="W24" s="12"/>
      <c r="X24" s="12"/>
      <c r="Y24" s="12"/>
      <c r="Z24" s="12"/>
      <c r="AA24" s="12"/>
    </row>
    <row r="25" spans="1:27" ht="31.5" customHeight="1">
      <c r="A25" s="7"/>
      <c r="B25" s="3" t="s">
        <v>571</v>
      </c>
      <c r="C25" s="3" t="s">
        <v>632</v>
      </c>
      <c r="D25" s="3" t="s">
        <v>637</v>
      </c>
      <c r="E25" s="3" t="s">
        <v>587</v>
      </c>
      <c r="F25" s="3" t="s">
        <v>97</v>
      </c>
      <c r="G25" s="3" t="s">
        <v>575</v>
      </c>
      <c r="H25" s="13">
        <v>3.3</v>
      </c>
      <c r="J25" s="3">
        <v>7.7739622641509429</v>
      </c>
      <c r="M25" s="3">
        <f>AVERAGE(I25:L25)</f>
        <v>7.7739622641509429</v>
      </c>
      <c r="O25" s="3">
        <f>COUNT(I25:L25)</f>
        <v>1</v>
      </c>
      <c r="P25" s="3" t="s">
        <v>960</v>
      </c>
      <c r="S25" s="7"/>
      <c r="T25" s="3">
        <v>6.2149999999999999</v>
      </c>
      <c r="U25" s="3">
        <v>7.7851698113207544</v>
      </c>
      <c r="X25" s="3">
        <f>AVERAGE(T25:W25)</f>
        <v>7.0000849056603771</v>
      </c>
      <c r="Y25" s="3">
        <f>_xlfn.STDEV.S(T25:W25)</f>
        <v>1.1102777211993096</v>
      </c>
      <c r="Z25" s="3">
        <f>COUNT(T25:W25)</f>
        <v>2</v>
      </c>
      <c r="AA25" s="3" t="s">
        <v>960</v>
      </c>
    </row>
    <row r="26" spans="1:27" ht="26.4">
      <c r="A26" s="7"/>
      <c r="G26" s="10" t="s">
        <v>576</v>
      </c>
      <c r="H26" s="10">
        <v>0.12</v>
      </c>
      <c r="I26" s="10"/>
      <c r="J26" s="10">
        <v>0.21294339622641509</v>
      </c>
      <c r="K26" s="10"/>
      <c r="L26" s="10"/>
      <c r="M26" s="10">
        <f>AVERAGE(I26:L26)</f>
        <v>0.21294339622641509</v>
      </c>
      <c r="N26" s="10"/>
      <c r="O26" s="10">
        <f>COUNT(I26:L26)</f>
        <v>1</v>
      </c>
      <c r="P26" s="10" t="s">
        <v>961</v>
      </c>
      <c r="S26" s="7"/>
      <c r="T26" s="10">
        <v>0.191</v>
      </c>
      <c r="U26" s="10">
        <v>0.18135849056603773</v>
      </c>
      <c r="V26" s="10"/>
      <c r="W26" s="10"/>
      <c r="X26" s="10">
        <f>AVERAGE(T26:W26)</f>
        <v>0.18617924528301888</v>
      </c>
      <c r="Y26" s="10">
        <f>_xlfn.STDEV.S(T26:W26)</f>
        <v>6.8175767016287964E-3</v>
      </c>
      <c r="Z26" s="10">
        <f>COUNT(T26:W26)</f>
        <v>2</v>
      </c>
      <c r="AA26" s="10" t="s">
        <v>961</v>
      </c>
    </row>
    <row r="27" spans="1:27">
      <c r="A27" s="7"/>
      <c r="S27" s="7"/>
    </row>
    <row r="28" spans="1:27" ht="31.5" customHeight="1">
      <c r="A28" s="7"/>
      <c r="B28" s="3" t="s">
        <v>571</v>
      </c>
      <c r="C28" s="3" t="s">
        <v>632</v>
      </c>
      <c r="D28" s="3" t="s">
        <v>637</v>
      </c>
      <c r="E28" s="3" t="s">
        <v>574</v>
      </c>
      <c r="F28" s="3" t="s">
        <v>97</v>
      </c>
      <c r="G28" s="3" t="s">
        <v>575</v>
      </c>
      <c r="H28" s="13">
        <v>3.3</v>
      </c>
      <c r="J28" s="3">
        <v>8.0052452830188674</v>
      </c>
      <c r="M28" s="3">
        <f>AVERAGE(I28:L28)</f>
        <v>8.0052452830188674</v>
      </c>
      <c r="O28" s="3">
        <f>COUNT(I28:L28)</f>
        <v>1</v>
      </c>
      <c r="P28" s="3" t="s">
        <v>994</v>
      </c>
      <c r="S28" s="7"/>
      <c r="T28" s="3">
        <v>6.2560000000000002</v>
      </c>
      <c r="U28" s="3">
        <v>8.0174716981132068</v>
      </c>
      <c r="W28" s="3">
        <v>9.2040000000000006</v>
      </c>
      <c r="X28" s="3">
        <f>AVERAGE(T28:W28)</f>
        <v>7.8258238993710689</v>
      </c>
      <c r="Y28" s="3">
        <f>_xlfn.STDEV.S(T28:W28)</f>
        <v>1.483314753877967</v>
      </c>
      <c r="Z28" s="3">
        <f>COUNT(T28:W28)</f>
        <v>3</v>
      </c>
      <c r="AA28" s="3" t="s">
        <v>961</v>
      </c>
    </row>
    <row r="29" spans="1:27" ht="26.4">
      <c r="A29" s="7"/>
      <c r="G29" s="10" t="s">
        <v>576</v>
      </c>
      <c r="H29" s="10">
        <v>0.12</v>
      </c>
      <c r="I29" s="10"/>
      <c r="J29" s="10">
        <v>0.19562264150943395</v>
      </c>
      <c r="K29" s="10"/>
      <c r="L29" s="10"/>
      <c r="M29" s="10">
        <f>AVERAGE(I29:L29)</f>
        <v>0.19562264150943395</v>
      </c>
      <c r="N29" s="10"/>
      <c r="O29" s="10">
        <f>COUNT(I29:L29)</f>
        <v>1</v>
      </c>
      <c r="P29" s="10" t="s">
        <v>960</v>
      </c>
      <c r="S29" s="7"/>
      <c r="T29" s="10">
        <v>0.19400000000000001</v>
      </c>
      <c r="U29" s="10">
        <v>0.19562264150943395</v>
      </c>
      <c r="V29" s="10"/>
      <c r="W29" s="10">
        <v>0.23699999999999999</v>
      </c>
      <c r="X29" s="10">
        <f>AVERAGE(T29:W29)</f>
        <v>0.20887421383647797</v>
      </c>
      <c r="Y29" s="10">
        <f>_xlfn.STDEV.S(T29:W29)</f>
        <v>2.4371153580701899E-2</v>
      </c>
      <c r="Z29" s="10">
        <f>COUNT(T29:W29)</f>
        <v>3</v>
      </c>
      <c r="AA29" s="10" t="s">
        <v>961</v>
      </c>
    </row>
    <row r="30" spans="1:27">
      <c r="A30" s="7"/>
      <c r="S30" s="7"/>
    </row>
    <row r="31" spans="1:27" ht="31.5" customHeight="1">
      <c r="A31" s="7"/>
      <c r="B31" s="3" t="s">
        <v>571</v>
      </c>
      <c r="C31" s="3" t="s">
        <v>633</v>
      </c>
      <c r="D31" s="3" t="s">
        <v>616</v>
      </c>
      <c r="E31" s="3" t="s">
        <v>587</v>
      </c>
      <c r="F31" s="3" t="s">
        <v>97</v>
      </c>
      <c r="G31" s="3" t="s">
        <v>575</v>
      </c>
      <c r="H31" s="13">
        <v>3.3</v>
      </c>
      <c r="J31" s="3">
        <v>8.6063773584905654</v>
      </c>
      <c r="M31" s="3">
        <f>AVERAGE(I31:L31)</f>
        <v>8.6063773584905654</v>
      </c>
      <c r="O31" s="3">
        <f>COUNT(I31:L31)</f>
        <v>1</v>
      </c>
      <c r="P31" s="3" t="s">
        <v>961</v>
      </c>
      <c r="S31" s="7"/>
      <c r="U31" s="3">
        <v>8.5880377358490563</v>
      </c>
      <c r="X31" s="3">
        <f>AVERAGE(T31:W31)</f>
        <v>8.5880377358490563</v>
      </c>
      <c r="Z31" s="3">
        <f>COUNT(T31:W31)</f>
        <v>1</v>
      </c>
      <c r="AA31" s="3" t="s">
        <v>977</v>
      </c>
    </row>
    <row r="32" spans="1:27" ht="26.4">
      <c r="A32" s="7"/>
      <c r="G32" s="10" t="s">
        <v>576</v>
      </c>
      <c r="H32" s="10">
        <v>0.12</v>
      </c>
      <c r="I32" s="10"/>
      <c r="J32" s="10">
        <v>0.19867924528301886</v>
      </c>
      <c r="K32" s="10"/>
      <c r="L32" s="10"/>
      <c r="M32" s="10">
        <f>AVERAGE(I32:L32)</f>
        <v>0.19867924528301886</v>
      </c>
      <c r="N32" s="10"/>
      <c r="O32" s="10">
        <f>COUNT(I32:L32)</f>
        <v>1</v>
      </c>
      <c r="P32" s="10" t="s">
        <v>978</v>
      </c>
      <c r="S32" s="7"/>
      <c r="T32" s="10"/>
      <c r="U32" s="10">
        <v>0.19358490566037737</v>
      </c>
      <c r="V32" s="10"/>
      <c r="W32" s="10"/>
      <c r="X32" s="10">
        <f>AVERAGE(T32:W32)</f>
        <v>0.19358490566037737</v>
      </c>
      <c r="Y32" s="10"/>
      <c r="Z32" s="10">
        <f>COUNT(T32:W32)</f>
        <v>1</v>
      </c>
      <c r="AA32" s="10" t="s">
        <v>977</v>
      </c>
    </row>
    <row r="33" spans="1:27">
      <c r="A33" s="7"/>
      <c r="S33" s="7"/>
    </row>
    <row r="34" spans="1:27" ht="31.5" customHeight="1">
      <c r="A34" s="7"/>
      <c r="B34" s="3" t="s">
        <v>571</v>
      </c>
      <c r="C34" s="3" t="s">
        <v>633</v>
      </c>
      <c r="D34" s="3" t="s">
        <v>616</v>
      </c>
      <c r="E34" s="3" t="s">
        <v>574</v>
      </c>
      <c r="F34" s="3" t="s">
        <v>97</v>
      </c>
      <c r="G34" s="3" t="s">
        <v>575</v>
      </c>
      <c r="H34" s="13">
        <v>3.3</v>
      </c>
      <c r="J34" s="3">
        <v>8.8325660377358517</v>
      </c>
      <c r="M34" s="3">
        <f>AVERAGE(I34:L34)</f>
        <v>8.8325660377358517</v>
      </c>
      <c r="O34" s="3">
        <f>COUNT(I34:L34)</f>
        <v>1</v>
      </c>
      <c r="P34" s="3" t="s">
        <v>978</v>
      </c>
      <c r="S34" s="7"/>
      <c r="U34" s="3">
        <v>8.8162641509433985</v>
      </c>
      <c r="X34" s="3">
        <f>AVERAGE(T34:W34)</f>
        <v>8.8162641509433985</v>
      </c>
      <c r="Z34" s="3">
        <f>COUNT(T34:W34)</f>
        <v>1</v>
      </c>
      <c r="AA34" s="3" t="s">
        <v>960</v>
      </c>
    </row>
    <row r="35" spans="1:27" ht="26.4">
      <c r="A35" s="7"/>
      <c r="G35" s="10" t="s">
        <v>576</v>
      </c>
      <c r="H35" s="10">
        <v>0.12</v>
      </c>
      <c r="I35" s="10"/>
      <c r="J35" s="10">
        <v>0.21905660377358496</v>
      </c>
      <c r="K35" s="10"/>
      <c r="L35" s="10"/>
      <c r="M35" s="10">
        <f>AVERAGE(I35:L35)</f>
        <v>0.21905660377358496</v>
      </c>
      <c r="N35" s="10"/>
      <c r="O35" s="10">
        <f>COUNT(I35:L35)</f>
        <v>1</v>
      </c>
      <c r="P35" s="10" t="s">
        <v>995</v>
      </c>
      <c r="S35" s="7"/>
      <c r="T35" s="10"/>
      <c r="U35" s="10">
        <v>0.21498113207547173</v>
      </c>
      <c r="V35" s="10"/>
      <c r="W35" s="10"/>
      <c r="X35" s="10">
        <f>AVERAGE(T35:W35)</f>
        <v>0.21498113207547173</v>
      </c>
      <c r="Y35" s="10"/>
      <c r="Z35" s="10">
        <f>COUNT(T35:W35)</f>
        <v>1</v>
      </c>
      <c r="AA35" s="10" t="s">
        <v>961</v>
      </c>
    </row>
    <row r="36" spans="1:27">
      <c r="A36" s="7"/>
      <c r="S36" s="7"/>
    </row>
    <row r="37" spans="1:27" ht="26.4">
      <c r="A37" s="7"/>
      <c r="B37" s="3" t="s">
        <v>571</v>
      </c>
      <c r="C37" s="3" t="s">
        <v>634</v>
      </c>
      <c r="D37" s="3" t="s">
        <v>638</v>
      </c>
      <c r="E37" s="3" t="s">
        <v>574</v>
      </c>
      <c r="F37" s="3" t="s">
        <v>98</v>
      </c>
      <c r="G37" s="3" t="s">
        <v>575</v>
      </c>
      <c r="H37" s="13">
        <v>3.3</v>
      </c>
      <c r="O37" s="3">
        <f>COUNT(I37:L37)</f>
        <v>0</v>
      </c>
      <c r="P37" s="3" t="s">
        <v>975</v>
      </c>
      <c r="S37" s="7"/>
      <c r="Z37" s="3">
        <f>COUNT(T37:W37)</f>
        <v>0</v>
      </c>
      <c r="AA37" s="3" t="s">
        <v>971</v>
      </c>
    </row>
    <row r="38" spans="1:27" ht="26.4">
      <c r="A38" s="7"/>
      <c r="G38" s="10" t="s">
        <v>576</v>
      </c>
      <c r="H38" s="10">
        <v>0.12</v>
      </c>
      <c r="I38" s="10"/>
      <c r="J38" s="10"/>
      <c r="K38" s="10"/>
      <c r="L38" s="10"/>
      <c r="M38" s="10"/>
      <c r="N38" s="10"/>
      <c r="O38" s="10">
        <f>COUNT(I38:L38)</f>
        <v>0</v>
      </c>
      <c r="P38" s="10" t="s">
        <v>972</v>
      </c>
      <c r="S38" s="7"/>
      <c r="T38" s="10"/>
      <c r="U38" s="10"/>
      <c r="V38" s="10"/>
      <c r="W38" s="10"/>
      <c r="X38" s="10"/>
      <c r="Y38" s="10"/>
      <c r="Z38" s="10">
        <f>COUNT(T38:W38)</f>
        <v>0</v>
      </c>
      <c r="AA38" s="10" t="s">
        <v>997</v>
      </c>
    </row>
    <row r="39" spans="1:27">
      <c r="A39" s="7"/>
      <c r="S39" s="7"/>
    </row>
    <row r="40" spans="1:27" ht="39.6">
      <c r="A40" s="7"/>
      <c r="B40" s="3" t="s">
        <v>571</v>
      </c>
      <c r="C40" s="3" t="s">
        <v>611</v>
      </c>
      <c r="D40" s="15" t="s">
        <v>639</v>
      </c>
      <c r="E40" s="3" t="s">
        <v>574</v>
      </c>
      <c r="F40" s="202" t="s">
        <v>658</v>
      </c>
      <c r="G40" s="3" t="s">
        <v>575</v>
      </c>
      <c r="H40" s="13">
        <v>3.3</v>
      </c>
      <c r="I40" s="3">
        <v>6.010901467505243</v>
      </c>
      <c r="M40" s="3">
        <f>AVERAGE(I40:L40)</f>
        <v>6.010901467505243</v>
      </c>
      <c r="O40" s="3">
        <f>COUNT(I40:L40)</f>
        <v>1</v>
      </c>
      <c r="P40" s="3" t="s">
        <v>984</v>
      </c>
      <c r="S40" s="7"/>
      <c r="Z40" s="3">
        <f>COUNT(T40:W40)</f>
        <v>0</v>
      </c>
      <c r="AA40" s="3" t="s">
        <v>972</v>
      </c>
    </row>
    <row r="41" spans="1:27" ht="26.4">
      <c r="A41" s="7"/>
      <c r="G41" s="10" t="s">
        <v>576</v>
      </c>
      <c r="H41" s="10">
        <v>0.12</v>
      </c>
      <c r="I41" s="10" t="s">
        <v>216</v>
      </c>
      <c r="J41" s="10"/>
      <c r="K41" s="10"/>
      <c r="L41" s="10"/>
      <c r="M41" s="10"/>
      <c r="N41" s="10"/>
      <c r="O41" s="10">
        <f>COUNT(I41:L41)</f>
        <v>0</v>
      </c>
      <c r="P41" s="10" t="s">
        <v>975</v>
      </c>
      <c r="S41" s="7"/>
      <c r="T41" s="10"/>
      <c r="U41" s="10"/>
      <c r="V41" s="10"/>
      <c r="W41" s="10"/>
      <c r="X41" s="10"/>
      <c r="Y41" s="10"/>
      <c r="Z41" s="10">
        <f>COUNT(T41:W41)</f>
        <v>0</v>
      </c>
      <c r="AA41" s="10" t="s">
        <v>972</v>
      </c>
    </row>
    <row r="42" spans="1:27" ht="31.5" customHeight="1">
      <c r="A42" s="7"/>
      <c r="B42" s="3" t="s">
        <v>571</v>
      </c>
      <c r="C42" s="3" t="s">
        <v>632</v>
      </c>
      <c r="D42" s="3" t="s">
        <v>637</v>
      </c>
      <c r="E42" s="3" t="s">
        <v>574</v>
      </c>
      <c r="F42" s="3" t="s">
        <v>98</v>
      </c>
      <c r="G42" s="3" t="s">
        <v>575</v>
      </c>
      <c r="H42" s="13">
        <v>3.3</v>
      </c>
      <c r="K42" s="3">
        <v>7.3260759493670866</v>
      </c>
      <c r="M42" s="3">
        <f>AVERAGE(I42:L42)</f>
        <v>7.3260759493670866</v>
      </c>
      <c r="O42" s="3">
        <f>COUNT(I42:L42)</f>
        <v>1</v>
      </c>
      <c r="P42" s="3" t="s">
        <v>978</v>
      </c>
      <c r="S42" s="7"/>
      <c r="W42" s="3">
        <v>9.18</v>
      </c>
      <c r="X42" s="3">
        <f>AVERAGE(T42:W42)</f>
        <v>9.18</v>
      </c>
      <c r="Z42" s="3">
        <f>COUNT(T42:W42)</f>
        <v>1</v>
      </c>
      <c r="AA42" s="3" t="s">
        <v>961</v>
      </c>
    </row>
    <row r="43" spans="1:27" ht="26.4">
      <c r="A43" s="7"/>
      <c r="G43" s="10" t="s">
        <v>576</v>
      </c>
      <c r="H43" s="10">
        <v>0.12</v>
      </c>
      <c r="I43" s="10"/>
      <c r="J43" s="10"/>
      <c r="K43" s="10">
        <v>0.21721518987341765</v>
      </c>
      <c r="L43" s="10"/>
      <c r="M43" s="10">
        <f>AVERAGE(I43:L43)</f>
        <v>0.21721518987341765</v>
      </c>
      <c r="N43" s="10"/>
      <c r="O43" s="10">
        <f>COUNT(I43:L43)</f>
        <v>1</v>
      </c>
      <c r="P43" s="10" t="s">
        <v>984</v>
      </c>
      <c r="S43" s="7"/>
      <c r="T43" s="10"/>
      <c r="U43" s="10"/>
      <c r="V43" s="10"/>
      <c r="W43" s="10">
        <v>0.23400000000000001</v>
      </c>
      <c r="X43" s="10">
        <f>AVERAGE(T43:W43)</f>
        <v>0.23400000000000001</v>
      </c>
      <c r="Y43" s="10"/>
      <c r="Z43" s="10">
        <f>COUNT(T43:W43)</f>
        <v>1</v>
      </c>
      <c r="AA43" s="10" t="s">
        <v>961</v>
      </c>
    </row>
    <row r="44" spans="1:27">
      <c r="A44" s="11"/>
      <c r="S44" s="11"/>
    </row>
    <row r="45" spans="1:27" ht="31.5" customHeight="1">
      <c r="A45" s="7"/>
      <c r="B45" s="3" t="s">
        <v>571</v>
      </c>
      <c r="C45" s="15" t="s">
        <v>572</v>
      </c>
      <c r="D45" s="202" t="s">
        <v>637</v>
      </c>
      <c r="E45" s="15" t="s">
        <v>587</v>
      </c>
      <c r="F45" s="3" t="s">
        <v>98</v>
      </c>
      <c r="G45" s="3" t="s">
        <v>575</v>
      </c>
      <c r="H45" s="13">
        <v>3.3</v>
      </c>
      <c r="O45" s="3">
        <f>COUNT(I45:L45)</f>
        <v>0</v>
      </c>
      <c r="P45" s="3" t="s">
        <v>972</v>
      </c>
      <c r="S45" s="7"/>
      <c r="Z45" s="3">
        <f>COUNT(T45:W45)</f>
        <v>0</v>
      </c>
      <c r="AA45" s="3" t="s">
        <v>972</v>
      </c>
    </row>
    <row r="46" spans="1:27" ht="26.4">
      <c r="A46" s="7"/>
      <c r="G46" s="10" t="s">
        <v>576</v>
      </c>
      <c r="H46" s="10">
        <v>0.12</v>
      </c>
      <c r="I46" s="10"/>
      <c r="J46" s="10"/>
      <c r="K46" s="10"/>
      <c r="L46" s="10"/>
      <c r="M46" s="10"/>
      <c r="N46" s="10"/>
      <c r="O46" s="10">
        <f>COUNT(I46:L46)</f>
        <v>0</v>
      </c>
      <c r="P46" s="10" t="s">
        <v>972</v>
      </c>
      <c r="S46" s="267"/>
      <c r="T46" s="10"/>
      <c r="U46" s="10"/>
      <c r="V46" s="10"/>
      <c r="W46" s="10"/>
      <c r="X46" s="10"/>
      <c r="Y46" s="10"/>
      <c r="Z46" s="10">
        <f>COUNT(T46:W46)</f>
        <v>0</v>
      </c>
      <c r="AA46" s="10" t="s">
        <v>962</v>
      </c>
    </row>
    <row r="47" spans="1:27">
      <c r="A47" s="7"/>
      <c r="S47" s="226"/>
    </row>
    <row r="48" spans="1:27" ht="31.5" customHeight="1">
      <c r="A48" s="7"/>
      <c r="B48" s="3" t="s">
        <v>571</v>
      </c>
      <c r="C48" s="3" t="s">
        <v>634</v>
      </c>
      <c r="D48" s="3" t="s">
        <v>616</v>
      </c>
      <c r="E48" s="3" t="s">
        <v>574</v>
      </c>
      <c r="F48" s="3" t="s">
        <v>98</v>
      </c>
      <c r="G48" s="3" t="s">
        <v>575</v>
      </c>
      <c r="H48" s="13">
        <v>3.3</v>
      </c>
      <c r="O48" s="3">
        <f t="shared" ref="O48:O53" si="0">COUNT(I48:L48)</f>
        <v>0</v>
      </c>
      <c r="P48" s="3" t="s">
        <v>975</v>
      </c>
      <c r="S48" s="7"/>
      <c r="Z48" s="3">
        <f t="shared" ref="Z48:Z53" si="1">COUNT(T48:W48)</f>
        <v>0</v>
      </c>
      <c r="AA48" s="3" t="s">
        <v>962</v>
      </c>
    </row>
    <row r="49" spans="1:27" ht="26.4">
      <c r="A49" s="7"/>
      <c r="G49" s="10" t="s">
        <v>576</v>
      </c>
      <c r="H49" s="10">
        <v>0.12</v>
      </c>
      <c r="I49" s="10"/>
      <c r="J49" s="10"/>
      <c r="K49" s="10"/>
      <c r="L49" s="10"/>
      <c r="M49" s="10"/>
      <c r="N49" s="10"/>
      <c r="O49" s="10">
        <f t="shared" si="0"/>
        <v>0</v>
      </c>
      <c r="P49" s="10" t="s">
        <v>975</v>
      </c>
      <c r="S49" s="7"/>
      <c r="T49" s="10"/>
      <c r="U49" s="10"/>
      <c r="V49" s="10"/>
      <c r="W49" s="10"/>
      <c r="X49" s="10"/>
      <c r="Y49" s="10"/>
      <c r="Z49" s="10">
        <f t="shared" si="1"/>
        <v>0</v>
      </c>
      <c r="AA49" s="10" t="s">
        <v>972</v>
      </c>
    </row>
    <row r="50" spans="1:27" ht="31.5" customHeight="1">
      <c r="A50" s="348"/>
      <c r="B50" s="3" t="s">
        <v>571</v>
      </c>
      <c r="C50" s="242" t="s">
        <v>632</v>
      </c>
      <c r="D50" s="242" t="s">
        <v>924</v>
      </c>
      <c r="E50" s="242" t="s">
        <v>574</v>
      </c>
      <c r="F50" s="242" t="s">
        <v>97</v>
      </c>
      <c r="G50" s="3" t="s">
        <v>575</v>
      </c>
      <c r="H50" s="13">
        <v>3.3</v>
      </c>
      <c r="O50" s="3">
        <f t="shared" si="0"/>
        <v>0</v>
      </c>
      <c r="P50" s="3" t="s">
        <v>965</v>
      </c>
      <c r="S50" s="348"/>
      <c r="Z50" s="3">
        <f t="shared" si="1"/>
        <v>0</v>
      </c>
      <c r="AA50" s="3" t="s">
        <v>998</v>
      </c>
    </row>
    <row r="51" spans="1:27" ht="26.4">
      <c r="A51" s="348"/>
      <c r="G51" s="10" t="s">
        <v>576</v>
      </c>
      <c r="H51" s="10">
        <v>0.12</v>
      </c>
      <c r="I51" s="10"/>
      <c r="J51" s="10"/>
      <c r="K51" s="10"/>
      <c r="L51" s="10"/>
      <c r="M51" s="10"/>
      <c r="N51" s="10"/>
      <c r="O51" s="10">
        <f t="shared" si="0"/>
        <v>0</v>
      </c>
      <c r="P51" s="10" t="s">
        <v>975</v>
      </c>
      <c r="S51" s="348"/>
      <c r="T51" s="203"/>
      <c r="U51" s="203"/>
      <c r="V51" s="203"/>
      <c r="W51" s="203"/>
      <c r="X51" s="203"/>
      <c r="Y51" s="203"/>
      <c r="Z51" s="203">
        <f t="shared" si="1"/>
        <v>0</v>
      </c>
      <c r="AA51" s="203" t="s">
        <v>972</v>
      </c>
    </row>
    <row r="52" spans="1:27" ht="31.5" customHeight="1">
      <c r="A52" s="226"/>
      <c r="B52" s="242" t="s">
        <v>780</v>
      </c>
      <c r="C52" s="242" t="s">
        <v>785</v>
      </c>
      <c r="D52" s="242" t="s">
        <v>637</v>
      </c>
      <c r="E52" s="242" t="s">
        <v>574</v>
      </c>
      <c r="F52" s="242" t="s">
        <v>777</v>
      </c>
      <c r="G52" s="3" t="s">
        <v>575</v>
      </c>
      <c r="H52" s="13">
        <v>3.3</v>
      </c>
      <c r="O52" s="3">
        <f t="shared" si="0"/>
        <v>0</v>
      </c>
      <c r="P52" s="3" t="s">
        <v>975</v>
      </c>
      <c r="S52" s="226"/>
      <c r="Z52" s="3">
        <f t="shared" si="1"/>
        <v>0</v>
      </c>
      <c r="AA52" s="3" t="s">
        <v>963</v>
      </c>
    </row>
    <row r="53" spans="1:27" ht="26.4">
      <c r="A53" s="226"/>
      <c r="G53" s="10" t="s">
        <v>576</v>
      </c>
      <c r="H53" s="10">
        <v>0.12</v>
      </c>
      <c r="I53" s="10"/>
      <c r="J53" s="10"/>
      <c r="K53" s="10"/>
      <c r="L53" s="10"/>
      <c r="M53" s="10"/>
      <c r="N53" s="10"/>
      <c r="O53" s="10">
        <f t="shared" si="0"/>
        <v>0</v>
      </c>
      <c r="P53" s="10" t="s">
        <v>972</v>
      </c>
      <c r="S53" s="226"/>
      <c r="T53" s="10"/>
      <c r="U53" s="10"/>
      <c r="V53" s="10"/>
      <c r="W53" s="10"/>
      <c r="X53" s="10"/>
      <c r="Y53" s="10"/>
      <c r="Z53" s="10">
        <f t="shared" si="1"/>
        <v>0</v>
      </c>
      <c r="AA53" s="10" t="s">
        <v>999</v>
      </c>
    </row>
    <row r="55" spans="1:27">
      <c r="A55" s="421" t="s">
        <v>590</v>
      </c>
      <c r="B55" s="8" t="s">
        <v>74</v>
      </c>
      <c r="C55" s="8"/>
      <c r="D55" s="8" t="s">
        <v>74</v>
      </c>
      <c r="E55" s="8"/>
      <c r="F55" s="8"/>
      <c r="G55" s="12"/>
      <c r="H55" s="12"/>
      <c r="I55" s="12"/>
      <c r="J55" s="12"/>
      <c r="K55" s="12"/>
      <c r="L55" s="12"/>
      <c r="M55" s="12"/>
      <c r="N55" s="12"/>
      <c r="O55" s="12"/>
      <c r="P55" s="12"/>
      <c r="S55" s="421" t="s">
        <v>590</v>
      </c>
      <c r="T55" s="12"/>
      <c r="U55" s="12"/>
      <c r="V55" s="12"/>
      <c r="W55" s="12"/>
      <c r="X55" s="12"/>
      <c r="Y55" s="12"/>
      <c r="Z55" s="12"/>
      <c r="AA55" s="12"/>
    </row>
    <row r="56" spans="1:27" ht="26.4">
      <c r="A56" s="421"/>
      <c r="B56" s="3" t="s">
        <v>571</v>
      </c>
      <c r="C56" s="3" t="s">
        <v>632</v>
      </c>
      <c r="D56" s="3" t="s">
        <v>594</v>
      </c>
      <c r="E56" s="3" t="s">
        <v>574</v>
      </c>
      <c r="G56" s="3" t="s">
        <v>575</v>
      </c>
      <c r="H56" s="13">
        <v>1.6</v>
      </c>
      <c r="J56" s="3">
        <v>4.1437025162337662</v>
      </c>
      <c r="M56" s="3">
        <f>AVERAGE(I56:L56)</f>
        <v>4.1437025162337662</v>
      </c>
      <c r="O56" s="3">
        <f>COUNT(I56:L56)</f>
        <v>1</v>
      </c>
      <c r="P56" s="3" t="s">
        <v>960</v>
      </c>
      <c r="S56" s="421"/>
      <c r="U56" s="3">
        <v>4.10368161525974</v>
      </c>
      <c r="X56" s="3">
        <f>AVERAGE(T56:W56)</f>
        <v>4.10368161525974</v>
      </c>
      <c r="Z56" s="3">
        <f>COUNT(T56:W56)</f>
        <v>1</v>
      </c>
      <c r="AA56" s="3" t="s">
        <v>984</v>
      </c>
    </row>
    <row r="57" spans="1:27" ht="26.4">
      <c r="A57" s="421"/>
      <c r="G57" s="10" t="s">
        <v>576</v>
      </c>
      <c r="H57" s="10">
        <v>4.4999999999999998E-2</v>
      </c>
      <c r="I57" s="10"/>
      <c r="J57" s="10">
        <v>8.3120332792207791E-2</v>
      </c>
      <c r="K57" s="10"/>
      <c r="L57" s="10"/>
      <c r="M57" s="10">
        <f>AVERAGE(I57:L57)</f>
        <v>8.3120332792207791E-2</v>
      </c>
      <c r="N57" s="10"/>
      <c r="O57" s="10">
        <f>COUNT(I57:L57)</f>
        <v>1</v>
      </c>
      <c r="P57" s="10" t="s">
        <v>984</v>
      </c>
      <c r="S57" s="421"/>
      <c r="T57" s="10"/>
      <c r="U57" s="10">
        <v>7.4910917207792208E-2</v>
      </c>
      <c r="V57" s="10"/>
      <c r="W57" s="10"/>
      <c r="X57" s="10">
        <f>AVERAGE(T57:W57)</f>
        <v>7.4910917207792208E-2</v>
      </c>
      <c r="Y57" s="10"/>
      <c r="Z57" s="10">
        <f>COUNT(T57:W57)</f>
        <v>1</v>
      </c>
      <c r="AA57" s="10" t="s">
        <v>961</v>
      </c>
    </row>
    <row r="58" spans="1:27">
      <c r="A58" s="421"/>
      <c r="S58" s="421"/>
    </row>
    <row r="59" spans="1:27">
      <c r="A59" s="421"/>
      <c r="S59" s="421"/>
    </row>
    <row r="60" spans="1:27" ht="26.4">
      <c r="A60" s="421"/>
      <c r="B60" s="3" t="s">
        <v>571</v>
      </c>
      <c r="C60" s="3" t="s">
        <v>632</v>
      </c>
      <c r="D60" s="3" t="s">
        <v>591</v>
      </c>
      <c r="E60" s="3" t="s">
        <v>574</v>
      </c>
      <c r="G60" s="3" t="s">
        <v>575</v>
      </c>
      <c r="H60" s="13">
        <v>1.6</v>
      </c>
      <c r="O60" s="3">
        <f>COUNT(I60:L60)</f>
        <v>0</v>
      </c>
      <c r="P60" s="3" t="s">
        <v>975</v>
      </c>
      <c r="S60" s="421"/>
      <c r="Z60" s="3">
        <f>COUNT(T60:W60)</f>
        <v>0</v>
      </c>
      <c r="AA60" s="3" t="s">
        <v>971</v>
      </c>
    </row>
    <row r="61" spans="1:27" ht="26.4">
      <c r="A61" s="421"/>
      <c r="G61" s="10" t="s">
        <v>576</v>
      </c>
      <c r="H61" s="10">
        <v>4.4999999999999998E-2</v>
      </c>
      <c r="I61" s="10"/>
      <c r="J61" s="10"/>
      <c r="K61" s="10"/>
      <c r="L61" s="10"/>
      <c r="M61" s="10"/>
      <c r="N61" s="10"/>
      <c r="O61" s="10">
        <f>COUNT(I61:L61)</f>
        <v>0</v>
      </c>
      <c r="P61" s="10" t="s">
        <v>972</v>
      </c>
      <c r="S61" s="421"/>
      <c r="T61" s="10"/>
      <c r="U61" s="10"/>
      <c r="V61" s="10"/>
      <c r="W61" s="10"/>
      <c r="X61" s="10"/>
      <c r="Y61" s="10"/>
      <c r="Z61" s="10">
        <f>COUNT(T61:W61)</f>
        <v>0</v>
      </c>
      <c r="AA61" s="10" t="s">
        <v>971</v>
      </c>
    </row>
    <row r="62" spans="1:27">
      <c r="A62" s="421"/>
      <c r="S62" s="421"/>
    </row>
    <row r="63" spans="1:27" ht="26.4">
      <c r="A63" s="421"/>
      <c r="B63" s="3" t="s">
        <v>571</v>
      </c>
      <c r="C63" s="3" t="s">
        <v>632</v>
      </c>
      <c r="D63" s="3" t="s">
        <v>640</v>
      </c>
      <c r="E63" s="3" t="s">
        <v>574</v>
      </c>
      <c r="G63" s="3" t="s">
        <v>575</v>
      </c>
      <c r="H63" s="13">
        <v>1.6</v>
      </c>
      <c r="J63" s="3">
        <v>4.8076390016233761</v>
      </c>
      <c r="M63" s="3">
        <f>AVERAGE(I63:L63)</f>
        <v>4.8076390016233761</v>
      </c>
      <c r="O63" s="3">
        <f>COUNT(I63:L63)</f>
        <v>1</v>
      </c>
      <c r="P63" s="3" t="s">
        <v>978</v>
      </c>
      <c r="S63" s="421"/>
      <c r="T63" s="3">
        <v>4.7539999999999996</v>
      </c>
      <c r="U63" s="3">
        <v>4.7973772321428569</v>
      </c>
      <c r="X63" s="3">
        <f>AVERAGE(T63:W63)</f>
        <v>4.7756886160714282</v>
      </c>
      <c r="Y63" s="3">
        <f>_xlfn.STDEV.S(T63:W63)</f>
        <v>3.067233499731753E-2</v>
      </c>
      <c r="Z63" s="3">
        <f>COUNT(T63:W63)</f>
        <v>2</v>
      </c>
      <c r="AA63" s="3" t="s">
        <v>960</v>
      </c>
    </row>
    <row r="64" spans="1:27" ht="26.4">
      <c r="A64" s="421"/>
      <c r="G64" s="10" t="s">
        <v>576</v>
      </c>
      <c r="H64" s="10">
        <v>4.4999999999999998E-2</v>
      </c>
      <c r="I64" s="10"/>
      <c r="J64" s="10">
        <v>0.10261769480519481</v>
      </c>
      <c r="K64" s="10"/>
      <c r="L64" s="10"/>
      <c r="M64" s="10">
        <f>AVERAGE(I64:L64)</f>
        <v>0.10261769480519481</v>
      </c>
      <c r="N64" s="10"/>
      <c r="O64" s="10">
        <f>COUNT(I64:L64)</f>
        <v>1</v>
      </c>
      <c r="P64" s="10" t="s">
        <v>978</v>
      </c>
      <c r="S64" s="421"/>
      <c r="T64" s="10">
        <v>9.6000000000000002E-2</v>
      </c>
      <c r="U64" s="10">
        <v>9.3382102272727266E-2</v>
      </c>
      <c r="V64" s="10"/>
      <c r="W64" s="10"/>
      <c r="X64" s="10">
        <f>AVERAGE(T64:W64)</f>
        <v>9.4691051136363641E-2</v>
      </c>
      <c r="Y64" s="10">
        <f>_xlfn.STDEV.S(T64:W64)</f>
        <v>1.8511332354074026E-3</v>
      </c>
      <c r="Z64" s="10">
        <f>COUNT(T64:W64)</f>
        <v>2</v>
      </c>
      <c r="AA64" s="10" t="s">
        <v>968</v>
      </c>
    </row>
    <row r="65" spans="1:27">
      <c r="A65" s="421"/>
      <c r="S65" s="421"/>
    </row>
    <row r="66" spans="1:27" ht="26.4">
      <c r="A66" s="421"/>
      <c r="B66" s="3" t="s">
        <v>571</v>
      </c>
      <c r="C66" s="3" t="s">
        <v>634</v>
      </c>
      <c r="D66" s="3" t="s">
        <v>593</v>
      </c>
      <c r="E66" s="3" t="s">
        <v>574</v>
      </c>
      <c r="G66" s="3" t="s">
        <v>575</v>
      </c>
      <c r="H66" s="13">
        <v>1.6</v>
      </c>
      <c r="O66" s="3">
        <f>COUNT(I66:L66)</f>
        <v>0</v>
      </c>
      <c r="P66" s="3" t="s">
        <v>972</v>
      </c>
      <c r="S66" s="421"/>
      <c r="Z66" s="3">
        <f>COUNT(T66:W66)</f>
        <v>0</v>
      </c>
      <c r="AA66" s="3" t="s">
        <v>975</v>
      </c>
    </row>
    <row r="67" spans="1:27" ht="26.4">
      <c r="A67" s="421"/>
      <c r="G67" s="10" t="s">
        <v>576</v>
      </c>
      <c r="H67" s="10">
        <v>4.4999999999999998E-2</v>
      </c>
      <c r="I67" s="10"/>
      <c r="J67" s="10"/>
      <c r="K67" s="10"/>
      <c r="L67" s="10"/>
      <c r="M67" s="10"/>
      <c r="N67" s="10"/>
      <c r="O67" s="10">
        <f>COUNT(I67:L67)</f>
        <v>0</v>
      </c>
      <c r="P67" s="10" t="s">
        <v>975</v>
      </c>
      <c r="S67" s="421"/>
      <c r="T67" s="10"/>
      <c r="U67" s="10"/>
      <c r="V67" s="10"/>
      <c r="W67" s="10"/>
      <c r="X67" s="10"/>
      <c r="Y67" s="10"/>
      <c r="Z67" s="10">
        <f>COUNT(T67:W67)</f>
        <v>0</v>
      </c>
      <c r="AA67" s="10" t="s">
        <v>972</v>
      </c>
    </row>
    <row r="68" spans="1:27">
      <c r="A68" s="421"/>
      <c r="S68" s="421"/>
    </row>
    <row r="69" spans="1:27" ht="26.4">
      <c r="A69" s="421"/>
      <c r="B69" s="3" t="s">
        <v>571</v>
      </c>
      <c r="C69" s="3" t="s">
        <v>632</v>
      </c>
      <c r="D69" s="3" t="s">
        <v>642</v>
      </c>
      <c r="E69" s="3" t="s">
        <v>574</v>
      </c>
      <c r="G69" s="3" t="s">
        <v>575</v>
      </c>
      <c r="H69" s="13">
        <v>1.6</v>
      </c>
      <c r="O69" s="3">
        <f>COUNT(I69:L69)</f>
        <v>0</v>
      </c>
      <c r="P69" s="3" t="s">
        <v>996</v>
      </c>
      <c r="S69" s="421"/>
      <c r="Z69" s="3">
        <f>COUNT(T69:W69)</f>
        <v>0</v>
      </c>
      <c r="AA69" s="3" t="s">
        <v>975</v>
      </c>
    </row>
    <row r="70" spans="1:27" ht="26.4">
      <c r="A70" s="421"/>
      <c r="G70" s="10" t="s">
        <v>576</v>
      </c>
      <c r="H70" s="10">
        <v>4.4999999999999998E-2</v>
      </c>
      <c r="I70" s="10"/>
      <c r="J70" s="10"/>
      <c r="K70" s="10"/>
      <c r="L70" s="10"/>
      <c r="M70" s="10"/>
      <c r="N70" s="10"/>
      <c r="O70" s="10">
        <f>COUNT(I70:L70)</f>
        <v>0</v>
      </c>
      <c r="P70" s="10" t="s">
        <v>975</v>
      </c>
      <c r="S70" s="421"/>
      <c r="T70" s="10"/>
      <c r="U70" s="10"/>
      <c r="V70" s="10"/>
      <c r="W70" s="10"/>
      <c r="X70" s="10"/>
      <c r="Y70" s="10"/>
      <c r="Z70" s="10">
        <f>COUNT(T70:W70)</f>
        <v>0</v>
      </c>
      <c r="AA70" s="10" t="s">
        <v>972</v>
      </c>
    </row>
    <row r="71" spans="1:27">
      <c r="A71" s="210"/>
      <c r="S71" s="210"/>
    </row>
    <row r="72" spans="1:27" ht="39.6">
      <c r="A72" s="210"/>
      <c r="B72" s="3" t="s">
        <v>577</v>
      </c>
      <c r="C72" s="202" t="s">
        <v>785</v>
      </c>
      <c r="D72" s="3" t="s">
        <v>641</v>
      </c>
      <c r="E72" s="3" t="s">
        <v>574</v>
      </c>
      <c r="G72" s="3" t="s">
        <v>575</v>
      </c>
      <c r="H72" s="13">
        <v>1.6</v>
      </c>
      <c r="J72" s="3">
        <v>3.3576509740259737</v>
      </c>
      <c r="M72" s="3">
        <f>AVERAGE(I72:L72)</f>
        <v>3.3576509740259737</v>
      </c>
      <c r="O72" s="3">
        <f>COUNT(I72:L72)</f>
        <v>1</v>
      </c>
      <c r="P72" s="3" t="s">
        <v>978</v>
      </c>
      <c r="S72" s="210"/>
      <c r="U72" s="3">
        <v>3.3094206574675327</v>
      </c>
      <c r="X72" s="3">
        <f>AVERAGE(T72:W72)</f>
        <v>3.3094206574675327</v>
      </c>
      <c r="Z72" s="3">
        <f>COUNT(T72:W72)</f>
        <v>1</v>
      </c>
      <c r="AA72" s="3" t="s">
        <v>978</v>
      </c>
    </row>
    <row r="73" spans="1:27" ht="26.4">
      <c r="A73" s="210"/>
      <c r="G73" s="10" t="s">
        <v>576</v>
      </c>
      <c r="H73" s="10">
        <v>4.4999999999999998E-2</v>
      </c>
      <c r="I73" s="10"/>
      <c r="J73" s="10">
        <v>6.8753855519480517E-2</v>
      </c>
      <c r="K73" s="10"/>
      <c r="L73" s="10"/>
      <c r="M73" s="10">
        <f>AVERAGE(I73:L73)</f>
        <v>6.8753855519480517E-2</v>
      </c>
      <c r="N73" s="10"/>
      <c r="O73" s="10">
        <f>COUNT(I73:L73)</f>
        <v>1</v>
      </c>
      <c r="P73" s="10" t="s">
        <v>978</v>
      </c>
      <c r="S73" s="210"/>
      <c r="T73" s="10"/>
      <c r="U73" s="10">
        <v>6.3622970779220772E-2</v>
      </c>
      <c r="V73" s="10"/>
      <c r="W73" s="10"/>
      <c r="X73" s="10">
        <f>AVERAGE(T73:W73)</f>
        <v>6.3622970779220772E-2</v>
      </c>
      <c r="Y73" s="10"/>
      <c r="Z73" s="10">
        <f>COUNT(T73:W73)</f>
        <v>1</v>
      </c>
      <c r="AA73" s="10" t="s">
        <v>968</v>
      </c>
    </row>
    <row r="74" spans="1:27">
      <c r="A74" s="16"/>
      <c r="S74" s="16"/>
    </row>
    <row r="75" spans="1:27">
      <c r="A75" s="16"/>
      <c r="B75" s="8" t="s">
        <v>75</v>
      </c>
      <c r="C75" s="8"/>
      <c r="D75" s="8" t="s">
        <v>75</v>
      </c>
      <c r="E75" s="8"/>
      <c r="F75" s="8"/>
      <c r="G75" s="12"/>
      <c r="H75" s="12"/>
      <c r="I75" s="12"/>
      <c r="J75" s="12"/>
      <c r="K75" s="12"/>
      <c r="L75" s="12"/>
      <c r="M75" s="12"/>
      <c r="N75" s="12"/>
      <c r="O75" s="12"/>
      <c r="P75" s="12"/>
      <c r="S75" s="16"/>
      <c r="T75" s="12"/>
      <c r="U75" s="12"/>
      <c r="V75" s="12"/>
      <c r="W75" s="12"/>
      <c r="X75" s="12"/>
      <c r="Y75" s="12"/>
      <c r="Z75" s="12"/>
      <c r="AA75" s="12"/>
    </row>
    <row r="76" spans="1:27" ht="39.6">
      <c r="A76" s="16"/>
      <c r="B76" s="3" t="s">
        <v>571</v>
      </c>
      <c r="C76" s="3" t="s">
        <v>632</v>
      </c>
      <c r="D76" s="3" t="s">
        <v>595</v>
      </c>
      <c r="E76" s="3" t="s">
        <v>587</v>
      </c>
      <c r="F76" s="3" t="s">
        <v>97</v>
      </c>
      <c r="G76" s="3" t="s">
        <v>575</v>
      </c>
      <c r="H76" s="13">
        <v>1.6</v>
      </c>
      <c r="J76" s="3">
        <v>3.334050420168067</v>
      </c>
      <c r="M76" s="3">
        <f>AVERAGE(I76:L76)</f>
        <v>3.334050420168067</v>
      </c>
      <c r="O76" s="3">
        <f>COUNT(I76:L76)</f>
        <v>1</v>
      </c>
      <c r="P76" s="3" t="s">
        <v>960</v>
      </c>
      <c r="S76" s="16"/>
      <c r="U76" s="3">
        <v>3.3091831932773106</v>
      </c>
      <c r="X76" s="3">
        <f>AVERAGE(T76:W76)</f>
        <v>3.3091831932773106</v>
      </c>
      <c r="Z76" s="3">
        <f>COUNT(T76:W76)</f>
        <v>1</v>
      </c>
      <c r="AA76" s="3" t="s">
        <v>978</v>
      </c>
    </row>
    <row r="77" spans="1:27" ht="26.4">
      <c r="A77" s="16"/>
      <c r="G77" s="10" t="s">
        <v>576</v>
      </c>
      <c r="H77" s="10">
        <v>4.4999999999999998E-2</v>
      </c>
      <c r="I77" s="10"/>
      <c r="J77" s="10">
        <v>6.0786554621848739E-2</v>
      </c>
      <c r="K77" s="10"/>
      <c r="L77" s="10"/>
      <c r="M77" s="10">
        <f>AVERAGE(I77:L77)</f>
        <v>6.0786554621848739E-2</v>
      </c>
      <c r="N77" s="10"/>
      <c r="O77" s="10">
        <f>COUNT(I77:L77)</f>
        <v>1</v>
      </c>
      <c r="P77" s="10" t="s">
        <v>978</v>
      </c>
      <c r="S77" s="16"/>
      <c r="T77" s="10"/>
      <c r="U77" s="10">
        <v>5.4339495798319322E-2</v>
      </c>
      <c r="V77" s="10"/>
      <c r="W77" s="10"/>
      <c r="X77" s="10">
        <f>AVERAGE(T77:W77)</f>
        <v>5.4339495798319322E-2</v>
      </c>
      <c r="Y77" s="10"/>
      <c r="Z77" s="10">
        <f>COUNT(T77:W77)</f>
        <v>1</v>
      </c>
      <c r="AA77" s="10" t="s">
        <v>978</v>
      </c>
    </row>
    <row r="78" spans="1:27">
      <c r="A78" s="16"/>
      <c r="S78" s="16"/>
    </row>
    <row r="79" spans="1:27" ht="39.6">
      <c r="A79" s="16"/>
      <c r="B79" s="3" t="s">
        <v>571</v>
      </c>
      <c r="C79" s="3" t="s">
        <v>632</v>
      </c>
      <c r="D79" s="3" t="s">
        <v>595</v>
      </c>
      <c r="E79" s="3" t="s">
        <v>574</v>
      </c>
      <c r="F79" s="3" t="s">
        <v>97</v>
      </c>
      <c r="G79" s="3" t="s">
        <v>575</v>
      </c>
      <c r="H79" s="13">
        <v>1.6</v>
      </c>
      <c r="J79" s="3">
        <v>3.5628913494809686</v>
      </c>
      <c r="M79" s="3">
        <f>AVERAGE(I79:L79)</f>
        <v>3.5628913494809686</v>
      </c>
      <c r="O79" s="3">
        <f>COUNT(I79:L79)</f>
        <v>1</v>
      </c>
      <c r="P79" s="3" t="s">
        <v>978</v>
      </c>
      <c r="S79" s="16"/>
      <c r="U79" s="3">
        <v>3.5666948096885811</v>
      </c>
      <c r="X79" s="3">
        <f>AVERAGE(T79:W79)</f>
        <v>3.5666948096885811</v>
      </c>
      <c r="Z79" s="3">
        <f>COUNT(T79:W79)</f>
        <v>1</v>
      </c>
      <c r="AA79" s="3" t="s">
        <v>978</v>
      </c>
    </row>
    <row r="80" spans="1:27" ht="26.4">
      <c r="A80" s="16"/>
      <c r="G80" s="10" t="s">
        <v>576</v>
      </c>
      <c r="H80" s="10">
        <v>4.4999999999999998E-2</v>
      </c>
      <c r="I80" s="10"/>
      <c r="J80" s="10">
        <v>4.9444982698961935E-2</v>
      </c>
      <c r="K80" s="10"/>
      <c r="L80" s="10"/>
      <c r="M80" s="10">
        <f>AVERAGE(I80:L80)</f>
        <v>4.9444982698961935E-2</v>
      </c>
      <c r="N80" s="10"/>
      <c r="O80" s="10">
        <f>COUNT(I80:L80)</f>
        <v>1</v>
      </c>
      <c r="P80" s="10" t="s">
        <v>978</v>
      </c>
      <c r="S80" s="16"/>
      <c r="T80" s="10"/>
      <c r="U80" s="10">
        <v>4.2788927335640138E-2</v>
      </c>
      <c r="V80" s="10"/>
      <c r="W80" s="10"/>
      <c r="X80" s="10">
        <f>AVERAGE(T80:W80)</f>
        <v>4.2788927335640138E-2</v>
      </c>
      <c r="Y80" s="10"/>
      <c r="Z80" s="10">
        <f>COUNT(T80:W80)</f>
        <v>1</v>
      </c>
      <c r="AA80" s="10" t="s">
        <v>1000</v>
      </c>
    </row>
    <row r="81" spans="1:27">
      <c r="A81" s="16"/>
      <c r="S81" s="16"/>
    </row>
    <row r="82" spans="1:27" ht="39.6">
      <c r="A82" s="16"/>
      <c r="B82" s="3" t="s">
        <v>571</v>
      </c>
      <c r="C82" s="3" t="s">
        <v>632</v>
      </c>
      <c r="D82" s="3" t="s">
        <v>643</v>
      </c>
      <c r="E82" s="3" t="s">
        <v>587</v>
      </c>
      <c r="F82" s="3" t="s">
        <v>97</v>
      </c>
      <c r="G82" s="3" t="s">
        <v>575</v>
      </c>
      <c r="H82" s="13">
        <v>1.6</v>
      </c>
      <c r="J82" s="3">
        <v>3.8369210084033614</v>
      </c>
      <c r="M82" s="3">
        <f>AVERAGE(I82:L82)</f>
        <v>3.8369210084033614</v>
      </c>
      <c r="O82" s="3">
        <f>COUNT(I82:L82)</f>
        <v>1</v>
      </c>
      <c r="P82" s="3" t="s">
        <v>978</v>
      </c>
      <c r="S82" s="16"/>
      <c r="T82" s="3">
        <v>4.0549999999999997</v>
      </c>
      <c r="U82" s="3">
        <v>3.824947899159663</v>
      </c>
      <c r="X82" s="3">
        <f>AVERAGE(T82:W82)</f>
        <v>3.9399739495798314</v>
      </c>
      <c r="Y82" s="3">
        <f>_xlfn.STDEV.S(T82:W82)</f>
        <v>0.16267140053041351</v>
      </c>
      <c r="Z82" s="3">
        <f>COUNT(T82:W82)</f>
        <v>2</v>
      </c>
      <c r="AA82" s="3" t="s">
        <v>960</v>
      </c>
    </row>
    <row r="83" spans="1:27" ht="26.4">
      <c r="A83" s="16"/>
      <c r="G83" s="10" t="s">
        <v>576</v>
      </c>
      <c r="H83" s="10">
        <v>4.4999999999999998E-2</v>
      </c>
      <c r="I83" s="10"/>
      <c r="J83" s="10">
        <v>7.275966386554622E-2</v>
      </c>
      <c r="K83" s="10"/>
      <c r="L83" s="10"/>
      <c r="M83" s="10">
        <f>AVERAGE(I83:L83)</f>
        <v>7.275966386554622E-2</v>
      </c>
      <c r="N83" s="10"/>
      <c r="O83" s="10">
        <f>COUNT(I83:L83)</f>
        <v>1</v>
      </c>
      <c r="P83" s="10" t="s">
        <v>969</v>
      </c>
      <c r="S83" s="16"/>
      <c r="T83" s="10">
        <v>0.06</v>
      </c>
      <c r="U83" s="10">
        <v>6.5391596638655458E-2</v>
      </c>
      <c r="V83" s="10"/>
      <c r="W83" s="10"/>
      <c r="X83" s="10">
        <f>AVERAGE(T83:W83)</f>
        <v>6.2695798319327728E-2</v>
      </c>
      <c r="Y83" s="10">
        <f>_xlfn.STDEV.S(T83:W83)</f>
        <v>3.8124345446158715E-3</v>
      </c>
      <c r="Z83" s="10">
        <f>COUNT(T83:W83)</f>
        <v>2</v>
      </c>
      <c r="AA83" s="10" t="s">
        <v>978</v>
      </c>
    </row>
    <row r="84" spans="1:27">
      <c r="A84" s="16"/>
      <c r="S84" s="16"/>
    </row>
    <row r="85" spans="1:27" ht="39.6">
      <c r="A85" s="16"/>
      <c r="B85" s="3" t="s">
        <v>571</v>
      </c>
      <c r="C85" s="3" t="s">
        <v>632</v>
      </c>
      <c r="D85" s="3" t="s">
        <v>643</v>
      </c>
      <c r="E85" s="3" t="s">
        <v>574</v>
      </c>
      <c r="F85" s="3" t="s">
        <v>97</v>
      </c>
      <c r="G85" s="3" t="s">
        <v>575</v>
      </c>
      <c r="H85" s="13">
        <v>1.6</v>
      </c>
      <c r="J85" s="3">
        <v>4.0725550173010383</v>
      </c>
      <c r="M85" s="3">
        <f>AVERAGE(I85:L85)</f>
        <v>4.0725550173010383</v>
      </c>
      <c r="O85" s="3">
        <f>COUNT(I85:L85)</f>
        <v>1</v>
      </c>
      <c r="P85" s="3" t="s">
        <v>995</v>
      </c>
      <c r="S85" s="16"/>
      <c r="T85" s="3">
        <v>3.8919999999999999</v>
      </c>
      <c r="U85" s="3">
        <v>4.0820636678200692</v>
      </c>
      <c r="X85" s="3">
        <f>AVERAGE(T85:W85)</f>
        <v>3.9870318339100344</v>
      </c>
      <c r="Y85" s="3">
        <f>_xlfn.STDEV.S(T85:W85)</f>
        <v>0.1343953083727584</v>
      </c>
      <c r="Z85" s="3">
        <f>COUNT(T85:W85)</f>
        <v>2</v>
      </c>
      <c r="AA85" s="3" t="s">
        <v>978</v>
      </c>
    </row>
    <row r="86" spans="1:27" ht="26.4">
      <c r="A86" s="16"/>
      <c r="G86" s="10" t="s">
        <v>576</v>
      </c>
      <c r="H86" s="10">
        <v>4.4999999999999998E-2</v>
      </c>
      <c r="I86" s="10"/>
      <c r="J86" s="10">
        <v>5.9904498269896196E-2</v>
      </c>
      <c r="K86" s="10"/>
      <c r="L86" s="10"/>
      <c r="M86" s="10">
        <f>AVERAGE(I86:L86)</f>
        <v>5.9904498269896196E-2</v>
      </c>
      <c r="N86" s="10"/>
      <c r="O86" s="10">
        <f>COUNT(I86:L86)</f>
        <v>1</v>
      </c>
      <c r="P86" s="10" t="s">
        <v>960</v>
      </c>
      <c r="S86" s="16"/>
      <c r="T86" s="10">
        <v>5.8000000000000003E-2</v>
      </c>
      <c r="U86" s="10">
        <v>5.3248442906574399E-2</v>
      </c>
      <c r="V86" s="10"/>
      <c r="W86" s="10"/>
      <c r="X86" s="10">
        <f>AVERAGE(T86:W86)</f>
        <v>5.5624221453287201E-2</v>
      </c>
      <c r="Y86" s="10">
        <f>_xlfn.STDEV.S(T86:W86)</f>
        <v>3.3598582419562865E-3</v>
      </c>
      <c r="Z86" s="10">
        <f>COUNT(T86:W86)</f>
        <v>2</v>
      </c>
      <c r="AA86" s="10" t="s">
        <v>960</v>
      </c>
    </row>
    <row r="87" spans="1:27">
      <c r="A87" s="16"/>
      <c r="S87" s="421"/>
    </row>
    <row r="88" spans="1:27" ht="39.6">
      <c r="A88" s="16"/>
      <c r="B88" s="3" t="s">
        <v>571</v>
      </c>
      <c r="C88" s="3" t="s">
        <v>634</v>
      </c>
      <c r="D88" s="3" t="s">
        <v>644</v>
      </c>
      <c r="E88" s="3" t="s">
        <v>574</v>
      </c>
      <c r="F88" s="3" t="s">
        <v>98</v>
      </c>
      <c r="G88" s="3" t="s">
        <v>575</v>
      </c>
      <c r="H88" s="13">
        <v>1.6</v>
      </c>
      <c r="O88" s="3">
        <f>COUNT(I88:L88)</f>
        <v>0</v>
      </c>
      <c r="P88" s="3" t="s">
        <v>972</v>
      </c>
      <c r="S88" s="421"/>
      <c r="Z88" s="3">
        <f>COUNT(T88:W88)</f>
        <v>0</v>
      </c>
      <c r="AA88" s="3" t="s">
        <v>970</v>
      </c>
    </row>
    <row r="89" spans="1:27" ht="26.4">
      <c r="A89" s="16"/>
      <c r="G89" s="10" t="s">
        <v>576</v>
      </c>
      <c r="H89" s="10">
        <v>4.4999999999999998E-2</v>
      </c>
      <c r="I89" s="10"/>
      <c r="J89" s="10"/>
      <c r="K89" s="10"/>
      <c r="L89" s="10"/>
      <c r="M89" s="10"/>
      <c r="N89" s="10"/>
      <c r="O89" s="10">
        <f>COUNT(I89:L89)</f>
        <v>0</v>
      </c>
      <c r="P89" s="10" t="s">
        <v>996</v>
      </c>
      <c r="S89" s="421"/>
      <c r="T89" s="10"/>
      <c r="U89" s="10"/>
      <c r="V89" s="10"/>
      <c r="W89" s="10"/>
      <c r="X89" s="10"/>
      <c r="Y89" s="10"/>
      <c r="Z89" s="10">
        <f>COUNT(T89:W89)</f>
        <v>0</v>
      </c>
      <c r="AA89" s="10" t="s">
        <v>975</v>
      </c>
    </row>
    <row r="90" spans="1:27">
      <c r="A90" s="20"/>
      <c r="S90" s="421"/>
    </row>
    <row r="91" spans="1:27" ht="39.6">
      <c r="A91" s="16"/>
      <c r="B91" s="3" t="s">
        <v>571</v>
      </c>
      <c r="C91" s="3" t="s">
        <v>611</v>
      </c>
      <c r="D91" s="3" t="s">
        <v>645</v>
      </c>
      <c r="E91" s="3" t="s">
        <v>574</v>
      </c>
      <c r="F91" s="3" t="s">
        <v>628</v>
      </c>
      <c r="G91" s="3" t="s">
        <v>575</v>
      </c>
      <c r="H91" s="13">
        <v>1.6</v>
      </c>
      <c r="I91" s="3">
        <v>4.8240920716112532</v>
      </c>
      <c r="M91" s="3">
        <f>AVERAGE(I91:L91)</f>
        <v>4.8240920716112532</v>
      </c>
      <c r="O91" s="3">
        <f>COUNT(I91:L91)</f>
        <v>1</v>
      </c>
      <c r="P91" s="3" t="s">
        <v>978</v>
      </c>
      <c r="S91" s="421"/>
      <c r="Z91" s="3">
        <f>COUNT(T91:W91)</f>
        <v>0</v>
      </c>
      <c r="AA91" s="3" t="s">
        <v>965</v>
      </c>
    </row>
    <row r="92" spans="1:27" ht="26.4">
      <c r="A92" s="16"/>
      <c r="G92" s="10" t="s">
        <v>576</v>
      </c>
      <c r="H92" s="10">
        <v>4.4999999999999998E-2</v>
      </c>
      <c r="I92" s="10" t="s">
        <v>216</v>
      </c>
      <c r="J92" s="10"/>
      <c r="K92" s="10"/>
      <c r="L92" s="10"/>
      <c r="M92" s="10"/>
      <c r="N92" s="10"/>
      <c r="O92" s="10">
        <f>COUNT(I92:L92)</f>
        <v>0</v>
      </c>
      <c r="P92" s="10" t="s">
        <v>975</v>
      </c>
      <c r="S92" s="421"/>
      <c r="T92" s="10"/>
      <c r="U92" s="10"/>
      <c r="V92" s="10"/>
      <c r="W92" s="10"/>
      <c r="X92" s="10"/>
      <c r="Y92" s="10"/>
      <c r="Z92" s="10">
        <f>COUNT(T92:W92)</f>
        <v>0</v>
      </c>
      <c r="AA92" s="10" t="s">
        <v>972</v>
      </c>
    </row>
    <row r="93" spans="1:27">
      <c r="A93" s="16"/>
      <c r="S93" s="421"/>
    </row>
    <row r="94" spans="1:27" ht="39.6">
      <c r="A94" s="16"/>
      <c r="B94" s="3" t="s">
        <v>571</v>
      </c>
      <c r="C94" s="3" t="s">
        <v>632</v>
      </c>
      <c r="D94" s="15" t="s">
        <v>643</v>
      </c>
      <c r="E94" s="3" t="s">
        <v>587</v>
      </c>
      <c r="F94" s="15" t="s">
        <v>98</v>
      </c>
      <c r="G94" s="3" t="s">
        <v>575</v>
      </c>
      <c r="H94" s="13">
        <v>1.6</v>
      </c>
      <c r="O94" s="3">
        <f>COUNT(I94:L94)</f>
        <v>0</v>
      </c>
      <c r="P94" s="3" t="s">
        <v>996</v>
      </c>
      <c r="S94" s="421"/>
      <c r="Z94" s="3">
        <f>COUNT(T94:W94)</f>
        <v>0</v>
      </c>
      <c r="AA94" s="3" t="s">
        <v>962</v>
      </c>
    </row>
    <row r="95" spans="1:27">
      <c r="A95" s="16"/>
      <c r="G95" s="10"/>
      <c r="H95" s="10"/>
      <c r="I95" s="10"/>
      <c r="J95" s="10"/>
      <c r="K95" s="10"/>
      <c r="L95" s="10"/>
      <c r="M95" s="10"/>
      <c r="N95" s="10"/>
      <c r="O95" s="10"/>
      <c r="P95" s="10"/>
      <c r="S95" s="421"/>
      <c r="T95" s="10"/>
      <c r="U95" s="10"/>
      <c r="V95" s="10"/>
      <c r="W95" s="10"/>
      <c r="X95" s="10"/>
      <c r="Y95" s="10"/>
      <c r="Z95" s="10"/>
      <c r="AA95" s="10"/>
    </row>
    <row r="96" spans="1:27">
      <c r="A96" s="283"/>
      <c r="S96" s="421"/>
    </row>
    <row r="97" spans="1:27" s="242" customFormat="1" ht="39.6">
      <c r="A97" s="302"/>
      <c r="B97" s="242" t="s">
        <v>571</v>
      </c>
      <c r="C97" s="242" t="s">
        <v>632</v>
      </c>
      <c r="D97" s="242" t="s">
        <v>836</v>
      </c>
      <c r="E97" s="242" t="s">
        <v>574</v>
      </c>
      <c r="F97" s="242" t="s">
        <v>837</v>
      </c>
      <c r="G97" s="242" t="s">
        <v>575</v>
      </c>
      <c r="H97" s="303">
        <v>1.6</v>
      </c>
      <c r="O97" s="242">
        <f>COUNT(I97:L97)</f>
        <v>0</v>
      </c>
      <c r="P97" s="242" t="s">
        <v>972</v>
      </c>
      <c r="S97" s="421"/>
      <c r="W97" s="242">
        <v>4.556</v>
      </c>
      <c r="X97" s="242">
        <f>AVERAGE(T97:W97)</f>
        <v>4.556</v>
      </c>
      <c r="Z97" s="242">
        <f>COUNT(T97:W97)</f>
        <v>1</v>
      </c>
      <c r="AA97" s="242" t="s">
        <v>960</v>
      </c>
    </row>
    <row r="98" spans="1:27" s="242" customFormat="1" ht="26.4">
      <c r="A98" s="302"/>
      <c r="G98" s="304" t="s">
        <v>576</v>
      </c>
      <c r="H98" s="304">
        <v>4.4999999999999998E-2</v>
      </c>
      <c r="I98" s="304"/>
      <c r="J98" s="304"/>
      <c r="K98" s="304"/>
      <c r="L98" s="304"/>
      <c r="M98" s="304"/>
      <c r="N98" s="304"/>
      <c r="O98" s="304">
        <f>COUNT(I98:L98)</f>
        <v>0</v>
      </c>
      <c r="P98" s="304" t="s">
        <v>996</v>
      </c>
      <c r="S98" s="421"/>
      <c r="T98" s="304"/>
      <c r="U98" s="304"/>
      <c r="V98" s="304"/>
      <c r="W98" s="304">
        <v>8.6999999999999994E-2</v>
      </c>
      <c r="X98" s="304">
        <f>AVERAGE(T98:W98)</f>
        <v>8.6999999999999994E-2</v>
      </c>
      <c r="Y98" s="304"/>
      <c r="Z98" s="304">
        <f>COUNT(T98:W98)</f>
        <v>1</v>
      </c>
      <c r="AA98" s="304" t="s">
        <v>960</v>
      </c>
    </row>
    <row r="99" spans="1:27">
      <c r="A99" s="283"/>
      <c r="S99" s="421"/>
    </row>
    <row r="100" spans="1:27" s="242" customFormat="1" ht="39.6">
      <c r="A100" s="302"/>
      <c r="B100" s="242" t="s">
        <v>571</v>
      </c>
      <c r="C100" s="242" t="s">
        <v>632</v>
      </c>
      <c r="D100" s="242" t="s">
        <v>836</v>
      </c>
      <c r="E100" s="242" t="s">
        <v>574</v>
      </c>
      <c r="F100" s="242" t="s">
        <v>97</v>
      </c>
      <c r="G100" s="242" t="s">
        <v>575</v>
      </c>
      <c r="H100" s="303">
        <v>1.6</v>
      </c>
      <c r="O100" s="242">
        <f>COUNT(I100:L100)</f>
        <v>0</v>
      </c>
      <c r="P100" s="242" t="s">
        <v>975</v>
      </c>
      <c r="S100" s="421"/>
      <c r="W100" s="242">
        <v>3.7909999999999999</v>
      </c>
      <c r="X100" s="242">
        <f>AVERAGE(T100:W100)</f>
        <v>3.7909999999999999</v>
      </c>
      <c r="Z100" s="242">
        <f>COUNT(T100:W100)</f>
        <v>1</v>
      </c>
      <c r="AA100" s="242" t="s">
        <v>978</v>
      </c>
    </row>
    <row r="101" spans="1:27" s="242" customFormat="1" ht="26.4">
      <c r="A101" s="302"/>
      <c r="G101" s="304" t="s">
        <v>576</v>
      </c>
      <c r="H101" s="304">
        <v>4.4999999999999998E-2</v>
      </c>
      <c r="I101" s="304"/>
      <c r="J101" s="304"/>
      <c r="K101" s="304"/>
      <c r="L101" s="304"/>
      <c r="M101" s="304"/>
      <c r="N101" s="304"/>
      <c r="O101" s="304">
        <f>COUNT(I101:L101)</f>
        <v>0</v>
      </c>
      <c r="P101" s="304" t="s">
        <v>975</v>
      </c>
      <c r="S101" s="421"/>
      <c r="T101" s="304"/>
      <c r="U101" s="304"/>
      <c r="V101" s="304"/>
      <c r="W101" s="304">
        <v>7.6999999999999999E-2</v>
      </c>
      <c r="X101" s="304">
        <f>AVERAGE(T101:W101)</f>
        <v>7.6999999999999999E-2</v>
      </c>
      <c r="Y101" s="304"/>
      <c r="Z101" s="304">
        <f>COUNT(T101:W101)</f>
        <v>1</v>
      </c>
      <c r="AA101" s="304" t="s">
        <v>960</v>
      </c>
    </row>
    <row r="102" spans="1:27">
      <c r="A102" s="16"/>
      <c r="S102" s="421"/>
    </row>
  </sheetData>
  <customSheetViews>
    <customSheetView guid="{67590F70-5005-492E-AD47-1C13C49F2D83}" scale="70">
      <pane xSplit="8" ySplit="2" topLeftCell="R3" activePane="bottomRight" state="frozen"/>
      <selection pane="bottomRight" activeCell="AJ40" sqref="AJ40"/>
      <pageMargins left="0.69930555555555596" right="0.69930555555555596" top="0.75" bottom="0.75" header="0.3" footer="0.3"/>
      <pageSetup paperSize="9" orientation="portrait" horizontalDpi="180" verticalDpi="180"/>
    </customSheetView>
    <customSheetView guid="{A0559F95-FBE7-4275-9B44-A293A1B62940}" scale="70">
      <pane xSplit="8" ySplit="2" topLeftCell="R3" activePane="bottomRight" state="frozen"/>
      <selection pane="bottomRight" activeCell="AJ40" sqref="AJ40"/>
      <pageMargins left="0.69930555555555596" right="0.69930555555555596" top="0.75" bottom="0.75" header="0.3" footer="0.3"/>
      <pageSetup paperSize="9" orientation="portrait" horizontalDpi="180" verticalDpi="180"/>
    </customSheetView>
    <customSheetView guid="{11FB768A-9BE5-454D-8324-F7BD8513C471}" scale="70">
      <pane xSplit="8" ySplit="2" topLeftCell="R48" activePane="bottomRight" state="frozen"/>
      <selection pane="bottomRight" activeCell="T94" sqref="T94"/>
      <pageMargins left="0.69930555555555596" right="0.69930555555555596" top="0.75" bottom="0.75" header="0.3" footer="0.3"/>
      <pageSetup paperSize="9" orientation="portrait" horizontalDpi="180" verticalDpi="180"/>
    </customSheetView>
    <customSheetView guid="{656CB8E5-9B79-4056-861F-BA0520B66BDB}" scale="70">
      <pane xSplit="8" ySplit="2" topLeftCell="I66" activePane="bottomRight" state="frozen"/>
      <selection pane="bottomRight" activeCell="I78" sqref="I78"/>
      <pageMargins left="0.69930555555555596" right="0.69930555555555596" top="0.75" bottom="0.75" header="0.3" footer="0.3"/>
      <pageSetup paperSize="9" orientation="portrait" horizontalDpi="180" verticalDpi="180"/>
    </customSheetView>
    <customSheetView guid="{3A76011A-5D7E-44CA-8EBC-D2C75FB686D2}" scale="70">
      <pane xSplit="8" ySplit="2" topLeftCell="R48" activePane="bottomRight" state="frozen"/>
      <selection pane="bottomRight" activeCell="T94" sqref="T94"/>
      <pageMargins left="0.69930555555555596" right="0.69930555555555596" top="0.75" bottom="0.75" header="0.3" footer="0.3"/>
      <pageSetup paperSize="9" orientation="portrait" horizontalDpi="180" verticalDpi="180"/>
    </customSheetView>
  </customSheetViews>
  <mergeCells count="4">
    <mergeCell ref="G1:H1"/>
    <mergeCell ref="A55:A70"/>
    <mergeCell ref="S55:S70"/>
    <mergeCell ref="S87:S102"/>
  </mergeCells>
  <phoneticPr fontId="9" type="noConversion"/>
  <pageMargins left="0.69930555555555596" right="0.69930555555555596" top="0.75" bottom="0.75" header="0.3" footer="0.3"/>
  <pageSetup paperSize="9" orientation="portrait" horizontalDpi="180" verticalDpi="18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A178"/>
  <sheetViews>
    <sheetView zoomScale="70" zoomScaleNormal="70" workbookViewId="0">
      <pane xSplit="9" ySplit="2" topLeftCell="J3" activePane="bottomRight" state="frozen"/>
      <selection pane="topRight" activeCell="J1" sqref="J1"/>
      <selection pane="bottomLeft" activeCell="A3" sqref="A3"/>
      <selection pane="bottomRight" activeCell="J1" sqref="J1:J1048576"/>
    </sheetView>
  </sheetViews>
  <sheetFormatPr defaultColWidth="9.44140625" defaultRowHeight="13.2"/>
  <cols>
    <col min="1" max="1" width="9.44140625" style="3"/>
    <col min="2" max="2" width="5.5546875" style="3" customWidth="1"/>
    <col min="3" max="3" width="26.5546875" style="3" customWidth="1"/>
    <col min="4" max="4" width="18.88671875" style="3" customWidth="1"/>
    <col min="5" max="5" width="11.44140625" style="3" customWidth="1"/>
    <col min="6" max="6" width="9.44140625" style="3" customWidth="1"/>
    <col min="7" max="7" width="12.88671875" style="4" customWidth="1"/>
    <col min="8" max="8" width="16.44140625" style="3" customWidth="1"/>
    <col min="9" max="9" width="6.44140625" style="3" customWidth="1"/>
    <col min="10" max="16" width="9.44140625" style="3" customWidth="1"/>
    <col min="17" max="19" width="9.44140625" style="3"/>
    <col min="20" max="27" width="9.44140625" style="3" customWidth="1"/>
    <col min="28" max="16384" width="9.44140625" style="3"/>
  </cols>
  <sheetData>
    <row r="1" spans="1:27" s="1" customFormat="1" ht="48" customHeight="1" thickBot="1">
      <c r="A1" s="5" t="s">
        <v>561</v>
      </c>
      <c r="B1" s="1" t="s">
        <v>562</v>
      </c>
      <c r="C1" s="1" t="s">
        <v>563</v>
      </c>
      <c r="D1" s="1" t="s">
        <v>564</v>
      </c>
      <c r="E1" s="1" t="s">
        <v>82</v>
      </c>
      <c r="F1" s="1" t="s">
        <v>95</v>
      </c>
      <c r="G1" s="6" t="s">
        <v>646</v>
      </c>
      <c r="H1" s="422" t="s">
        <v>565</v>
      </c>
      <c r="I1" s="422"/>
      <c r="J1" s="1" t="s">
        <v>5</v>
      </c>
      <c r="K1" s="1" t="s">
        <v>24</v>
      </c>
      <c r="L1" s="1" t="s">
        <v>20</v>
      </c>
      <c r="M1" s="1" t="s">
        <v>566</v>
      </c>
      <c r="N1" s="1" t="s">
        <v>567</v>
      </c>
      <c r="O1" s="1" t="s">
        <v>568</v>
      </c>
      <c r="P1" s="1" t="s">
        <v>1001</v>
      </c>
      <c r="S1" s="5" t="s">
        <v>569</v>
      </c>
      <c r="T1" s="1" t="s">
        <v>15</v>
      </c>
      <c r="U1" s="1" t="s">
        <v>5</v>
      </c>
      <c r="V1" s="1" t="s">
        <v>24</v>
      </c>
      <c r="W1" s="1" t="s">
        <v>20</v>
      </c>
      <c r="X1" s="1" t="s">
        <v>566</v>
      </c>
      <c r="Y1" s="1" t="s">
        <v>567</v>
      </c>
      <c r="Z1" s="1" t="s">
        <v>568</v>
      </c>
      <c r="AA1" s="1" t="s">
        <v>1007</v>
      </c>
    </row>
    <row r="2" spans="1:27" ht="12.75" customHeight="1">
      <c r="A2" s="423" t="s">
        <v>570</v>
      </c>
      <c r="B2" s="8" t="s">
        <v>74</v>
      </c>
      <c r="C2" s="8"/>
      <c r="D2" s="8" t="s">
        <v>74</v>
      </c>
      <c r="E2" s="8"/>
      <c r="F2" s="8"/>
      <c r="G2" s="9"/>
      <c r="H2" s="8"/>
      <c r="I2" s="8"/>
      <c r="J2" s="12"/>
      <c r="K2" s="12"/>
      <c r="L2" s="12"/>
      <c r="M2" s="12"/>
      <c r="N2" s="12"/>
      <c r="O2" s="12"/>
      <c r="P2" s="12"/>
      <c r="S2" s="424" t="s">
        <v>570</v>
      </c>
      <c r="T2" s="12"/>
      <c r="U2" s="12"/>
      <c r="V2" s="12"/>
      <c r="W2" s="12"/>
      <c r="X2" s="12"/>
      <c r="Y2" s="12"/>
      <c r="Z2" s="12"/>
      <c r="AA2" s="12"/>
    </row>
    <row r="3" spans="1:27" ht="26.4">
      <c r="A3" s="423"/>
      <c r="B3" s="3" t="s">
        <v>571</v>
      </c>
      <c r="C3" s="3" t="s">
        <v>572</v>
      </c>
      <c r="D3" s="3" t="s">
        <v>573</v>
      </c>
      <c r="E3" s="3" t="s">
        <v>574</v>
      </c>
      <c r="G3" s="4">
        <v>10</v>
      </c>
      <c r="H3" s="3" t="s">
        <v>575</v>
      </c>
      <c r="I3" s="13">
        <v>3.3</v>
      </c>
      <c r="J3" s="3">
        <v>6.5940000000000003</v>
      </c>
      <c r="M3" s="3">
        <f t="shared" ref="M3:M8" si="0">AVERAGE(J3:L3)</f>
        <v>6.5940000000000003</v>
      </c>
      <c r="O3" s="3">
        <f t="shared" ref="O3:O8" si="1">COUNT(J3:L3)</f>
        <v>1</v>
      </c>
      <c r="P3" s="3" t="s">
        <v>960</v>
      </c>
      <c r="S3" s="423"/>
      <c r="T3" s="3">
        <v>5.165</v>
      </c>
      <c r="U3" s="3">
        <v>6.5369999999999999</v>
      </c>
      <c r="X3" s="3">
        <f t="shared" ref="X3:X8" si="2">AVERAGE(T3:W3)</f>
        <v>5.851</v>
      </c>
      <c r="Y3" s="3">
        <f t="shared" ref="Y3:Y8" si="3">_xlfn.STDEV.S(T3:W3)</f>
        <v>0.97015050378794365</v>
      </c>
      <c r="Z3" s="3">
        <f t="shared" ref="Z3:Z8" si="4">COUNT(T3:W3)</f>
        <v>2</v>
      </c>
      <c r="AA3" s="3" t="s">
        <v>960</v>
      </c>
    </row>
    <row r="4" spans="1:27" ht="26.4">
      <c r="A4" s="423"/>
      <c r="G4" s="4">
        <v>20</v>
      </c>
      <c r="H4" s="3" t="s">
        <v>575</v>
      </c>
      <c r="I4" s="13">
        <v>3.3</v>
      </c>
      <c r="J4" s="3">
        <v>7.384227734688416</v>
      </c>
      <c r="M4" s="3">
        <f t="shared" si="0"/>
        <v>7.384227734688416</v>
      </c>
      <c r="O4" s="3">
        <f t="shared" si="1"/>
        <v>1</v>
      </c>
      <c r="P4" s="3" t="s">
        <v>992</v>
      </c>
      <c r="S4" s="423"/>
      <c r="T4" s="3">
        <v>5.74</v>
      </c>
      <c r="U4" s="3">
        <v>7.3203968307033929</v>
      </c>
      <c r="X4" s="3">
        <f t="shared" si="2"/>
        <v>6.5301984153516965</v>
      </c>
      <c r="Y4" s="3">
        <f t="shared" si="3"/>
        <v>1.1175093159560932</v>
      </c>
      <c r="Z4" s="3">
        <f t="shared" si="4"/>
        <v>2</v>
      </c>
      <c r="AA4" s="3" t="s">
        <v>978</v>
      </c>
    </row>
    <row r="5" spans="1:27" ht="26.4">
      <c r="A5" s="423"/>
      <c r="G5" s="4">
        <v>40</v>
      </c>
      <c r="H5" s="3" t="s">
        <v>575</v>
      </c>
      <c r="I5" s="13">
        <v>3.3</v>
      </c>
      <c r="J5" s="3">
        <v>7.8611273067665124</v>
      </c>
      <c r="M5" s="3">
        <f t="shared" si="0"/>
        <v>7.8611273067665124</v>
      </c>
      <c r="O5" s="3">
        <f t="shared" si="1"/>
        <v>1</v>
      </c>
      <c r="P5" s="3" t="s">
        <v>974</v>
      </c>
      <c r="S5" s="423"/>
      <c r="T5" s="3">
        <v>6.02</v>
      </c>
      <c r="U5" s="3">
        <v>7.7931739769991948</v>
      </c>
      <c r="X5" s="3">
        <f t="shared" si="2"/>
        <v>6.9065869884995976</v>
      </c>
      <c r="Y5" s="3">
        <f t="shared" si="3"/>
        <v>1.2538233433596486</v>
      </c>
      <c r="Z5" s="3">
        <f t="shared" si="4"/>
        <v>2</v>
      </c>
      <c r="AA5" s="3" t="s">
        <v>960</v>
      </c>
    </row>
    <row r="6" spans="1:27" ht="26.4">
      <c r="A6" s="423"/>
      <c r="G6" s="4">
        <v>10</v>
      </c>
      <c r="H6" s="10" t="s">
        <v>576</v>
      </c>
      <c r="I6" s="10">
        <v>0.12</v>
      </c>
      <c r="J6" s="10">
        <v>0.13800000000000001</v>
      </c>
      <c r="K6" s="10"/>
      <c r="L6" s="10"/>
      <c r="M6" s="10">
        <f t="shared" si="0"/>
        <v>0.13800000000000001</v>
      </c>
      <c r="N6" s="10"/>
      <c r="O6" s="10">
        <f t="shared" si="1"/>
        <v>1</v>
      </c>
      <c r="P6" s="10" t="s">
        <v>992</v>
      </c>
      <c r="S6" s="423"/>
      <c r="T6" s="203">
        <v>0.14899999999999999</v>
      </c>
      <c r="U6" s="203">
        <v>0.13</v>
      </c>
      <c r="V6" s="203"/>
      <c r="W6" s="203"/>
      <c r="X6" s="203">
        <f t="shared" si="2"/>
        <v>0.13950000000000001</v>
      </c>
      <c r="Y6" s="203">
        <f t="shared" si="3"/>
        <v>1.3435028842544395E-2</v>
      </c>
      <c r="Z6" s="203">
        <f t="shared" si="4"/>
        <v>2</v>
      </c>
      <c r="AA6" s="203" t="s">
        <v>992</v>
      </c>
    </row>
    <row r="7" spans="1:27" ht="26.4">
      <c r="A7" s="423"/>
      <c r="G7" s="4">
        <v>20</v>
      </c>
      <c r="H7" s="10" t="s">
        <v>576</v>
      </c>
      <c r="I7" s="10">
        <v>0.12</v>
      </c>
      <c r="J7" s="10">
        <v>0.15453797806900235</v>
      </c>
      <c r="K7" s="10"/>
      <c r="L7" s="10"/>
      <c r="M7" s="10">
        <f t="shared" si="0"/>
        <v>0.15453797806900235</v>
      </c>
      <c r="N7" s="10"/>
      <c r="O7" s="10">
        <f t="shared" si="1"/>
        <v>1</v>
      </c>
      <c r="P7" s="10" t="s">
        <v>1002</v>
      </c>
      <c r="S7" s="423"/>
      <c r="T7" s="203">
        <v>0.17</v>
      </c>
      <c r="U7" s="203">
        <v>0.14557925470268337</v>
      </c>
      <c r="V7" s="203"/>
      <c r="W7" s="203"/>
      <c r="X7" s="203">
        <f t="shared" si="2"/>
        <v>0.15778962735134169</v>
      </c>
      <c r="Y7" s="203">
        <f t="shared" si="3"/>
        <v>1.7268074601362086E-2</v>
      </c>
      <c r="Z7" s="203">
        <f t="shared" si="4"/>
        <v>2</v>
      </c>
      <c r="AA7" s="203" t="s">
        <v>992</v>
      </c>
    </row>
    <row r="8" spans="1:27" ht="26.4">
      <c r="A8" s="423"/>
      <c r="G8" s="4">
        <v>40</v>
      </c>
      <c r="H8" s="10" t="s">
        <v>576</v>
      </c>
      <c r="I8" s="10">
        <v>0.12</v>
      </c>
      <c r="J8" s="10">
        <v>0.16451858785771592</v>
      </c>
      <c r="K8" s="10"/>
      <c r="L8" s="10"/>
      <c r="M8" s="10">
        <f t="shared" si="0"/>
        <v>0.16451858785771592</v>
      </c>
      <c r="N8" s="10"/>
      <c r="O8" s="10">
        <f t="shared" si="1"/>
        <v>1</v>
      </c>
      <c r="P8" s="10" t="s">
        <v>960</v>
      </c>
      <c r="S8" s="423"/>
      <c r="T8" s="203">
        <v>0.17</v>
      </c>
      <c r="U8" s="203">
        <v>0.15498127841668891</v>
      </c>
      <c r="V8" s="203"/>
      <c r="W8" s="203"/>
      <c r="X8" s="203">
        <f t="shared" si="2"/>
        <v>0.16249063920834445</v>
      </c>
      <c r="Y8" s="203">
        <f t="shared" si="3"/>
        <v>1.0619839876312046E-2</v>
      </c>
      <c r="Z8" s="203">
        <f t="shared" si="4"/>
        <v>2</v>
      </c>
      <c r="AA8" s="203" t="s">
        <v>960</v>
      </c>
    </row>
    <row r="9" spans="1:27">
      <c r="A9" s="423"/>
      <c r="S9" s="423"/>
    </row>
    <row r="10" spans="1:27">
      <c r="A10" s="423"/>
      <c r="S10" s="423"/>
    </row>
    <row r="11" spans="1:27" ht="26.4">
      <c r="A11" s="423"/>
      <c r="B11" s="3" t="s">
        <v>571</v>
      </c>
      <c r="C11" s="3" t="s">
        <v>578</v>
      </c>
      <c r="D11" s="15" t="s">
        <v>579</v>
      </c>
      <c r="E11" s="3" t="s">
        <v>574</v>
      </c>
      <c r="G11" s="4">
        <v>10</v>
      </c>
      <c r="H11" s="3" t="s">
        <v>575</v>
      </c>
      <c r="I11" s="13">
        <v>3.3</v>
      </c>
      <c r="J11" s="3">
        <v>7.476</v>
      </c>
      <c r="M11" s="3">
        <f t="shared" ref="M11:M16" si="5">AVERAGE(J11:L11)</f>
        <v>7.476</v>
      </c>
      <c r="O11" s="3">
        <f t="shared" ref="O11:O16" si="6">COUNT(J11:L11)</f>
        <v>1</v>
      </c>
      <c r="P11" s="3" t="s">
        <v>993</v>
      </c>
      <c r="S11" s="423"/>
      <c r="U11" s="3">
        <v>7.4560000000000004</v>
      </c>
      <c r="X11" s="3">
        <f t="shared" ref="X11:X16" si="7">AVERAGE(T11:W11)</f>
        <v>7.4560000000000004</v>
      </c>
      <c r="Z11" s="3">
        <f t="shared" ref="Z11:Z16" si="8">COUNT(T11:W11)</f>
        <v>1</v>
      </c>
      <c r="AA11" s="3" t="s">
        <v>992</v>
      </c>
    </row>
    <row r="12" spans="1:27" ht="26.4">
      <c r="A12" s="423"/>
      <c r="D12" s="15"/>
      <c r="G12" s="4">
        <v>20</v>
      </c>
      <c r="H12" s="3" t="s">
        <v>575</v>
      </c>
      <c r="I12" s="13">
        <v>3.3</v>
      </c>
      <c r="J12" s="3">
        <v>8.3916771482863002</v>
      </c>
      <c r="M12" s="3">
        <f t="shared" si="5"/>
        <v>8.3916771482863002</v>
      </c>
      <c r="O12" s="3">
        <f t="shared" si="6"/>
        <v>1</v>
      </c>
      <c r="P12" s="3" t="s">
        <v>992</v>
      </c>
      <c r="S12" s="423"/>
      <c r="U12" s="3">
        <v>8.3692275036948445</v>
      </c>
      <c r="X12" s="3">
        <f t="shared" si="7"/>
        <v>8.3692275036948445</v>
      </c>
      <c r="Z12" s="3">
        <f t="shared" si="8"/>
        <v>1</v>
      </c>
      <c r="AA12" s="3" t="s">
        <v>960</v>
      </c>
    </row>
    <row r="13" spans="1:27" ht="26.4">
      <c r="A13" s="423"/>
      <c r="D13" s="15"/>
      <c r="G13" s="4">
        <v>40</v>
      </c>
      <c r="H13" s="3" t="s">
        <v>575</v>
      </c>
      <c r="I13" s="13">
        <v>3.3</v>
      </c>
      <c r="J13" s="3">
        <v>8.9427881483566782</v>
      </c>
      <c r="M13" s="3">
        <f t="shared" si="5"/>
        <v>8.9427881483566782</v>
      </c>
      <c r="O13" s="3">
        <f t="shared" si="6"/>
        <v>1</v>
      </c>
      <c r="P13" s="3" t="s">
        <v>992</v>
      </c>
      <c r="S13" s="423"/>
      <c r="U13" s="3">
        <v>8.9188641565205184</v>
      </c>
      <c r="X13" s="3">
        <f t="shared" si="7"/>
        <v>8.9188641565205184</v>
      </c>
      <c r="Z13" s="3">
        <f t="shared" si="8"/>
        <v>1</v>
      </c>
      <c r="AA13" s="3" t="s">
        <v>992</v>
      </c>
    </row>
    <row r="14" spans="1:27" ht="26.4">
      <c r="A14" s="423"/>
      <c r="G14" s="4">
        <v>10</v>
      </c>
      <c r="H14" s="10" t="s">
        <v>576</v>
      </c>
      <c r="I14" s="10">
        <v>0.12</v>
      </c>
      <c r="J14" s="10">
        <v>0.151</v>
      </c>
      <c r="K14" s="10"/>
      <c r="L14" s="10"/>
      <c r="M14" s="10">
        <f t="shared" si="5"/>
        <v>0.151</v>
      </c>
      <c r="N14" s="10"/>
      <c r="O14" s="10">
        <f t="shared" si="6"/>
        <v>1</v>
      </c>
      <c r="P14" s="10" t="s">
        <v>992</v>
      </c>
      <c r="S14" s="423"/>
      <c r="T14" s="203"/>
      <c r="U14" s="203">
        <v>0.156</v>
      </c>
      <c r="V14" s="203"/>
      <c r="W14" s="203"/>
      <c r="X14" s="203">
        <f t="shared" si="7"/>
        <v>0.156</v>
      </c>
      <c r="Y14" s="203"/>
      <c r="Z14" s="203">
        <f t="shared" si="8"/>
        <v>1</v>
      </c>
      <c r="AA14" s="203" t="s">
        <v>992</v>
      </c>
    </row>
    <row r="15" spans="1:27" ht="26.4">
      <c r="A15" s="423"/>
      <c r="G15" s="4">
        <v>20</v>
      </c>
      <c r="H15" s="10" t="s">
        <v>576</v>
      </c>
      <c r="I15" s="10">
        <v>0.12</v>
      </c>
      <c r="J15" s="10">
        <v>0.16949481666549374</v>
      </c>
      <c r="K15" s="10"/>
      <c r="L15" s="10"/>
      <c r="M15" s="10">
        <f t="shared" si="5"/>
        <v>0.16949481666549374</v>
      </c>
      <c r="N15" s="10"/>
      <c r="O15" s="10">
        <f t="shared" si="6"/>
        <v>1</v>
      </c>
      <c r="P15" s="10" t="s">
        <v>992</v>
      </c>
      <c r="S15" s="423"/>
      <c r="T15" s="203"/>
      <c r="U15" s="203">
        <v>0.17510722781335777</v>
      </c>
      <c r="V15" s="203"/>
      <c r="W15" s="203"/>
      <c r="X15" s="203">
        <f t="shared" si="7"/>
        <v>0.17510722781335777</v>
      </c>
      <c r="Y15" s="203"/>
      <c r="Z15" s="203">
        <f t="shared" si="8"/>
        <v>1</v>
      </c>
      <c r="AA15" s="203" t="s">
        <v>978</v>
      </c>
    </row>
    <row r="16" spans="1:27" ht="26.4">
      <c r="A16" s="423"/>
      <c r="G16" s="4">
        <v>40</v>
      </c>
      <c r="H16" s="10" t="s">
        <v>576</v>
      </c>
      <c r="I16" s="10">
        <v>0.12</v>
      </c>
      <c r="J16" s="10">
        <v>0.18062613836300942</v>
      </c>
      <c r="K16" s="10"/>
      <c r="L16" s="10"/>
      <c r="M16" s="10">
        <f t="shared" si="5"/>
        <v>0.18062613836300942</v>
      </c>
      <c r="N16" s="10"/>
      <c r="O16" s="10">
        <f t="shared" si="6"/>
        <v>1</v>
      </c>
      <c r="P16" s="10" t="s">
        <v>992</v>
      </c>
      <c r="S16" s="423"/>
      <c r="T16" s="203"/>
      <c r="U16" s="203">
        <v>0.18660713632204948</v>
      </c>
      <c r="V16" s="203"/>
      <c r="W16" s="203"/>
      <c r="X16" s="203">
        <f t="shared" si="7"/>
        <v>0.18660713632204948</v>
      </c>
      <c r="Y16" s="203"/>
      <c r="Z16" s="203">
        <f t="shared" si="8"/>
        <v>1</v>
      </c>
      <c r="AA16" s="203" t="s">
        <v>966</v>
      </c>
    </row>
    <row r="17" spans="1:27">
      <c r="A17" s="423"/>
      <c r="S17" s="423"/>
    </row>
    <row r="18" spans="1:27" ht="26.4">
      <c r="A18" s="423"/>
      <c r="B18" s="3" t="s">
        <v>571</v>
      </c>
      <c r="C18" s="3" t="s">
        <v>572</v>
      </c>
      <c r="D18" s="3" t="s">
        <v>580</v>
      </c>
      <c r="E18" s="3" t="s">
        <v>574</v>
      </c>
      <c r="G18" s="4">
        <v>10</v>
      </c>
      <c r="H18" s="3" t="s">
        <v>575</v>
      </c>
      <c r="I18" s="13">
        <v>3.3</v>
      </c>
      <c r="O18" s="3">
        <f t="shared" ref="O18:O23" si="9">COUNT(J18:L18)</f>
        <v>0</v>
      </c>
      <c r="P18" s="3" t="s">
        <v>989</v>
      </c>
      <c r="S18" s="423"/>
      <c r="Z18" s="3">
        <f t="shared" ref="Z18:Z23" si="10">COUNT(T18:W18)</f>
        <v>0</v>
      </c>
      <c r="AA18" s="3" t="s">
        <v>963</v>
      </c>
    </row>
    <row r="19" spans="1:27" ht="26.4">
      <c r="A19" s="423"/>
      <c r="G19" s="4">
        <v>20</v>
      </c>
      <c r="H19" s="3" t="s">
        <v>575</v>
      </c>
      <c r="I19" s="13">
        <v>3.3</v>
      </c>
      <c r="O19" s="3">
        <f t="shared" si="9"/>
        <v>0</v>
      </c>
      <c r="P19" s="3" t="s">
        <v>989</v>
      </c>
      <c r="S19" s="423"/>
      <c r="Z19" s="3">
        <f t="shared" si="10"/>
        <v>0</v>
      </c>
      <c r="AA19" s="3" t="s">
        <v>991</v>
      </c>
    </row>
    <row r="20" spans="1:27" ht="26.4">
      <c r="A20" s="423"/>
      <c r="G20" s="4">
        <v>40</v>
      </c>
      <c r="H20" s="3" t="s">
        <v>575</v>
      </c>
      <c r="I20" s="13">
        <v>3.3</v>
      </c>
      <c r="O20" s="3">
        <f t="shared" si="9"/>
        <v>0</v>
      </c>
      <c r="P20" s="3" t="s">
        <v>989</v>
      </c>
      <c r="S20" s="423"/>
      <c r="Z20" s="3">
        <f t="shared" si="10"/>
        <v>0</v>
      </c>
      <c r="AA20" s="3" t="s">
        <v>991</v>
      </c>
    </row>
    <row r="21" spans="1:27" ht="26.4">
      <c r="A21" s="423"/>
      <c r="G21" s="4">
        <v>10</v>
      </c>
      <c r="H21" s="10" t="s">
        <v>576</v>
      </c>
      <c r="I21" s="10">
        <v>0.12</v>
      </c>
      <c r="J21" s="10"/>
      <c r="K21" s="10"/>
      <c r="L21" s="10"/>
      <c r="M21" s="10"/>
      <c r="N21" s="10"/>
      <c r="O21" s="10">
        <f t="shared" si="9"/>
        <v>0</v>
      </c>
      <c r="P21" s="10" t="s">
        <v>975</v>
      </c>
      <c r="S21" s="423"/>
      <c r="T21" s="203"/>
      <c r="U21" s="203"/>
      <c r="V21" s="203"/>
      <c r="W21" s="203"/>
      <c r="X21" s="203"/>
      <c r="Y21" s="203"/>
      <c r="Z21" s="203">
        <f t="shared" si="10"/>
        <v>0</v>
      </c>
      <c r="AA21" s="203" t="s">
        <v>963</v>
      </c>
    </row>
    <row r="22" spans="1:27" ht="26.4">
      <c r="A22" s="423"/>
      <c r="G22" s="4">
        <v>20</v>
      </c>
      <c r="H22" s="10" t="s">
        <v>576</v>
      </c>
      <c r="I22" s="10">
        <v>0.12</v>
      </c>
      <c r="J22" s="10"/>
      <c r="K22" s="10"/>
      <c r="L22" s="10"/>
      <c r="M22" s="10"/>
      <c r="N22" s="10"/>
      <c r="O22" s="10">
        <f t="shared" si="9"/>
        <v>0</v>
      </c>
      <c r="P22" s="10" t="s">
        <v>989</v>
      </c>
      <c r="S22" s="423"/>
      <c r="T22" s="203"/>
      <c r="U22" s="203"/>
      <c r="V22" s="203"/>
      <c r="W22" s="203"/>
      <c r="X22" s="203"/>
      <c r="Y22" s="203"/>
      <c r="Z22" s="203">
        <f t="shared" si="10"/>
        <v>0</v>
      </c>
      <c r="AA22" s="203" t="s">
        <v>991</v>
      </c>
    </row>
    <row r="23" spans="1:27" ht="26.4">
      <c r="A23" s="423"/>
      <c r="G23" s="4">
        <v>40</v>
      </c>
      <c r="H23" s="10" t="s">
        <v>576</v>
      </c>
      <c r="I23" s="10">
        <v>0.12</v>
      </c>
      <c r="J23" s="10"/>
      <c r="K23" s="10"/>
      <c r="L23" s="10"/>
      <c r="M23" s="10"/>
      <c r="N23" s="10"/>
      <c r="O23" s="10">
        <f t="shared" si="9"/>
        <v>0</v>
      </c>
      <c r="P23" s="10" t="s">
        <v>989</v>
      </c>
      <c r="S23" s="423"/>
      <c r="T23" s="203"/>
      <c r="U23" s="203"/>
      <c r="V23" s="203"/>
      <c r="W23" s="203"/>
      <c r="X23" s="203"/>
      <c r="Y23" s="203"/>
      <c r="Z23" s="203">
        <f t="shared" si="10"/>
        <v>0</v>
      </c>
      <c r="AA23" s="203" t="s">
        <v>963</v>
      </c>
    </row>
    <row r="24" spans="1:27">
      <c r="A24" s="423"/>
      <c r="S24" s="423"/>
    </row>
    <row r="25" spans="1:27" ht="26.4">
      <c r="A25" s="423"/>
      <c r="B25" s="3" t="s">
        <v>571</v>
      </c>
      <c r="C25" s="3" t="s">
        <v>581</v>
      </c>
      <c r="D25" s="3" t="s">
        <v>582</v>
      </c>
      <c r="E25" s="3" t="s">
        <v>574</v>
      </c>
      <c r="G25" s="4">
        <v>10</v>
      </c>
      <c r="H25" s="3" t="s">
        <v>575</v>
      </c>
      <c r="I25" s="13">
        <v>3.3</v>
      </c>
      <c r="O25" s="3">
        <f t="shared" ref="O25:O30" si="11">COUNT(J25:L25)</f>
        <v>0</v>
      </c>
      <c r="P25" s="3" t="s">
        <v>975</v>
      </c>
      <c r="S25" s="423"/>
      <c r="Z25" s="3">
        <f t="shared" ref="Z25:Z30" si="12">COUNT(T25:W25)</f>
        <v>0</v>
      </c>
      <c r="AA25" s="3" t="s">
        <v>972</v>
      </c>
    </row>
    <row r="26" spans="1:27" ht="26.4">
      <c r="A26" s="423"/>
      <c r="G26" s="4">
        <v>20</v>
      </c>
      <c r="H26" s="3" t="s">
        <v>575</v>
      </c>
      <c r="I26" s="13">
        <v>3.3</v>
      </c>
      <c r="O26" s="3">
        <f t="shared" si="11"/>
        <v>0</v>
      </c>
      <c r="P26" s="3" t="s">
        <v>975</v>
      </c>
      <c r="S26" s="423"/>
      <c r="Z26" s="3">
        <f t="shared" si="12"/>
        <v>0</v>
      </c>
      <c r="AA26" s="3" t="s">
        <v>972</v>
      </c>
    </row>
    <row r="27" spans="1:27" ht="26.4">
      <c r="A27" s="423"/>
      <c r="G27" s="4">
        <v>40</v>
      </c>
      <c r="H27" s="3" t="s">
        <v>575</v>
      </c>
      <c r="I27" s="13">
        <v>3.3</v>
      </c>
      <c r="O27" s="3">
        <f t="shared" si="11"/>
        <v>0</v>
      </c>
      <c r="P27" s="3" t="s">
        <v>975</v>
      </c>
      <c r="S27" s="423"/>
      <c r="Z27" s="3">
        <f t="shared" si="12"/>
        <v>0</v>
      </c>
      <c r="AA27" s="3" t="s">
        <v>963</v>
      </c>
    </row>
    <row r="28" spans="1:27" ht="26.4">
      <c r="A28" s="423"/>
      <c r="G28" s="4">
        <v>10</v>
      </c>
      <c r="H28" s="10" t="s">
        <v>576</v>
      </c>
      <c r="I28" s="10">
        <v>0.12</v>
      </c>
      <c r="J28" s="10"/>
      <c r="K28" s="10"/>
      <c r="L28" s="10"/>
      <c r="M28" s="10"/>
      <c r="N28" s="10"/>
      <c r="O28" s="10">
        <f t="shared" si="11"/>
        <v>0</v>
      </c>
      <c r="P28" s="10" t="s">
        <v>975</v>
      </c>
      <c r="S28" s="423"/>
      <c r="T28" s="203"/>
      <c r="U28" s="203"/>
      <c r="V28" s="203"/>
      <c r="W28" s="203"/>
      <c r="X28" s="203"/>
      <c r="Y28" s="203"/>
      <c r="Z28" s="203">
        <f t="shared" si="12"/>
        <v>0</v>
      </c>
      <c r="AA28" s="203" t="s">
        <v>963</v>
      </c>
    </row>
    <row r="29" spans="1:27" ht="26.4">
      <c r="A29" s="423"/>
      <c r="G29" s="4">
        <v>20</v>
      </c>
      <c r="H29" s="10" t="s">
        <v>576</v>
      </c>
      <c r="I29" s="10">
        <v>0.12</v>
      </c>
      <c r="J29" s="10"/>
      <c r="K29" s="10"/>
      <c r="L29" s="10"/>
      <c r="M29" s="10"/>
      <c r="N29" s="10"/>
      <c r="O29" s="10">
        <f t="shared" si="11"/>
        <v>0</v>
      </c>
      <c r="P29" s="10" t="s">
        <v>975</v>
      </c>
      <c r="S29" s="423"/>
      <c r="T29" s="203"/>
      <c r="U29" s="203"/>
      <c r="V29" s="203"/>
      <c r="W29" s="203"/>
      <c r="X29" s="203"/>
      <c r="Y29" s="203"/>
      <c r="Z29" s="203">
        <f t="shared" si="12"/>
        <v>0</v>
      </c>
      <c r="AA29" s="203" t="s">
        <v>965</v>
      </c>
    </row>
    <row r="30" spans="1:27" ht="26.4">
      <c r="A30" s="423"/>
      <c r="G30" s="4">
        <v>40</v>
      </c>
      <c r="H30" s="10" t="s">
        <v>576</v>
      </c>
      <c r="I30" s="10">
        <v>0.12</v>
      </c>
      <c r="J30" s="10"/>
      <c r="K30" s="10"/>
      <c r="L30" s="10"/>
      <c r="M30" s="10"/>
      <c r="N30" s="10"/>
      <c r="O30" s="10">
        <f t="shared" si="11"/>
        <v>0</v>
      </c>
      <c r="P30" s="10" t="s">
        <v>989</v>
      </c>
      <c r="S30" s="423"/>
      <c r="T30" s="203"/>
      <c r="U30" s="203"/>
      <c r="V30" s="203"/>
      <c r="W30" s="203"/>
      <c r="X30" s="203"/>
      <c r="Y30" s="203"/>
      <c r="Z30" s="203">
        <f t="shared" si="12"/>
        <v>0</v>
      </c>
      <c r="AA30" s="203" t="s">
        <v>972</v>
      </c>
    </row>
    <row r="31" spans="1:27">
      <c r="A31" s="423"/>
      <c r="S31" s="423"/>
    </row>
    <row r="32" spans="1:27" ht="26.4">
      <c r="A32" s="423"/>
      <c r="B32" s="3" t="s">
        <v>571</v>
      </c>
      <c r="C32" s="3" t="s">
        <v>583</v>
      </c>
      <c r="D32" s="15" t="s">
        <v>579</v>
      </c>
      <c r="E32" s="3" t="s">
        <v>574</v>
      </c>
      <c r="G32" s="4">
        <v>10</v>
      </c>
      <c r="H32" s="3" t="s">
        <v>575</v>
      </c>
      <c r="I32" s="13">
        <v>3.3</v>
      </c>
      <c r="O32" s="3">
        <f t="shared" ref="O32:O37" si="13">COUNT(J32:L32)</f>
        <v>0</v>
      </c>
      <c r="P32" s="3" t="s">
        <v>965</v>
      </c>
      <c r="S32" s="423"/>
      <c r="Z32" s="3">
        <f t="shared" ref="Z32:Z37" si="14">COUNT(T32:W32)</f>
        <v>0</v>
      </c>
      <c r="AA32" s="3" t="s">
        <v>990</v>
      </c>
    </row>
    <row r="33" spans="1:27" ht="26.4">
      <c r="A33" s="423"/>
      <c r="D33" s="15"/>
      <c r="G33" s="4">
        <v>20</v>
      </c>
      <c r="H33" s="3" t="s">
        <v>575</v>
      </c>
      <c r="I33" s="13">
        <v>3.3</v>
      </c>
      <c r="O33" s="3">
        <f t="shared" si="13"/>
        <v>0</v>
      </c>
      <c r="P33" s="3" t="s">
        <v>989</v>
      </c>
      <c r="S33" s="423"/>
      <c r="Z33" s="3">
        <f t="shared" si="14"/>
        <v>0</v>
      </c>
      <c r="AA33" s="3" t="s">
        <v>963</v>
      </c>
    </row>
    <row r="34" spans="1:27" ht="26.4">
      <c r="A34" s="423"/>
      <c r="D34" s="15"/>
      <c r="G34" s="4">
        <v>40</v>
      </c>
      <c r="H34" s="3" t="s">
        <v>575</v>
      </c>
      <c r="I34" s="13">
        <v>3.3</v>
      </c>
      <c r="O34" s="3">
        <f t="shared" si="13"/>
        <v>0</v>
      </c>
      <c r="P34" s="3" t="s">
        <v>989</v>
      </c>
      <c r="S34" s="423"/>
      <c r="Z34" s="3">
        <f t="shared" si="14"/>
        <v>0</v>
      </c>
      <c r="AA34" s="3" t="s">
        <v>972</v>
      </c>
    </row>
    <row r="35" spans="1:27" ht="26.4">
      <c r="A35" s="423"/>
      <c r="G35" s="4">
        <v>10</v>
      </c>
      <c r="H35" s="10" t="s">
        <v>576</v>
      </c>
      <c r="I35" s="10">
        <v>0.12</v>
      </c>
      <c r="J35" s="10"/>
      <c r="K35" s="10"/>
      <c r="L35" s="10"/>
      <c r="M35" s="10"/>
      <c r="N35" s="10"/>
      <c r="O35" s="10">
        <f t="shared" si="13"/>
        <v>0</v>
      </c>
      <c r="P35" s="10" t="s">
        <v>975</v>
      </c>
      <c r="S35" s="423"/>
      <c r="T35" s="203"/>
      <c r="U35" s="203"/>
      <c r="V35" s="203"/>
      <c r="W35" s="203"/>
      <c r="X35" s="203"/>
      <c r="Y35" s="203"/>
      <c r="Z35" s="203">
        <f t="shared" si="14"/>
        <v>0</v>
      </c>
      <c r="AA35" s="203" t="s">
        <v>963</v>
      </c>
    </row>
    <row r="36" spans="1:27" ht="26.4">
      <c r="A36" s="423"/>
      <c r="G36" s="4">
        <v>20</v>
      </c>
      <c r="H36" s="10" t="s">
        <v>576</v>
      </c>
      <c r="I36" s="10">
        <v>0.12</v>
      </c>
      <c r="J36" s="10"/>
      <c r="K36" s="10"/>
      <c r="L36" s="10"/>
      <c r="M36" s="10"/>
      <c r="N36" s="10"/>
      <c r="O36" s="10">
        <f t="shared" si="13"/>
        <v>0</v>
      </c>
      <c r="P36" s="10" t="s">
        <v>970</v>
      </c>
      <c r="S36" s="423"/>
      <c r="T36" s="203"/>
      <c r="U36" s="203"/>
      <c r="V36" s="203"/>
      <c r="W36" s="203"/>
      <c r="X36" s="203"/>
      <c r="Y36" s="203"/>
      <c r="Z36" s="203">
        <f t="shared" si="14"/>
        <v>0</v>
      </c>
      <c r="AA36" s="203" t="s">
        <v>965</v>
      </c>
    </row>
    <row r="37" spans="1:27" ht="26.4">
      <c r="A37" s="423"/>
      <c r="G37" s="4">
        <v>40</v>
      </c>
      <c r="H37" s="10" t="s">
        <v>576</v>
      </c>
      <c r="I37" s="10">
        <v>0.12</v>
      </c>
      <c r="J37" s="10"/>
      <c r="K37" s="10"/>
      <c r="L37" s="10"/>
      <c r="M37" s="10"/>
      <c r="N37" s="10"/>
      <c r="O37" s="10">
        <f t="shared" si="13"/>
        <v>0</v>
      </c>
      <c r="P37" s="10" t="s">
        <v>965</v>
      </c>
      <c r="S37" s="423"/>
      <c r="T37" s="203"/>
      <c r="U37" s="203"/>
      <c r="V37" s="203"/>
      <c r="W37" s="203"/>
      <c r="X37" s="203"/>
      <c r="Y37" s="203"/>
      <c r="Z37" s="203">
        <f t="shared" si="14"/>
        <v>0</v>
      </c>
      <c r="AA37" s="203" t="s">
        <v>970</v>
      </c>
    </row>
    <row r="38" spans="1:27">
      <c r="A38" s="423"/>
      <c r="S38" s="423"/>
    </row>
    <row r="39" spans="1:27" ht="26.4">
      <c r="A39" s="423"/>
      <c r="B39" s="3" t="s">
        <v>571</v>
      </c>
      <c r="C39" s="3" t="s">
        <v>572</v>
      </c>
      <c r="D39" s="3" t="s">
        <v>584</v>
      </c>
      <c r="E39" s="3" t="s">
        <v>574</v>
      </c>
      <c r="G39" s="4">
        <v>10</v>
      </c>
      <c r="H39" s="3" t="s">
        <v>575</v>
      </c>
      <c r="I39" s="13">
        <v>3.3</v>
      </c>
      <c r="O39" s="3">
        <f t="shared" ref="O39:O44" si="15">COUNT(J39:L39)</f>
        <v>0</v>
      </c>
      <c r="P39" s="3" t="s">
        <v>989</v>
      </c>
      <c r="S39" s="423"/>
      <c r="Z39" s="3">
        <f t="shared" ref="Z39:Z44" si="16">COUNT(T39:W39)</f>
        <v>0</v>
      </c>
      <c r="AA39" s="3" t="s">
        <v>971</v>
      </c>
    </row>
    <row r="40" spans="1:27" ht="26.4">
      <c r="A40" s="423"/>
      <c r="G40" s="4">
        <v>20</v>
      </c>
      <c r="H40" s="3" t="s">
        <v>575</v>
      </c>
      <c r="I40" s="13">
        <v>3.3</v>
      </c>
      <c r="O40" s="3">
        <f t="shared" si="15"/>
        <v>0</v>
      </c>
      <c r="P40" s="3" t="s">
        <v>972</v>
      </c>
      <c r="S40" s="423"/>
      <c r="Z40" s="3">
        <f t="shared" si="16"/>
        <v>0</v>
      </c>
      <c r="AA40" s="3" t="s">
        <v>971</v>
      </c>
    </row>
    <row r="41" spans="1:27" ht="26.4">
      <c r="A41" s="423"/>
      <c r="G41" s="4">
        <v>40</v>
      </c>
      <c r="H41" s="3" t="s">
        <v>575</v>
      </c>
      <c r="I41" s="13">
        <v>3.3</v>
      </c>
      <c r="O41" s="3">
        <f t="shared" si="15"/>
        <v>0</v>
      </c>
      <c r="P41" s="3" t="s">
        <v>989</v>
      </c>
      <c r="S41" s="423"/>
      <c r="Z41" s="3">
        <f t="shared" si="16"/>
        <v>0</v>
      </c>
      <c r="AA41" s="3" t="s">
        <v>971</v>
      </c>
    </row>
    <row r="42" spans="1:27" ht="26.4">
      <c r="A42" s="423"/>
      <c r="G42" s="4">
        <v>10</v>
      </c>
      <c r="H42" s="10" t="s">
        <v>576</v>
      </c>
      <c r="I42" s="10">
        <v>0.12</v>
      </c>
      <c r="J42" s="10"/>
      <c r="K42" s="10"/>
      <c r="L42" s="10"/>
      <c r="M42" s="10"/>
      <c r="N42" s="10"/>
      <c r="O42" s="10">
        <f t="shared" si="15"/>
        <v>0</v>
      </c>
      <c r="P42" s="10" t="s">
        <v>989</v>
      </c>
      <c r="S42" s="423"/>
      <c r="T42" s="203"/>
      <c r="U42" s="203"/>
      <c r="V42" s="203"/>
      <c r="W42" s="203"/>
      <c r="X42" s="203"/>
      <c r="Y42" s="203"/>
      <c r="Z42" s="203">
        <f t="shared" si="16"/>
        <v>0</v>
      </c>
      <c r="AA42" s="203" t="s">
        <v>971</v>
      </c>
    </row>
    <row r="43" spans="1:27" ht="26.4">
      <c r="A43" s="423"/>
      <c r="G43" s="4">
        <v>20</v>
      </c>
      <c r="H43" s="10" t="s">
        <v>576</v>
      </c>
      <c r="I43" s="10">
        <v>0.12</v>
      </c>
      <c r="J43" s="10"/>
      <c r="K43" s="10"/>
      <c r="L43" s="10"/>
      <c r="M43" s="10"/>
      <c r="N43" s="10"/>
      <c r="O43" s="10">
        <f t="shared" si="15"/>
        <v>0</v>
      </c>
      <c r="P43" s="10" t="s">
        <v>989</v>
      </c>
      <c r="S43" s="423"/>
      <c r="T43" s="203"/>
      <c r="U43" s="203"/>
      <c r="V43" s="203"/>
      <c r="W43" s="203"/>
      <c r="X43" s="203"/>
      <c r="Y43" s="203"/>
      <c r="Z43" s="203">
        <f t="shared" si="16"/>
        <v>0</v>
      </c>
      <c r="AA43" s="203" t="s">
        <v>1008</v>
      </c>
    </row>
    <row r="44" spans="1:27" ht="26.4">
      <c r="A44" s="423"/>
      <c r="G44" s="4">
        <v>40</v>
      </c>
      <c r="H44" s="10" t="s">
        <v>576</v>
      </c>
      <c r="I44" s="10">
        <v>0.12</v>
      </c>
      <c r="J44" s="10"/>
      <c r="K44" s="10"/>
      <c r="L44" s="10"/>
      <c r="M44" s="10"/>
      <c r="N44" s="10"/>
      <c r="O44" s="10">
        <f t="shared" si="15"/>
        <v>0</v>
      </c>
      <c r="P44" s="10" t="s">
        <v>989</v>
      </c>
      <c r="S44" s="423"/>
      <c r="T44" s="203"/>
      <c r="U44" s="203"/>
      <c r="V44" s="203"/>
      <c r="W44" s="203"/>
      <c r="X44" s="203"/>
      <c r="Y44" s="203"/>
      <c r="Z44" s="203">
        <f t="shared" si="16"/>
        <v>0</v>
      </c>
      <c r="AA44" s="203" t="s">
        <v>970</v>
      </c>
    </row>
    <row r="45" spans="1:27">
      <c r="A45" s="423"/>
      <c r="S45" s="423"/>
    </row>
    <row r="46" spans="1:27" ht="26.4">
      <c r="A46" s="423"/>
      <c r="B46" s="3" t="s">
        <v>571</v>
      </c>
      <c r="C46" s="3" t="s">
        <v>572</v>
      </c>
      <c r="D46" s="3" t="s">
        <v>585</v>
      </c>
      <c r="E46" s="3" t="s">
        <v>574</v>
      </c>
      <c r="G46" s="4">
        <v>10</v>
      </c>
      <c r="H46" s="3" t="s">
        <v>575</v>
      </c>
      <c r="I46" s="13">
        <v>3.3</v>
      </c>
      <c r="K46" s="3">
        <v>5.26</v>
      </c>
      <c r="M46" s="3">
        <f t="shared" ref="M46:M51" si="17">AVERAGE(J46:L46)</f>
        <v>5.26</v>
      </c>
      <c r="O46" s="3">
        <f t="shared" ref="O46:O51" si="18">COUNT(J46:L46)</f>
        <v>1</v>
      </c>
      <c r="P46" s="3" t="s">
        <v>960</v>
      </c>
      <c r="S46" s="423"/>
      <c r="Z46" s="3">
        <f t="shared" ref="Z46:Z51" si="19">COUNT(T46:W46)</f>
        <v>0</v>
      </c>
      <c r="AA46" s="3" t="s">
        <v>989</v>
      </c>
    </row>
    <row r="47" spans="1:27" ht="26.4">
      <c r="A47" s="423"/>
      <c r="G47" s="4">
        <v>20</v>
      </c>
      <c r="H47" s="3" t="s">
        <v>575</v>
      </c>
      <c r="I47" s="13">
        <v>3.3</v>
      </c>
      <c r="K47" s="3">
        <v>5.9435087025316493</v>
      </c>
      <c r="M47" s="3">
        <f t="shared" si="17"/>
        <v>5.9435087025316493</v>
      </c>
      <c r="O47" s="3">
        <f t="shared" si="18"/>
        <v>1</v>
      </c>
      <c r="P47" s="3" t="s">
        <v>969</v>
      </c>
      <c r="S47" s="423"/>
      <c r="Z47" s="3">
        <f t="shared" si="19"/>
        <v>0</v>
      </c>
      <c r="AA47" s="3" t="s">
        <v>989</v>
      </c>
    </row>
    <row r="48" spans="1:27" ht="26.4">
      <c r="A48" s="423"/>
      <c r="G48" s="4">
        <v>40</v>
      </c>
      <c r="H48" s="3" t="s">
        <v>575</v>
      </c>
      <c r="I48" s="13">
        <v>3.3</v>
      </c>
      <c r="K48" s="3">
        <v>6.3520187236286976</v>
      </c>
      <c r="M48" s="3">
        <f t="shared" si="17"/>
        <v>6.3520187236286976</v>
      </c>
      <c r="O48" s="3">
        <f t="shared" si="18"/>
        <v>1</v>
      </c>
      <c r="P48" s="3" t="s">
        <v>984</v>
      </c>
      <c r="S48" s="423"/>
      <c r="Z48" s="3">
        <f t="shared" si="19"/>
        <v>0</v>
      </c>
      <c r="AA48" s="3" t="s">
        <v>989</v>
      </c>
    </row>
    <row r="49" spans="1:27" ht="26.4">
      <c r="A49" s="423"/>
      <c r="G49" s="4">
        <v>10</v>
      </c>
      <c r="H49" s="10" t="s">
        <v>576</v>
      </c>
      <c r="I49" s="10">
        <v>0.12</v>
      </c>
      <c r="J49" s="10"/>
      <c r="K49" s="10">
        <v>0.17</v>
      </c>
      <c r="L49" s="10"/>
      <c r="M49" s="10">
        <f t="shared" si="17"/>
        <v>0.17</v>
      </c>
      <c r="N49" s="10"/>
      <c r="O49" s="10">
        <f t="shared" si="18"/>
        <v>1</v>
      </c>
      <c r="P49" s="10" t="s">
        <v>969</v>
      </c>
      <c r="S49" s="423"/>
      <c r="T49" s="203"/>
      <c r="U49" s="203"/>
      <c r="V49" s="203"/>
      <c r="W49" s="203"/>
      <c r="X49" s="203"/>
      <c r="Y49" s="203"/>
      <c r="Z49" s="203">
        <f t="shared" si="19"/>
        <v>0</v>
      </c>
      <c r="AA49" s="203" t="s">
        <v>990</v>
      </c>
    </row>
    <row r="50" spans="1:27" ht="26.4">
      <c r="A50" s="423"/>
      <c r="G50" s="4">
        <v>20</v>
      </c>
      <c r="H50" s="10" t="s">
        <v>576</v>
      </c>
      <c r="I50" s="10">
        <v>0.12</v>
      </c>
      <c r="J50" s="10"/>
      <c r="K50" s="10">
        <v>0.19209058544303811</v>
      </c>
      <c r="L50" s="10"/>
      <c r="M50" s="10">
        <f t="shared" si="17"/>
        <v>0.19209058544303811</v>
      </c>
      <c r="N50" s="10"/>
      <c r="O50" s="10">
        <f t="shared" si="18"/>
        <v>1</v>
      </c>
      <c r="P50" s="10" t="s">
        <v>969</v>
      </c>
      <c r="S50" s="423"/>
      <c r="T50" s="203"/>
      <c r="U50" s="203"/>
      <c r="V50" s="203"/>
      <c r="W50" s="203"/>
      <c r="X50" s="203"/>
      <c r="Y50" s="203"/>
      <c r="Z50" s="203">
        <f t="shared" si="19"/>
        <v>0</v>
      </c>
      <c r="AA50" s="203" t="s">
        <v>990</v>
      </c>
    </row>
    <row r="51" spans="1:27" ht="26.4">
      <c r="A51" s="423"/>
      <c r="G51" s="4">
        <v>40</v>
      </c>
      <c r="H51" s="10" t="s">
        <v>576</v>
      </c>
      <c r="I51" s="10">
        <v>0.12</v>
      </c>
      <c r="J51" s="10"/>
      <c r="K51" s="10">
        <v>0.20529338080168796</v>
      </c>
      <c r="L51" s="10"/>
      <c r="M51" s="10">
        <f t="shared" si="17"/>
        <v>0.20529338080168796</v>
      </c>
      <c r="N51" s="10"/>
      <c r="O51" s="10">
        <f t="shared" si="18"/>
        <v>1</v>
      </c>
      <c r="P51" s="10" t="s">
        <v>992</v>
      </c>
      <c r="S51" s="423"/>
      <c r="T51" s="203"/>
      <c r="U51" s="203"/>
      <c r="V51" s="203"/>
      <c r="W51" s="203"/>
      <c r="X51" s="203"/>
      <c r="Y51" s="203"/>
      <c r="Z51" s="203">
        <f t="shared" si="19"/>
        <v>0</v>
      </c>
      <c r="AA51" s="203" t="s">
        <v>989</v>
      </c>
    </row>
    <row r="52" spans="1:27">
      <c r="A52" s="423"/>
      <c r="S52" s="423"/>
    </row>
    <row r="53" spans="1:27" ht="39.6">
      <c r="A53" s="423"/>
      <c r="B53" s="3" t="s">
        <v>577</v>
      </c>
      <c r="C53" s="202" t="s">
        <v>781</v>
      </c>
      <c r="D53" s="202" t="s">
        <v>723</v>
      </c>
      <c r="E53" s="3" t="s">
        <v>574</v>
      </c>
      <c r="G53" s="4">
        <v>10</v>
      </c>
      <c r="H53" s="3" t="s">
        <v>575</v>
      </c>
      <c r="I53" s="13">
        <v>3.3</v>
      </c>
      <c r="J53" s="3">
        <v>4.6639999999999997</v>
      </c>
      <c r="M53" s="3">
        <f>AVERAGE(J53:L53)</f>
        <v>4.6639999999999997</v>
      </c>
      <c r="O53" s="3">
        <f>COUNT(J53:L53)</f>
        <v>1</v>
      </c>
      <c r="P53" s="3" t="s">
        <v>981</v>
      </c>
      <c r="S53" s="423"/>
      <c r="T53" s="3">
        <v>4.3899999999999997</v>
      </c>
      <c r="U53" s="3">
        <v>4.6280000000000001</v>
      </c>
      <c r="X53" s="3">
        <f>AVERAGE(T53:W53)</f>
        <v>4.5090000000000003</v>
      </c>
      <c r="Y53" s="3">
        <f>_xlfn.STDEV.S(T53:W53)</f>
        <v>0.16829141392239863</v>
      </c>
      <c r="Z53" s="3">
        <f>COUNT(T53:W53)</f>
        <v>2</v>
      </c>
      <c r="AA53" s="3" t="s">
        <v>960</v>
      </c>
    </row>
    <row r="54" spans="1:27" ht="26.4">
      <c r="A54" s="423"/>
      <c r="G54" s="4">
        <v>10</v>
      </c>
      <c r="H54" s="10" t="s">
        <v>576</v>
      </c>
      <c r="I54" s="10">
        <v>0.12</v>
      </c>
      <c r="J54" s="10">
        <v>0.12</v>
      </c>
      <c r="K54" s="10"/>
      <c r="L54" s="10"/>
      <c r="M54" s="10">
        <f>AVERAGE(J54:L54)</f>
        <v>0.12</v>
      </c>
      <c r="N54" s="10"/>
      <c r="O54" s="10">
        <f>COUNT(J54:L54)</f>
        <v>1</v>
      </c>
      <c r="P54" s="10" t="s">
        <v>1003</v>
      </c>
      <c r="S54" s="423"/>
      <c r="T54" s="203">
        <v>0.127</v>
      </c>
      <c r="U54" s="203">
        <v>0.12</v>
      </c>
      <c r="V54" s="203"/>
      <c r="W54" s="203"/>
      <c r="X54" s="203">
        <f>AVERAGE(T54:W54)</f>
        <v>0.1235</v>
      </c>
      <c r="Y54" s="203">
        <f>_xlfn.STDEV.S(T54:W54)</f>
        <v>4.9497474683058368E-3</v>
      </c>
      <c r="Z54" s="203">
        <f>COUNT(T54:W54)</f>
        <v>2</v>
      </c>
      <c r="AA54" s="203" t="s">
        <v>984</v>
      </c>
    </row>
    <row r="55" spans="1:27">
      <c r="A55" s="423"/>
      <c r="S55" s="423"/>
    </row>
    <row r="56" spans="1:27" ht="39.6">
      <c r="A56" s="423"/>
      <c r="B56" s="3" t="s">
        <v>577</v>
      </c>
      <c r="C56" s="202" t="s">
        <v>786</v>
      </c>
      <c r="D56" s="202" t="s">
        <v>733</v>
      </c>
      <c r="E56" s="3" t="s">
        <v>574</v>
      </c>
      <c r="G56" s="4">
        <v>10</v>
      </c>
      <c r="H56" s="3" t="s">
        <v>575</v>
      </c>
      <c r="I56" s="13">
        <v>3.3</v>
      </c>
      <c r="O56" s="3">
        <f>COUNT(J56:L56)</f>
        <v>0</v>
      </c>
      <c r="P56" s="3" t="s">
        <v>991</v>
      </c>
      <c r="S56" s="423"/>
      <c r="Z56" s="3">
        <f>COUNT(T56:W56)</f>
        <v>0</v>
      </c>
      <c r="AA56" s="3" t="s">
        <v>963</v>
      </c>
    </row>
    <row r="57" spans="1:27" ht="26.4">
      <c r="A57" s="423"/>
      <c r="G57" s="4">
        <v>10</v>
      </c>
      <c r="H57" s="10" t="s">
        <v>576</v>
      </c>
      <c r="I57" s="10">
        <v>0.12</v>
      </c>
      <c r="J57" s="10"/>
      <c r="K57" s="10"/>
      <c r="L57" s="10"/>
      <c r="M57" s="10"/>
      <c r="N57" s="10"/>
      <c r="O57" s="10">
        <f>COUNT(J57:L57)</f>
        <v>0</v>
      </c>
      <c r="P57" s="10" t="s">
        <v>972</v>
      </c>
      <c r="S57" s="423"/>
      <c r="T57" s="203"/>
      <c r="U57" s="203"/>
      <c r="V57" s="203"/>
      <c r="W57" s="203"/>
      <c r="X57" s="203"/>
      <c r="Y57" s="203"/>
      <c r="Z57" s="203">
        <f>COUNT(T57:W57)</f>
        <v>0</v>
      </c>
      <c r="AA57" s="203" t="s">
        <v>963</v>
      </c>
    </row>
    <row r="58" spans="1:27">
      <c r="A58" s="423"/>
      <c r="S58" s="423"/>
    </row>
    <row r="59" spans="1:27">
      <c r="A59" s="423"/>
      <c r="B59" s="8" t="s">
        <v>75</v>
      </c>
      <c r="C59" s="8"/>
      <c r="D59" s="8" t="s">
        <v>75</v>
      </c>
      <c r="E59" s="8"/>
      <c r="F59" s="8"/>
      <c r="G59" s="9"/>
      <c r="H59" s="12"/>
      <c r="I59" s="12"/>
      <c r="J59" s="12"/>
      <c r="K59" s="12"/>
      <c r="L59" s="12"/>
      <c r="M59" s="12"/>
      <c r="N59" s="12"/>
      <c r="O59" s="12"/>
      <c r="P59" s="12"/>
      <c r="S59" s="423"/>
      <c r="T59" s="12"/>
      <c r="U59" s="12"/>
      <c r="V59" s="12"/>
      <c r="W59" s="12"/>
      <c r="X59" s="12"/>
      <c r="Y59" s="12"/>
      <c r="Z59" s="12"/>
      <c r="AA59" s="12"/>
    </row>
    <row r="60" spans="1:27" ht="31.5" customHeight="1">
      <c r="A60" s="423"/>
      <c r="B60" s="3" t="s">
        <v>571</v>
      </c>
      <c r="C60" s="3" t="s">
        <v>572</v>
      </c>
      <c r="D60" s="15" t="s">
        <v>586</v>
      </c>
      <c r="E60" s="3" t="s">
        <v>587</v>
      </c>
      <c r="F60" s="3" t="s">
        <v>97</v>
      </c>
      <c r="G60" s="4">
        <v>20</v>
      </c>
      <c r="H60" s="3" t="s">
        <v>575</v>
      </c>
      <c r="I60" s="13">
        <v>3.3</v>
      </c>
      <c r="J60" s="3">
        <v>7.8167547169811336</v>
      </c>
      <c r="M60" s="3">
        <f t="shared" ref="M60:M65" si="20">AVERAGE(J60:L60)</f>
        <v>7.8167547169811336</v>
      </c>
      <c r="O60" s="3">
        <f t="shared" ref="O60:O65" si="21">COUNT(J60:L60)</f>
        <v>1</v>
      </c>
      <c r="P60" s="3" t="s">
        <v>995</v>
      </c>
      <c r="S60" s="423"/>
      <c r="T60" s="3">
        <v>6.6120000000000001</v>
      </c>
      <c r="U60" s="3">
        <v>7.747471698113209</v>
      </c>
      <c r="X60" s="3">
        <f t="shared" ref="X60:X65" si="22">AVERAGE(T60:W60)</f>
        <v>7.1797358490566046</v>
      </c>
      <c r="Y60" s="3">
        <f t="shared" ref="Y60:Y65" si="23">_xlfn.STDEV.S(T60:W60)</f>
        <v>0.80289973758125444</v>
      </c>
      <c r="Z60" s="3">
        <f t="shared" ref="Z60:Z65" si="24">COUNT(T60:W60)</f>
        <v>2</v>
      </c>
      <c r="AA60" s="3" t="s">
        <v>984</v>
      </c>
    </row>
    <row r="61" spans="1:27" ht="31.5" customHeight="1">
      <c r="A61" s="423"/>
      <c r="D61" s="15"/>
      <c r="G61" s="4">
        <v>40</v>
      </c>
      <c r="H61" s="3" t="s">
        <v>575</v>
      </c>
      <c r="I61" s="13">
        <v>3.3</v>
      </c>
      <c r="J61" s="3">
        <v>9.01131843142457</v>
      </c>
      <c r="M61" s="3">
        <f t="shared" si="20"/>
        <v>9.01131843142457</v>
      </c>
      <c r="O61" s="3">
        <f t="shared" si="21"/>
        <v>1</v>
      </c>
      <c r="P61" s="3" t="s">
        <v>992</v>
      </c>
      <c r="S61" s="423"/>
      <c r="T61" s="3">
        <v>7.41</v>
      </c>
      <c r="U61" s="3">
        <v>8.9314475172774284</v>
      </c>
      <c r="X61" s="3">
        <f t="shared" si="22"/>
        <v>8.1707237586387151</v>
      </c>
      <c r="Y61" s="3">
        <f t="shared" si="23"/>
        <v>1.0758258566863064</v>
      </c>
      <c r="Z61" s="3">
        <f t="shared" si="24"/>
        <v>2</v>
      </c>
      <c r="AA61" s="3" t="s">
        <v>966</v>
      </c>
    </row>
    <row r="62" spans="1:27" ht="31.5" customHeight="1">
      <c r="A62" s="423"/>
      <c r="D62" s="15"/>
      <c r="G62" s="4">
        <v>100</v>
      </c>
      <c r="H62" s="3" t="s">
        <v>575</v>
      </c>
      <c r="I62" s="13">
        <v>3.3</v>
      </c>
      <c r="J62" s="3">
        <v>9.8284855700550118</v>
      </c>
      <c r="M62" s="3">
        <f t="shared" si="20"/>
        <v>9.8284855700550118</v>
      </c>
      <c r="O62" s="3">
        <f t="shared" si="21"/>
        <v>1</v>
      </c>
      <c r="P62" s="3" t="s">
        <v>960</v>
      </c>
      <c r="S62" s="423"/>
      <c r="T62" s="3">
        <v>8.4230909065453261</v>
      </c>
      <c r="U62" s="3">
        <v>9.7413717772025947</v>
      </c>
      <c r="X62" s="3">
        <f t="shared" si="22"/>
        <v>9.0822313418739604</v>
      </c>
      <c r="Y62" s="3">
        <f t="shared" si="23"/>
        <v>0.93216534315026067</v>
      </c>
      <c r="Z62" s="3">
        <f t="shared" si="24"/>
        <v>2</v>
      </c>
      <c r="AA62" s="3" t="s">
        <v>960</v>
      </c>
    </row>
    <row r="63" spans="1:27" ht="26.4">
      <c r="A63" s="423"/>
      <c r="G63" s="4">
        <v>20</v>
      </c>
      <c r="H63" s="10" t="s">
        <v>576</v>
      </c>
      <c r="I63" s="10">
        <v>0.12</v>
      </c>
      <c r="J63" s="10">
        <v>0.1925660377358491</v>
      </c>
      <c r="K63" s="10"/>
      <c r="L63" s="10"/>
      <c r="M63" s="10">
        <f t="shared" si="20"/>
        <v>0.1925660377358491</v>
      </c>
      <c r="N63" s="10"/>
      <c r="O63" s="10">
        <f t="shared" si="21"/>
        <v>1</v>
      </c>
      <c r="P63" s="10" t="s">
        <v>969</v>
      </c>
      <c r="S63" s="423"/>
      <c r="T63" s="203">
        <v>0.188</v>
      </c>
      <c r="U63" s="203">
        <v>0.1884905660377359</v>
      </c>
      <c r="V63" s="203"/>
      <c r="W63" s="203"/>
      <c r="X63" s="203">
        <f t="shared" si="22"/>
        <v>0.18824528301886795</v>
      </c>
      <c r="Y63" s="203">
        <f t="shared" si="23"/>
        <v>3.4688257190286753E-4</v>
      </c>
      <c r="Z63" s="203">
        <f t="shared" si="24"/>
        <v>2</v>
      </c>
      <c r="AA63" s="203" t="s">
        <v>966</v>
      </c>
    </row>
    <row r="64" spans="1:27" ht="26.4">
      <c r="A64" s="7"/>
      <c r="G64" s="4">
        <v>40</v>
      </c>
      <c r="H64" s="10" t="s">
        <v>576</v>
      </c>
      <c r="I64" s="10">
        <v>0.12</v>
      </c>
      <c r="J64" s="10">
        <v>0.22199415843837902</v>
      </c>
      <c r="K64" s="10"/>
      <c r="L64" s="10"/>
      <c r="M64" s="10">
        <f t="shared" si="20"/>
        <v>0.22199415843837902</v>
      </c>
      <c r="N64" s="10"/>
      <c r="O64" s="10">
        <f t="shared" si="21"/>
        <v>1</v>
      </c>
      <c r="P64" s="10" t="s">
        <v>960</v>
      </c>
      <c r="S64" s="423"/>
      <c r="T64" s="203">
        <v>0.21</v>
      </c>
      <c r="U64" s="203">
        <v>0.21729586937090012</v>
      </c>
      <c r="V64" s="203"/>
      <c r="W64" s="203"/>
      <c r="X64" s="203">
        <f t="shared" si="22"/>
        <v>0.21364793468545007</v>
      </c>
      <c r="Y64" s="203">
        <f t="shared" si="23"/>
        <v>5.15895870681471E-3</v>
      </c>
      <c r="Z64" s="203">
        <f t="shared" si="24"/>
        <v>2</v>
      </c>
      <c r="AA64" s="203" t="s">
        <v>966</v>
      </c>
    </row>
    <row r="65" spans="1:27" ht="26.4">
      <c r="A65" s="7"/>
      <c r="G65" s="4">
        <v>100</v>
      </c>
      <c r="H65" s="10" t="s">
        <v>576</v>
      </c>
      <c r="I65" s="10">
        <v>0.12</v>
      </c>
      <c r="J65" s="10">
        <v>0.24212510072215815</v>
      </c>
      <c r="K65" s="10"/>
      <c r="L65" s="10"/>
      <c r="M65" s="10">
        <f t="shared" si="20"/>
        <v>0.24212510072215815</v>
      </c>
      <c r="N65" s="10"/>
      <c r="O65" s="10">
        <f t="shared" si="21"/>
        <v>1</v>
      </c>
      <c r="P65" s="10" t="s">
        <v>978</v>
      </c>
      <c r="S65" s="423"/>
      <c r="T65" s="203">
        <v>0.23949502275113754</v>
      </c>
      <c r="U65" s="203">
        <v>0.23700075996613365</v>
      </c>
      <c r="V65" s="203"/>
      <c r="W65" s="203"/>
      <c r="X65" s="203">
        <f t="shared" si="22"/>
        <v>0.23824789135863561</v>
      </c>
      <c r="Y65" s="203">
        <f t="shared" si="23"/>
        <v>1.7637101293374959E-3</v>
      </c>
      <c r="Z65" s="203">
        <f t="shared" si="24"/>
        <v>2</v>
      </c>
      <c r="AA65" s="203" t="s">
        <v>966</v>
      </c>
    </row>
    <row r="66" spans="1:27">
      <c r="A66" s="7"/>
      <c r="S66" s="423"/>
    </row>
    <row r="67" spans="1:27" ht="31.5" customHeight="1">
      <c r="A67" s="7"/>
      <c r="B67" s="3" t="s">
        <v>571</v>
      </c>
      <c r="C67" s="3" t="s">
        <v>572</v>
      </c>
      <c r="D67" s="15" t="s">
        <v>586</v>
      </c>
      <c r="E67" s="3" t="s">
        <v>574</v>
      </c>
      <c r="F67" s="3" t="s">
        <v>97</v>
      </c>
      <c r="G67" s="4">
        <v>20</v>
      </c>
      <c r="H67" s="3" t="s">
        <v>575</v>
      </c>
      <c r="I67" s="13">
        <v>3.3</v>
      </c>
      <c r="J67" s="3">
        <v>7.6567924528301887</v>
      </c>
      <c r="M67" s="3">
        <f>AVERAGE(J67:L67)</f>
        <v>7.6567924528301887</v>
      </c>
      <c r="O67" s="3">
        <f>COUNT(J67:L67)</f>
        <v>1</v>
      </c>
      <c r="P67" s="3" t="s">
        <v>992</v>
      </c>
      <c r="S67" s="423"/>
      <c r="T67" s="3">
        <v>6.2519999999999998</v>
      </c>
      <c r="U67" s="3">
        <v>7.5732452830188679</v>
      </c>
      <c r="W67" s="3">
        <v>4.88</v>
      </c>
      <c r="X67" s="3">
        <f>AVERAGE(T67:W67)</f>
        <v>6.2350817610062892</v>
      </c>
      <c r="Y67" s="3">
        <f>_xlfn.STDEV.S(T67:W67)</f>
        <v>1.3467023460044298</v>
      </c>
      <c r="Z67" s="3">
        <f>COUNT(T67:W67)</f>
        <v>3</v>
      </c>
      <c r="AA67" s="3" t="s">
        <v>966</v>
      </c>
    </row>
    <row r="68" spans="1:27" ht="31.5" customHeight="1">
      <c r="A68" s="7"/>
      <c r="D68" s="15"/>
      <c r="G68" s="4">
        <v>40</v>
      </c>
      <c r="H68" s="3" t="s">
        <v>575</v>
      </c>
      <c r="I68" s="13">
        <v>3.3</v>
      </c>
      <c r="J68" s="3">
        <v>8.6284675921906508</v>
      </c>
      <c r="M68" s="3">
        <f>AVERAGE(J68:L68)</f>
        <v>8.6284675921906508</v>
      </c>
      <c r="O68" s="3">
        <f>COUNT(J68:L68)</f>
        <v>1</v>
      </c>
      <c r="P68" s="3" t="s">
        <v>992</v>
      </c>
      <c r="S68" s="423"/>
      <c r="T68" s="3">
        <v>7.02</v>
      </c>
      <c r="U68" s="3">
        <v>8.5343179790755972</v>
      </c>
      <c r="W68" s="3">
        <v>5.464117338920901</v>
      </c>
      <c r="X68" s="3">
        <f>AVERAGE(T68:W68)</f>
        <v>7.0061451059988329</v>
      </c>
      <c r="Y68" s="3">
        <f>_xlfn.STDEV.S(T68:W68)</f>
        <v>1.5351472115948348</v>
      </c>
      <c r="Z68" s="3">
        <f>COUNT(T68:W68)</f>
        <v>3</v>
      </c>
      <c r="AA68" s="3" t="s">
        <v>966</v>
      </c>
    </row>
    <row r="69" spans="1:27" ht="26.4">
      <c r="A69" s="7"/>
      <c r="G69" s="4">
        <v>20</v>
      </c>
      <c r="H69" s="10" t="s">
        <v>576</v>
      </c>
      <c r="I69" s="10">
        <v>0.12</v>
      </c>
      <c r="J69" s="10">
        <v>0.16403773584905662</v>
      </c>
      <c r="K69" s="10"/>
      <c r="L69" s="10"/>
      <c r="M69" s="10">
        <f>AVERAGE(J69:L69)</f>
        <v>0.16403773584905662</v>
      </c>
      <c r="N69" s="10"/>
      <c r="O69" s="10">
        <f>COUNT(J69:L69)</f>
        <v>1</v>
      </c>
      <c r="P69" s="10" t="s">
        <v>992</v>
      </c>
      <c r="S69" s="423"/>
      <c r="T69" s="203">
        <v>0.16300000000000001</v>
      </c>
      <c r="U69" s="203">
        <v>0.1589433962264151</v>
      </c>
      <c r="V69" s="203"/>
      <c r="W69" s="203">
        <v>0.13700000000000001</v>
      </c>
      <c r="X69" s="203">
        <f>AVERAGE(T69:W69)</f>
        <v>0.1529811320754717</v>
      </c>
      <c r="Y69" s="203">
        <f>_xlfn.STDEV.S(T69:W69)</f>
        <v>1.3987903536778428E-2</v>
      </c>
      <c r="Z69" s="203">
        <f>COUNT(T69:W69)</f>
        <v>3</v>
      </c>
      <c r="AA69" s="203" t="s">
        <v>984</v>
      </c>
    </row>
    <row r="70" spans="1:27" ht="26.4">
      <c r="A70" s="7"/>
      <c r="G70" s="4">
        <v>40</v>
      </c>
      <c r="H70" s="10" t="s">
        <v>576</v>
      </c>
      <c r="I70" s="10">
        <v>0.12</v>
      </c>
      <c r="J70" s="10">
        <v>0.18485472818931403</v>
      </c>
      <c r="K70" s="10"/>
      <c r="L70" s="10"/>
      <c r="M70" s="10">
        <f>AVERAGE(J70:L70)</f>
        <v>0.18485472818931403</v>
      </c>
      <c r="N70" s="10"/>
      <c r="O70" s="10">
        <f>COUNT(J70:L70)</f>
        <v>1</v>
      </c>
      <c r="P70" s="10" t="s">
        <v>992</v>
      </c>
      <c r="S70" s="423"/>
      <c r="T70" s="203">
        <v>0.18</v>
      </c>
      <c r="U70" s="203">
        <v>0.17911389812132289</v>
      </c>
      <c r="V70" s="203"/>
      <c r="W70" s="203">
        <v>0.15339837611314827</v>
      </c>
      <c r="X70" s="203">
        <f>AVERAGE(T70:W70)</f>
        <v>0.17083742474482375</v>
      </c>
      <c r="Y70" s="203">
        <f>_xlfn.STDEV.S(T70:W70)</f>
        <v>1.5109156396645868E-2</v>
      </c>
      <c r="Z70" s="203">
        <f>COUNT(T70:W70)</f>
        <v>3</v>
      </c>
      <c r="AA70" s="203" t="s">
        <v>966</v>
      </c>
    </row>
    <row r="71" spans="1:27">
      <c r="A71" s="7"/>
      <c r="S71" s="423"/>
    </row>
    <row r="72" spans="1:27" ht="31.5" customHeight="1">
      <c r="A72" s="7"/>
      <c r="B72" s="3" t="s">
        <v>571</v>
      </c>
      <c r="C72" s="3" t="s">
        <v>578</v>
      </c>
      <c r="D72" s="15" t="s">
        <v>588</v>
      </c>
      <c r="E72" s="3" t="s">
        <v>587</v>
      </c>
      <c r="F72" s="3" t="s">
        <v>97</v>
      </c>
      <c r="G72" s="4">
        <v>20</v>
      </c>
      <c r="H72" s="3" t="s">
        <v>575</v>
      </c>
      <c r="I72" s="13">
        <v>3.3</v>
      </c>
      <c r="J72" s="3">
        <v>9.2115849056603754</v>
      </c>
      <c r="M72" s="3">
        <f t="shared" ref="M72:M77" si="25">AVERAGE(J72:L72)</f>
        <v>9.2115849056603754</v>
      </c>
      <c r="O72" s="3">
        <f t="shared" ref="O72:O77" si="26">COUNT(J72:L72)</f>
        <v>1</v>
      </c>
      <c r="P72" s="3" t="s">
        <v>992</v>
      </c>
      <c r="S72" s="423"/>
      <c r="U72" s="3">
        <v>9.219735849056601</v>
      </c>
      <c r="X72" s="3">
        <f t="shared" ref="X72:X77" si="27">AVERAGE(T72:W72)</f>
        <v>9.219735849056601</v>
      </c>
      <c r="Z72" s="3">
        <f t="shared" ref="Z72:Z77" si="28">COUNT(T72:W72)</f>
        <v>1</v>
      </c>
      <c r="AA72" s="3" t="s">
        <v>982</v>
      </c>
    </row>
    <row r="73" spans="1:27" ht="31.5" customHeight="1">
      <c r="A73" s="7"/>
      <c r="D73" s="15"/>
      <c r="G73" s="4">
        <v>40</v>
      </c>
      <c r="H73" s="3" t="s">
        <v>575</v>
      </c>
      <c r="I73" s="13">
        <v>3.3</v>
      </c>
      <c r="J73" s="3">
        <v>10.637287754361539</v>
      </c>
      <c r="M73" s="3">
        <f t="shared" si="25"/>
        <v>10.637287754361539</v>
      </c>
      <c r="O73" s="3">
        <f t="shared" si="26"/>
        <v>1</v>
      </c>
      <c r="P73" s="3" t="s">
        <v>992</v>
      </c>
      <c r="S73" s="423"/>
      <c r="U73" s="3">
        <v>10.646700242143298</v>
      </c>
      <c r="X73" s="3">
        <f t="shared" si="27"/>
        <v>10.646700242143298</v>
      </c>
      <c r="Z73" s="3">
        <f t="shared" si="28"/>
        <v>1</v>
      </c>
      <c r="AA73" s="3" t="s">
        <v>969</v>
      </c>
    </row>
    <row r="74" spans="1:27" ht="31.5" customHeight="1">
      <c r="A74" s="7"/>
      <c r="D74" s="15"/>
      <c r="G74" s="4">
        <v>100</v>
      </c>
      <c r="H74" s="3" t="s">
        <v>575</v>
      </c>
      <c r="I74" s="13">
        <v>3.3</v>
      </c>
      <c r="J74" s="3">
        <v>11.611851103344094</v>
      </c>
      <c r="M74" s="3">
        <f t="shared" si="25"/>
        <v>11.611851103344094</v>
      </c>
      <c r="O74" s="3">
        <f t="shared" si="26"/>
        <v>1</v>
      </c>
      <c r="P74" s="3" t="s">
        <v>960</v>
      </c>
      <c r="S74" s="423"/>
      <c r="U74" s="3">
        <v>11.622125941174726</v>
      </c>
      <c r="X74" s="3">
        <f t="shared" si="27"/>
        <v>11.622125941174726</v>
      </c>
      <c r="Z74" s="3">
        <f t="shared" si="28"/>
        <v>1</v>
      </c>
      <c r="AA74" s="3" t="s">
        <v>966</v>
      </c>
    </row>
    <row r="75" spans="1:27" ht="26.4">
      <c r="A75" s="7"/>
      <c r="G75" s="4">
        <v>20</v>
      </c>
      <c r="H75" s="10" t="s">
        <v>576</v>
      </c>
      <c r="I75" s="10">
        <v>0.12</v>
      </c>
      <c r="J75" s="10">
        <v>0.21396226415094335</v>
      </c>
      <c r="K75" s="10"/>
      <c r="L75" s="10"/>
      <c r="M75" s="10">
        <f t="shared" si="25"/>
        <v>0.21396226415094335</v>
      </c>
      <c r="N75" s="10"/>
      <c r="O75" s="10">
        <f t="shared" si="26"/>
        <v>1</v>
      </c>
      <c r="P75" s="10" t="s">
        <v>960</v>
      </c>
      <c r="S75" s="423"/>
      <c r="T75" s="203"/>
      <c r="U75" s="203">
        <v>0.21905660377358485</v>
      </c>
      <c r="V75" s="203"/>
      <c r="W75" s="203"/>
      <c r="X75" s="203">
        <f t="shared" si="27"/>
        <v>0.21905660377358485</v>
      </c>
      <c r="Y75" s="203"/>
      <c r="Z75" s="203">
        <f t="shared" si="28"/>
        <v>1</v>
      </c>
      <c r="AA75" s="203" t="s">
        <v>966</v>
      </c>
    </row>
    <row r="76" spans="1:27" ht="26.4">
      <c r="A76" s="7"/>
      <c r="G76" s="4">
        <v>40</v>
      </c>
      <c r="H76" s="10" t="s">
        <v>576</v>
      </c>
      <c r="I76" s="10">
        <v>0.12</v>
      </c>
      <c r="J76" s="10">
        <v>0.24707780427120044</v>
      </c>
      <c r="K76" s="10"/>
      <c r="L76" s="10"/>
      <c r="M76" s="10">
        <f t="shared" si="25"/>
        <v>0.24707780427120044</v>
      </c>
      <c r="N76" s="10"/>
      <c r="O76" s="10">
        <f t="shared" si="26"/>
        <v>1</v>
      </c>
      <c r="P76" s="10" t="s">
        <v>992</v>
      </c>
      <c r="S76" s="423"/>
      <c r="T76" s="203"/>
      <c r="U76" s="203">
        <v>0.25296060913480045</v>
      </c>
      <c r="V76" s="203"/>
      <c r="W76" s="203"/>
      <c r="X76" s="203">
        <f t="shared" si="27"/>
        <v>0.25296060913480045</v>
      </c>
      <c r="Y76" s="203"/>
      <c r="Z76" s="203">
        <f t="shared" si="28"/>
        <v>1</v>
      </c>
      <c r="AA76" s="203" t="s">
        <v>966</v>
      </c>
    </row>
    <row r="77" spans="1:27" ht="26.4">
      <c r="A77" s="7"/>
      <c r="G77" s="4">
        <v>100</v>
      </c>
      <c r="H77" s="10" t="s">
        <v>576</v>
      </c>
      <c r="I77" s="10">
        <v>0.12</v>
      </c>
      <c r="J77" s="10">
        <v>0.26971449305411566</v>
      </c>
      <c r="K77" s="10"/>
      <c r="L77" s="10"/>
      <c r="M77" s="10">
        <f t="shared" si="25"/>
        <v>0.26971449305411566</v>
      </c>
      <c r="N77" s="10"/>
      <c r="O77" s="10">
        <f t="shared" si="26"/>
        <v>1</v>
      </c>
      <c r="P77" s="10" t="s">
        <v>992</v>
      </c>
      <c r="S77" s="423"/>
      <c r="T77" s="203"/>
      <c r="U77" s="203">
        <v>0.27613626669826125</v>
      </c>
      <c r="V77" s="203"/>
      <c r="W77" s="203"/>
      <c r="X77" s="203">
        <f t="shared" si="27"/>
        <v>0.27613626669826125</v>
      </c>
      <c r="Y77" s="203"/>
      <c r="Z77" s="203">
        <f t="shared" si="28"/>
        <v>1</v>
      </c>
      <c r="AA77" s="203" t="s">
        <v>969</v>
      </c>
    </row>
    <row r="78" spans="1:27">
      <c r="A78" s="7"/>
      <c r="S78" s="423"/>
    </row>
    <row r="79" spans="1:27" ht="31.5" customHeight="1">
      <c r="A79" s="7"/>
      <c r="B79" s="3" t="s">
        <v>571</v>
      </c>
      <c r="C79" s="3" t="s">
        <v>578</v>
      </c>
      <c r="D79" s="15" t="s">
        <v>588</v>
      </c>
      <c r="E79" s="3" t="s">
        <v>574</v>
      </c>
      <c r="F79" s="3" t="s">
        <v>97</v>
      </c>
      <c r="G79" s="4">
        <v>20</v>
      </c>
      <c r="H79" s="3" t="s">
        <v>575</v>
      </c>
      <c r="I79" s="13">
        <v>3.3</v>
      </c>
      <c r="J79" s="3">
        <v>8.8967547169811318</v>
      </c>
      <c r="M79" s="3">
        <f>AVERAGE(J79:L79)</f>
        <v>8.8967547169811318</v>
      </c>
      <c r="O79" s="3">
        <f>COUNT(J79:L79)</f>
        <v>1</v>
      </c>
      <c r="P79" s="3" t="s">
        <v>978</v>
      </c>
      <c r="S79" s="423"/>
      <c r="U79" s="3">
        <v>8.9487169811320744</v>
      </c>
      <c r="X79" s="3">
        <f>AVERAGE(T79:W79)</f>
        <v>8.9487169811320744</v>
      </c>
      <c r="Z79" s="3">
        <f>COUNT(T79:W79)</f>
        <v>1</v>
      </c>
      <c r="AA79" s="3" t="s">
        <v>960</v>
      </c>
    </row>
    <row r="80" spans="1:27" ht="31.5" customHeight="1">
      <c r="A80" s="7"/>
      <c r="D80" s="15"/>
      <c r="G80" s="4">
        <v>40</v>
      </c>
      <c r="H80" s="3" t="s">
        <v>575</v>
      </c>
      <c r="I80" s="13">
        <v>3.3</v>
      </c>
      <c r="J80" s="3">
        <v>10.077316901735349</v>
      </c>
      <c r="M80" s="3">
        <f>AVERAGE(J80:L80)</f>
        <v>10.077316901735349</v>
      </c>
      <c r="O80" s="3">
        <f>COUNT(J80:L80)</f>
        <v>1</v>
      </c>
      <c r="P80" s="3" t="s">
        <v>992</v>
      </c>
      <c r="S80" s="423"/>
      <c r="U80" s="3">
        <v>10.136174341266784</v>
      </c>
      <c r="X80" s="3">
        <f>AVERAGE(T80:W80)</f>
        <v>10.136174341266784</v>
      </c>
      <c r="Z80" s="3">
        <f>COUNT(T80:W80)</f>
        <v>1</v>
      </c>
      <c r="AA80" s="3" t="s">
        <v>969</v>
      </c>
    </row>
    <row r="81" spans="1:27" ht="26.4">
      <c r="A81" s="7"/>
      <c r="G81" s="4">
        <v>20</v>
      </c>
      <c r="H81" s="10" t="s">
        <v>576</v>
      </c>
      <c r="I81" s="10">
        <v>0.12</v>
      </c>
      <c r="J81" s="10">
        <v>0.17728301886792452</v>
      </c>
      <c r="K81" s="10"/>
      <c r="L81" s="10"/>
      <c r="M81" s="10">
        <f>AVERAGE(J81:L81)</f>
        <v>0.17728301886792452</v>
      </c>
      <c r="N81" s="10"/>
      <c r="O81" s="10">
        <f>COUNT(J81:L81)</f>
        <v>1</v>
      </c>
      <c r="P81" s="10" t="s">
        <v>992</v>
      </c>
      <c r="S81" s="423"/>
      <c r="T81" s="203"/>
      <c r="U81" s="203">
        <v>0.18339622641509434</v>
      </c>
      <c r="V81" s="203"/>
      <c r="W81" s="203"/>
      <c r="X81" s="203">
        <f>AVERAGE(T81:W81)</f>
        <v>0.18339622641509434</v>
      </c>
      <c r="Y81" s="203"/>
      <c r="Z81" s="203">
        <f>COUNT(T81:W81)</f>
        <v>1</v>
      </c>
      <c r="AA81" s="203" t="s">
        <v>960</v>
      </c>
    </row>
    <row r="82" spans="1:27" ht="26.4">
      <c r="A82" s="7"/>
      <c r="G82" s="4">
        <v>40</v>
      </c>
      <c r="H82" s="10" t="s">
        <v>576</v>
      </c>
      <c r="I82" s="10">
        <v>0.12</v>
      </c>
      <c r="J82" s="10">
        <v>0.20080773487195955</v>
      </c>
      <c r="K82" s="10"/>
      <c r="L82" s="10"/>
      <c r="M82" s="10">
        <f>AVERAGE(J82:L82)</f>
        <v>0.20080773487195955</v>
      </c>
      <c r="N82" s="10"/>
      <c r="O82" s="10">
        <f>COUNT(J82:L82)</f>
        <v>1</v>
      </c>
      <c r="P82" s="10" t="s">
        <v>969</v>
      </c>
      <c r="S82" s="423"/>
      <c r="T82" s="203"/>
      <c r="U82" s="203">
        <v>0.2077321395227168</v>
      </c>
      <c r="V82" s="203"/>
      <c r="W82" s="203"/>
      <c r="X82" s="203">
        <f>AVERAGE(T82:W82)</f>
        <v>0.2077321395227168</v>
      </c>
      <c r="Y82" s="203"/>
      <c r="Z82" s="203">
        <f>COUNT(T82:W82)</f>
        <v>1</v>
      </c>
      <c r="AA82" s="203" t="s">
        <v>966</v>
      </c>
    </row>
    <row r="83" spans="1:27">
      <c r="A83" s="7"/>
      <c r="S83" s="423"/>
    </row>
    <row r="84" spans="1:27" ht="26.4">
      <c r="A84" s="7"/>
      <c r="B84" s="3" t="s">
        <v>571</v>
      </c>
      <c r="C84" s="3" t="s">
        <v>581</v>
      </c>
      <c r="D84" s="202" t="s">
        <v>655</v>
      </c>
      <c r="E84" s="3" t="s">
        <v>574</v>
      </c>
      <c r="F84" s="3" t="s">
        <v>98</v>
      </c>
      <c r="G84" s="4">
        <v>20</v>
      </c>
      <c r="H84" s="3" t="s">
        <v>575</v>
      </c>
      <c r="I84" s="13">
        <v>3.3</v>
      </c>
      <c r="O84" s="3">
        <f>COUNT(J84:L84)</f>
        <v>0</v>
      </c>
      <c r="P84" s="3" t="s">
        <v>970</v>
      </c>
      <c r="S84" s="423"/>
      <c r="Z84" s="3">
        <f>COUNT(T84:W84)</f>
        <v>0</v>
      </c>
      <c r="AA84" s="3" t="s">
        <v>1008</v>
      </c>
    </row>
    <row r="85" spans="1:27" ht="26.4">
      <c r="A85" s="7"/>
      <c r="G85" s="4">
        <v>40</v>
      </c>
      <c r="H85" s="3" t="s">
        <v>575</v>
      </c>
      <c r="I85" s="13">
        <v>3.3</v>
      </c>
      <c r="O85" s="3">
        <f>COUNT(J85:L85)</f>
        <v>0</v>
      </c>
      <c r="P85" s="3" t="s">
        <v>989</v>
      </c>
      <c r="S85" s="423"/>
      <c r="Z85" s="3">
        <f>COUNT(T85:W85)</f>
        <v>0</v>
      </c>
      <c r="AA85" s="3" t="s">
        <v>989</v>
      </c>
    </row>
    <row r="86" spans="1:27" ht="26.4">
      <c r="A86" s="7"/>
      <c r="G86" s="4">
        <v>20</v>
      </c>
      <c r="H86" s="10" t="s">
        <v>576</v>
      </c>
      <c r="I86" s="10">
        <v>0.12</v>
      </c>
      <c r="J86" s="10"/>
      <c r="K86" s="10"/>
      <c r="L86" s="10"/>
      <c r="M86" s="10"/>
      <c r="N86" s="10"/>
      <c r="O86" s="10">
        <f>COUNT(J86:L86)</f>
        <v>0</v>
      </c>
      <c r="P86" s="10" t="s">
        <v>989</v>
      </c>
      <c r="S86" s="423"/>
      <c r="T86" s="203"/>
      <c r="U86" s="203"/>
      <c r="V86" s="203"/>
      <c r="W86" s="203"/>
      <c r="X86" s="203"/>
      <c r="Y86" s="203"/>
      <c r="Z86" s="203">
        <f>COUNT(T86:W86)</f>
        <v>0</v>
      </c>
      <c r="AA86" s="203" t="s">
        <v>965</v>
      </c>
    </row>
    <row r="87" spans="1:27" ht="26.4">
      <c r="A87" s="7"/>
      <c r="G87" s="4">
        <v>40</v>
      </c>
      <c r="H87" s="10" t="s">
        <v>576</v>
      </c>
      <c r="I87" s="10">
        <v>0.12</v>
      </c>
      <c r="J87" s="10"/>
      <c r="K87" s="10"/>
      <c r="L87" s="10"/>
      <c r="M87" s="10"/>
      <c r="N87" s="10"/>
      <c r="O87" s="10">
        <f>COUNT(J87:L87)</f>
        <v>0</v>
      </c>
      <c r="P87" s="10" t="s">
        <v>989</v>
      </c>
      <c r="S87" s="7"/>
      <c r="T87" s="203"/>
      <c r="U87" s="203"/>
      <c r="V87" s="203"/>
      <c r="W87" s="203"/>
      <c r="X87" s="203"/>
      <c r="Y87" s="203"/>
      <c r="Z87" s="203">
        <f>COUNT(T87:W87)</f>
        <v>0</v>
      </c>
      <c r="AA87" s="203" t="s">
        <v>989</v>
      </c>
    </row>
    <row r="88" spans="1:27">
      <c r="A88" s="7"/>
      <c r="S88" s="7"/>
    </row>
    <row r="89" spans="1:27" ht="26.4">
      <c r="A89" s="7"/>
      <c r="B89" s="3" t="s">
        <v>571</v>
      </c>
      <c r="C89" s="3" t="s">
        <v>572</v>
      </c>
      <c r="D89" s="15" t="s">
        <v>586</v>
      </c>
      <c r="E89" s="3" t="s">
        <v>574</v>
      </c>
      <c r="F89" s="3" t="s">
        <v>98</v>
      </c>
      <c r="G89" s="4">
        <v>20</v>
      </c>
      <c r="H89" s="3" t="s">
        <v>575</v>
      </c>
      <c r="I89" s="13">
        <v>3.3</v>
      </c>
      <c r="K89" s="3">
        <v>6.3979746835443043</v>
      </c>
      <c r="M89" s="3">
        <f>AVERAGE(J89:L89)</f>
        <v>6.3979746835443043</v>
      </c>
      <c r="O89" s="3">
        <f>COUNT(J89:L89)</f>
        <v>1</v>
      </c>
      <c r="P89" s="3" t="s">
        <v>984</v>
      </c>
      <c r="S89" s="7"/>
      <c r="W89" s="3">
        <v>5.024</v>
      </c>
      <c r="X89" s="3">
        <f>AVERAGE(T89:W89)</f>
        <v>5.024</v>
      </c>
      <c r="Z89" s="3">
        <f>COUNT(T89:W89)</f>
        <v>1</v>
      </c>
      <c r="AA89" s="3" t="s">
        <v>992</v>
      </c>
    </row>
    <row r="90" spans="1:27" ht="26.4">
      <c r="A90" s="7"/>
      <c r="D90" s="15"/>
      <c r="G90" s="4">
        <v>40</v>
      </c>
      <c r="H90" s="3" t="s">
        <v>575</v>
      </c>
      <c r="I90" s="13">
        <v>3.3</v>
      </c>
      <c r="K90" s="3">
        <v>7.3544272994176261</v>
      </c>
      <c r="M90" s="3">
        <f>AVERAGE(J90:L90)</f>
        <v>7.3544272994176261</v>
      </c>
      <c r="O90" s="3">
        <f>COUNT(J90:L90)</f>
        <v>1</v>
      </c>
      <c r="P90" s="3" t="s">
        <v>1004</v>
      </c>
      <c r="S90" s="7"/>
      <c r="W90" s="3">
        <v>5.6317015163607342</v>
      </c>
      <c r="X90" s="3">
        <f>AVERAGE(T90:W90)</f>
        <v>5.6317015163607342</v>
      </c>
      <c r="Z90" s="3">
        <f>COUNT(T90:W90)</f>
        <v>1</v>
      </c>
      <c r="AA90" s="3" t="s">
        <v>982</v>
      </c>
    </row>
    <row r="91" spans="1:27" ht="26.4">
      <c r="A91" s="7"/>
      <c r="G91" s="4">
        <v>20</v>
      </c>
      <c r="H91" s="10" t="s">
        <v>576</v>
      </c>
      <c r="I91" s="10">
        <v>0.12</v>
      </c>
      <c r="J91" s="10"/>
      <c r="K91" s="10">
        <v>0.18759493670886077</v>
      </c>
      <c r="L91" s="10"/>
      <c r="M91" s="10">
        <f>AVERAGE(J91:L91)</f>
        <v>0.18759493670886077</v>
      </c>
      <c r="N91" s="10"/>
      <c r="O91" s="10">
        <f>COUNT(J91:L91)</f>
        <v>1</v>
      </c>
      <c r="P91" s="10" t="s">
        <v>992</v>
      </c>
      <c r="S91" s="7"/>
      <c r="T91" s="203"/>
      <c r="U91" s="203"/>
      <c r="V91" s="203"/>
      <c r="W91" s="203">
        <v>0.14499999999999999</v>
      </c>
      <c r="X91" s="203">
        <f>AVERAGE(T91:W91)</f>
        <v>0.14499999999999999</v>
      </c>
      <c r="Y91" s="203"/>
      <c r="Z91" s="203">
        <f>COUNT(T91:W91)</f>
        <v>1</v>
      </c>
      <c r="AA91" s="203" t="s">
        <v>960</v>
      </c>
    </row>
    <row r="92" spans="1:27" ht="26.4">
      <c r="A92" s="7"/>
      <c r="G92" s="4">
        <v>40</v>
      </c>
      <c r="H92" s="10" t="s">
        <v>576</v>
      </c>
      <c r="I92" s="10">
        <v>0.12</v>
      </c>
      <c r="J92" s="10"/>
      <c r="K92" s="10">
        <v>0.21563907205082544</v>
      </c>
      <c r="L92" s="10"/>
      <c r="M92" s="10">
        <f>AVERAGE(J92:L92)</f>
        <v>0.21563907205082544</v>
      </c>
      <c r="N92" s="10"/>
      <c r="O92" s="10">
        <f>COUNT(J92:L92)</f>
        <v>1</v>
      </c>
      <c r="P92" s="10" t="s">
        <v>992</v>
      </c>
      <c r="S92" s="7"/>
      <c r="T92" s="203"/>
      <c r="U92" s="203"/>
      <c r="V92" s="203"/>
      <c r="W92" s="203">
        <v>0.1625391560255387</v>
      </c>
      <c r="X92" s="203">
        <f>AVERAGE(T92:W92)</f>
        <v>0.1625391560255387</v>
      </c>
      <c r="Y92" s="203"/>
      <c r="Z92" s="203">
        <f>COUNT(T92:W92)</f>
        <v>1</v>
      </c>
      <c r="AA92" s="203" t="s">
        <v>966</v>
      </c>
    </row>
    <row r="93" spans="1:27">
      <c r="A93" s="7"/>
      <c r="S93" s="7"/>
    </row>
    <row r="94" spans="1:27" ht="26.4">
      <c r="A94" s="7"/>
      <c r="B94" s="3" t="s">
        <v>571</v>
      </c>
      <c r="C94" s="3" t="s">
        <v>572</v>
      </c>
      <c r="D94" s="15" t="s">
        <v>586</v>
      </c>
      <c r="E94" s="15" t="s">
        <v>587</v>
      </c>
      <c r="F94" s="3" t="s">
        <v>98</v>
      </c>
      <c r="G94" s="4">
        <v>20</v>
      </c>
      <c r="H94" s="3" t="s">
        <v>575</v>
      </c>
      <c r="I94" s="13">
        <v>3.3</v>
      </c>
      <c r="O94" s="3">
        <f t="shared" ref="O94:O99" si="29">COUNT(J94:L94)</f>
        <v>0</v>
      </c>
      <c r="P94" s="3" t="s">
        <v>972</v>
      </c>
      <c r="S94" s="7"/>
      <c r="Z94" s="3">
        <f t="shared" ref="Z94:Z99" si="30">COUNT(T94:W94)</f>
        <v>0</v>
      </c>
      <c r="AA94" s="3" t="s">
        <v>963</v>
      </c>
    </row>
    <row r="95" spans="1:27" ht="26.4">
      <c r="A95" s="7"/>
      <c r="D95" s="15"/>
      <c r="E95" s="15"/>
      <c r="G95" s="4">
        <v>40</v>
      </c>
      <c r="H95" s="3" t="s">
        <v>575</v>
      </c>
      <c r="I95" s="13">
        <v>3.3</v>
      </c>
      <c r="O95" s="3">
        <f t="shared" si="29"/>
        <v>0</v>
      </c>
      <c r="P95" s="3" t="s">
        <v>989</v>
      </c>
      <c r="S95" s="7"/>
      <c r="Z95" s="3">
        <f t="shared" si="30"/>
        <v>0</v>
      </c>
      <c r="AA95" s="3" t="s">
        <v>972</v>
      </c>
    </row>
    <row r="96" spans="1:27" ht="26.4">
      <c r="A96" s="7"/>
      <c r="D96" s="15"/>
      <c r="E96" s="15"/>
      <c r="G96" s="4">
        <v>100</v>
      </c>
      <c r="H96" s="3" t="s">
        <v>575</v>
      </c>
      <c r="I96" s="13">
        <v>3.3</v>
      </c>
      <c r="O96" s="3">
        <f t="shared" si="29"/>
        <v>0</v>
      </c>
      <c r="P96" s="3" t="s">
        <v>1005</v>
      </c>
      <c r="S96" s="7"/>
      <c r="Z96" s="3">
        <f t="shared" si="30"/>
        <v>0</v>
      </c>
      <c r="AA96" s="3" t="s">
        <v>990</v>
      </c>
    </row>
    <row r="97" spans="1:27" ht="26.4">
      <c r="A97" s="7"/>
      <c r="G97" s="4">
        <v>20</v>
      </c>
      <c r="H97" s="10" t="s">
        <v>576</v>
      </c>
      <c r="I97" s="10">
        <v>0.12</v>
      </c>
      <c r="J97" s="10"/>
      <c r="K97" s="10"/>
      <c r="L97" s="10"/>
      <c r="M97" s="10"/>
      <c r="N97" s="10"/>
      <c r="O97" s="10">
        <f t="shared" si="29"/>
        <v>0</v>
      </c>
      <c r="P97" s="10" t="s">
        <v>972</v>
      </c>
      <c r="S97" s="7"/>
      <c r="T97" s="203"/>
      <c r="U97" s="203"/>
      <c r="V97" s="203"/>
      <c r="W97" s="203"/>
      <c r="X97" s="203"/>
      <c r="Y97" s="203"/>
      <c r="Z97" s="203">
        <f t="shared" si="30"/>
        <v>0</v>
      </c>
      <c r="AA97" s="203" t="s">
        <v>963</v>
      </c>
    </row>
    <row r="98" spans="1:27" ht="26.4">
      <c r="A98" s="7"/>
      <c r="G98" s="4">
        <v>40</v>
      </c>
      <c r="H98" s="10" t="s">
        <v>576</v>
      </c>
      <c r="I98" s="10">
        <v>0.12</v>
      </c>
      <c r="J98" s="10"/>
      <c r="K98" s="10"/>
      <c r="L98" s="10"/>
      <c r="M98" s="10"/>
      <c r="N98" s="10"/>
      <c r="O98" s="10">
        <f t="shared" si="29"/>
        <v>0</v>
      </c>
      <c r="P98" s="10" t="s">
        <v>989</v>
      </c>
      <c r="S98" s="7"/>
      <c r="T98" s="203"/>
      <c r="U98" s="203"/>
      <c r="V98" s="203"/>
      <c r="W98" s="203"/>
      <c r="X98" s="203"/>
      <c r="Y98" s="203"/>
      <c r="Z98" s="203">
        <f t="shared" si="30"/>
        <v>0</v>
      </c>
      <c r="AA98" s="203" t="s">
        <v>963</v>
      </c>
    </row>
    <row r="99" spans="1:27" ht="26.4">
      <c r="A99" s="7"/>
      <c r="G99" s="4">
        <v>100</v>
      </c>
      <c r="H99" s="10" t="s">
        <v>576</v>
      </c>
      <c r="I99" s="10">
        <v>0.12</v>
      </c>
      <c r="J99" s="10"/>
      <c r="K99" s="10"/>
      <c r="L99" s="10"/>
      <c r="M99" s="10"/>
      <c r="N99" s="10"/>
      <c r="O99" s="10">
        <f t="shared" si="29"/>
        <v>0</v>
      </c>
      <c r="P99" s="10" t="s">
        <v>989</v>
      </c>
      <c r="S99" s="7"/>
      <c r="T99" s="203"/>
      <c r="U99" s="203"/>
      <c r="V99" s="203"/>
      <c r="W99" s="203"/>
      <c r="X99" s="203"/>
      <c r="Y99" s="203"/>
      <c r="Z99" s="203">
        <f t="shared" si="30"/>
        <v>0</v>
      </c>
      <c r="AA99" s="203" t="s">
        <v>963</v>
      </c>
    </row>
    <row r="100" spans="1:27">
      <c r="A100" s="7"/>
      <c r="S100" s="7"/>
    </row>
    <row r="101" spans="1:27" ht="26.4">
      <c r="A101" s="7"/>
      <c r="B101" s="3" t="s">
        <v>571</v>
      </c>
      <c r="C101" s="3" t="s">
        <v>583</v>
      </c>
      <c r="D101" s="3" t="s">
        <v>589</v>
      </c>
      <c r="E101" s="15" t="s">
        <v>587</v>
      </c>
      <c r="F101" s="15" t="s">
        <v>100</v>
      </c>
      <c r="G101" s="4">
        <v>20</v>
      </c>
      <c r="H101" s="3" t="s">
        <v>575</v>
      </c>
      <c r="I101" s="13">
        <v>3.3</v>
      </c>
      <c r="O101" s="3">
        <f t="shared" ref="O101:O106" si="31">COUNT(J101:L101)</f>
        <v>0</v>
      </c>
      <c r="P101" s="3" t="s">
        <v>989</v>
      </c>
      <c r="S101" s="7"/>
      <c r="Z101" s="3">
        <f t="shared" ref="Z101:Z106" si="32">COUNT(T101:W101)</f>
        <v>0</v>
      </c>
      <c r="AA101" s="3" t="s">
        <v>963</v>
      </c>
    </row>
    <row r="102" spans="1:27" ht="26.4">
      <c r="A102" s="7"/>
      <c r="E102" s="15"/>
      <c r="F102" s="15"/>
      <c r="G102" s="4">
        <v>40</v>
      </c>
      <c r="H102" s="3" t="s">
        <v>575</v>
      </c>
      <c r="I102" s="13">
        <v>3.3</v>
      </c>
      <c r="O102" s="3">
        <f t="shared" si="31"/>
        <v>0</v>
      </c>
      <c r="P102" s="3" t="s">
        <v>989</v>
      </c>
      <c r="S102" s="7"/>
      <c r="Z102" s="3">
        <f t="shared" si="32"/>
        <v>0</v>
      </c>
      <c r="AA102" s="3" t="s">
        <v>972</v>
      </c>
    </row>
    <row r="103" spans="1:27" ht="26.4">
      <c r="A103" s="7"/>
      <c r="E103" s="15"/>
      <c r="F103" s="15"/>
      <c r="G103" s="4">
        <v>100</v>
      </c>
      <c r="H103" s="3" t="s">
        <v>575</v>
      </c>
      <c r="I103" s="13">
        <v>3.3</v>
      </c>
      <c r="O103" s="3">
        <f t="shared" si="31"/>
        <v>0</v>
      </c>
      <c r="P103" s="3" t="s">
        <v>972</v>
      </c>
      <c r="S103" s="7"/>
      <c r="Z103" s="3">
        <f t="shared" si="32"/>
        <v>0</v>
      </c>
      <c r="AA103" s="3" t="s">
        <v>989</v>
      </c>
    </row>
    <row r="104" spans="1:27" ht="26.4">
      <c r="A104" s="7"/>
      <c r="G104" s="4">
        <v>20</v>
      </c>
      <c r="H104" s="10" t="s">
        <v>576</v>
      </c>
      <c r="I104" s="10">
        <v>0.12</v>
      </c>
      <c r="J104" s="10"/>
      <c r="K104" s="10"/>
      <c r="L104" s="10"/>
      <c r="M104" s="10"/>
      <c r="N104" s="10"/>
      <c r="O104" s="10">
        <f t="shared" si="31"/>
        <v>0</v>
      </c>
      <c r="P104" s="10" t="s">
        <v>975</v>
      </c>
      <c r="S104" s="7"/>
      <c r="T104" s="203"/>
      <c r="U104" s="203"/>
      <c r="V104" s="203"/>
      <c r="W104" s="203"/>
      <c r="X104" s="203"/>
      <c r="Y104" s="203"/>
      <c r="Z104" s="203">
        <f t="shared" si="32"/>
        <v>0</v>
      </c>
      <c r="AA104" s="203" t="s">
        <v>989</v>
      </c>
    </row>
    <row r="105" spans="1:27" ht="26.4">
      <c r="A105" s="7"/>
      <c r="G105" s="4">
        <v>40</v>
      </c>
      <c r="H105" s="10" t="s">
        <v>576</v>
      </c>
      <c r="I105" s="10">
        <v>0.12</v>
      </c>
      <c r="J105" s="10"/>
      <c r="K105" s="10"/>
      <c r="L105" s="10"/>
      <c r="M105" s="10"/>
      <c r="N105" s="10"/>
      <c r="O105" s="10">
        <f t="shared" si="31"/>
        <v>0</v>
      </c>
      <c r="P105" s="10" t="s">
        <v>975</v>
      </c>
      <c r="S105" s="7"/>
      <c r="T105" s="203"/>
      <c r="U105" s="203"/>
      <c r="V105" s="203"/>
      <c r="W105" s="203"/>
      <c r="X105" s="203"/>
      <c r="Y105" s="203"/>
      <c r="Z105" s="203">
        <f t="shared" si="32"/>
        <v>0</v>
      </c>
      <c r="AA105" s="203" t="s">
        <v>989</v>
      </c>
    </row>
    <row r="106" spans="1:27" ht="26.4">
      <c r="A106" s="7"/>
      <c r="G106" s="4">
        <v>100</v>
      </c>
      <c r="H106" s="10" t="s">
        <v>576</v>
      </c>
      <c r="I106" s="10">
        <v>0.12</v>
      </c>
      <c r="J106" s="10"/>
      <c r="K106" s="10"/>
      <c r="L106" s="10"/>
      <c r="M106" s="10"/>
      <c r="N106" s="10"/>
      <c r="O106" s="10">
        <f t="shared" si="31"/>
        <v>0</v>
      </c>
      <c r="P106" s="10" t="s">
        <v>975</v>
      </c>
      <c r="S106" s="7"/>
      <c r="T106" s="203"/>
      <c r="U106" s="203"/>
      <c r="V106" s="203"/>
      <c r="W106" s="203"/>
      <c r="X106" s="203"/>
      <c r="Y106" s="203"/>
      <c r="Z106" s="203">
        <f t="shared" si="32"/>
        <v>0</v>
      </c>
      <c r="AA106" s="203" t="s">
        <v>989</v>
      </c>
    </row>
    <row r="107" spans="1:27">
      <c r="A107" s="7"/>
      <c r="S107" s="7"/>
    </row>
    <row r="108" spans="1:27" ht="26.4">
      <c r="A108" s="7"/>
      <c r="B108" s="15" t="s">
        <v>577</v>
      </c>
      <c r="C108" s="202" t="s">
        <v>786</v>
      </c>
      <c r="D108" s="15" t="s">
        <v>588</v>
      </c>
      <c r="E108" s="3" t="s">
        <v>574</v>
      </c>
      <c r="F108" s="3" t="s">
        <v>98</v>
      </c>
      <c r="G108" s="4">
        <v>20</v>
      </c>
      <c r="H108" s="3" t="s">
        <v>575</v>
      </c>
      <c r="I108" s="13">
        <v>3.3</v>
      </c>
      <c r="O108" s="3">
        <f t="shared" ref="O108:O123" si="33">COUNT(J108:L108)</f>
        <v>0</v>
      </c>
      <c r="P108" s="3" t="s">
        <v>972</v>
      </c>
      <c r="S108" s="7"/>
      <c r="Z108" s="3">
        <f t="shared" ref="Z108:Z123" si="34">COUNT(T108:W108)</f>
        <v>0</v>
      </c>
      <c r="AA108" s="3" t="s">
        <v>989</v>
      </c>
    </row>
    <row r="109" spans="1:27" ht="26.4">
      <c r="A109" s="7"/>
      <c r="G109" s="4">
        <v>20</v>
      </c>
      <c r="H109" s="10" t="s">
        <v>576</v>
      </c>
      <c r="I109" s="10">
        <v>0.12</v>
      </c>
      <c r="J109" s="10"/>
      <c r="K109" s="10"/>
      <c r="L109" s="10"/>
      <c r="M109" s="10"/>
      <c r="N109" s="10"/>
      <c r="O109" s="10">
        <f t="shared" si="33"/>
        <v>0</v>
      </c>
      <c r="P109" s="10" t="s">
        <v>972</v>
      </c>
      <c r="S109" s="7"/>
      <c r="T109" s="203"/>
      <c r="U109" s="203"/>
      <c r="V109" s="203"/>
      <c r="W109" s="203"/>
      <c r="X109" s="203"/>
      <c r="Y109" s="203"/>
      <c r="Z109" s="203">
        <f t="shared" si="34"/>
        <v>0</v>
      </c>
      <c r="AA109" s="203" t="s">
        <v>1008</v>
      </c>
    </row>
    <row r="110" spans="1:27" ht="26.4">
      <c r="A110" s="226"/>
      <c r="B110" s="242" t="s">
        <v>571</v>
      </c>
      <c r="C110" s="242" t="s">
        <v>572</v>
      </c>
      <c r="D110" s="242" t="s">
        <v>586</v>
      </c>
      <c r="E110" s="242" t="s">
        <v>587</v>
      </c>
      <c r="F110" s="242" t="s">
        <v>683</v>
      </c>
      <c r="G110" s="4">
        <v>20</v>
      </c>
      <c r="H110" s="3" t="s">
        <v>575</v>
      </c>
      <c r="I110" s="13">
        <v>3.3</v>
      </c>
      <c r="O110" s="3">
        <f t="shared" si="33"/>
        <v>0</v>
      </c>
      <c r="P110" s="3" t="s">
        <v>975</v>
      </c>
      <c r="S110" s="226"/>
      <c r="Z110" s="3">
        <f t="shared" si="34"/>
        <v>0</v>
      </c>
      <c r="AA110" s="3" t="s">
        <v>972</v>
      </c>
    </row>
    <row r="111" spans="1:27" ht="26.4">
      <c r="A111" s="226"/>
      <c r="D111" s="15"/>
      <c r="E111" s="15"/>
      <c r="G111" s="4">
        <v>40</v>
      </c>
      <c r="H111" s="3" t="s">
        <v>575</v>
      </c>
      <c r="I111" s="13">
        <v>3.3</v>
      </c>
      <c r="O111" s="3">
        <f t="shared" si="33"/>
        <v>0</v>
      </c>
      <c r="P111" s="3" t="s">
        <v>975</v>
      </c>
      <c r="S111" s="226"/>
      <c r="Z111" s="3">
        <f t="shared" si="34"/>
        <v>0</v>
      </c>
      <c r="AA111" s="3" t="s">
        <v>989</v>
      </c>
    </row>
    <row r="112" spans="1:27" ht="26.4">
      <c r="A112" s="226"/>
      <c r="D112" s="15"/>
      <c r="E112" s="15"/>
      <c r="G112" s="4">
        <v>100</v>
      </c>
      <c r="H112" s="3" t="s">
        <v>575</v>
      </c>
      <c r="I112" s="13">
        <v>3.3</v>
      </c>
      <c r="O112" s="3">
        <f t="shared" si="33"/>
        <v>0</v>
      </c>
      <c r="P112" s="3" t="s">
        <v>972</v>
      </c>
      <c r="S112" s="226"/>
      <c r="Z112" s="3">
        <f t="shared" si="34"/>
        <v>0</v>
      </c>
      <c r="AA112" s="3" t="s">
        <v>965</v>
      </c>
    </row>
    <row r="113" spans="1:27" ht="26.4">
      <c r="A113" s="226"/>
      <c r="G113" s="4">
        <v>20</v>
      </c>
      <c r="H113" s="10" t="s">
        <v>576</v>
      </c>
      <c r="I113" s="10">
        <v>0.12</v>
      </c>
      <c r="J113" s="10"/>
      <c r="K113" s="10"/>
      <c r="L113" s="10"/>
      <c r="M113" s="10"/>
      <c r="N113" s="10"/>
      <c r="O113" s="10">
        <f t="shared" si="33"/>
        <v>0</v>
      </c>
      <c r="P113" s="10" t="s">
        <v>970</v>
      </c>
      <c r="S113" s="226"/>
      <c r="T113" s="203"/>
      <c r="U113" s="203"/>
      <c r="V113" s="203"/>
      <c r="W113" s="203"/>
      <c r="X113" s="203"/>
      <c r="Y113" s="203"/>
      <c r="Z113" s="203">
        <f t="shared" si="34"/>
        <v>0</v>
      </c>
      <c r="AA113" s="203" t="s">
        <v>971</v>
      </c>
    </row>
    <row r="114" spans="1:27" ht="26.4">
      <c r="A114" s="226"/>
      <c r="G114" s="4">
        <v>40</v>
      </c>
      <c r="H114" s="10" t="s">
        <v>576</v>
      </c>
      <c r="I114" s="10">
        <v>0.12</v>
      </c>
      <c r="J114" s="10"/>
      <c r="K114" s="10"/>
      <c r="L114" s="10"/>
      <c r="M114" s="10"/>
      <c r="N114" s="10"/>
      <c r="O114" s="10">
        <f t="shared" si="33"/>
        <v>0</v>
      </c>
      <c r="P114" s="10" t="s">
        <v>965</v>
      </c>
      <c r="S114" s="226"/>
      <c r="T114" s="203"/>
      <c r="U114" s="203"/>
      <c r="V114" s="203"/>
      <c r="W114" s="203"/>
      <c r="X114" s="203"/>
      <c r="Y114" s="203"/>
      <c r="Z114" s="203">
        <f t="shared" si="34"/>
        <v>0</v>
      </c>
      <c r="AA114" s="203" t="s">
        <v>970</v>
      </c>
    </row>
    <row r="115" spans="1:27" ht="26.4">
      <c r="A115" s="226"/>
      <c r="G115" s="4">
        <v>100</v>
      </c>
      <c r="H115" s="10" t="s">
        <v>576</v>
      </c>
      <c r="I115" s="10">
        <v>0.12</v>
      </c>
      <c r="J115" s="10"/>
      <c r="K115" s="10"/>
      <c r="L115" s="10"/>
      <c r="M115" s="10"/>
      <c r="N115" s="10"/>
      <c r="O115" s="10">
        <f t="shared" si="33"/>
        <v>0</v>
      </c>
      <c r="P115" s="10" t="s">
        <v>972</v>
      </c>
      <c r="S115" s="226"/>
      <c r="T115" s="203"/>
      <c r="U115" s="203"/>
      <c r="V115" s="203"/>
      <c r="W115" s="203"/>
      <c r="X115" s="203"/>
      <c r="Y115" s="203"/>
      <c r="Z115" s="203">
        <f t="shared" si="34"/>
        <v>0</v>
      </c>
      <c r="AA115" s="203" t="s">
        <v>989</v>
      </c>
    </row>
    <row r="116" spans="1:27" ht="26.4">
      <c r="A116" s="226"/>
      <c r="B116" s="242" t="s">
        <v>571</v>
      </c>
      <c r="C116" s="242" t="s">
        <v>572</v>
      </c>
      <c r="D116" s="242" t="s">
        <v>586</v>
      </c>
      <c r="E116" s="242" t="s">
        <v>587</v>
      </c>
      <c r="F116" s="242" t="s">
        <v>684</v>
      </c>
      <c r="G116" s="4">
        <v>20</v>
      </c>
      <c r="H116" s="3" t="s">
        <v>575</v>
      </c>
      <c r="I116" s="13">
        <v>3.3</v>
      </c>
      <c r="O116" s="3">
        <f t="shared" si="33"/>
        <v>0</v>
      </c>
      <c r="P116" s="3" t="s">
        <v>975</v>
      </c>
      <c r="S116" s="226"/>
      <c r="Z116" s="3">
        <f t="shared" si="34"/>
        <v>0</v>
      </c>
      <c r="AA116" s="3" t="s">
        <v>975</v>
      </c>
    </row>
    <row r="117" spans="1:27" ht="26.4">
      <c r="A117" s="226"/>
      <c r="D117" s="15"/>
      <c r="E117" s="15"/>
      <c r="G117" s="4">
        <v>40</v>
      </c>
      <c r="H117" s="3" t="s">
        <v>575</v>
      </c>
      <c r="I117" s="13">
        <v>3.3</v>
      </c>
      <c r="O117" s="3">
        <f t="shared" si="33"/>
        <v>0</v>
      </c>
      <c r="P117" s="3" t="s">
        <v>975</v>
      </c>
      <c r="S117" s="226"/>
      <c r="Z117" s="3">
        <f t="shared" si="34"/>
        <v>0</v>
      </c>
      <c r="AA117" s="3" t="s">
        <v>975</v>
      </c>
    </row>
    <row r="118" spans="1:27" ht="26.4">
      <c r="A118" s="226"/>
      <c r="D118" s="15"/>
      <c r="E118" s="15"/>
      <c r="G118" s="4">
        <v>100</v>
      </c>
      <c r="H118" s="3" t="s">
        <v>575</v>
      </c>
      <c r="I118" s="13">
        <v>3.3</v>
      </c>
      <c r="O118" s="3">
        <f t="shared" si="33"/>
        <v>0</v>
      </c>
      <c r="P118" s="3" t="s">
        <v>975</v>
      </c>
      <c r="S118" s="226"/>
      <c r="Z118" s="3">
        <f t="shared" si="34"/>
        <v>0</v>
      </c>
      <c r="AA118" s="3" t="s">
        <v>1008</v>
      </c>
    </row>
    <row r="119" spans="1:27" ht="26.4">
      <c r="A119" s="226"/>
      <c r="G119" s="4">
        <v>20</v>
      </c>
      <c r="H119" s="10" t="s">
        <v>576</v>
      </c>
      <c r="I119" s="10">
        <v>0.12</v>
      </c>
      <c r="J119" s="10"/>
      <c r="K119" s="10"/>
      <c r="L119" s="10"/>
      <c r="M119" s="10"/>
      <c r="N119" s="10"/>
      <c r="O119" s="10">
        <f t="shared" si="33"/>
        <v>0</v>
      </c>
      <c r="P119" s="10" t="s">
        <v>975</v>
      </c>
      <c r="S119" s="226"/>
      <c r="T119" s="203"/>
      <c r="U119" s="203"/>
      <c r="V119" s="203"/>
      <c r="W119" s="203"/>
      <c r="X119" s="203"/>
      <c r="Y119" s="203"/>
      <c r="Z119" s="203">
        <f t="shared" si="34"/>
        <v>0</v>
      </c>
      <c r="AA119" s="203" t="s">
        <v>989</v>
      </c>
    </row>
    <row r="120" spans="1:27" ht="26.4">
      <c r="A120" s="226"/>
      <c r="G120" s="4">
        <v>40</v>
      </c>
      <c r="H120" s="10" t="s">
        <v>576</v>
      </c>
      <c r="I120" s="10">
        <v>0.12</v>
      </c>
      <c r="J120" s="10"/>
      <c r="K120" s="10"/>
      <c r="L120" s="10"/>
      <c r="M120" s="10"/>
      <c r="N120" s="10"/>
      <c r="O120" s="10">
        <f t="shared" si="33"/>
        <v>0</v>
      </c>
      <c r="P120" s="10" t="s">
        <v>975</v>
      </c>
      <c r="S120" s="226"/>
      <c r="T120" s="203"/>
      <c r="U120" s="203"/>
      <c r="V120" s="203"/>
      <c r="W120" s="203"/>
      <c r="X120" s="203"/>
      <c r="Y120" s="203"/>
      <c r="Z120" s="203">
        <f t="shared" si="34"/>
        <v>0</v>
      </c>
      <c r="AA120" s="203" t="s">
        <v>972</v>
      </c>
    </row>
    <row r="121" spans="1:27" ht="26.4">
      <c r="A121" s="226"/>
      <c r="G121" s="4">
        <v>100</v>
      </c>
      <c r="H121" s="10" t="s">
        <v>576</v>
      </c>
      <c r="I121" s="10">
        <v>0.12</v>
      </c>
      <c r="J121" s="10"/>
      <c r="K121" s="10"/>
      <c r="L121" s="10"/>
      <c r="M121" s="10"/>
      <c r="N121" s="10"/>
      <c r="O121" s="10">
        <f t="shared" si="33"/>
        <v>0</v>
      </c>
      <c r="P121" s="10" t="s">
        <v>972</v>
      </c>
      <c r="S121" s="226"/>
      <c r="T121" s="203"/>
      <c r="U121" s="203"/>
      <c r="V121" s="203"/>
      <c r="W121" s="203"/>
      <c r="X121" s="203"/>
      <c r="Y121" s="203"/>
      <c r="Z121" s="203">
        <f t="shared" si="34"/>
        <v>0</v>
      </c>
      <c r="AA121" s="203" t="s">
        <v>989</v>
      </c>
    </row>
    <row r="122" spans="1:27" ht="26.4">
      <c r="A122" s="226"/>
      <c r="B122" s="242" t="s">
        <v>577</v>
      </c>
      <c r="C122" s="242" t="s">
        <v>781</v>
      </c>
      <c r="D122" s="242" t="s">
        <v>586</v>
      </c>
      <c r="E122" s="242" t="s">
        <v>574</v>
      </c>
      <c r="F122" s="242" t="s">
        <v>777</v>
      </c>
      <c r="G122" s="3"/>
      <c r="H122" s="3" t="s">
        <v>575</v>
      </c>
      <c r="I122" s="13">
        <v>3.3</v>
      </c>
      <c r="O122" s="3">
        <f t="shared" si="33"/>
        <v>0</v>
      </c>
      <c r="P122" s="3" t="s">
        <v>1006</v>
      </c>
      <c r="S122" s="226"/>
      <c r="Z122" s="3">
        <f t="shared" si="34"/>
        <v>0</v>
      </c>
      <c r="AA122" s="3" t="s">
        <v>965</v>
      </c>
    </row>
    <row r="123" spans="1:27" ht="26.4">
      <c r="A123" s="226"/>
      <c r="G123" s="3"/>
      <c r="H123" s="10" t="s">
        <v>576</v>
      </c>
      <c r="I123" s="10">
        <v>0.12</v>
      </c>
      <c r="J123" s="10"/>
      <c r="K123" s="10"/>
      <c r="L123" s="10"/>
      <c r="M123" s="10"/>
      <c r="N123" s="10"/>
      <c r="O123" s="10">
        <f t="shared" si="33"/>
        <v>0</v>
      </c>
      <c r="P123" s="10" t="s">
        <v>975</v>
      </c>
      <c r="S123" s="226"/>
      <c r="T123" s="10"/>
      <c r="U123" s="10"/>
      <c r="V123" s="10"/>
      <c r="W123" s="10"/>
      <c r="X123" s="10"/>
      <c r="Y123" s="10"/>
      <c r="Z123" s="10">
        <f t="shared" si="34"/>
        <v>0</v>
      </c>
      <c r="AA123" s="10" t="s">
        <v>972</v>
      </c>
    </row>
    <row r="124" spans="1:27">
      <c r="A124" s="7"/>
      <c r="S124" s="7"/>
    </row>
    <row r="125" spans="1:27">
      <c r="A125" s="421" t="s">
        <v>590</v>
      </c>
      <c r="B125" s="8" t="s">
        <v>74</v>
      </c>
      <c r="C125" s="8"/>
      <c r="D125" s="8" t="s">
        <v>74</v>
      </c>
      <c r="E125" s="8"/>
      <c r="F125" s="8"/>
      <c r="G125" s="9"/>
      <c r="H125" s="12"/>
      <c r="I125" s="12"/>
      <c r="J125" s="12"/>
      <c r="K125" s="12"/>
      <c r="L125" s="12"/>
      <c r="M125" s="12"/>
      <c r="N125" s="12"/>
      <c r="O125" s="12"/>
      <c r="P125" s="12"/>
      <c r="S125" s="421" t="s">
        <v>590</v>
      </c>
      <c r="T125" s="12"/>
      <c r="U125" s="12"/>
      <c r="V125" s="12"/>
      <c r="W125" s="12"/>
      <c r="X125" s="12"/>
      <c r="Y125" s="12"/>
      <c r="Z125" s="12"/>
      <c r="AA125" s="12"/>
    </row>
    <row r="126" spans="1:27" ht="26.4">
      <c r="A126" s="421"/>
      <c r="B126" s="3" t="s">
        <v>571</v>
      </c>
      <c r="C126" s="3" t="s">
        <v>572</v>
      </c>
      <c r="D126" s="3" t="s">
        <v>591</v>
      </c>
      <c r="E126" s="3" t="s">
        <v>574</v>
      </c>
      <c r="H126" s="3" t="s">
        <v>575</v>
      </c>
      <c r="I126" s="13">
        <v>1.6</v>
      </c>
      <c r="J126" s="3">
        <v>4.2791578733766231</v>
      </c>
      <c r="M126" s="3">
        <f>AVERAGE(J126:L126)</f>
        <v>4.2791578733766231</v>
      </c>
      <c r="O126" s="3">
        <f>COUNT(J126:L126)</f>
        <v>1</v>
      </c>
      <c r="P126" s="3" t="s">
        <v>960</v>
      </c>
      <c r="S126" s="421"/>
      <c r="U126" s="3">
        <v>4.293524350649351</v>
      </c>
      <c r="X126" s="3">
        <f>AVERAGE(T126:W126)</f>
        <v>4.293524350649351</v>
      </c>
      <c r="Z126" s="3">
        <f>COUNT(T126:W126)</f>
        <v>1</v>
      </c>
      <c r="AA126" s="3" t="s">
        <v>981</v>
      </c>
    </row>
    <row r="127" spans="1:27" ht="26.4">
      <c r="A127" s="421"/>
      <c r="H127" s="10" t="s">
        <v>576</v>
      </c>
      <c r="I127" s="10">
        <v>4.4999999999999998E-2</v>
      </c>
      <c r="J127" s="10">
        <v>0.13750771103896103</v>
      </c>
      <c r="K127" s="10"/>
      <c r="L127" s="10"/>
      <c r="M127" s="10">
        <f>AVERAGE(J127:L127)</f>
        <v>0.13750771103896103</v>
      </c>
      <c r="N127" s="10"/>
      <c r="O127" s="10">
        <f>COUNT(J127:L127)</f>
        <v>1</v>
      </c>
      <c r="P127" s="10" t="s">
        <v>984</v>
      </c>
      <c r="S127" s="421"/>
      <c r="T127" s="203"/>
      <c r="U127" s="203">
        <v>0.1282721185064935</v>
      </c>
      <c r="V127" s="203"/>
      <c r="W127" s="203"/>
      <c r="X127" s="203">
        <f>AVERAGE(T127:W127)</f>
        <v>0.1282721185064935</v>
      </c>
      <c r="Y127" s="203"/>
      <c r="Z127" s="203">
        <f>COUNT(T127:W127)</f>
        <v>1</v>
      </c>
      <c r="AA127" s="203" t="s">
        <v>992</v>
      </c>
    </row>
    <row r="128" spans="1:27">
      <c r="A128" s="421"/>
      <c r="S128" s="421"/>
    </row>
    <row r="129" spans="1:27" ht="26.4">
      <c r="A129" s="421"/>
      <c r="B129" s="3" t="s">
        <v>571</v>
      </c>
      <c r="C129" s="3" t="s">
        <v>581</v>
      </c>
      <c r="D129" s="3" t="s">
        <v>593</v>
      </c>
      <c r="E129" s="3" t="s">
        <v>574</v>
      </c>
      <c r="H129" s="3" t="s">
        <v>575</v>
      </c>
      <c r="I129" s="13">
        <v>1.6</v>
      </c>
      <c r="O129" s="3">
        <f>COUNT(J129:L129)</f>
        <v>0</v>
      </c>
      <c r="P129" s="3" t="s">
        <v>989</v>
      </c>
      <c r="S129" s="421"/>
      <c r="Z129" s="3">
        <f>COUNT(T129:W129)</f>
        <v>0</v>
      </c>
      <c r="AA129" s="3" t="s">
        <v>972</v>
      </c>
    </row>
    <row r="130" spans="1:27" ht="26.4">
      <c r="A130" s="421"/>
      <c r="H130" s="10" t="s">
        <v>576</v>
      </c>
      <c r="I130" s="10">
        <v>4.4999999999999998E-2</v>
      </c>
      <c r="J130" s="10"/>
      <c r="K130" s="10"/>
      <c r="L130" s="10"/>
      <c r="M130" s="10"/>
      <c r="N130" s="10"/>
      <c r="O130" s="10">
        <f>COUNT(J130:L130)</f>
        <v>0</v>
      </c>
      <c r="P130" s="10" t="s">
        <v>972</v>
      </c>
      <c r="S130" s="421"/>
      <c r="T130" s="203"/>
      <c r="U130" s="203"/>
      <c r="V130" s="203"/>
      <c r="W130" s="203"/>
      <c r="X130" s="203"/>
      <c r="Y130" s="203"/>
      <c r="Z130" s="203">
        <f>COUNT(T130:W130)</f>
        <v>0</v>
      </c>
      <c r="AA130" s="203" t="s">
        <v>972</v>
      </c>
    </row>
    <row r="131" spans="1:27">
      <c r="A131" s="421"/>
      <c r="S131" s="421"/>
    </row>
    <row r="132" spans="1:27" ht="26.4">
      <c r="A132" s="421"/>
      <c r="B132" s="15" t="s">
        <v>571</v>
      </c>
      <c r="C132" s="3" t="s">
        <v>572</v>
      </c>
      <c r="D132" s="15" t="s">
        <v>594</v>
      </c>
      <c r="E132" s="3" t="s">
        <v>574</v>
      </c>
      <c r="H132" s="3" t="s">
        <v>575</v>
      </c>
      <c r="I132" s="13">
        <v>1.6</v>
      </c>
      <c r="J132" s="3">
        <v>6.3427997159090905</v>
      </c>
      <c r="M132" s="3">
        <f>AVERAGE(J132:L132)</f>
        <v>6.3427997159090905</v>
      </c>
      <c r="O132" s="3">
        <f>COUNT(J132:L132)</f>
        <v>1</v>
      </c>
      <c r="P132" s="3" t="s">
        <v>992</v>
      </c>
      <c r="S132" s="421"/>
      <c r="T132" s="3">
        <v>5.5049999999999999</v>
      </c>
      <c r="U132" s="3">
        <v>6.3664017857142854</v>
      </c>
      <c r="X132" s="3">
        <f>AVERAGE(T132:W132)</f>
        <v>5.9357008928571426</v>
      </c>
      <c r="Y132" s="3">
        <f>_xlfn.STDEV.S(T132:W132)</f>
        <v>0.60910304400477255</v>
      </c>
      <c r="Z132" s="3">
        <f>COUNT(T132:W132)</f>
        <v>2</v>
      </c>
      <c r="AA132" s="3" t="s">
        <v>1009</v>
      </c>
    </row>
    <row r="133" spans="1:27" ht="26.4">
      <c r="A133" s="421"/>
      <c r="H133" s="10" t="s">
        <v>576</v>
      </c>
      <c r="I133" s="10">
        <v>4.4999999999999998E-2</v>
      </c>
      <c r="J133" s="10">
        <v>0.14366477272727274</v>
      </c>
      <c r="K133" s="10"/>
      <c r="L133" s="10"/>
      <c r="M133" s="10">
        <f>AVERAGE(J133:L133)</f>
        <v>0.14366477272727274</v>
      </c>
      <c r="N133" s="10"/>
      <c r="O133" s="10">
        <f>COUNT(J133:L133)</f>
        <v>1</v>
      </c>
      <c r="P133" s="10" t="s">
        <v>960</v>
      </c>
      <c r="S133" s="421"/>
      <c r="T133" s="203">
        <v>0.16</v>
      </c>
      <c r="U133" s="203">
        <v>0.1364815340909091</v>
      </c>
      <c r="V133" s="203"/>
      <c r="W133" s="203"/>
      <c r="X133" s="203">
        <f>AVERAGE(T133:W133)</f>
        <v>0.14824076704545455</v>
      </c>
      <c r="Y133" s="203">
        <f>_xlfn.STDEV.S(T133:W133)</f>
        <v>1.6630066727422819E-2</v>
      </c>
      <c r="Z133" s="203">
        <f>COUNT(T133:W133)</f>
        <v>2</v>
      </c>
      <c r="AA133" s="203" t="s">
        <v>992</v>
      </c>
    </row>
    <row r="134" spans="1:27">
      <c r="A134" s="421"/>
      <c r="S134" s="421"/>
    </row>
    <row r="135" spans="1:27" ht="26.4">
      <c r="A135" s="421"/>
      <c r="B135" s="3" t="s">
        <v>571</v>
      </c>
      <c r="C135" s="3" t="s">
        <v>572</v>
      </c>
      <c r="D135" s="3" t="s">
        <v>594</v>
      </c>
      <c r="E135" s="3" t="s">
        <v>574</v>
      </c>
      <c r="H135" s="3" t="s">
        <v>575</v>
      </c>
      <c r="I135" s="19">
        <v>1.6</v>
      </c>
      <c r="O135" s="3">
        <f>COUNT(J135:L135)</f>
        <v>0</v>
      </c>
      <c r="P135" s="3" t="s">
        <v>996</v>
      </c>
      <c r="S135" s="421"/>
      <c r="Z135" s="3">
        <f>COUNT(T135:W135)</f>
        <v>0</v>
      </c>
      <c r="AA135" s="3" t="s">
        <v>989</v>
      </c>
    </row>
    <row r="136" spans="1:27" ht="26.4">
      <c r="A136" s="421"/>
      <c r="H136" s="10" t="s">
        <v>576</v>
      </c>
      <c r="I136" s="10">
        <v>4.4999999999999998E-2</v>
      </c>
      <c r="J136" s="10"/>
      <c r="K136" s="10"/>
      <c r="L136" s="10"/>
      <c r="M136" s="10"/>
      <c r="N136" s="10"/>
      <c r="O136" s="10">
        <f>COUNT(J136:L136)</f>
        <v>0</v>
      </c>
      <c r="P136" s="10" t="s">
        <v>991</v>
      </c>
      <c r="S136" s="421"/>
      <c r="T136" s="203"/>
      <c r="U136" s="203"/>
      <c r="V136" s="203"/>
      <c r="W136" s="203"/>
      <c r="X136" s="203"/>
      <c r="Y136" s="203"/>
      <c r="Z136" s="203">
        <f>COUNT(T136:W136)</f>
        <v>0</v>
      </c>
      <c r="AA136" s="203" t="s">
        <v>989</v>
      </c>
    </row>
    <row r="137" spans="1:27">
      <c r="A137" s="421"/>
      <c r="S137" s="421"/>
    </row>
    <row r="138" spans="1:27" ht="39.6">
      <c r="A138" s="421"/>
      <c r="B138" s="3" t="s">
        <v>577</v>
      </c>
      <c r="C138" s="3" t="s">
        <v>572</v>
      </c>
      <c r="D138" s="3" t="s">
        <v>592</v>
      </c>
      <c r="E138" s="3" t="s">
        <v>574</v>
      </c>
      <c r="H138" s="3" t="s">
        <v>575</v>
      </c>
      <c r="I138" s="13">
        <v>1.6</v>
      </c>
      <c r="J138" s="3">
        <v>3.5854622564935066</v>
      </c>
      <c r="M138" s="3">
        <f>AVERAGE(J138:L138)</f>
        <v>3.5854622564935066</v>
      </c>
      <c r="O138" s="3">
        <f>COUNT(J138:L138)</f>
        <v>1</v>
      </c>
      <c r="P138" s="3" t="s">
        <v>993</v>
      </c>
      <c r="S138" s="421"/>
      <c r="U138" s="3">
        <v>3.5926454951298701</v>
      </c>
      <c r="X138" s="3">
        <f>AVERAGE(T138:W138)</f>
        <v>3.5926454951298701</v>
      </c>
      <c r="Z138" s="3">
        <f>COUNT(T138:W138)</f>
        <v>1</v>
      </c>
      <c r="AA138" s="3" t="s">
        <v>992</v>
      </c>
    </row>
    <row r="139" spans="1:27" ht="26.4">
      <c r="A139" s="421"/>
      <c r="H139" s="10" t="s">
        <v>576</v>
      </c>
      <c r="I139" s="10">
        <v>4.4999999999999998E-2</v>
      </c>
      <c r="J139" s="10">
        <v>0.10261769480519481</v>
      </c>
      <c r="K139" s="10"/>
      <c r="L139" s="10"/>
      <c r="M139" s="10">
        <f>AVERAGE(J139:L139)</f>
        <v>0.10261769480519481</v>
      </c>
      <c r="N139" s="10"/>
      <c r="O139" s="10">
        <f>COUNT(J139:L139)</f>
        <v>1</v>
      </c>
      <c r="P139" s="10" t="s">
        <v>960</v>
      </c>
      <c r="S139" s="421"/>
      <c r="T139" s="203"/>
      <c r="U139" s="203">
        <v>0.10261769480519481</v>
      </c>
      <c r="V139" s="203"/>
      <c r="W139" s="203"/>
      <c r="X139" s="203">
        <f>AVERAGE(T139:W139)</f>
        <v>0.10261769480519481</v>
      </c>
      <c r="Y139" s="203"/>
      <c r="Z139" s="203">
        <f>COUNT(T139:W139)</f>
        <v>1</v>
      </c>
      <c r="AA139" s="203" t="s">
        <v>992</v>
      </c>
    </row>
    <row r="140" spans="1:27">
      <c r="A140" s="421"/>
      <c r="S140" s="421"/>
    </row>
    <row r="141" spans="1:27" ht="39.6">
      <c r="A141" s="421"/>
      <c r="B141" s="15" t="s">
        <v>577</v>
      </c>
      <c r="C141" s="202" t="s">
        <v>781</v>
      </c>
      <c r="D141" s="202" t="s">
        <v>737</v>
      </c>
      <c r="E141" s="3" t="s">
        <v>574</v>
      </c>
      <c r="H141" s="3" t="s">
        <v>575</v>
      </c>
      <c r="I141" s="13">
        <v>1.6</v>
      </c>
      <c r="O141" s="3">
        <f>COUNT(J141:L141)</f>
        <v>0</v>
      </c>
      <c r="P141" s="3" t="s">
        <v>965</v>
      </c>
      <c r="S141" s="421"/>
      <c r="T141" s="3">
        <v>5.2</v>
      </c>
      <c r="X141" s="3">
        <f>AVERAGE(T141:W141)</f>
        <v>5.2</v>
      </c>
      <c r="Z141" s="3">
        <f>COUNT(T141:W141)</f>
        <v>1</v>
      </c>
      <c r="AA141" s="3" t="s">
        <v>992</v>
      </c>
    </row>
    <row r="142" spans="1:27" ht="26.4">
      <c r="A142" s="421"/>
      <c r="H142" s="10" t="s">
        <v>576</v>
      </c>
      <c r="I142" s="10">
        <v>4.4999999999999998E-2</v>
      </c>
      <c r="J142" s="10"/>
      <c r="K142" s="10"/>
      <c r="L142" s="10"/>
      <c r="M142" s="10"/>
      <c r="N142" s="10"/>
      <c r="O142" s="10">
        <f>COUNT(J142:L142)</f>
        <v>0</v>
      </c>
      <c r="P142" s="10" t="s">
        <v>972</v>
      </c>
      <c r="S142" s="421"/>
      <c r="T142" s="203">
        <v>0.15</v>
      </c>
      <c r="U142" s="203"/>
      <c r="V142" s="203"/>
      <c r="W142" s="203"/>
      <c r="X142" s="203">
        <f>AVERAGE(T142:W142)</f>
        <v>0.15</v>
      </c>
      <c r="Y142" s="203"/>
      <c r="Z142" s="203">
        <f>COUNT(T142:W142)</f>
        <v>1</v>
      </c>
      <c r="AA142" s="203" t="s">
        <v>969</v>
      </c>
    </row>
    <row r="143" spans="1:27">
      <c r="A143" s="421"/>
      <c r="S143" s="421"/>
    </row>
    <row r="144" spans="1:27">
      <c r="A144" s="421"/>
      <c r="B144" s="8" t="s">
        <v>75</v>
      </c>
      <c r="C144" s="8"/>
      <c r="D144" s="8" t="s">
        <v>75</v>
      </c>
      <c r="E144" s="8"/>
      <c r="F144" s="8"/>
      <c r="G144" s="9"/>
      <c r="H144" s="12"/>
      <c r="I144" s="12"/>
      <c r="J144" s="12"/>
      <c r="K144" s="12"/>
      <c r="L144" s="12"/>
      <c r="M144" s="12"/>
      <c r="N144" s="12"/>
      <c r="O144" s="12"/>
      <c r="P144" s="12"/>
      <c r="S144" s="421"/>
      <c r="T144" s="12"/>
      <c r="U144" s="12"/>
      <c r="V144" s="12"/>
      <c r="W144" s="12"/>
      <c r="X144" s="12"/>
      <c r="Y144" s="12"/>
      <c r="Z144" s="12"/>
      <c r="AA144" s="12"/>
    </row>
    <row r="145" spans="1:27" ht="39.6">
      <c r="A145" s="421"/>
      <c r="B145" s="3" t="s">
        <v>571</v>
      </c>
      <c r="C145" s="3" t="s">
        <v>572</v>
      </c>
      <c r="D145" s="3" t="s">
        <v>595</v>
      </c>
      <c r="E145" s="3" t="s">
        <v>587</v>
      </c>
      <c r="F145" s="3" t="s">
        <v>97</v>
      </c>
      <c r="H145" s="3" t="s">
        <v>575</v>
      </c>
      <c r="I145" s="13">
        <v>1.6</v>
      </c>
      <c r="J145" s="3">
        <v>4.751482352941176</v>
      </c>
      <c r="M145" s="3">
        <f>AVERAGE(J145:L145)</f>
        <v>4.751482352941176</v>
      </c>
      <c r="O145" s="3">
        <f>COUNT(J145:L145)</f>
        <v>1</v>
      </c>
      <c r="P145" s="3" t="s">
        <v>995</v>
      </c>
      <c r="S145" s="421"/>
      <c r="T145" s="3">
        <v>4.8819999999999997</v>
      </c>
      <c r="U145" s="3">
        <v>4.7625344537815124</v>
      </c>
      <c r="X145" s="3">
        <f>AVERAGE(T145:W145)</f>
        <v>4.822267226890756</v>
      </c>
      <c r="Y145" s="3">
        <f>_xlfn.STDEV.S(T145:W145)</f>
        <v>8.4474897849247249E-2</v>
      </c>
      <c r="Z145" s="3">
        <f>COUNT(T145:W145)</f>
        <v>2</v>
      </c>
      <c r="AA145" s="3" t="s">
        <v>992</v>
      </c>
    </row>
    <row r="146" spans="1:27" ht="26.4">
      <c r="A146" s="421"/>
      <c r="H146" s="10" t="s">
        <v>576</v>
      </c>
      <c r="I146" s="10">
        <v>4.4999999999999998E-2</v>
      </c>
      <c r="J146" s="10">
        <v>0.10407394957983193</v>
      </c>
      <c r="K146" s="10"/>
      <c r="L146" s="10"/>
      <c r="M146" s="10">
        <f>AVERAGE(J146:L146)</f>
        <v>0.10407394957983193</v>
      </c>
      <c r="N146" s="10"/>
      <c r="O146" s="10">
        <f>COUNT(J146:L146)</f>
        <v>1</v>
      </c>
      <c r="P146" s="10" t="s">
        <v>960</v>
      </c>
      <c r="S146" s="421"/>
      <c r="T146" s="203">
        <v>0.11</v>
      </c>
      <c r="U146" s="203">
        <v>9.854789915966386E-2</v>
      </c>
      <c r="V146" s="203"/>
      <c r="W146" s="203"/>
      <c r="X146" s="203">
        <f>AVERAGE(T146:W146)</f>
        <v>0.10427394957983194</v>
      </c>
      <c r="Y146" s="203">
        <f>_xlfn.STDEV.S(T146:W146)</f>
        <v>8.0978581630338446E-3</v>
      </c>
      <c r="Z146" s="203">
        <f>COUNT(T146:W146)</f>
        <v>2</v>
      </c>
      <c r="AA146" s="203" t="s">
        <v>992</v>
      </c>
    </row>
    <row r="147" spans="1:27">
      <c r="A147" s="16"/>
      <c r="S147" s="16"/>
    </row>
    <row r="148" spans="1:27" ht="39.6">
      <c r="A148" s="16"/>
      <c r="B148" s="3" t="s">
        <v>571</v>
      </c>
      <c r="C148" s="3" t="s">
        <v>572</v>
      </c>
      <c r="D148" s="3" t="s">
        <v>595</v>
      </c>
      <c r="E148" s="3" t="s">
        <v>574</v>
      </c>
      <c r="F148" s="3" t="s">
        <v>97</v>
      </c>
      <c r="H148" s="3" t="s">
        <v>575</v>
      </c>
      <c r="I148" s="13">
        <v>1.6</v>
      </c>
      <c r="J148" s="3">
        <v>5.0812033613445378</v>
      </c>
      <c r="M148" s="3">
        <f>AVERAGE(J148:L148)</f>
        <v>5.0812033613445378</v>
      </c>
      <c r="O148" s="3">
        <f>COUNT(J148:L148)</f>
        <v>1</v>
      </c>
      <c r="P148" s="3" t="s">
        <v>993</v>
      </c>
      <c r="S148" s="16"/>
      <c r="T148" s="3">
        <v>4.6470000000000002</v>
      </c>
      <c r="U148" s="3">
        <v>5.0498890756302517</v>
      </c>
      <c r="X148" s="3">
        <f>AVERAGE(T148:W148)</f>
        <v>4.8484445378151264</v>
      </c>
      <c r="Y148" s="3">
        <f>_xlfn.STDEV.S(T148:W148)</f>
        <v>0.28488559744413061</v>
      </c>
      <c r="Z148" s="3">
        <f>COUNT(T148:W148)</f>
        <v>2</v>
      </c>
      <c r="AA148" s="3" t="s">
        <v>960</v>
      </c>
    </row>
    <row r="149" spans="1:27" ht="26.4">
      <c r="A149" s="16"/>
      <c r="H149" s="10" t="s">
        <v>576</v>
      </c>
      <c r="I149" s="10">
        <v>4.4999999999999998E-2</v>
      </c>
      <c r="J149" s="10">
        <v>9.5784873949579824E-2</v>
      </c>
      <c r="K149" s="10"/>
      <c r="L149" s="10"/>
      <c r="M149" s="10">
        <f>AVERAGE(J149:L149)</f>
        <v>9.5784873949579824E-2</v>
      </c>
      <c r="N149" s="10"/>
      <c r="O149" s="10">
        <f>COUNT(J149:L149)</f>
        <v>1</v>
      </c>
      <c r="P149" s="10" t="s">
        <v>984</v>
      </c>
      <c r="S149" s="16"/>
      <c r="T149" s="203">
        <v>0.10100000000000001</v>
      </c>
      <c r="U149" s="203">
        <v>8.6574789915966385E-2</v>
      </c>
      <c r="V149" s="203"/>
      <c r="W149" s="203"/>
      <c r="X149" s="203">
        <f>AVERAGE(T149:W149)</f>
        <v>9.3787394957983189E-2</v>
      </c>
      <c r="Y149" s="203">
        <f>_xlfn.STDEV.S(T149:W149)</f>
        <v>1.020016387046074E-2</v>
      </c>
      <c r="Z149" s="203">
        <f>COUNT(T149:W149)</f>
        <v>2</v>
      </c>
      <c r="AA149" s="203" t="s">
        <v>992</v>
      </c>
    </row>
    <row r="150" spans="1:27">
      <c r="A150" s="16"/>
      <c r="S150" s="16"/>
    </row>
    <row r="151" spans="1:27" ht="39.6">
      <c r="A151" s="16"/>
      <c r="B151" s="3" t="s">
        <v>571</v>
      </c>
      <c r="C151" s="3" t="s">
        <v>581</v>
      </c>
      <c r="D151" s="3" t="s">
        <v>596</v>
      </c>
      <c r="E151" s="3" t="s">
        <v>574</v>
      </c>
      <c r="F151" s="3" t="s">
        <v>98</v>
      </c>
      <c r="H151" s="3" t="s">
        <v>575</v>
      </c>
      <c r="I151" s="13">
        <v>1.6</v>
      </c>
      <c r="O151" s="3">
        <f>COUNT(J151:L151)</f>
        <v>0</v>
      </c>
      <c r="P151" s="3" t="s">
        <v>972</v>
      </c>
      <c r="S151" s="16"/>
      <c r="Z151" s="3">
        <f>COUNT(T151:W151)</f>
        <v>0</v>
      </c>
      <c r="AA151" s="3" t="s">
        <v>972</v>
      </c>
    </row>
    <row r="152" spans="1:27" ht="26.4">
      <c r="A152" s="16"/>
      <c r="H152" s="10" t="s">
        <v>576</v>
      </c>
      <c r="I152" s="10">
        <v>4.4999999999999998E-2</v>
      </c>
      <c r="J152" s="10"/>
      <c r="K152" s="10"/>
      <c r="L152" s="10"/>
      <c r="M152" s="10"/>
      <c r="N152" s="10"/>
      <c r="O152" s="10">
        <f>COUNT(J152:L152)</f>
        <v>0</v>
      </c>
      <c r="P152" s="10" t="s">
        <v>991</v>
      </c>
      <c r="S152" s="16"/>
      <c r="T152" s="203"/>
      <c r="U152" s="203"/>
      <c r="V152" s="203"/>
      <c r="W152" s="203"/>
      <c r="X152" s="203"/>
      <c r="Y152" s="203"/>
      <c r="Z152" s="203">
        <f>COUNT(T152:W152)</f>
        <v>0</v>
      </c>
      <c r="AA152" s="203" t="s">
        <v>972</v>
      </c>
    </row>
    <row r="153" spans="1:27" ht="14.1" customHeight="1">
      <c r="A153" s="16"/>
      <c r="S153" s="16"/>
    </row>
    <row r="154" spans="1:27" ht="26.4">
      <c r="A154" s="16"/>
      <c r="B154" s="15" t="s">
        <v>571</v>
      </c>
      <c r="C154" s="3" t="s">
        <v>572</v>
      </c>
      <c r="D154" s="15" t="s">
        <v>594</v>
      </c>
      <c r="E154" s="3" t="s">
        <v>574</v>
      </c>
      <c r="F154" s="3" t="s">
        <v>98</v>
      </c>
      <c r="H154" s="3" t="s">
        <v>575</v>
      </c>
      <c r="I154" s="13">
        <v>1.6</v>
      </c>
      <c r="O154" s="3">
        <f>COUNT(J154:L154)</f>
        <v>0</v>
      </c>
      <c r="P154" s="3" t="s">
        <v>972</v>
      </c>
      <c r="S154" s="16"/>
      <c r="Z154" s="3">
        <f>COUNT(T154:W154)</f>
        <v>0</v>
      </c>
      <c r="AA154" s="3" t="s">
        <v>989</v>
      </c>
    </row>
    <row r="155" spans="1:27" ht="26.4">
      <c r="A155" s="16"/>
      <c r="H155" s="10" t="s">
        <v>576</v>
      </c>
      <c r="I155" s="10">
        <v>4.4999999999999998E-2</v>
      </c>
      <c r="J155" s="10"/>
      <c r="K155" s="10"/>
      <c r="L155" s="10"/>
      <c r="M155" s="10"/>
      <c r="N155" s="10"/>
      <c r="O155" s="10">
        <f>COUNT(J155:L155)</f>
        <v>0</v>
      </c>
      <c r="P155" s="10" t="s">
        <v>991</v>
      </c>
      <c r="S155" s="421"/>
      <c r="T155" s="203"/>
      <c r="U155" s="203"/>
      <c r="V155" s="203"/>
      <c r="W155" s="203"/>
      <c r="X155" s="203"/>
      <c r="Y155" s="203"/>
      <c r="Z155" s="203">
        <f>COUNT(T155:W155)</f>
        <v>0</v>
      </c>
      <c r="AA155" s="203" t="s">
        <v>1008</v>
      </c>
    </row>
    <row r="156" spans="1:27">
      <c r="A156" s="16"/>
      <c r="S156" s="421"/>
    </row>
    <row r="157" spans="1:27" ht="39.6">
      <c r="A157" s="16"/>
      <c r="B157" s="15" t="s">
        <v>571</v>
      </c>
      <c r="C157" s="3" t="s">
        <v>572</v>
      </c>
      <c r="D157" s="15" t="s">
        <v>597</v>
      </c>
      <c r="E157" s="15" t="s">
        <v>587</v>
      </c>
      <c r="F157" s="3" t="s">
        <v>98</v>
      </c>
      <c r="H157" s="3" t="s">
        <v>575</v>
      </c>
      <c r="I157" s="13">
        <v>1.6</v>
      </c>
      <c r="O157" s="3">
        <f>COUNT(J157:L157)</f>
        <v>0</v>
      </c>
      <c r="P157" s="3" t="s">
        <v>991</v>
      </c>
      <c r="S157" s="421"/>
      <c r="Z157" s="3">
        <f>COUNT(T157:W157)</f>
        <v>0</v>
      </c>
      <c r="AA157" s="3" t="s">
        <v>989</v>
      </c>
    </row>
    <row r="158" spans="1:27" ht="26.4">
      <c r="A158" s="16"/>
      <c r="H158" s="10" t="s">
        <v>576</v>
      </c>
      <c r="I158" s="10">
        <v>4.4999999999999998E-2</v>
      </c>
      <c r="J158" s="10"/>
      <c r="K158" s="10"/>
      <c r="L158" s="10"/>
      <c r="M158" s="10"/>
      <c r="N158" s="10"/>
      <c r="O158" s="10">
        <f>COUNT(J158:L158)</f>
        <v>0</v>
      </c>
      <c r="P158" s="10" t="s">
        <v>991</v>
      </c>
      <c r="S158" s="421"/>
      <c r="T158" s="203"/>
      <c r="U158" s="203"/>
      <c r="V158" s="203"/>
      <c r="W158" s="203"/>
      <c r="X158" s="203"/>
      <c r="Y158" s="203"/>
      <c r="Z158" s="203">
        <f>COUNT(T158:W158)</f>
        <v>0</v>
      </c>
      <c r="AA158" s="203" t="s">
        <v>989</v>
      </c>
    </row>
    <row r="159" spans="1:27">
      <c r="A159" s="16"/>
      <c r="S159" s="421"/>
    </row>
    <row r="160" spans="1:27" ht="39.6">
      <c r="A160" s="16"/>
      <c r="B160" s="15" t="s">
        <v>571</v>
      </c>
      <c r="C160" s="3" t="s">
        <v>572</v>
      </c>
      <c r="D160" s="202" t="s">
        <v>728</v>
      </c>
      <c r="E160" s="3" t="s">
        <v>574</v>
      </c>
      <c r="F160" s="3" t="s">
        <v>98</v>
      </c>
      <c r="H160" s="3" t="s">
        <v>575</v>
      </c>
      <c r="I160" s="13">
        <v>1.6</v>
      </c>
      <c r="O160" s="3">
        <f>COUNT(J160:L160)</f>
        <v>0</v>
      </c>
      <c r="P160" s="3" t="s">
        <v>991</v>
      </c>
      <c r="S160" s="421"/>
      <c r="Z160" s="3">
        <f>COUNT(T160:W160)</f>
        <v>0</v>
      </c>
      <c r="AA160" s="3" t="s">
        <v>989</v>
      </c>
    </row>
    <row r="161" spans="1:27" ht="26.4">
      <c r="A161" s="16"/>
      <c r="H161" s="10" t="s">
        <v>576</v>
      </c>
      <c r="I161" s="10">
        <v>4.4999999999999998E-2</v>
      </c>
      <c r="J161" s="10"/>
      <c r="K161" s="10"/>
      <c r="L161" s="10"/>
      <c r="M161" s="10"/>
      <c r="N161" s="10"/>
      <c r="O161" s="10">
        <f>COUNT(J161:L161)</f>
        <v>0</v>
      </c>
      <c r="P161" s="10" t="s">
        <v>972</v>
      </c>
      <c r="S161" s="421"/>
      <c r="T161" s="203"/>
      <c r="U161" s="203"/>
      <c r="V161" s="203"/>
      <c r="W161" s="203"/>
      <c r="X161" s="203"/>
      <c r="Y161" s="203"/>
      <c r="Z161" s="203">
        <f>COUNT(T161:W161)</f>
        <v>0</v>
      </c>
      <c r="AA161" s="203" t="s">
        <v>970</v>
      </c>
    </row>
    <row r="162" spans="1:27">
      <c r="A162" s="16"/>
      <c r="S162" s="421"/>
    </row>
    <row r="163" spans="1:27" ht="39.6">
      <c r="A163" s="16"/>
      <c r="B163" s="15" t="s">
        <v>571</v>
      </c>
      <c r="C163" s="3" t="s">
        <v>572</v>
      </c>
      <c r="D163" s="202" t="s">
        <v>728</v>
      </c>
      <c r="E163" s="15" t="s">
        <v>587</v>
      </c>
      <c r="F163" s="3" t="s">
        <v>98</v>
      </c>
      <c r="H163" s="3" t="s">
        <v>575</v>
      </c>
      <c r="I163" s="13">
        <v>1.6</v>
      </c>
      <c r="O163" s="3">
        <f>COUNT(J163:L163)</f>
        <v>0</v>
      </c>
      <c r="P163" s="3" t="s">
        <v>991</v>
      </c>
      <c r="S163" s="421"/>
      <c r="Z163" s="3">
        <f>COUNT(T163:W163)</f>
        <v>0</v>
      </c>
      <c r="AA163" s="3" t="s">
        <v>965</v>
      </c>
    </row>
    <row r="164" spans="1:27" ht="26.4">
      <c r="A164" s="16"/>
      <c r="H164" s="10" t="s">
        <v>576</v>
      </c>
      <c r="I164" s="10">
        <v>4.4999999999999998E-2</v>
      </c>
      <c r="J164" s="10"/>
      <c r="K164" s="10"/>
      <c r="L164" s="10"/>
      <c r="M164" s="10"/>
      <c r="N164" s="10"/>
      <c r="O164" s="10">
        <f>COUNT(J164:L164)</f>
        <v>0</v>
      </c>
      <c r="P164" s="10" t="s">
        <v>991</v>
      </c>
      <c r="S164" s="421"/>
      <c r="T164" s="203"/>
      <c r="U164" s="203"/>
      <c r="V164" s="203"/>
      <c r="W164" s="203"/>
      <c r="X164" s="203"/>
      <c r="Y164" s="203"/>
      <c r="Z164" s="203">
        <f>COUNT(T164:W164)</f>
        <v>0</v>
      </c>
      <c r="AA164" s="203" t="s">
        <v>972</v>
      </c>
    </row>
    <row r="165" spans="1:27">
      <c r="A165" s="16"/>
      <c r="H165" s="10"/>
      <c r="I165" s="10"/>
      <c r="J165" s="10"/>
      <c r="K165" s="10"/>
      <c r="L165" s="10"/>
      <c r="M165" s="10"/>
      <c r="N165" s="10"/>
      <c r="O165" s="10"/>
      <c r="P165" s="10"/>
      <c r="S165" s="421"/>
      <c r="T165" s="10"/>
      <c r="U165" s="10"/>
      <c r="V165" s="10"/>
      <c r="W165" s="10"/>
      <c r="X165" s="10"/>
      <c r="Y165" s="10"/>
      <c r="Z165" s="10"/>
      <c r="AA165" s="10"/>
    </row>
    <row r="166" spans="1:27" ht="39.6">
      <c r="A166" s="16"/>
      <c r="B166" s="3" t="s">
        <v>571</v>
      </c>
      <c r="C166" s="3" t="s">
        <v>583</v>
      </c>
      <c r="D166" s="202" t="s">
        <v>734</v>
      </c>
      <c r="E166" s="3" t="s">
        <v>587</v>
      </c>
      <c r="F166" s="15" t="s">
        <v>100</v>
      </c>
      <c r="G166" s="17"/>
      <c r="H166" s="3" t="s">
        <v>575</v>
      </c>
      <c r="I166" s="13">
        <v>1.6</v>
      </c>
      <c r="O166" s="3">
        <f>COUNT(J166:L166)</f>
        <v>0</v>
      </c>
      <c r="P166" s="3" t="s">
        <v>972</v>
      </c>
      <c r="S166" s="421"/>
      <c r="Z166" s="3">
        <f>COUNT(T166:W166)</f>
        <v>0</v>
      </c>
      <c r="AA166" s="3" t="s">
        <v>972</v>
      </c>
    </row>
    <row r="167" spans="1:27" ht="26.4">
      <c r="A167" s="16"/>
      <c r="H167" s="10" t="s">
        <v>576</v>
      </c>
      <c r="I167" s="10">
        <v>4.4999999999999998E-2</v>
      </c>
      <c r="J167" s="10"/>
      <c r="K167" s="10"/>
      <c r="L167" s="10"/>
      <c r="M167" s="10"/>
      <c r="N167" s="10"/>
      <c r="O167" s="10">
        <f>COUNT(J167:L167)</f>
        <v>0</v>
      </c>
      <c r="P167" s="10" t="s">
        <v>989</v>
      </c>
      <c r="S167" s="421"/>
      <c r="T167" s="203"/>
      <c r="U167" s="203"/>
      <c r="V167" s="203"/>
      <c r="W167" s="203"/>
      <c r="X167" s="203"/>
      <c r="Y167" s="203"/>
      <c r="Z167" s="203">
        <f>COUNT(T167:W167)</f>
        <v>0</v>
      </c>
      <c r="AA167" s="203" t="s">
        <v>970</v>
      </c>
    </row>
    <row r="168" spans="1:27">
      <c r="A168" s="16"/>
      <c r="S168" s="421"/>
    </row>
    <row r="169" spans="1:27" ht="39.6">
      <c r="A169" s="16"/>
      <c r="B169" s="15" t="s">
        <v>577</v>
      </c>
      <c r="C169" s="202" t="s">
        <v>781</v>
      </c>
      <c r="D169" s="202" t="s">
        <v>735</v>
      </c>
      <c r="E169" s="3" t="s">
        <v>574</v>
      </c>
      <c r="F169" s="3" t="s">
        <v>98</v>
      </c>
      <c r="H169" s="3" t="s">
        <v>575</v>
      </c>
      <c r="I169" s="13">
        <v>1.6</v>
      </c>
      <c r="O169" s="3">
        <f t="shared" ref="O169:O178" si="35">COUNT(J169:L169)</f>
        <v>0</v>
      </c>
      <c r="P169" s="3" t="s">
        <v>965</v>
      </c>
      <c r="S169" s="16"/>
      <c r="Z169" s="3">
        <f t="shared" ref="Z169:Z178" si="36">COUNT(T169:W169)</f>
        <v>0</v>
      </c>
      <c r="AA169" s="3" t="s">
        <v>989</v>
      </c>
    </row>
    <row r="170" spans="1:27" ht="26.4">
      <c r="A170" s="16"/>
      <c r="H170" s="10" t="s">
        <v>576</v>
      </c>
      <c r="I170" s="10">
        <v>4.4999999999999998E-2</v>
      </c>
      <c r="J170" s="10"/>
      <c r="K170" s="10"/>
      <c r="L170" s="10"/>
      <c r="M170" s="10"/>
      <c r="N170" s="10"/>
      <c r="O170" s="10">
        <f t="shared" si="35"/>
        <v>0</v>
      </c>
      <c r="P170" s="10" t="s">
        <v>989</v>
      </c>
      <c r="S170" s="16"/>
      <c r="T170" s="203"/>
      <c r="U170" s="203"/>
      <c r="V170" s="203"/>
      <c r="W170" s="203"/>
      <c r="X170" s="203"/>
      <c r="Y170" s="203"/>
      <c r="Z170" s="203">
        <f t="shared" si="36"/>
        <v>0</v>
      </c>
      <c r="AA170" s="203" t="s">
        <v>972</v>
      </c>
    </row>
    <row r="171" spans="1:27" ht="39.6">
      <c r="A171" s="225"/>
      <c r="B171" s="242" t="s">
        <v>571</v>
      </c>
      <c r="C171" s="242" t="s">
        <v>572</v>
      </c>
      <c r="D171" s="242" t="s">
        <v>729</v>
      </c>
      <c r="E171" s="242" t="s">
        <v>587</v>
      </c>
      <c r="F171" s="242" t="s">
        <v>696</v>
      </c>
      <c r="G171" s="3"/>
      <c r="H171" s="3" t="s">
        <v>575</v>
      </c>
      <c r="I171" s="13">
        <v>1.6</v>
      </c>
      <c r="O171" s="3">
        <f t="shared" si="35"/>
        <v>0</v>
      </c>
      <c r="P171" s="3" t="s">
        <v>972</v>
      </c>
      <c r="S171" s="225"/>
      <c r="Z171" s="3">
        <f t="shared" si="36"/>
        <v>0</v>
      </c>
      <c r="AA171" s="3" t="s">
        <v>989</v>
      </c>
    </row>
    <row r="172" spans="1:27" ht="26.4">
      <c r="A172" s="225"/>
      <c r="B172" s="242"/>
      <c r="C172" s="242"/>
      <c r="D172" s="242"/>
      <c r="E172" s="242"/>
      <c r="F172" s="242"/>
      <c r="G172" s="3"/>
      <c r="H172" s="10" t="s">
        <v>576</v>
      </c>
      <c r="I172" s="10">
        <v>4.4999999999999998E-2</v>
      </c>
      <c r="J172" s="10"/>
      <c r="K172" s="10"/>
      <c r="L172" s="10"/>
      <c r="M172" s="10"/>
      <c r="N172" s="10"/>
      <c r="O172" s="10">
        <f t="shared" si="35"/>
        <v>0</v>
      </c>
      <c r="P172" s="10" t="s">
        <v>972</v>
      </c>
      <c r="S172" s="225"/>
      <c r="T172" s="10"/>
      <c r="U172" s="10"/>
      <c r="V172" s="10"/>
      <c r="W172" s="10"/>
      <c r="X172" s="10"/>
      <c r="Y172" s="10"/>
      <c r="Z172" s="10">
        <f t="shared" si="36"/>
        <v>0</v>
      </c>
      <c r="AA172" s="10" t="s">
        <v>989</v>
      </c>
    </row>
    <row r="173" spans="1:27" ht="39.6">
      <c r="A173" s="225"/>
      <c r="B173" s="242" t="s">
        <v>571</v>
      </c>
      <c r="C173" s="242" t="s">
        <v>572</v>
      </c>
      <c r="D173" s="242" t="s">
        <v>729</v>
      </c>
      <c r="E173" s="242" t="s">
        <v>587</v>
      </c>
      <c r="F173" s="242" t="s">
        <v>697</v>
      </c>
      <c r="G173" s="3"/>
      <c r="H173" s="3" t="s">
        <v>575</v>
      </c>
      <c r="I173" s="13">
        <v>1.6</v>
      </c>
      <c r="O173" s="3">
        <f t="shared" si="35"/>
        <v>0</v>
      </c>
      <c r="P173" s="3" t="s">
        <v>989</v>
      </c>
      <c r="S173" s="225"/>
      <c r="Z173" s="3">
        <f t="shared" si="36"/>
        <v>0</v>
      </c>
      <c r="AA173" s="3" t="s">
        <v>963</v>
      </c>
    </row>
    <row r="174" spans="1:27" ht="26.4">
      <c r="A174" s="225"/>
      <c r="G174" s="3"/>
      <c r="H174" s="10" t="s">
        <v>576</v>
      </c>
      <c r="I174" s="10">
        <v>4.4999999999999998E-2</v>
      </c>
      <c r="J174" s="10"/>
      <c r="K174" s="10"/>
      <c r="L174" s="10"/>
      <c r="M174" s="10"/>
      <c r="N174" s="10"/>
      <c r="O174" s="10">
        <f t="shared" si="35"/>
        <v>0</v>
      </c>
      <c r="P174" s="10" t="s">
        <v>972</v>
      </c>
      <c r="S174" s="225"/>
      <c r="T174" s="10"/>
      <c r="U174" s="10"/>
      <c r="V174" s="10"/>
      <c r="W174" s="10"/>
      <c r="X174" s="10"/>
      <c r="Y174" s="10"/>
      <c r="Z174" s="10">
        <f t="shared" si="36"/>
        <v>0</v>
      </c>
      <c r="AA174" s="10" t="s">
        <v>965</v>
      </c>
    </row>
    <row r="175" spans="1:27" s="242" customFormat="1" ht="39.6">
      <c r="A175" s="302"/>
      <c r="B175" s="242" t="s">
        <v>571</v>
      </c>
      <c r="C175" s="242" t="s">
        <v>572</v>
      </c>
      <c r="D175" s="242" t="s">
        <v>727</v>
      </c>
      <c r="E175" s="242" t="s">
        <v>574</v>
      </c>
      <c r="F175" s="242" t="s">
        <v>98</v>
      </c>
      <c r="H175" s="242" t="s">
        <v>575</v>
      </c>
      <c r="I175" s="303">
        <v>1.6</v>
      </c>
      <c r="O175" s="242">
        <f t="shared" si="35"/>
        <v>0</v>
      </c>
      <c r="P175" s="242" t="s">
        <v>972</v>
      </c>
      <c r="S175" s="302"/>
      <c r="W175" s="242">
        <v>5.3310000000000004</v>
      </c>
      <c r="X175" s="242">
        <f>AVERAGE(T175:W175)</f>
        <v>5.3310000000000004</v>
      </c>
      <c r="Z175" s="242">
        <f t="shared" si="36"/>
        <v>1</v>
      </c>
      <c r="AA175" s="242" t="s">
        <v>960</v>
      </c>
    </row>
    <row r="176" spans="1:27" s="242" customFormat="1" ht="26.4">
      <c r="A176" s="302"/>
      <c r="H176" s="304" t="s">
        <v>576</v>
      </c>
      <c r="I176" s="304">
        <v>4.4999999999999998E-2</v>
      </c>
      <c r="J176" s="304"/>
      <c r="K176" s="304"/>
      <c r="L176" s="304"/>
      <c r="M176" s="304"/>
      <c r="N176" s="304"/>
      <c r="O176" s="304">
        <f t="shared" si="35"/>
        <v>0</v>
      </c>
      <c r="P176" s="304" t="s">
        <v>972</v>
      </c>
      <c r="S176" s="302"/>
      <c r="T176" s="304"/>
      <c r="U176" s="304"/>
      <c r="V176" s="304"/>
      <c r="W176" s="304">
        <v>0.14199999999999999</v>
      </c>
      <c r="X176" s="304">
        <f>AVERAGE(T176:W176)</f>
        <v>0.14199999999999999</v>
      </c>
      <c r="Y176" s="304"/>
      <c r="Z176" s="304">
        <f t="shared" si="36"/>
        <v>1</v>
      </c>
      <c r="AA176" s="304" t="s">
        <v>960</v>
      </c>
    </row>
    <row r="177" spans="1:27" s="242" customFormat="1" ht="39.6">
      <c r="A177" s="302"/>
      <c r="B177" s="242" t="s">
        <v>571</v>
      </c>
      <c r="C177" s="242" t="s">
        <v>572</v>
      </c>
      <c r="D177" s="242" t="s">
        <v>727</v>
      </c>
      <c r="E177" s="242" t="s">
        <v>574</v>
      </c>
      <c r="F177" s="242" t="s">
        <v>699</v>
      </c>
      <c r="H177" s="242" t="s">
        <v>575</v>
      </c>
      <c r="I177" s="303">
        <v>1.6</v>
      </c>
      <c r="O177" s="242">
        <f t="shared" si="35"/>
        <v>0</v>
      </c>
      <c r="P177" s="242" t="s">
        <v>965</v>
      </c>
      <c r="S177" s="302"/>
      <c r="W177" s="242">
        <v>4.532</v>
      </c>
      <c r="X177" s="242">
        <f>AVERAGE(T177:W177)</f>
        <v>4.532</v>
      </c>
      <c r="Z177" s="242">
        <f t="shared" si="36"/>
        <v>1</v>
      </c>
      <c r="AA177" s="242" t="s">
        <v>992</v>
      </c>
    </row>
    <row r="178" spans="1:27" s="242" customFormat="1" ht="26.4">
      <c r="A178" s="302"/>
      <c r="H178" s="304" t="s">
        <v>576</v>
      </c>
      <c r="I178" s="304">
        <v>4.4999999999999998E-2</v>
      </c>
      <c r="J178" s="304"/>
      <c r="K178" s="304"/>
      <c r="L178" s="304"/>
      <c r="M178" s="304"/>
      <c r="N178" s="304"/>
      <c r="O178" s="304">
        <f t="shared" si="35"/>
        <v>0</v>
      </c>
      <c r="P178" s="304" t="s">
        <v>989</v>
      </c>
      <c r="S178" s="302"/>
      <c r="T178" s="304"/>
      <c r="U178" s="304"/>
      <c r="V178" s="304"/>
      <c r="W178" s="304">
        <v>0.13100000000000001</v>
      </c>
      <c r="X178" s="304">
        <f>AVERAGE(T178:W178)</f>
        <v>0.13100000000000001</v>
      </c>
      <c r="Y178" s="304"/>
      <c r="Z178" s="304">
        <f t="shared" si="36"/>
        <v>1</v>
      </c>
      <c r="AA178" s="304" t="s">
        <v>992</v>
      </c>
    </row>
  </sheetData>
  <customSheetViews>
    <customSheetView guid="{67590F70-5005-492E-AD47-1C13C49F2D83}" scale="70">
      <pane xSplit="9" ySplit="2" topLeftCell="U3" activePane="bottomRight" state="frozen"/>
      <selection pane="bottomRight" activeCell="D174" sqref="D174"/>
      <pageMargins left="0.69930555555555596" right="0.69930555555555596" top="0.75" bottom="0.75" header="0.3" footer="0.3"/>
      <pageSetup paperSize="9" orientation="portrait"/>
    </customSheetView>
    <customSheetView guid="{A0559F95-FBE7-4275-9B44-A293A1B62940}" scale="70">
      <pane xSplit="9" ySplit="2" topLeftCell="U3" activePane="bottomRight" state="frozen"/>
      <selection pane="bottomRight" activeCell="D174" sqref="D174"/>
      <pageMargins left="0.69930555555555596" right="0.69930555555555596" top="0.75" bottom="0.75" header="0.3" footer="0.3"/>
      <pageSetup paperSize="9" orientation="portrait"/>
    </customSheetView>
    <customSheetView guid="{11FB768A-9BE5-454D-8324-F7BD8513C471}" scale="70">
      <pane xSplit="9" ySplit="2" topLeftCell="U114" activePane="bottomRight" state="frozen"/>
      <selection pane="bottomRight" activeCell="D174" sqref="D174"/>
      <pageMargins left="0.69930555555555596" right="0.69930555555555596" top="0.75" bottom="0.75" header="0.3" footer="0.3"/>
      <pageSetup paperSize="9" orientation="portrait"/>
    </customSheetView>
    <customSheetView guid="{656CB8E5-9B79-4056-861F-BA0520B66BDB}" scale="85">
      <pane xSplit="9" ySplit="2" topLeftCell="J123" activePane="bottomRight" state="frozen"/>
      <selection pane="bottomRight" activeCell="G134" sqref="G134"/>
      <pageMargins left="0.69930555555555596" right="0.69930555555555596" top="0.75" bottom="0.75" header="0.3" footer="0.3"/>
      <pageSetup paperSize="9" orientation="portrait"/>
    </customSheetView>
    <customSheetView guid="{3A76011A-5D7E-44CA-8EBC-D2C75FB686D2}" scale="70">
      <pane xSplit="9" ySplit="2" topLeftCell="U114" activePane="bottomRight" state="frozen"/>
      <selection pane="bottomRight" activeCell="D174" sqref="D174"/>
      <pageMargins left="0.69930555555555596" right="0.69930555555555596" top="0.75" bottom="0.75" header="0.3" footer="0.3"/>
      <pageSetup paperSize="9" orientation="portrait"/>
    </customSheetView>
  </customSheetViews>
  <mergeCells count="6">
    <mergeCell ref="S155:S168"/>
    <mergeCell ref="H1:I1"/>
    <mergeCell ref="A2:A63"/>
    <mergeCell ref="A125:A146"/>
    <mergeCell ref="S2:S86"/>
    <mergeCell ref="S125:S146"/>
  </mergeCells>
  <phoneticPr fontId="9" type="noConversion"/>
  <pageMargins left="0.69930555555555596" right="0.69930555555555596"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373"/>
  <sheetViews>
    <sheetView zoomScale="70" zoomScaleNormal="70" workbookViewId="0">
      <pane xSplit="9" ySplit="2" topLeftCell="J3" activePane="bottomRight" state="frozen"/>
      <selection pane="topRight" activeCell="J1" sqref="J1"/>
      <selection pane="bottomLeft" activeCell="A3" sqref="A3"/>
      <selection pane="bottomRight" activeCell="J1" sqref="J1:J1048576"/>
    </sheetView>
  </sheetViews>
  <sheetFormatPr defaultColWidth="9.44140625" defaultRowHeight="13.2"/>
  <cols>
    <col min="1" max="1" width="9.44140625" style="3"/>
    <col min="2" max="2" width="5.5546875" style="3" customWidth="1"/>
    <col min="3" max="3" width="25.5546875" style="3" customWidth="1"/>
    <col min="4" max="4" width="18.5546875" style="3" customWidth="1"/>
    <col min="5" max="5" width="11.44140625" style="3" customWidth="1"/>
    <col min="6" max="6" width="9.44140625" style="3" customWidth="1"/>
    <col min="7" max="7" width="13.109375" style="4" customWidth="1"/>
    <col min="8" max="8" width="16.44140625" style="3" customWidth="1"/>
    <col min="9" max="9" width="6.44140625" style="3" customWidth="1"/>
    <col min="10" max="16" width="9.44140625" style="3" customWidth="1"/>
    <col min="17" max="19" width="9.44140625" style="3"/>
    <col min="20" max="26" width="9.44140625" style="3" customWidth="1"/>
    <col min="27" max="16384" width="9.44140625" style="3"/>
  </cols>
  <sheetData>
    <row r="1" spans="1:26" s="1" customFormat="1" ht="41.1" customHeight="1">
      <c r="A1" s="5" t="s">
        <v>561</v>
      </c>
      <c r="B1" s="1" t="s">
        <v>562</v>
      </c>
      <c r="C1" s="1" t="s">
        <v>563</v>
      </c>
      <c r="D1" s="1" t="s">
        <v>564</v>
      </c>
      <c r="E1" s="1" t="s">
        <v>82</v>
      </c>
      <c r="F1" s="1" t="s">
        <v>95</v>
      </c>
      <c r="G1" s="6" t="s">
        <v>646</v>
      </c>
      <c r="H1" s="422" t="s">
        <v>565</v>
      </c>
      <c r="I1" s="422"/>
      <c r="J1" s="1" t="s">
        <v>15</v>
      </c>
      <c r="K1" s="1" t="s">
        <v>5</v>
      </c>
      <c r="L1" s="1" t="s">
        <v>20</v>
      </c>
      <c r="M1" s="1" t="s">
        <v>566</v>
      </c>
      <c r="N1" s="1" t="s">
        <v>567</v>
      </c>
      <c r="O1" s="1" t="s">
        <v>568</v>
      </c>
      <c r="P1" s="1" t="s">
        <v>1007</v>
      </c>
      <c r="S1" s="5" t="s">
        <v>569</v>
      </c>
      <c r="T1" s="1" t="s">
        <v>15</v>
      </c>
      <c r="U1" s="1" t="s">
        <v>5</v>
      </c>
      <c r="V1" s="1" t="s">
        <v>20</v>
      </c>
      <c r="W1" s="1" t="s">
        <v>566</v>
      </c>
      <c r="X1" s="1" t="s">
        <v>567</v>
      </c>
      <c r="Y1" s="1" t="s">
        <v>568</v>
      </c>
      <c r="Z1" s="1" t="s">
        <v>1013</v>
      </c>
    </row>
    <row r="2" spans="1:26">
      <c r="A2" s="423" t="s">
        <v>570</v>
      </c>
      <c r="B2" s="8" t="s">
        <v>74</v>
      </c>
      <c r="C2" s="8"/>
      <c r="D2" s="8" t="s">
        <v>74</v>
      </c>
      <c r="E2" s="8"/>
      <c r="F2" s="8"/>
      <c r="G2" s="9"/>
      <c r="H2" s="8"/>
      <c r="I2" s="8"/>
      <c r="J2" s="12"/>
      <c r="K2" s="12"/>
      <c r="L2" s="12"/>
      <c r="M2" s="12"/>
      <c r="N2" s="12"/>
      <c r="O2" s="12"/>
      <c r="P2" s="12"/>
      <c r="S2" s="423" t="s">
        <v>570</v>
      </c>
      <c r="T2" s="12"/>
      <c r="U2" s="12"/>
      <c r="V2" s="12"/>
      <c r="W2" s="12"/>
      <c r="X2" s="12"/>
      <c r="Y2" s="12"/>
      <c r="Z2" s="12"/>
    </row>
    <row r="3" spans="1:26" ht="26.4">
      <c r="A3" s="423"/>
      <c r="B3" s="3" t="s">
        <v>571</v>
      </c>
      <c r="C3" s="3" t="s">
        <v>598</v>
      </c>
      <c r="D3" s="3" t="s">
        <v>599</v>
      </c>
      <c r="E3" s="3" t="s">
        <v>574</v>
      </c>
      <c r="G3" s="4">
        <v>10</v>
      </c>
      <c r="H3" s="3" t="s">
        <v>575</v>
      </c>
      <c r="I3" s="13">
        <v>3.3</v>
      </c>
      <c r="K3" s="3">
        <v>13.6</v>
      </c>
      <c r="M3" s="3">
        <f t="shared" ref="M3:M8" si="0">AVERAGE(J3:L3)</f>
        <v>13.6</v>
      </c>
      <c r="O3" s="3">
        <f t="shared" ref="O3:O8" si="1">COUNT(J3:L3)</f>
        <v>1</v>
      </c>
      <c r="P3" s="3" t="s">
        <v>961</v>
      </c>
      <c r="S3" s="423"/>
      <c r="T3" s="3">
        <v>12.166</v>
      </c>
      <c r="U3" s="3">
        <v>13.532999999999999</v>
      </c>
      <c r="W3" s="3">
        <f t="shared" ref="W3:W8" si="2">AVERAGE(T3:V3)</f>
        <v>12.849499999999999</v>
      </c>
      <c r="X3" s="3">
        <f t="shared" ref="X3:X8" si="3">_xlfn.STDEV.S(T3:V3)</f>
        <v>0.9666149698820099</v>
      </c>
      <c r="Y3" s="3">
        <f t="shared" ref="Y3:Y8" si="4">COUNT(T3:V3)</f>
        <v>2</v>
      </c>
      <c r="Z3" s="3" t="s">
        <v>960</v>
      </c>
    </row>
    <row r="4" spans="1:26" ht="26.4">
      <c r="A4" s="423"/>
      <c r="G4" s="4">
        <v>20</v>
      </c>
      <c r="H4" s="3" t="s">
        <v>575</v>
      </c>
      <c r="I4" s="13">
        <v>3.3</v>
      </c>
      <c r="K4" s="3">
        <v>15.375657804871873</v>
      </c>
      <c r="M4" s="3">
        <f t="shared" si="0"/>
        <v>15.375657804871873</v>
      </c>
      <c r="O4" s="3">
        <f t="shared" si="1"/>
        <v>1</v>
      </c>
      <c r="P4" s="3" t="s">
        <v>961</v>
      </c>
      <c r="S4" s="423"/>
      <c r="T4" s="3">
        <v>13.6</v>
      </c>
      <c r="U4" s="3">
        <v>15.299910078921402</v>
      </c>
      <c r="W4" s="3">
        <f t="shared" si="2"/>
        <v>14.449955039460701</v>
      </c>
      <c r="X4" s="3">
        <f t="shared" si="3"/>
        <v>1.2020179442126824</v>
      </c>
      <c r="Y4" s="3">
        <f t="shared" si="4"/>
        <v>2</v>
      </c>
      <c r="Z4" s="3" t="s">
        <v>1009</v>
      </c>
    </row>
    <row r="5" spans="1:26" ht="26.4">
      <c r="A5" s="423"/>
      <c r="G5" s="4">
        <v>40</v>
      </c>
      <c r="H5" s="3" t="s">
        <v>575</v>
      </c>
      <c r="I5" s="13">
        <v>3.3</v>
      </c>
      <c r="K5" s="3">
        <v>16.43620873700452</v>
      </c>
      <c r="M5" s="3">
        <f t="shared" si="0"/>
        <v>16.43620873700452</v>
      </c>
      <c r="O5" s="3">
        <f t="shared" si="1"/>
        <v>1</v>
      </c>
      <c r="P5" s="3" t="s">
        <v>961</v>
      </c>
      <c r="S5" s="423"/>
      <c r="T5" s="3">
        <v>14.3</v>
      </c>
      <c r="U5" s="3">
        <v>16.355236238079573</v>
      </c>
      <c r="W5" s="3">
        <f t="shared" si="2"/>
        <v>15.327618119039787</v>
      </c>
      <c r="X5" s="3">
        <f t="shared" si="3"/>
        <v>1.4532714808863956</v>
      </c>
      <c r="Y5" s="3">
        <f t="shared" si="4"/>
        <v>2</v>
      </c>
      <c r="Z5" s="3" t="s">
        <v>993</v>
      </c>
    </row>
    <row r="6" spans="1:26" ht="26.4">
      <c r="A6" s="423"/>
      <c r="G6" s="4">
        <v>10</v>
      </c>
      <c r="H6" s="10" t="s">
        <v>576</v>
      </c>
      <c r="I6" s="10">
        <v>0.12</v>
      </c>
      <c r="J6" s="10"/>
      <c r="K6" s="10">
        <v>0.35399999999999998</v>
      </c>
      <c r="L6" s="10"/>
      <c r="M6" s="10">
        <f t="shared" si="0"/>
        <v>0.35399999999999998</v>
      </c>
      <c r="N6" s="10"/>
      <c r="O6" s="10">
        <f t="shared" si="1"/>
        <v>1</v>
      </c>
      <c r="P6" s="10" t="s">
        <v>961</v>
      </c>
      <c r="S6" s="423"/>
      <c r="T6" s="203">
        <v>0.39</v>
      </c>
      <c r="U6" s="203">
        <v>0.34499999999999997</v>
      </c>
      <c r="V6" s="203"/>
      <c r="W6" s="203">
        <f t="shared" si="2"/>
        <v>0.36749999999999999</v>
      </c>
      <c r="X6" s="203">
        <f t="shared" si="3"/>
        <v>3.1819805153394672E-2</v>
      </c>
      <c r="Y6" s="203">
        <f t="shared" si="4"/>
        <v>2</v>
      </c>
      <c r="Z6" s="203" t="s">
        <v>993</v>
      </c>
    </row>
    <row r="7" spans="1:26" ht="26.4">
      <c r="A7" s="423"/>
      <c r="G7" s="4">
        <v>20</v>
      </c>
      <c r="H7" s="10" t="s">
        <v>576</v>
      </c>
      <c r="I7" s="10">
        <v>0.12</v>
      </c>
      <c r="J7" s="10"/>
      <c r="K7" s="10">
        <v>0.40021932815622374</v>
      </c>
      <c r="L7" s="10"/>
      <c r="M7" s="10">
        <f t="shared" si="0"/>
        <v>0.40021932815622374</v>
      </c>
      <c r="N7" s="10"/>
      <c r="O7" s="10">
        <f t="shared" si="1"/>
        <v>1</v>
      </c>
      <c r="P7" s="10" t="s">
        <v>961</v>
      </c>
      <c r="S7" s="423"/>
      <c r="T7" s="203">
        <v>0.44</v>
      </c>
      <c r="U7" s="203">
        <v>0.39004426049123497</v>
      </c>
      <c r="V7" s="203"/>
      <c r="W7" s="203">
        <f t="shared" si="2"/>
        <v>0.41502213024561752</v>
      </c>
      <c r="X7" s="203">
        <f t="shared" si="3"/>
        <v>3.5324042165836483E-2</v>
      </c>
      <c r="Y7" s="203">
        <f t="shared" si="4"/>
        <v>2</v>
      </c>
      <c r="Z7" s="203" t="s">
        <v>993</v>
      </c>
    </row>
    <row r="8" spans="1:26" ht="26.4">
      <c r="A8" s="423"/>
      <c r="G8" s="4">
        <v>40</v>
      </c>
      <c r="H8" s="10" t="s">
        <v>576</v>
      </c>
      <c r="I8" s="10">
        <v>0.12</v>
      </c>
      <c r="J8" s="10"/>
      <c r="K8" s="10">
        <v>0.4278248450661471</v>
      </c>
      <c r="L8" s="10"/>
      <c r="M8" s="10">
        <f t="shared" si="0"/>
        <v>0.4278248450661471</v>
      </c>
      <c r="N8" s="10"/>
      <c r="O8" s="10">
        <f t="shared" si="1"/>
        <v>1</v>
      </c>
      <c r="P8" s="10" t="s">
        <v>961</v>
      </c>
      <c r="S8" s="423"/>
      <c r="T8" s="203">
        <v>0.46</v>
      </c>
      <c r="U8" s="203">
        <v>0.41694794222548232</v>
      </c>
      <c r="V8" s="203"/>
      <c r="W8" s="203">
        <f t="shared" si="2"/>
        <v>0.43847397111274117</v>
      </c>
      <c r="X8" s="203">
        <f t="shared" si="3"/>
        <v>3.0442401996396494E-2</v>
      </c>
      <c r="Y8" s="203">
        <f t="shared" si="4"/>
        <v>2</v>
      </c>
      <c r="Z8" s="203" t="s">
        <v>986</v>
      </c>
    </row>
    <row r="9" spans="1:26">
      <c r="A9" s="423"/>
      <c r="S9" s="423"/>
    </row>
    <row r="10" spans="1:26" ht="26.4">
      <c r="A10" s="423"/>
      <c r="B10" s="3" t="s">
        <v>571</v>
      </c>
      <c r="C10" s="3" t="s">
        <v>600</v>
      </c>
      <c r="D10" s="15" t="s">
        <v>601</v>
      </c>
      <c r="E10" s="3" t="s">
        <v>574</v>
      </c>
      <c r="G10" s="4">
        <v>10</v>
      </c>
      <c r="H10" s="3" t="s">
        <v>575</v>
      </c>
      <c r="I10" s="13">
        <v>3.3</v>
      </c>
      <c r="O10" s="3">
        <f t="shared" ref="O10:O15" si="5">COUNT(J10:L10)</f>
        <v>0</v>
      </c>
      <c r="P10" s="3" t="s">
        <v>962</v>
      </c>
      <c r="S10" s="423"/>
      <c r="Y10" s="3">
        <f t="shared" ref="Y10:Y15" si="6">COUNT(T10:V10)</f>
        <v>0</v>
      </c>
      <c r="Z10" s="3" t="s">
        <v>962</v>
      </c>
    </row>
    <row r="11" spans="1:26" ht="26.4">
      <c r="A11" s="423"/>
      <c r="D11" s="15"/>
      <c r="G11" s="4">
        <v>20</v>
      </c>
      <c r="H11" s="3" t="s">
        <v>575</v>
      </c>
      <c r="I11" s="13">
        <v>3.3</v>
      </c>
      <c r="O11" s="3">
        <f t="shared" si="5"/>
        <v>0</v>
      </c>
      <c r="P11" s="3" t="s">
        <v>962</v>
      </c>
      <c r="S11" s="423"/>
      <c r="Y11" s="3">
        <f t="shared" si="6"/>
        <v>0</v>
      </c>
      <c r="Z11" s="3" t="s">
        <v>989</v>
      </c>
    </row>
    <row r="12" spans="1:26" ht="26.4">
      <c r="A12" s="423"/>
      <c r="D12" s="15"/>
      <c r="G12" s="4">
        <v>40</v>
      </c>
      <c r="H12" s="3" t="s">
        <v>575</v>
      </c>
      <c r="I12" s="13">
        <v>3.3</v>
      </c>
      <c r="O12" s="3">
        <f t="shared" si="5"/>
        <v>0</v>
      </c>
      <c r="P12" s="3" t="s">
        <v>963</v>
      </c>
      <c r="S12" s="423"/>
      <c r="Y12" s="3">
        <f t="shared" si="6"/>
        <v>0</v>
      </c>
      <c r="Z12" s="3" t="s">
        <v>972</v>
      </c>
    </row>
    <row r="13" spans="1:26" ht="26.4">
      <c r="A13" s="423"/>
      <c r="G13" s="4">
        <v>10</v>
      </c>
      <c r="H13" s="10" t="s">
        <v>576</v>
      </c>
      <c r="I13" s="10">
        <v>0.12</v>
      </c>
      <c r="J13" s="10"/>
      <c r="K13" s="10"/>
      <c r="L13" s="10"/>
      <c r="M13" s="10"/>
      <c r="N13" s="10"/>
      <c r="O13" s="10">
        <f t="shared" si="5"/>
        <v>0</v>
      </c>
      <c r="P13" s="10" t="s">
        <v>990</v>
      </c>
      <c r="S13" s="423"/>
      <c r="T13" s="203"/>
      <c r="U13" s="203"/>
      <c r="V13" s="203"/>
      <c r="W13" s="203"/>
      <c r="X13" s="203"/>
      <c r="Y13" s="203">
        <f t="shared" si="6"/>
        <v>0</v>
      </c>
      <c r="Z13" s="203" t="s">
        <v>972</v>
      </c>
    </row>
    <row r="14" spans="1:26" ht="26.4">
      <c r="A14" s="423"/>
      <c r="G14" s="4">
        <v>20</v>
      </c>
      <c r="H14" s="10" t="s">
        <v>576</v>
      </c>
      <c r="I14" s="10">
        <v>0.12</v>
      </c>
      <c r="J14" s="10"/>
      <c r="K14" s="10"/>
      <c r="L14" s="10"/>
      <c r="M14" s="10"/>
      <c r="N14" s="10"/>
      <c r="O14" s="10">
        <f t="shared" si="5"/>
        <v>0</v>
      </c>
      <c r="P14" s="10" t="s">
        <v>962</v>
      </c>
      <c r="S14" s="423"/>
      <c r="T14" s="203"/>
      <c r="U14" s="203"/>
      <c r="V14" s="203"/>
      <c r="W14" s="203"/>
      <c r="X14" s="203"/>
      <c r="Y14" s="203">
        <f t="shared" si="6"/>
        <v>0</v>
      </c>
      <c r="Z14" s="203" t="s">
        <v>963</v>
      </c>
    </row>
    <row r="15" spans="1:26" ht="26.4">
      <c r="A15" s="423"/>
      <c r="G15" s="4">
        <v>40</v>
      </c>
      <c r="H15" s="10" t="s">
        <v>576</v>
      </c>
      <c r="I15" s="10">
        <v>0.12</v>
      </c>
      <c r="J15" s="10"/>
      <c r="K15" s="10"/>
      <c r="L15" s="10"/>
      <c r="M15" s="10"/>
      <c r="N15" s="10"/>
      <c r="O15" s="10">
        <f t="shared" si="5"/>
        <v>0</v>
      </c>
      <c r="P15" s="10" t="s">
        <v>962</v>
      </c>
      <c r="S15" s="423"/>
      <c r="T15" s="203"/>
      <c r="U15" s="203"/>
      <c r="V15" s="203"/>
      <c r="W15" s="203"/>
      <c r="X15" s="203"/>
      <c r="Y15" s="203">
        <f t="shared" si="6"/>
        <v>0</v>
      </c>
      <c r="Z15" s="203" t="s">
        <v>962</v>
      </c>
    </row>
    <row r="16" spans="1:26">
      <c r="A16" s="423"/>
      <c r="S16" s="423"/>
    </row>
    <row r="17" spans="1:26" ht="26.4">
      <c r="A17" s="423"/>
      <c r="B17" s="3" t="s">
        <v>571</v>
      </c>
      <c r="C17" s="3" t="s">
        <v>602</v>
      </c>
      <c r="D17" s="15" t="s">
        <v>603</v>
      </c>
      <c r="E17" s="3" t="s">
        <v>574</v>
      </c>
      <c r="G17" s="4">
        <v>10</v>
      </c>
      <c r="H17" s="3" t="s">
        <v>575</v>
      </c>
      <c r="I17" s="13">
        <v>3.3</v>
      </c>
      <c r="O17" s="3">
        <f t="shared" ref="O17:O22" si="7">COUNT(J17:L17)</f>
        <v>0</v>
      </c>
      <c r="P17" s="3" t="s">
        <v>972</v>
      </c>
      <c r="S17" s="423"/>
      <c r="Y17" s="3">
        <f t="shared" ref="Y17:Y22" si="8">COUNT(T17:V17)</f>
        <v>0</v>
      </c>
      <c r="Z17" s="3" t="s">
        <v>962</v>
      </c>
    </row>
    <row r="18" spans="1:26" ht="26.4">
      <c r="A18" s="423"/>
      <c r="D18" s="15"/>
      <c r="G18" s="4">
        <v>20</v>
      </c>
      <c r="H18" s="3" t="s">
        <v>575</v>
      </c>
      <c r="I18" s="13">
        <v>3.3</v>
      </c>
      <c r="O18" s="3">
        <f t="shared" si="7"/>
        <v>0</v>
      </c>
      <c r="P18" s="3" t="s">
        <v>962</v>
      </c>
      <c r="S18" s="423"/>
      <c r="Y18" s="3">
        <f t="shared" si="8"/>
        <v>0</v>
      </c>
      <c r="Z18" s="3" t="s">
        <v>989</v>
      </c>
    </row>
    <row r="19" spans="1:26" ht="26.4">
      <c r="A19" s="423"/>
      <c r="D19" s="15"/>
      <c r="G19" s="4">
        <v>40</v>
      </c>
      <c r="H19" s="3" t="s">
        <v>575</v>
      </c>
      <c r="I19" s="13">
        <v>3.3</v>
      </c>
      <c r="O19" s="3">
        <f t="shared" si="7"/>
        <v>0</v>
      </c>
      <c r="P19" s="3" t="s">
        <v>963</v>
      </c>
      <c r="S19" s="423"/>
      <c r="Y19" s="3">
        <f t="shared" si="8"/>
        <v>0</v>
      </c>
      <c r="Z19" s="3" t="s">
        <v>962</v>
      </c>
    </row>
    <row r="20" spans="1:26" ht="26.4">
      <c r="A20" s="423"/>
      <c r="G20" s="4">
        <v>10</v>
      </c>
      <c r="H20" s="10" t="s">
        <v>576</v>
      </c>
      <c r="I20" s="10">
        <v>0.12</v>
      </c>
      <c r="J20" s="10"/>
      <c r="K20" s="10"/>
      <c r="L20" s="10"/>
      <c r="M20" s="10"/>
      <c r="N20" s="10"/>
      <c r="O20" s="10">
        <f t="shared" si="7"/>
        <v>0</v>
      </c>
      <c r="P20" s="10" t="s">
        <v>963</v>
      </c>
      <c r="S20" s="423"/>
      <c r="T20" s="203"/>
      <c r="U20" s="203"/>
      <c r="V20" s="203"/>
      <c r="W20" s="203"/>
      <c r="X20" s="203"/>
      <c r="Y20" s="203">
        <f t="shared" si="8"/>
        <v>0</v>
      </c>
      <c r="Z20" s="203" t="s">
        <v>962</v>
      </c>
    </row>
    <row r="21" spans="1:26" ht="26.4">
      <c r="A21" s="423"/>
      <c r="G21" s="4">
        <v>20</v>
      </c>
      <c r="H21" s="10" t="s">
        <v>576</v>
      </c>
      <c r="I21" s="10">
        <v>0.12</v>
      </c>
      <c r="J21" s="10"/>
      <c r="K21" s="10"/>
      <c r="L21" s="10"/>
      <c r="M21" s="10"/>
      <c r="N21" s="10"/>
      <c r="O21" s="10">
        <f t="shared" si="7"/>
        <v>0</v>
      </c>
      <c r="P21" s="10" t="s">
        <v>963</v>
      </c>
      <c r="S21" s="423"/>
      <c r="T21" s="203"/>
      <c r="U21" s="203"/>
      <c r="V21" s="203"/>
      <c r="W21" s="203"/>
      <c r="X21" s="203"/>
      <c r="Y21" s="203">
        <f t="shared" si="8"/>
        <v>0</v>
      </c>
      <c r="Z21" s="203" t="s">
        <v>962</v>
      </c>
    </row>
    <row r="22" spans="1:26" ht="26.4">
      <c r="A22" s="423"/>
      <c r="G22" s="4">
        <v>40</v>
      </c>
      <c r="H22" s="10" t="s">
        <v>576</v>
      </c>
      <c r="I22" s="10">
        <v>0.12</v>
      </c>
      <c r="J22" s="10"/>
      <c r="K22" s="10"/>
      <c r="L22" s="10"/>
      <c r="M22" s="10"/>
      <c r="N22" s="10"/>
      <c r="O22" s="10">
        <f t="shared" si="7"/>
        <v>0</v>
      </c>
      <c r="P22" s="10" t="s">
        <v>962</v>
      </c>
      <c r="S22" s="423"/>
      <c r="T22" s="203"/>
      <c r="U22" s="203"/>
      <c r="V22" s="203"/>
      <c r="W22" s="203"/>
      <c r="X22" s="203"/>
      <c r="Y22" s="203">
        <f t="shared" si="8"/>
        <v>0</v>
      </c>
      <c r="Z22" s="203" t="s">
        <v>962</v>
      </c>
    </row>
    <row r="23" spans="1:26">
      <c r="A23" s="423"/>
      <c r="S23" s="423"/>
    </row>
    <row r="24" spans="1:26" ht="26.4">
      <c r="A24" s="423"/>
      <c r="B24" s="3" t="s">
        <v>571</v>
      </c>
      <c r="C24" s="3" t="s">
        <v>602</v>
      </c>
      <c r="D24" s="3" t="s">
        <v>604</v>
      </c>
      <c r="E24" s="3" t="s">
        <v>574</v>
      </c>
      <c r="G24" s="4">
        <v>10</v>
      </c>
      <c r="H24" s="3" t="s">
        <v>575</v>
      </c>
      <c r="I24" s="13">
        <v>3.3</v>
      </c>
      <c r="O24" s="3">
        <f t="shared" ref="O24:O29" si="9">COUNT(J24:L24)</f>
        <v>0</v>
      </c>
      <c r="P24" s="3" t="s">
        <v>1010</v>
      </c>
      <c r="S24" s="423"/>
      <c r="Y24" s="3">
        <f t="shared" ref="Y24:Y29" si="10">COUNT(T24:V24)</f>
        <v>0</v>
      </c>
      <c r="Z24" s="3" t="s">
        <v>1014</v>
      </c>
    </row>
    <row r="25" spans="1:26" ht="26.4">
      <c r="A25" s="423"/>
      <c r="G25" s="4">
        <v>20</v>
      </c>
      <c r="H25" s="3" t="s">
        <v>575</v>
      </c>
      <c r="I25" s="13">
        <v>3.3</v>
      </c>
      <c r="O25" s="3">
        <f t="shared" si="9"/>
        <v>0</v>
      </c>
      <c r="P25" s="3" t="s">
        <v>962</v>
      </c>
      <c r="S25" s="423"/>
      <c r="Y25" s="3">
        <f t="shared" si="10"/>
        <v>0</v>
      </c>
      <c r="Z25" s="3" t="s">
        <v>972</v>
      </c>
    </row>
    <row r="26" spans="1:26" ht="26.4">
      <c r="A26" s="423"/>
      <c r="G26" s="4">
        <v>40</v>
      </c>
      <c r="H26" s="3" t="s">
        <v>575</v>
      </c>
      <c r="I26" s="13">
        <v>3.3</v>
      </c>
      <c r="O26" s="3">
        <f t="shared" si="9"/>
        <v>0</v>
      </c>
      <c r="P26" s="3" t="s">
        <v>962</v>
      </c>
      <c r="S26" s="423"/>
      <c r="Y26" s="3">
        <f t="shared" si="10"/>
        <v>0</v>
      </c>
      <c r="Z26" s="3" t="s">
        <v>962</v>
      </c>
    </row>
    <row r="27" spans="1:26" ht="26.4">
      <c r="A27" s="423"/>
      <c r="G27" s="4">
        <v>10</v>
      </c>
      <c r="H27" s="10" t="s">
        <v>576</v>
      </c>
      <c r="I27" s="10">
        <v>0.12</v>
      </c>
      <c r="J27" s="10"/>
      <c r="K27" s="10"/>
      <c r="L27" s="10"/>
      <c r="M27" s="10"/>
      <c r="N27" s="10"/>
      <c r="O27" s="10">
        <f t="shared" si="9"/>
        <v>0</v>
      </c>
      <c r="P27" s="10" t="s">
        <v>962</v>
      </c>
      <c r="S27" s="423"/>
      <c r="T27" s="203"/>
      <c r="U27" s="203"/>
      <c r="V27" s="203"/>
      <c r="W27" s="203"/>
      <c r="X27" s="203"/>
      <c r="Y27" s="203">
        <f t="shared" si="10"/>
        <v>0</v>
      </c>
      <c r="Z27" s="203" t="s">
        <v>970</v>
      </c>
    </row>
    <row r="28" spans="1:26" ht="26.4">
      <c r="A28" s="423"/>
      <c r="G28" s="4">
        <v>20</v>
      </c>
      <c r="H28" s="10" t="s">
        <v>576</v>
      </c>
      <c r="I28" s="10">
        <v>0.12</v>
      </c>
      <c r="J28" s="10"/>
      <c r="K28" s="10"/>
      <c r="L28" s="10"/>
      <c r="M28" s="10"/>
      <c r="N28" s="10"/>
      <c r="O28" s="10">
        <f t="shared" si="9"/>
        <v>0</v>
      </c>
      <c r="P28" s="10" t="s">
        <v>963</v>
      </c>
      <c r="S28" s="423"/>
      <c r="T28" s="203"/>
      <c r="U28" s="203"/>
      <c r="V28" s="203"/>
      <c r="W28" s="203"/>
      <c r="X28" s="203"/>
      <c r="Y28" s="203">
        <f t="shared" si="10"/>
        <v>0</v>
      </c>
      <c r="Z28" s="203" t="s">
        <v>970</v>
      </c>
    </row>
    <row r="29" spans="1:26" ht="26.4">
      <c r="A29" s="423"/>
      <c r="G29" s="4">
        <v>40</v>
      </c>
      <c r="H29" s="10" t="s">
        <v>576</v>
      </c>
      <c r="I29" s="10">
        <v>0.12</v>
      </c>
      <c r="J29" s="10"/>
      <c r="K29" s="10"/>
      <c r="L29" s="10"/>
      <c r="M29" s="10"/>
      <c r="N29" s="10"/>
      <c r="O29" s="10">
        <f t="shared" si="9"/>
        <v>0</v>
      </c>
      <c r="P29" s="10" t="s">
        <v>963</v>
      </c>
      <c r="S29" s="423"/>
      <c r="T29" s="203"/>
      <c r="U29" s="203"/>
      <c r="V29" s="203"/>
      <c r="W29" s="203"/>
      <c r="X29" s="203"/>
      <c r="Y29" s="203">
        <f t="shared" si="10"/>
        <v>0</v>
      </c>
      <c r="Z29" s="203" t="s">
        <v>972</v>
      </c>
    </row>
    <row r="30" spans="1:26">
      <c r="A30" s="423"/>
      <c r="S30" s="423"/>
    </row>
    <row r="31" spans="1:26" ht="26.4">
      <c r="A31" s="423"/>
      <c r="B31" s="3" t="s">
        <v>571</v>
      </c>
      <c r="C31" s="3" t="s">
        <v>602</v>
      </c>
      <c r="D31" s="3" t="s">
        <v>605</v>
      </c>
      <c r="E31" s="3" t="s">
        <v>574</v>
      </c>
      <c r="G31" s="4">
        <v>10</v>
      </c>
      <c r="H31" s="3" t="s">
        <v>575</v>
      </c>
      <c r="I31" s="13">
        <v>3.3</v>
      </c>
      <c r="O31" s="3">
        <f t="shared" ref="O31:O36" si="11">COUNT(J31:L31)</f>
        <v>0</v>
      </c>
      <c r="P31" s="3" t="s">
        <v>963</v>
      </c>
      <c r="S31" s="423"/>
      <c r="Y31" s="3">
        <f t="shared" ref="Y31:Y36" si="12">COUNT(T31:V31)</f>
        <v>0</v>
      </c>
      <c r="Z31" s="3" t="s">
        <v>965</v>
      </c>
    </row>
    <row r="32" spans="1:26" ht="26.4">
      <c r="A32" s="423"/>
      <c r="G32" s="4">
        <v>20</v>
      </c>
      <c r="H32" s="3" t="s">
        <v>575</v>
      </c>
      <c r="I32" s="13">
        <v>3.3</v>
      </c>
      <c r="O32" s="3">
        <f t="shared" si="11"/>
        <v>0</v>
      </c>
      <c r="P32" s="3" t="s">
        <v>963</v>
      </c>
      <c r="S32" s="423"/>
      <c r="Y32" s="3">
        <f t="shared" si="12"/>
        <v>0</v>
      </c>
      <c r="Z32" s="3" t="s">
        <v>962</v>
      </c>
    </row>
    <row r="33" spans="1:26" ht="26.4">
      <c r="A33" s="423"/>
      <c r="G33" s="4">
        <v>40</v>
      </c>
      <c r="H33" s="3" t="s">
        <v>575</v>
      </c>
      <c r="I33" s="13">
        <v>3.3</v>
      </c>
      <c r="O33" s="3">
        <f t="shared" si="11"/>
        <v>0</v>
      </c>
      <c r="P33" s="3" t="s">
        <v>962</v>
      </c>
      <c r="S33" s="423"/>
      <c r="Y33" s="3">
        <f t="shared" si="12"/>
        <v>0</v>
      </c>
      <c r="Z33" s="3" t="s">
        <v>963</v>
      </c>
    </row>
    <row r="34" spans="1:26" ht="26.4">
      <c r="A34" s="423"/>
      <c r="G34" s="4">
        <v>10</v>
      </c>
      <c r="H34" s="10" t="s">
        <v>576</v>
      </c>
      <c r="I34" s="10">
        <v>0.12</v>
      </c>
      <c r="J34" s="10"/>
      <c r="K34" s="10"/>
      <c r="L34" s="10"/>
      <c r="M34" s="10"/>
      <c r="N34" s="10"/>
      <c r="O34" s="10">
        <f t="shared" si="11"/>
        <v>0</v>
      </c>
      <c r="P34" s="10" t="s">
        <v>963</v>
      </c>
      <c r="S34" s="423"/>
      <c r="T34" s="203"/>
      <c r="U34" s="203"/>
      <c r="V34" s="203"/>
      <c r="W34" s="203"/>
      <c r="X34" s="203"/>
      <c r="Y34" s="203">
        <f t="shared" si="12"/>
        <v>0</v>
      </c>
      <c r="Z34" s="203" t="s">
        <v>985</v>
      </c>
    </row>
    <row r="35" spans="1:26" ht="26.4">
      <c r="A35" s="423"/>
      <c r="G35" s="4">
        <v>20</v>
      </c>
      <c r="H35" s="10" t="s">
        <v>576</v>
      </c>
      <c r="I35" s="10">
        <v>0.12</v>
      </c>
      <c r="J35" s="10"/>
      <c r="K35" s="10"/>
      <c r="L35" s="10"/>
      <c r="M35" s="10"/>
      <c r="N35" s="10"/>
      <c r="O35" s="10">
        <f t="shared" si="11"/>
        <v>0</v>
      </c>
      <c r="P35" s="10" t="s">
        <v>963</v>
      </c>
      <c r="S35" s="423"/>
      <c r="T35" s="203"/>
      <c r="U35" s="203"/>
      <c r="V35" s="203"/>
      <c r="W35" s="203"/>
      <c r="X35" s="203"/>
      <c r="Y35" s="203">
        <f t="shared" si="12"/>
        <v>0</v>
      </c>
      <c r="Z35" s="203" t="s">
        <v>972</v>
      </c>
    </row>
    <row r="36" spans="1:26" ht="26.4">
      <c r="A36" s="423"/>
      <c r="G36" s="4">
        <v>40</v>
      </c>
      <c r="H36" s="10" t="s">
        <v>576</v>
      </c>
      <c r="I36" s="10">
        <v>0.12</v>
      </c>
      <c r="J36" s="10"/>
      <c r="K36" s="10"/>
      <c r="L36" s="10"/>
      <c r="M36" s="10"/>
      <c r="N36" s="10"/>
      <c r="O36" s="10">
        <f t="shared" si="11"/>
        <v>0</v>
      </c>
      <c r="P36" s="10" t="s">
        <v>963</v>
      </c>
      <c r="S36" s="423"/>
      <c r="T36" s="203"/>
      <c r="U36" s="203"/>
      <c r="V36" s="203"/>
      <c r="W36" s="203"/>
      <c r="X36" s="203"/>
      <c r="Y36" s="203">
        <f t="shared" si="12"/>
        <v>0</v>
      </c>
      <c r="Z36" s="203" t="s">
        <v>965</v>
      </c>
    </row>
    <row r="37" spans="1:26">
      <c r="A37" s="423"/>
      <c r="S37" s="423"/>
    </row>
    <row r="38" spans="1:26" ht="26.4">
      <c r="A38" s="423"/>
      <c r="B38" s="3" t="s">
        <v>571</v>
      </c>
      <c r="C38" s="3" t="s">
        <v>602</v>
      </c>
      <c r="D38" s="3" t="s">
        <v>606</v>
      </c>
      <c r="E38" s="3" t="s">
        <v>574</v>
      </c>
      <c r="G38" s="4">
        <v>10</v>
      </c>
      <c r="H38" s="3" t="s">
        <v>575</v>
      </c>
      <c r="I38" s="13">
        <v>3.3</v>
      </c>
      <c r="O38" s="3">
        <f t="shared" ref="O38:O43" si="13">COUNT(J38:L38)</f>
        <v>0</v>
      </c>
      <c r="P38" s="3" t="s">
        <v>963</v>
      </c>
      <c r="S38" s="423"/>
      <c r="Y38" s="3">
        <f t="shared" ref="Y38:Y43" si="14">COUNT(T38:V38)</f>
        <v>0</v>
      </c>
      <c r="Z38" s="3" t="s">
        <v>972</v>
      </c>
    </row>
    <row r="39" spans="1:26" ht="26.4">
      <c r="A39" s="423"/>
      <c r="G39" s="4">
        <v>20</v>
      </c>
      <c r="H39" s="3" t="s">
        <v>575</v>
      </c>
      <c r="I39" s="13">
        <v>3.3</v>
      </c>
      <c r="O39" s="3">
        <f t="shared" si="13"/>
        <v>0</v>
      </c>
      <c r="P39" s="3" t="s">
        <v>963</v>
      </c>
      <c r="S39" s="423"/>
      <c r="Y39" s="3">
        <f t="shared" si="14"/>
        <v>0</v>
      </c>
      <c r="Z39" s="3" t="s">
        <v>965</v>
      </c>
    </row>
    <row r="40" spans="1:26" ht="26.4">
      <c r="A40" s="423"/>
      <c r="G40" s="4">
        <v>40</v>
      </c>
      <c r="H40" s="3" t="s">
        <v>575</v>
      </c>
      <c r="I40" s="13">
        <v>3.3</v>
      </c>
      <c r="O40" s="3">
        <f t="shared" si="13"/>
        <v>0</v>
      </c>
      <c r="P40" s="3" t="s">
        <v>963</v>
      </c>
      <c r="S40" s="423"/>
      <c r="Y40" s="3">
        <f t="shared" si="14"/>
        <v>0</v>
      </c>
      <c r="Z40" s="3" t="s">
        <v>965</v>
      </c>
    </row>
    <row r="41" spans="1:26" ht="26.4">
      <c r="A41" s="423"/>
      <c r="G41" s="4">
        <v>10</v>
      </c>
      <c r="H41" s="10" t="s">
        <v>576</v>
      </c>
      <c r="I41" s="10">
        <v>0.12</v>
      </c>
      <c r="J41" s="10"/>
      <c r="K41" s="10"/>
      <c r="L41" s="10"/>
      <c r="M41" s="10"/>
      <c r="N41" s="10"/>
      <c r="O41" s="10">
        <f t="shared" si="13"/>
        <v>0</v>
      </c>
      <c r="P41" s="10" t="s">
        <v>962</v>
      </c>
      <c r="S41" s="423"/>
      <c r="T41" s="203"/>
      <c r="U41" s="203"/>
      <c r="V41" s="203"/>
      <c r="W41" s="203"/>
      <c r="X41" s="203"/>
      <c r="Y41" s="203">
        <f t="shared" si="14"/>
        <v>0</v>
      </c>
      <c r="Z41" s="203" t="s">
        <v>963</v>
      </c>
    </row>
    <row r="42" spans="1:26" ht="26.4">
      <c r="A42" s="423"/>
      <c r="G42" s="4">
        <v>20</v>
      </c>
      <c r="H42" s="10" t="s">
        <v>576</v>
      </c>
      <c r="I42" s="10">
        <v>0.12</v>
      </c>
      <c r="J42" s="10"/>
      <c r="K42" s="10"/>
      <c r="L42" s="10"/>
      <c r="M42" s="10"/>
      <c r="N42" s="10"/>
      <c r="O42" s="10">
        <f t="shared" si="13"/>
        <v>0</v>
      </c>
      <c r="P42" s="10" t="s">
        <v>962</v>
      </c>
      <c r="S42" s="423"/>
      <c r="T42" s="203"/>
      <c r="U42" s="203"/>
      <c r="V42" s="203"/>
      <c r="W42" s="203"/>
      <c r="X42" s="203"/>
      <c r="Y42" s="203">
        <f t="shared" si="14"/>
        <v>0</v>
      </c>
      <c r="Z42" s="203" t="s">
        <v>963</v>
      </c>
    </row>
    <row r="43" spans="1:26" ht="26.4">
      <c r="A43" s="423"/>
      <c r="G43" s="4">
        <v>40</v>
      </c>
      <c r="H43" s="10" t="s">
        <v>576</v>
      </c>
      <c r="I43" s="10">
        <v>0.12</v>
      </c>
      <c r="J43" s="10"/>
      <c r="K43" s="10"/>
      <c r="L43" s="10"/>
      <c r="M43" s="10"/>
      <c r="N43" s="10"/>
      <c r="O43" s="10">
        <f t="shared" si="13"/>
        <v>0</v>
      </c>
      <c r="P43" s="10" t="s">
        <v>962</v>
      </c>
      <c r="S43" s="423"/>
      <c r="T43" s="203"/>
      <c r="U43" s="203"/>
      <c r="V43" s="203"/>
      <c r="W43" s="203"/>
      <c r="X43" s="203"/>
      <c r="Y43" s="203">
        <f t="shared" si="14"/>
        <v>0</v>
      </c>
      <c r="Z43" s="203" t="s">
        <v>965</v>
      </c>
    </row>
    <row r="44" spans="1:26">
      <c r="A44" s="423"/>
      <c r="S44" s="423"/>
    </row>
    <row r="45" spans="1:26" ht="26.4">
      <c r="A45" s="423"/>
      <c r="B45" s="3" t="s">
        <v>571</v>
      </c>
      <c r="C45" s="3" t="s">
        <v>600</v>
      </c>
      <c r="D45" s="3" t="s">
        <v>607</v>
      </c>
      <c r="E45" s="3" t="s">
        <v>574</v>
      </c>
      <c r="G45" s="4">
        <v>10</v>
      </c>
      <c r="H45" s="3" t="s">
        <v>575</v>
      </c>
      <c r="I45" s="13">
        <v>3.3</v>
      </c>
      <c r="O45" s="3">
        <f t="shared" ref="O45:O50" si="15">COUNT(J45:L45)</f>
        <v>0</v>
      </c>
      <c r="P45" s="3" t="s">
        <v>962</v>
      </c>
      <c r="S45" s="423"/>
      <c r="Y45" s="3">
        <f t="shared" ref="Y45:Y50" si="16">COUNT(T45:V45)</f>
        <v>0</v>
      </c>
      <c r="Z45" s="3" t="s">
        <v>963</v>
      </c>
    </row>
    <row r="46" spans="1:26" ht="26.4">
      <c r="A46" s="423"/>
      <c r="G46" s="4">
        <v>20</v>
      </c>
      <c r="H46" s="3" t="s">
        <v>575</v>
      </c>
      <c r="I46" s="13">
        <v>3.3</v>
      </c>
      <c r="O46" s="3">
        <f t="shared" si="15"/>
        <v>0</v>
      </c>
      <c r="P46" s="3" t="s">
        <v>962</v>
      </c>
      <c r="S46" s="423"/>
      <c r="Y46" s="3">
        <f t="shared" si="16"/>
        <v>0</v>
      </c>
      <c r="Z46" s="3" t="s">
        <v>972</v>
      </c>
    </row>
    <row r="47" spans="1:26" ht="26.4">
      <c r="A47" s="423"/>
      <c r="G47" s="4">
        <v>40</v>
      </c>
      <c r="H47" s="3" t="s">
        <v>575</v>
      </c>
      <c r="I47" s="13">
        <v>3.3</v>
      </c>
      <c r="O47" s="3">
        <f t="shared" si="15"/>
        <v>0</v>
      </c>
      <c r="P47" s="3" t="s">
        <v>963</v>
      </c>
      <c r="S47" s="423"/>
      <c r="Y47" s="3">
        <f t="shared" si="16"/>
        <v>0</v>
      </c>
      <c r="Z47" s="3" t="s">
        <v>963</v>
      </c>
    </row>
    <row r="48" spans="1:26" ht="26.4">
      <c r="A48" s="423"/>
      <c r="G48" s="4">
        <v>10</v>
      </c>
      <c r="H48" s="10" t="s">
        <v>576</v>
      </c>
      <c r="I48" s="10">
        <v>0.12</v>
      </c>
      <c r="J48" s="10"/>
      <c r="K48" s="10"/>
      <c r="L48" s="10"/>
      <c r="M48" s="10"/>
      <c r="N48" s="10"/>
      <c r="O48" s="10">
        <f t="shared" si="15"/>
        <v>0</v>
      </c>
      <c r="P48" s="10" t="s">
        <v>962</v>
      </c>
      <c r="S48" s="423"/>
      <c r="T48" s="203"/>
      <c r="U48" s="203"/>
      <c r="V48" s="203"/>
      <c r="W48" s="203"/>
      <c r="X48" s="203"/>
      <c r="Y48" s="203">
        <f t="shared" si="16"/>
        <v>0</v>
      </c>
      <c r="Z48" s="203" t="s">
        <v>963</v>
      </c>
    </row>
    <row r="49" spans="1:26" ht="26.4">
      <c r="A49" s="423"/>
      <c r="G49" s="4">
        <v>20</v>
      </c>
      <c r="H49" s="10" t="s">
        <v>576</v>
      </c>
      <c r="I49" s="10">
        <v>0.12</v>
      </c>
      <c r="J49" s="10"/>
      <c r="K49" s="10"/>
      <c r="L49" s="10"/>
      <c r="M49" s="10"/>
      <c r="N49" s="10"/>
      <c r="O49" s="10">
        <f t="shared" si="15"/>
        <v>0</v>
      </c>
      <c r="P49" s="10" t="s">
        <v>963</v>
      </c>
      <c r="S49" s="423"/>
      <c r="T49" s="203"/>
      <c r="U49" s="203"/>
      <c r="V49" s="203"/>
      <c r="W49" s="203"/>
      <c r="X49" s="203"/>
      <c r="Y49" s="203">
        <f t="shared" si="16"/>
        <v>0</v>
      </c>
      <c r="Z49" s="203" t="s">
        <v>963</v>
      </c>
    </row>
    <row r="50" spans="1:26" ht="26.4">
      <c r="A50" s="423"/>
      <c r="G50" s="4">
        <v>40</v>
      </c>
      <c r="H50" s="10" t="s">
        <v>576</v>
      </c>
      <c r="I50" s="10">
        <v>0.12</v>
      </c>
      <c r="J50" s="10"/>
      <c r="K50" s="10"/>
      <c r="L50" s="10"/>
      <c r="M50" s="10"/>
      <c r="N50" s="10"/>
      <c r="O50" s="10">
        <f t="shared" si="15"/>
        <v>0</v>
      </c>
      <c r="P50" s="10" t="s">
        <v>989</v>
      </c>
      <c r="S50" s="423"/>
      <c r="T50" s="203"/>
      <c r="U50" s="203"/>
      <c r="V50" s="203"/>
      <c r="W50" s="203"/>
      <c r="X50" s="203"/>
      <c r="Y50" s="203">
        <f t="shared" si="16"/>
        <v>0</v>
      </c>
      <c r="Z50" s="203" t="s">
        <v>972</v>
      </c>
    </row>
    <row r="51" spans="1:26">
      <c r="A51" s="423"/>
      <c r="S51" s="423"/>
    </row>
    <row r="52" spans="1:26">
      <c r="A52" s="423"/>
      <c r="S52" s="423"/>
    </row>
    <row r="53" spans="1:26" ht="39.6">
      <c r="A53" s="423"/>
      <c r="B53" s="15" t="s">
        <v>577</v>
      </c>
      <c r="C53" s="3" t="s">
        <v>598</v>
      </c>
      <c r="D53" s="202" t="s">
        <v>725</v>
      </c>
      <c r="E53" s="3" t="s">
        <v>574</v>
      </c>
      <c r="G53" s="4">
        <v>10</v>
      </c>
      <c r="H53" s="3" t="s">
        <v>575</v>
      </c>
      <c r="I53" s="13">
        <v>3.3</v>
      </c>
      <c r="O53" s="3">
        <f>COUNT(J53:L53)</f>
        <v>0</v>
      </c>
      <c r="P53" s="3" t="s">
        <v>963</v>
      </c>
      <c r="S53" s="423"/>
      <c r="Y53" s="3">
        <f>COUNT(T53:V53)</f>
        <v>0</v>
      </c>
      <c r="Z53" s="3" t="s">
        <v>972</v>
      </c>
    </row>
    <row r="54" spans="1:26" ht="26.4">
      <c r="A54" s="423"/>
      <c r="G54" s="4">
        <v>10</v>
      </c>
      <c r="H54" s="10" t="s">
        <v>576</v>
      </c>
      <c r="I54" s="10">
        <v>0.12</v>
      </c>
      <c r="J54" s="10"/>
      <c r="K54" s="10"/>
      <c r="L54" s="10"/>
      <c r="M54" s="10"/>
      <c r="N54" s="10"/>
      <c r="O54" s="10">
        <f>COUNT(J54:L54)</f>
        <v>0</v>
      </c>
      <c r="P54" s="10" t="s">
        <v>963</v>
      </c>
      <c r="S54" s="423"/>
      <c r="T54" s="10"/>
      <c r="U54" s="10"/>
      <c r="V54" s="10"/>
      <c r="W54" s="10"/>
      <c r="X54" s="10"/>
      <c r="Y54" s="10">
        <f>COUNT(T54:V54)</f>
        <v>0</v>
      </c>
      <c r="Z54" s="10" t="s">
        <v>962</v>
      </c>
    </row>
    <row r="55" spans="1:26">
      <c r="A55" s="423"/>
      <c r="S55" s="423"/>
    </row>
    <row r="56" spans="1:26">
      <c r="A56" s="423"/>
      <c r="B56" s="8" t="s">
        <v>75</v>
      </c>
      <c r="C56" s="8"/>
      <c r="D56" s="8" t="s">
        <v>75</v>
      </c>
      <c r="E56" s="8"/>
      <c r="F56" s="8"/>
      <c r="G56" s="9"/>
      <c r="H56" s="12"/>
      <c r="I56" s="12"/>
      <c r="J56" s="12"/>
      <c r="K56" s="12"/>
      <c r="L56" s="12"/>
      <c r="M56" s="12"/>
      <c r="N56" s="12"/>
      <c r="O56" s="12"/>
      <c r="P56" s="12"/>
      <c r="S56" s="423"/>
      <c r="T56" s="12"/>
      <c r="U56" s="12"/>
      <c r="V56" s="12"/>
      <c r="W56" s="12"/>
      <c r="X56" s="12"/>
      <c r="Y56" s="12"/>
      <c r="Z56" s="12"/>
    </row>
    <row r="57" spans="1:26" ht="31.5" customHeight="1">
      <c r="A57" s="423"/>
      <c r="B57" s="3" t="s">
        <v>571</v>
      </c>
      <c r="C57" s="3" t="s">
        <v>598</v>
      </c>
      <c r="D57" s="3" t="s">
        <v>608</v>
      </c>
      <c r="E57" s="3" t="s">
        <v>587</v>
      </c>
      <c r="F57" s="3" t="s">
        <v>97</v>
      </c>
      <c r="G57" s="4">
        <v>20</v>
      </c>
      <c r="H57" s="3" t="s">
        <v>575</v>
      </c>
      <c r="I57" s="13">
        <v>3.3</v>
      </c>
      <c r="K57" s="3">
        <v>15.345169811320755</v>
      </c>
      <c r="M57" s="3">
        <f t="shared" ref="M57:M62" si="17">AVERAGE(J57:L57)</f>
        <v>15.345169811320755</v>
      </c>
      <c r="O57" s="3">
        <f t="shared" ref="O57:O62" si="18">COUNT(J57:L57)</f>
        <v>1</v>
      </c>
      <c r="P57" s="3" t="s">
        <v>981</v>
      </c>
      <c r="S57" s="423"/>
      <c r="T57" s="3">
        <v>15.022</v>
      </c>
      <c r="U57" s="3">
        <v>15.228</v>
      </c>
      <c r="W57" s="3">
        <f t="shared" ref="W57:W62" si="19">AVERAGE(T57:V57)</f>
        <v>15.125</v>
      </c>
      <c r="X57" s="3">
        <f t="shared" ref="X57:X62" si="20">_xlfn.STDEV.S(T57:V57)</f>
        <v>0.14566399692442844</v>
      </c>
      <c r="Y57" s="3">
        <f t="shared" ref="Y57:Y62" si="21">COUNT(T57:V57)</f>
        <v>2</v>
      </c>
      <c r="Z57" s="3" t="s">
        <v>961</v>
      </c>
    </row>
    <row r="58" spans="1:26" ht="31.5" customHeight="1">
      <c r="A58" s="423"/>
      <c r="G58" s="4">
        <v>40</v>
      </c>
      <c r="H58" s="3" t="s">
        <v>575</v>
      </c>
      <c r="I58" s="13">
        <v>3.3</v>
      </c>
      <c r="K58" s="3">
        <v>17.908875077863211</v>
      </c>
      <c r="M58" s="3">
        <f t="shared" si="17"/>
        <v>17.908875077863211</v>
      </c>
      <c r="O58" s="3">
        <f t="shared" si="18"/>
        <v>1</v>
      </c>
      <c r="P58" s="3" t="s">
        <v>978</v>
      </c>
      <c r="S58" s="423"/>
      <c r="T58" s="3">
        <v>16.95</v>
      </c>
      <c r="U58" s="3">
        <v>17.772129799730667</v>
      </c>
      <c r="W58" s="3">
        <f t="shared" si="19"/>
        <v>17.361064899865333</v>
      </c>
      <c r="X58" s="3">
        <f t="shared" si="20"/>
        <v>0.58133355640509343</v>
      </c>
      <c r="Y58" s="3">
        <f t="shared" si="21"/>
        <v>2</v>
      </c>
      <c r="Z58" s="3" t="s">
        <v>961</v>
      </c>
    </row>
    <row r="59" spans="1:26" ht="31.5" customHeight="1">
      <c r="A59" s="423"/>
      <c r="G59" s="4">
        <v>100</v>
      </c>
      <c r="H59" s="3" t="s">
        <v>575</v>
      </c>
      <c r="I59" s="13">
        <v>3.3</v>
      </c>
      <c r="K59" s="3">
        <v>19.653883561739672</v>
      </c>
      <c r="M59" s="3">
        <f t="shared" si="17"/>
        <v>19.653883561739672</v>
      </c>
      <c r="O59" s="3">
        <f t="shared" si="18"/>
        <v>1</v>
      </c>
      <c r="P59" s="3" t="s">
        <v>981</v>
      </c>
      <c r="S59" s="423"/>
      <c r="T59" s="3">
        <v>18.079999999999998</v>
      </c>
      <c r="U59" s="3">
        <v>19.503814070364594</v>
      </c>
      <c r="W59" s="3">
        <f t="shared" si="19"/>
        <v>18.791907035182298</v>
      </c>
      <c r="X59" s="3">
        <f t="shared" si="20"/>
        <v>1.0067885843036259</v>
      </c>
      <c r="Y59" s="3">
        <f t="shared" si="21"/>
        <v>2</v>
      </c>
      <c r="Z59" s="3" t="s">
        <v>961</v>
      </c>
    </row>
    <row r="60" spans="1:26" ht="26.4">
      <c r="A60" s="423"/>
      <c r="G60" s="4">
        <v>20</v>
      </c>
      <c r="H60" s="10" t="s">
        <v>576</v>
      </c>
      <c r="I60" s="10">
        <v>0.12</v>
      </c>
      <c r="J60" s="10"/>
      <c r="K60" s="10">
        <v>0.38105660377358491</v>
      </c>
      <c r="L60" s="10"/>
      <c r="M60" s="10">
        <f t="shared" si="17"/>
        <v>0.38105660377358491</v>
      </c>
      <c r="N60" s="10"/>
      <c r="O60" s="10">
        <f t="shared" si="18"/>
        <v>1</v>
      </c>
      <c r="P60" s="10" t="s">
        <v>981</v>
      </c>
      <c r="S60" s="423"/>
      <c r="T60" s="203">
        <v>0.45200000000000001</v>
      </c>
      <c r="U60" s="203">
        <v>0.37698113207547168</v>
      </c>
      <c r="V60" s="203"/>
      <c r="W60" s="203">
        <f t="shared" si="19"/>
        <v>0.41449056603773582</v>
      </c>
      <c r="X60" s="203">
        <f t="shared" si="20"/>
        <v>5.3046350226371962E-2</v>
      </c>
      <c r="Y60" s="203">
        <f t="shared" si="21"/>
        <v>2</v>
      </c>
      <c r="Z60" s="203" t="s">
        <v>960</v>
      </c>
    </row>
    <row r="61" spans="1:26" ht="26.4">
      <c r="A61" s="7"/>
      <c r="G61" s="4">
        <v>40</v>
      </c>
      <c r="H61" s="10" t="s">
        <v>576</v>
      </c>
      <c r="I61" s="10">
        <v>0.12</v>
      </c>
      <c r="J61" s="10"/>
      <c r="K61" s="10">
        <v>0.44471942627453964</v>
      </c>
      <c r="L61" s="10"/>
      <c r="M61" s="10">
        <f t="shared" si="17"/>
        <v>0.44471942627453964</v>
      </c>
      <c r="N61" s="10"/>
      <c r="O61" s="10">
        <f t="shared" si="18"/>
        <v>1</v>
      </c>
      <c r="P61" s="10" t="s">
        <v>981</v>
      </c>
      <c r="S61" s="7"/>
      <c r="T61" s="203">
        <v>0.51</v>
      </c>
      <c r="U61" s="203">
        <v>0.43996306877427716</v>
      </c>
      <c r="V61" s="203"/>
      <c r="W61" s="203">
        <f t="shared" si="19"/>
        <v>0.47498153438713858</v>
      </c>
      <c r="X61" s="203">
        <f t="shared" si="20"/>
        <v>4.9523589003204485E-2</v>
      </c>
      <c r="Y61" s="203">
        <f t="shared" si="21"/>
        <v>2</v>
      </c>
      <c r="Z61" s="203" t="s">
        <v>961</v>
      </c>
    </row>
    <row r="62" spans="1:26" ht="26.4">
      <c r="A62" s="7"/>
      <c r="G62" s="4">
        <v>100</v>
      </c>
      <c r="H62" s="10" t="s">
        <v>576</v>
      </c>
      <c r="I62" s="10">
        <v>0.12</v>
      </c>
      <c r="J62" s="10"/>
      <c r="K62" s="10">
        <v>0.48805208499373465</v>
      </c>
      <c r="L62" s="10"/>
      <c r="M62" s="10">
        <f t="shared" si="17"/>
        <v>0.48805208499373465</v>
      </c>
      <c r="N62" s="10"/>
      <c r="O62" s="10">
        <f t="shared" si="18"/>
        <v>1</v>
      </c>
      <c r="P62" s="10" t="s">
        <v>966</v>
      </c>
      <c r="S62" s="7"/>
      <c r="T62" s="203">
        <v>0.54</v>
      </c>
      <c r="U62" s="203">
        <v>0.4828322765980797</v>
      </c>
      <c r="V62" s="203"/>
      <c r="W62" s="203">
        <f t="shared" si="19"/>
        <v>0.51141613829903987</v>
      </c>
      <c r="X62" s="203">
        <f t="shared" si="20"/>
        <v>4.0423684882494752E-2</v>
      </c>
      <c r="Y62" s="203">
        <f t="shared" si="21"/>
        <v>2</v>
      </c>
      <c r="Z62" s="203" t="s">
        <v>961</v>
      </c>
    </row>
    <row r="63" spans="1:26">
      <c r="A63" s="7"/>
      <c r="S63" s="7"/>
    </row>
    <row r="64" spans="1:26" ht="31.5" customHeight="1">
      <c r="A64" s="7"/>
      <c r="B64" s="3" t="s">
        <v>571</v>
      </c>
      <c r="C64" s="3" t="s">
        <v>598</v>
      </c>
      <c r="D64" s="3" t="s">
        <v>608</v>
      </c>
      <c r="E64" s="3" t="s">
        <v>574</v>
      </c>
      <c r="F64" s="3" t="s">
        <v>97</v>
      </c>
      <c r="G64" s="4">
        <v>20</v>
      </c>
      <c r="H64" s="3" t="s">
        <v>575</v>
      </c>
      <c r="I64" s="13">
        <v>3.3</v>
      </c>
      <c r="K64" s="3">
        <v>15.309509433962264</v>
      </c>
      <c r="M64" s="3">
        <f>AVERAGE(J64:L64)</f>
        <v>15.309509433962264</v>
      </c>
      <c r="O64" s="3">
        <f>COUNT(J64:L64)</f>
        <v>1</v>
      </c>
      <c r="P64" s="3" t="s">
        <v>966</v>
      </c>
      <c r="S64" s="7"/>
      <c r="T64" s="3">
        <v>14.436999999999999</v>
      </c>
      <c r="U64" s="3">
        <v>15.182150943396227</v>
      </c>
      <c r="W64" s="3">
        <f>AVERAGE(T64:V64)</f>
        <v>14.809575471698114</v>
      </c>
      <c r="X64" s="3">
        <f>_xlfn.STDEV.S(T64:V64)</f>
        <v>0.52690128508302581</v>
      </c>
      <c r="Y64" s="3">
        <f>COUNT(T64:V64)</f>
        <v>2</v>
      </c>
      <c r="Z64" s="3" t="s">
        <v>1002</v>
      </c>
    </row>
    <row r="65" spans="1:26" ht="31.5" customHeight="1">
      <c r="A65" s="7"/>
      <c r="G65" s="4">
        <v>40</v>
      </c>
      <c r="H65" s="3" t="s">
        <v>575</v>
      </c>
      <c r="I65" s="13">
        <v>3.3</v>
      </c>
      <c r="K65" s="3">
        <v>17.474707935300064</v>
      </c>
      <c r="M65" s="3">
        <f>AVERAGE(J65:L65)</f>
        <v>17.474707935300064</v>
      </c>
      <c r="O65" s="3">
        <f>COUNT(J65:L65)</f>
        <v>1</v>
      </c>
      <c r="P65" s="3" t="s">
        <v>966</v>
      </c>
      <c r="S65" s="7"/>
      <c r="T65" s="3">
        <v>16.32</v>
      </c>
      <c r="U65" s="3">
        <v>17.329337344862655</v>
      </c>
      <c r="W65" s="3">
        <f>AVERAGE(T65:V65)</f>
        <v>16.824668672431329</v>
      </c>
      <c r="X65" s="3">
        <f>_xlfn.STDEV.S(T65:V65)</f>
        <v>0.71370928105720788</v>
      </c>
      <c r="Y65" s="3">
        <f>COUNT(T65:V65)</f>
        <v>2</v>
      </c>
      <c r="Z65" s="3" t="s">
        <v>966</v>
      </c>
    </row>
    <row r="66" spans="1:26" ht="26.4">
      <c r="A66" s="7"/>
      <c r="G66" s="4">
        <v>20</v>
      </c>
      <c r="H66" s="10" t="s">
        <v>576</v>
      </c>
      <c r="I66" s="10">
        <v>0.12</v>
      </c>
      <c r="J66" s="10"/>
      <c r="K66" s="10">
        <v>0.36781132075471695</v>
      </c>
      <c r="L66" s="10"/>
      <c r="M66" s="10">
        <f>AVERAGE(J66:L66)</f>
        <v>0.36781132075471695</v>
      </c>
      <c r="N66" s="10"/>
      <c r="O66" s="10">
        <f>COUNT(J66:L66)</f>
        <v>1</v>
      </c>
      <c r="P66" s="10" t="s">
        <v>966</v>
      </c>
      <c r="S66" s="7"/>
      <c r="T66" s="203">
        <v>0.41799999999999998</v>
      </c>
      <c r="U66" s="203">
        <v>0.36577358490566036</v>
      </c>
      <c r="V66" s="203"/>
      <c r="W66" s="203">
        <f>AVERAGE(T66:V66)</f>
        <v>0.3918867924528302</v>
      </c>
      <c r="X66" s="203">
        <f>_xlfn.STDEV.S(T66:V66)</f>
        <v>3.6929652270271007E-2</v>
      </c>
      <c r="Y66" s="203">
        <f>COUNT(T66:V66)</f>
        <v>2</v>
      </c>
      <c r="Z66" s="203" t="s">
        <v>984</v>
      </c>
    </row>
    <row r="67" spans="1:26" ht="26.4">
      <c r="A67" s="7"/>
      <c r="G67" s="4">
        <v>40</v>
      </c>
      <c r="H67" s="10" t="s">
        <v>576</v>
      </c>
      <c r="I67" s="10">
        <v>0.12</v>
      </c>
      <c r="J67" s="10"/>
      <c r="K67" s="10">
        <v>0.41983026518323724</v>
      </c>
      <c r="L67" s="10"/>
      <c r="M67" s="10">
        <f>AVERAGE(J67:L67)</f>
        <v>0.41983026518323724</v>
      </c>
      <c r="N67" s="10"/>
      <c r="O67" s="10">
        <f>COUNT(J67:L67)</f>
        <v>1</v>
      </c>
      <c r="P67" s="10" t="s">
        <v>966</v>
      </c>
      <c r="S67" s="7"/>
      <c r="T67" s="203">
        <v>0.47</v>
      </c>
      <c r="U67" s="203">
        <v>0.41750433573623874</v>
      </c>
      <c r="V67" s="203"/>
      <c r="W67" s="203">
        <f>AVERAGE(T67:V67)</f>
        <v>0.44375216786811933</v>
      </c>
      <c r="X67" s="203">
        <f>_xlfn.STDEV.S(T67:V67)</f>
        <v>3.7120040183797873E-2</v>
      </c>
      <c r="Y67" s="203">
        <f>COUNT(T67:V67)</f>
        <v>2</v>
      </c>
      <c r="Z67" s="203" t="s">
        <v>966</v>
      </c>
    </row>
    <row r="68" spans="1:26">
      <c r="A68" s="7"/>
      <c r="S68" s="7"/>
    </row>
    <row r="69" spans="1:26" ht="26.4">
      <c r="A69" s="7"/>
      <c r="B69" s="3" t="s">
        <v>571</v>
      </c>
      <c r="C69" s="3" t="s">
        <v>609</v>
      </c>
      <c r="D69" s="3" t="s">
        <v>610</v>
      </c>
      <c r="E69" s="3" t="s">
        <v>574</v>
      </c>
      <c r="F69" s="3" t="s">
        <v>98</v>
      </c>
      <c r="G69" s="4">
        <v>20</v>
      </c>
      <c r="H69" s="3" t="s">
        <v>575</v>
      </c>
      <c r="I69" s="13">
        <v>3.3</v>
      </c>
      <c r="O69" s="3">
        <f>COUNT(J69:L69)</f>
        <v>0</v>
      </c>
      <c r="P69" s="3" t="s">
        <v>962</v>
      </c>
      <c r="S69" s="7"/>
      <c r="Y69" s="3">
        <f>COUNT(T69:V69)</f>
        <v>0</v>
      </c>
      <c r="Z69" s="3" t="s">
        <v>963</v>
      </c>
    </row>
    <row r="70" spans="1:26" ht="26.4">
      <c r="A70" s="7"/>
      <c r="G70" s="4">
        <v>40</v>
      </c>
      <c r="H70" s="3" t="s">
        <v>575</v>
      </c>
      <c r="I70" s="13">
        <v>3.3</v>
      </c>
      <c r="O70" s="3">
        <f>COUNT(J70:L70)</f>
        <v>0</v>
      </c>
      <c r="P70" s="3" t="s">
        <v>963</v>
      </c>
      <c r="S70" s="7"/>
      <c r="Y70" s="3">
        <f>COUNT(T70:V70)</f>
        <v>0</v>
      </c>
      <c r="Z70" s="3" t="s">
        <v>1014</v>
      </c>
    </row>
    <row r="71" spans="1:26" ht="26.4">
      <c r="A71" s="7"/>
      <c r="G71" s="4">
        <v>20</v>
      </c>
      <c r="H71" s="10" t="s">
        <v>576</v>
      </c>
      <c r="I71" s="10">
        <v>0.12</v>
      </c>
      <c r="J71" s="10"/>
      <c r="K71" s="10"/>
      <c r="L71" s="10"/>
      <c r="M71" s="10"/>
      <c r="N71" s="10"/>
      <c r="O71" s="10">
        <f>COUNT(J71:L71)</f>
        <v>0</v>
      </c>
      <c r="P71" s="10" t="s">
        <v>963</v>
      </c>
      <c r="S71" s="7"/>
      <c r="T71" s="10"/>
      <c r="U71" s="10"/>
      <c r="V71" s="10"/>
      <c r="W71" s="10"/>
      <c r="X71" s="10"/>
      <c r="Y71" s="10">
        <f>COUNT(T71:V71)</f>
        <v>0</v>
      </c>
      <c r="Z71" s="10" t="s">
        <v>972</v>
      </c>
    </row>
    <row r="72" spans="1:26" ht="26.4">
      <c r="A72" s="7"/>
      <c r="G72" s="4">
        <v>40</v>
      </c>
      <c r="H72" s="10" t="s">
        <v>576</v>
      </c>
      <c r="I72" s="10">
        <v>0.12</v>
      </c>
      <c r="J72" s="10"/>
      <c r="K72" s="10"/>
      <c r="L72" s="10"/>
      <c r="M72" s="10"/>
      <c r="N72" s="10"/>
      <c r="O72" s="10">
        <f>COUNT(J72:L72)</f>
        <v>0</v>
      </c>
      <c r="P72" s="10" t="s">
        <v>965</v>
      </c>
      <c r="S72" s="7"/>
      <c r="T72" s="10"/>
      <c r="U72" s="10"/>
      <c r="V72" s="10"/>
      <c r="W72" s="10"/>
      <c r="X72" s="10"/>
      <c r="Y72" s="10">
        <f>COUNT(T72:V72)</f>
        <v>0</v>
      </c>
      <c r="Z72" s="10" t="s">
        <v>962</v>
      </c>
    </row>
    <row r="73" spans="1:26">
      <c r="A73" s="7"/>
      <c r="S73" s="7"/>
    </row>
    <row r="74" spans="1:26" ht="26.4">
      <c r="A74" s="7"/>
      <c r="B74" s="3" t="s">
        <v>571</v>
      </c>
      <c r="C74" s="3" t="s">
        <v>598</v>
      </c>
      <c r="D74" s="15" t="s">
        <v>608</v>
      </c>
      <c r="E74" s="3" t="s">
        <v>574</v>
      </c>
      <c r="F74" s="3" t="s">
        <v>98</v>
      </c>
      <c r="G74" s="4">
        <v>20</v>
      </c>
      <c r="H74" s="3" t="s">
        <v>575</v>
      </c>
      <c r="I74" s="13">
        <v>3.3</v>
      </c>
      <c r="O74" s="3">
        <f>COUNT(J74:L74)</f>
        <v>0</v>
      </c>
      <c r="P74" s="3" t="s">
        <v>962</v>
      </c>
      <c r="S74" s="7"/>
      <c r="Y74" s="3">
        <f>COUNT(T74:V74)</f>
        <v>0</v>
      </c>
      <c r="Z74" s="3" t="s">
        <v>962</v>
      </c>
    </row>
    <row r="75" spans="1:26" ht="26.4">
      <c r="A75" s="7"/>
      <c r="D75" s="15"/>
      <c r="G75" s="4">
        <v>40</v>
      </c>
      <c r="H75" s="3" t="s">
        <v>575</v>
      </c>
      <c r="I75" s="13">
        <v>3.3</v>
      </c>
      <c r="O75" s="3">
        <f>COUNT(J75:L75)</f>
        <v>0</v>
      </c>
      <c r="P75" s="3" t="s">
        <v>962</v>
      </c>
      <c r="S75" s="7"/>
      <c r="Y75" s="3">
        <f>COUNT(T75:V75)</f>
        <v>0</v>
      </c>
      <c r="Z75" s="3" t="s">
        <v>962</v>
      </c>
    </row>
    <row r="76" spans="1:26" ht="26.4">
      <c r="A76" s="7"/>
      <c r="G76" s="4">
        <v>20</v>
      </c>
      <c r="H76" s="10" t="s">
        <v>576</v>
      </c>
      <c r="I76" s="10">
        <v>0.12</v>
      </c>
      <c r="J76" s="10"/>
      <c r="K76" s="10"/>
      <c r="L76" s="10"/>
      <c r="M76" s="10"/>
      <c r="N76" s="10"/>
      <c r="O76" s="10">
        <f>COUNT(J76:L76)</f>
        <v>0</v>
      </c>
      <c r="P76" s="10" t="s">
        <v>1011</v>
      </c>
      <c r="S76" s="7"/>
      <c r="T76" s="10"/>
      <c r="U76" s="10"/>
      <c r="V76" s="10"/>
      <c r="W76" s="10"/>
      <c r="X76" s="10"/>
      <c r="Y76" s="10">
        <f>COUNT(T76:V76)</f>
        <v>0</v>
      </c>
      <c r="Z76" s="10" t="s">
        <v>962</v>
      </c>
    </row>
    <row r="77" spans="1:26" ht="26.4">
      <c r="A77" s="7"/>
      <c r="G77" s="4">
        <v>40</v>
      </c>
      <c r="H77" s="10" t="s">
        <v>576</v>
      </c>
      <c r="I77" s="10">
        <v>0.12</v>
      </c>
      <c r="J77" s="10"/>
      <c r="K77" s="10"/>
      <c r="L77" s="10"/>
      <c r="M77" s="10"/>
      <c r="N77" s="10"/>
      <c r="O77" s="10">
        <f>COUNT(J77:L77)</f>
        <v>0</v>
      </c>
      <c r="P77" s="10" t="s">
        <v>971</v>
      </c>
      <c r="S77" s="7"/>
      <c r="T77" s="10"/>
      <c r="U77" s="10"/>
      <c r="V77" s="10"/>
      <c r="W77" s="10"/>
      <c r="X77" s="10"/>
      <c r="Y77" s="10">
        <f>COUNT(T77:V77)</f>
        <v>0</v>
      </c>
      <c r="Z77" s="10" t="s">
        <v>962</v>
      </c>
    </row>
    <row r="78" spans="1:26">
      <c r="A78" s="7"/>
      <c r="S78" s="7"/>
    </row>
    <row r="79" spans="1:26" ht="26.4">
      <c r="A79" s="7"/>
      <c r="B79" s="3" t="s">
        <v>571</v>
      </c>
      <c r="C79" s="3" t="s">
        <v>598</v>
      </c>
      <c r="D79" s="3" t="s">
        <v>608</v>
      </c>
      <c r="E79" s="15" t="s">
        <v>587</v>
      </c>
      <c r="F79" s="3" t="s">
        <v>98</v>
      </c>
      <c r="G79" s="4">
        <v>20</v>
      </c>
      <c r="H79" s="3" t="s">
        <v>575</v>
      </c>
      <c r="I79" s="13">
        <v>3.3</v>
      </c>
      <c r="O79" s="3">
        <f t="shared" ref="O79:O84" si="22">COUNT(J79:L79)</f>
        <v>0</v>
      </c>
      <c r="P79" s="3" t="s">
        <v>972</v>
      </c>
      <c r="S79" s="7"/>
      <c r="Y79" s="3">
        <f t="shared" ref="Y79:Y84" si="23">COUNT(T79:V79)</f>
        <v>0</v>
      </c>
      <c r="Z79" s="3" t="s">
        <v>965</v>
      </c>
    </row>
    <row r="80" spans="1:26" ht="26.4">
      <c r="A80" s="7"/>
      <c r="E80" s="15"/>
      <c r="G80" s="4">
        <v>40</v>
      </c>
      <c r="H80" s="3" t="s">
        <v>575</v>
      </c>
      <c r="I80" s="13">
        <v>3.3</v>
      </c>
      <c r="O80" s="3">
        <f t="shared" si="22"/>
        <v>0</v>
      </c>
      <c r="P80" s="3" t="s">
        <v>975</v>
      </c>
      <c r="S80" s="7"/>
      <c r="Y80" s="3">
        <f t="shared" si="23"/>
        <v>0</v>
      </c>
      <c r="Z80" s="3" t="s">
        <v>962</v>
      </c>
    </row>
    <row r="81" spans="1:26" ht="26.4">
      <c r="A81" s="7"/>
      <c r="E81" s="15"/>
      <c r="G81" s="4">
        <v>100</v>
      </c>
      <c r="H81" s="3" t="s">
        <v>575</v>
      </c>
      <c r="I81" s="13">
        <v>3.3</v>
      </c>
      <c r="O81" s="3">
        <f t="shared" si="22"/>
        <v>0</v>
      </c>
      <c r="P81" s="3" t="s">
        <v>975</v>
      </c>
      <c r="S81" s="7"/>
      <c r="Y81" s="3">
        <f t="shared" si="23"/>
        <v>0</v>
      </c>
      <c r="Z81" s="3" t="s">
        <v>962</v>
      </c>
    </row>
    <row r="82" spans="1:26" ht="26.4">
      <c r="A82" s="7"/>
      <c r="G82" s="4">
        <v>20</v>
      </c>
      <c r="H82" s="10" t="s">
        <v>576</v>
      </c>
      <c r="I82" s="10">
        <v>0.12</v>
      </c>
      <c r="J82" s="10"/>
      <c r="K82" s="10"/>
      <c r="L82" s="10"/>
      <c r="M82" s="10"/>
      <c r="N82" s="10"/>
      <c r="O82" s="10">
        <f t="shared" si="22"/>
        <v>0</v>
      </c>
      <c r="P82" s="10" t="s">
        <v>975</v>
      </c>
      <c r="S82" s="7"/>
      <c r="T82" s="10"/>
      <c r="U82" s="10"/>
      <c r="V82" s="10"/>
      <c r="W82" s="10"/>
      <c r="X82" s="10"/>
      <c r="Y82" s="10">
        <f t="shared" si="23"/>
        <v>0</v>
      </c>
      <c r="Z82" s="10" t="s">
        <v>962</v>
      </c>
    </row>
    <row r="83" spans="1:26" ht="26.4">
      <c r="A83" s="7"/>
      <c r="G83" s="4">
        <v>40</v>
      </c>
      <c r="H83" s="10" t="s">
        <v>576</v>
      </c>
      <c r="I83" s="10">
        <v>0.12</v>
      </c>
      <c r="J83" s="10"/>
      <c r="K83" s="10"/>
      <c r="L83" s="10"/>
      <c r="M83" s="10"/>
      <c r="N83" s="10"/>
      <c r="O83" s="10">
        <f t="shared" si="22"/>
        <v>0</v>
      </c>
      <c r="P83" s="10" t="s">
        <v>983</v>
      </c>
      <c r="S83" s="7"/>
      <c r="T83" s="10"/>
      <c r="U83" s="10"/>
      <c r="V83" s="10"/>
      <c r="W83" s="10"/>
      <c r="X83" s="10"/>
      <c r="Y83" s="10">
        <f t="shared" si="23"/>
        <v>0</v>
      </c>
      <c r="Z83" s="10" t="s">
        <v>962</v>
      </c>
    </row>
    <row r="84" spans="1:26" ht="26.4">
      <c r="A84" s="7"/>
      <c r="G84" s="4">
        <v>100</v>
      </c>
      <c r="H84" s="10" t="s">
        <v>576</v>
      </c>
      <c r="I84" s="10">
        <v>0.12</v>
      </c>
      <c r="J84" s="10"/>
      <c r="K84" s="10"/>
      <c r="L84" s="10"/>
      <c r="M84" s="10"/>
      <c r="N84" s="10"/>
      <c r="O84" s="10">
        <f t="shared" si="22"/>
        <v>0</v>
      </c>
      <c r="P84" s="10" t="s">
        <v>975</v>
      </c>
      <c r="S84" s="7"/>
      <c r="T84" s="10"/>
      <c r="U84" s="10"/>
      <c r="V84" s="10"/>
      <c r="W84" s="10"/>
      <c r="X84" s="10"/>
      <c r="Y84" s="10">
        <f t="shared" si="23"/>
        <v>0</v>
      </c>
      <c r="Z84" s="10" t="s">
        <v>962</v>
      </c>
    </row>
    <row r="85" spans="1:26">
      <c r="A85" s="7"/>
      <c r="S85" s="7"/>
    </row>
    <row r="86" spans="1:26">
      <c r="A86" s="7"/>
      <c r="S86" s="7"/>
    </row>
    <row r="87" spans="1:26" ht="26.4">
      <c r="A87" s="7"/>
      <c r="B87" s="3" t="s">
        <v>571</v>
      </c>
      <c r="C87" s="3" t="s">
        <v>613</v>
      </c>
      <c r="D87" s="15" t="s">
        <v>614</v>
      </c>
      <c r="E87" s="15" t="s">
        <v>587</v>
      </c>
      <c r="F87" s="3" t="s">
        <v>615</v>
      </c>
      <c r="G87" s="4">
        <v>20</v>
      </c>
      <c r="H87" s="3" t="s">
        <v>575</v>
      </c>
      <c r="I87" s="13">
        <v>3.3</v>
      </c>
      <c r="O87" s="3">
        <f t="shared" ref="O87:O92" si="24">COUNT(J87:L87)</f>
        <v>0</v>
      </c>
      <c r="P87" s="3" t="s">
        <v>983</v>
      </c>
      <c r="S87" s="7"/>
      <c r="Y87" s="3">
        <f t="shared" ref="Y87:Y92" si="25">COUNT(T87:V87)</f>
        <v>0</v>
      </c>
      <c r="Z87" s="3" t="s">
        <v>962</v>
      </c>
    </row>
    <row r="88" spans="1:26" ht="26.4">
      <c r="A88" s="7"/>
      <c r="D88" s="15"/>
      <c r="E88" s="15"/>
      <c r="G88" s="4">
        <v>40</v>
      </c>
      <c r="H88" s="3" t="s">
        <v>575</v>
      </c>
      <c r="I88" s="13">
        <v>3.3</v>
      </c>
      <c r="O88" s="3">
        <f t="shared" si="24"/>
        <v>0</v>
      </c>
      <c r="P88" s="3" t="s">
        <v>983</v>
      </c>
      <c r="S88" s="7"/>
      <c r="Y88" s="3">
        <f t="shared" si="25"/>
        <v>0</v>
      </c>
      <c r="Z88" s="3" t="s">
        <v>962</v>
      </c>
    </row>
    <row r="89" spans="1:26" ht="26.4">
      <c r="A89" s="7"/>
      <c r="D89" s="15"/>
      <c r="E89" s="15"/>
      <c r="G89" s="4">
        <v>100</v>
      </c>
      <c r="H89" s="3" t="s">
        <v>575</v>
      </c>
      <c r="I89" s="13">
        <v>3.3</v>
      </c>
      <c r="O89" s="3">
        <f t="shared" si="24"/>
        <v>0</v>
      </c>
      <c r="P89" s="3" t="s">
        <v>965</v>
      </c>
      <c r="S89" s="7"/>
      <c r="Y89" s="3">
        <f t="shared" si="25"/>
        <v>0</v>
      </c>
      <c r="Z89" s="3" t="s">
        <v>962</v>
      </c>
    </row>
    <row r="90" spans="1:26" ht="26.4">
      <c r="A90" s="7"/>
      <c r="G90" s="4">
        <v>20</v>
      </c>
      <c r="H90" s="10" t="s">
        <v>576</v>
      </c>
      <c r="I90" s="10">
        <v>0.12</v>
      </c>
      <c r="J90" s="10"/>
      <c r="K90" s="10"/>
      <c r="L90" s="10"/>
      <c r="M90" s="10"/>
      <c r="N90" s="10"/>
      <c r="O90" s="10">
        <f t="shared" si="24"/>
        <v>0</v>
      </c>
      <c r="P90" s="10" t="s">
        <v>965</v>
      </c>
      <c r="S90" s="7"/>
      <c r="T90" s="10"/>
      <c r="U90" s="10"/>
      <c r="V90" s="10"/>
      <c r="W90" s="10"/>
      <c r="X90" s="10"/>
      <c r="Y90" s="10">
        <f t="shared" si="25"/>
        <v>0</v>
      </c>
      <c r="Z90" s="10" t="s">
        <v>962</v>
      </c>
    </row>
    <row r="91" spans="1:26" ht="26.4">
      <c r="A91" s="7"/>
      <c r="G91" s="4">
        <v>40</v>
      </c>
      <c r="H91" s="10" t="s">
        <v>576</v>
      </c>
      <c r="I91" s="10">
        <v>0.12</v>
      </c>
      <c r="J91" s="10"/>
      <c r="K91" s="10"/>
      <c r="L91" s="10"/>
      <c r="M91" s="10"/>
      <c r="N91" s="10"/>
      <c r="O91" s="10">
        <f t="shared" si="24"/>
        <v>0</v>
      </c>
      <c r="P91" s="10" t="s">
        <v>971</v>
      </c>
      <c r="S91" s="7"/>
      <c r="T91" s="10"/>
      <c r="U91" s="10"/>
      <c r="V91" s="10"/>
      <c r="W91" s="10"/>
      <c r="X91" s="10"/>
      <c r="Y91" s="10">
        <f t="shared" si="25"/>
        <v>0</v>
      </c>
      <c r="Z91" s="10" t="s">
        <v>975</v>
      </c>
    </row>
    <row r="92" spans="1:26" ht="26.4">
      <c r="A92" s="7"/>
      <c r="G92" s="4">
        <v>100</v>
      </c>
      <c r="H92" s="10" t="s">
        <v>576</v>
      </c>
      <c r="I92" s="10">
        <v>0.12</v>
      </c>
      <c r="J92" s="10"/>
      <c r="K92" s="10"/>
      <c r="L92" s="10"/>
      <c r="M92" s="10"/>
      <c r="N92" s="10"/>
      <c r="O92" s="10">
        <f t="shared" si="24"/>
        <v>0</v>
      </c>
      <c r="P92" s="10" t="s">
        <v>975</v>
      </c>
      <c r="S92" s="7"/>
      <c r="T92" s="10"/>
      <c r="U92" s="10"/>
      <c r="V92" s="10"/>
      <c r="W92" s="10"/>
      <c r="X92" s="10"/>
      <c r="Y92" s="10">
        <f t="shared" si="25"/>
        <v>0</v>
      </c>
      <c r="Z92" s="10" t="s">
        <v>975</v>
      </c>
    </row>
    <row r="93" spans="1:26">
      <c r="A93" s="7"/>
      <c r="S93" s="7"/>
    </row>
    <row r="94" spans="1:26">
      <c r="A94" s="7"/>
      <c r="S94" s="7"/>
    </row>
    <row r="95" spans="1:26" ht="26.4">
      <c r="A95" s="7"/>
      <c r="B95" s="3" t="s">
        <v>571</v>
      </c>
      <c r="C95" s="3" t="s">
        <v>613</v>
      </c>
      <c r="D95" s="15" t="s">
        <v>614</v>
      </c>
      <c r="E95" s="15" t="s">
        <v>587</v>
      </c>
      <c r="F95" s="15" t="s">
        <v>98</v>
      </c>
      <c r="G95" s="4">
        <v>20</v>
      </c>
      <c r="H95" s="3" t="s">
        <v>575</v>
      </c>
      <c r="I95" s="13">
        <v>3.3</v>
      </c>
      <c r="O95" s="3">
        <f t="shared" ref="O95:O100" si="26">COUNT(J95:L95)</f>
        <v>0</v>
      </c>
      <c r="P95" s="3" t="s">
        <v>975</v>
      </c>
      <c r="S95" s="7"/>
      <c r="Y95" s="3">
        <f t="shared" ref="Y95:Y100" si="27">COUNT(T95:V95)</f>
        <v>0</v>
      </c>
      <c r="Z95" s="3" t="s">
        <v>1015</v>
      </c>
    </row>
    <row r="96" spans="1:26" ht="26.4">
      <c r="A96" s="7"/>
      <c r="D96" s="15"/>
      <c r="E96" s="15"/>
      <c r="F96" s="15"/>
      <c r="G96" s="4">
        <v>40</v>
      </c>
      <c r="H96" s="3" t="s">
        <v>575</v>
      </c>
      <c r="I96" s="13">
        <v>3.3</v>
      </c>
      <c r="O96" s="3">
        <f t="shared" si="26"/>
        <v>0</v>
      </c>
      <c r="P96" s="3" t="s">
        <v>1011</v>
      </c>
      <c r="S96" s="7"/>
      <c r="Y96" s="3">
        <f t="shared" si="27"/>
        <v>0</v>
      </c>
      <c r="Z96" s="3" t="s">
        <v>975</v>
      </c>
    </row>
    <row r="97" spans="1:26" ht="26.4">
      <c r="A97" s="7"/>
      <c r="D97" s="15"/>
      <c r="E97" s="15"/>
      <c r="F97" s="15"/>
      <c r="G97" s="4">
        <v>100</v>
      </c>
      <c r="H97" s="3" t="s">
        <v>575</v>
      </c>
      <c r="I97" s="13">
        <v>3.3</v>
      </c>
      <c r="O97" s="3">
        <f t="shared" si="26"/>
        <v>0</v>
      </c>
      <c r="P97" s="3" t="s">
        <v>962</v>
      </c>
      <c r="S97" s="7"/>
      <c r="Y97" s="3">
        <f t="shared" si="27"/>
        <v>0</v>
      </c>
      <c r="Z97" s="3" t="s">
        <v>975</v>
      </c>
    </row>
    <row r="98" spans="1:26" ht="26.4">
      <c r="A98" s="7"/>
      <c r="G98" s="4">
        <v>20</v>
      </c>
      <c r="H98" s="10" t="s">
        <v>576</v>
      </c>
      <c r="I98" s="10">
        <v>0.12</v>
      </c>
      <c r="J98" s="10"/>
      <c r="K98" s="10"/>
      <c r="L98" s="10"/>
      <c r="M98" s="10"/>
      <c r="N98" s="10"/>
      <c r="O98" s="10">
        <f t="shared" si="26"/>
        <v>0</v>
      </c>
      <c r="P98" s="10" t="s">
        <v>962</v>
      </c>
      <c r="S98" s="423"/>
      <c r="T98" s="10"/>
      <c r="U98" s="10"/>
      <c r="V98" s="10"/>
      <c r="W98" s="10"/>
      <c r="X98" s="10"/>
      <c r="Y98" s="10">
        <f t="shared" si="27"/>
        <v>0</v>
      </c>
      <c r="Z98" s="10" t="s">
        <v>970</v>
      </c>
    </row>
    <row r="99" spans="1:26" ht="26.4">
      <c r="A99" s="7"/>
      <c r="G99" s="4">
        <v>40</v>
      </c>
      <c r="H99" s="10" t="s">
        <v>576</v>
      </c>
      <c r="I99" s="10">
        <v>0.12</v>
      </c>
      <c r="J99" s="10"/>
      <c r="K99" s="10"/>
      <c r="L99" s="10"/>
      <c r="M99" s="10"/>
      <c r="N99" s="10"/>
      <c r="O99" s="10">
        <f t="shared" si="26"/>
        <v>0</v>
      </c>
      <c r="P99" s="10" t="s">
        <v>962</v>
      </c>
      <c r="S99" s="423"/>
      <c r="T99" s="10"/>
      <c r="U99" s="10"/>
      <c r="V99" s="10"/>
      <c r="W99" s="10"/>
      <c r="X99" s="10"/>
      <c r="Y99" s="10">
        <f t="shared" si="27"/>
        <v>0</v>
      </c>
      <c r="Z99" s="10" t="s">
        <v>975</v>
      </c>
    </row>
    <row r="100" spans="1:26" ht="26.4">
      <c r="A100" s="7"/>
      <c r="G100" s="4">
        <v>100</v>
      </c>
      <c r="H100" s="10" t="s">
        <v>576</v>
      </c>
      <c r="I100" s="10">
        <v>0.12</v>
      </c>
      <c r="J100" s="10"/>
      <c r="K100" s="10"/>
      <c r="L100" s="10"/>
      <c r="M100" s="10"/>
      <c r="N100" s="10"/>
      <c r="O100" s="10">
        <f t="shared" si="26"/>
        <v>0</v>
      </c>
      <c r="P100" s="10" t="s">
        <v>1011</v>
      </c>
      <c r="S100" s="423"/>
      <c r="T100" s="10"/>
      <c r="U100" s="10"/>
      <c r="V100" s="10"/>
      <c r="W100" s="10"/>
      <c r="X100" s="10"/>
      <c r="Y100" s="10">
        <f t="shared" si="27"/>
        <v>0</v>
      </c>
      <c r="Z100" s="10" t="s">
        <v>965</v>
      </c>
    </row>
    <row r="101" spans="1:26">
      <c r="A101" s="7"/>
      <c r="S101" s="423"/>
    </row>
    <row r="102" spans="1:26" ht="26.4">
      <c r="A102" s="7"/>
      <c r="B102" s="3" t="s">
        <v>571</v>
      </c>
      <c r="C102" s="3" t="s">
        <v>613</v>
      </c>
      <c r="D102" s="15" t="s">
        <v>614</v>
      </c>
      <c r="E102" s="15" t="s">
        <v>587</v>
      </c>
      <c r="F102" s="15" t="s">
        <v>97</v>
      </c>
      <c r="G102" s="4">
        <v>20</v>
      </c>
      <c r="H102" s="3" t="s">
        <v>575</v>
      </c>
      <c r="I102" s="13">
        <v>3.3</v>
      </c>
      <c r="O102" s="3">
        <f t="shared" ref="O102:O107" si="28">COUNT(J102:L102)</f>
        <v>0</v>
      </c>
      <c r="P102" s="3" t="s">
        <v>962</v>
      </c>
      <c r="S102" s="423"/>
      <c r="Y102" s="3">
        <f t="shared" ref="Y102:Y107" si="29">COUNT(T102:V102)</f>
        <v>0</v>
      </c>
      <c r="Z102" s="3" t="s">
        <v>975</v>
      </c>
    </row>
    <row r="103" spans="1:26" ht="26.4">
      <c r="A103" s="7"/>
      <c r="D103" s="15"/>
      <c r="E103" s="15"/>
      <c r="F103" s="15"/>
      <c r="G103" s="4">
        <v>40</v>
      </c>
      <c r="H103" s="3" t="s">
        <v>575</v>
      </c>
      <c r="I103" s="13">
        <v>3.3</v>
      </c>
      <c r="O103" s="3">
        <f t="shared" si="28"/>
        <v>0</v>
      </c>
      <c r="P103" s="3" t="s">
        <v>965</v>
      </c>
      <c r="S103" s="423"/>
      <c r="Y103" s="3">
        <f t="shared" si="29"/>
        <v>0</v>
      </c>
      <c r="Z103" s="3" t="s">
        <v>975</v>
      </c>
    </row>
    <row r="104" spans="1:26" ht="26.4">
      <c r="A104" s="7"/>
      <c r="D104" s="15"/>
      <c r="E104" s="15"/>
      <c r="F104" s="15"/>
      <c r="G104" s="4">
        <v>100</v>
      </c>
      <c r="H104" s="3" t="s">
        <v>575</v>
      </c>
      <c r="I104" s="13">
        <v>3.3</v>
      </c>
      <c r="O104" s="3">
        <f t="shared" si="28"/>
        <v>0</v>
      </c>
      <c r="P104" s="3" t="s">
        <v>962</v>
      </c>
      <c r="S104" s="423"/>
      <c r="Y104" s="3">
        <f t="shared" si="29"/>
        <v>0</v>
      </c>
      <c r="Z104" s="3" t="s">
        <v>1015</v>
      </c>
    </row>
    <row r="105" spans="1:26" ht="26.4">
      <c r="A105" s="7"/>
      <c r="G105" s="4">
        <v>20</v>
      </c>
      <c r="H105" s="10" t="s">
        <v>576</v>
      </c>
      <c r="I105" s="10">
        <v>0.12</v>
      </c>
      <c r="J105" s="10"/>
      <c r="K105" s="10"/>
      <c r="L105" s="10"/>
      <c r="M105" s="10"/>
      <c r="N105" s="10"/>
      <c r="O105" s="10">
        <f t="shared" si="28"/>
        <v>0</v>
      </c>
      <c r="P105" s="10" t="s">
        <v>962</v>
      </c>
      <c r="S105" s="423"/>
      <c r="T105" s="10"/>
      <c r="U105" s="10"/>
      <c r="V105" s="10"/>
      <c r="W105" s="10"/>
      <c r="X105" s="10"/>
      <c r="Y105" s="10">
        <f t="shared" si="29"/>
        <v>0</v>
      </c>
      <c r="Z105" s="10" t="s">
        <v>975</v>
      </c>
    </row>
    <row r="106" spans="1:26" ht="26.4">
      <c r="A106" s="7"/>
      <c r="G106" s="4">
        <v>40</v>
      </c>
      <c r="H106" s="10" t="s">
        <v>576</v>
      </c>
      <c r="I106" s="10">
        <v>0.12</v>
      </c>
      <c r="J106" s="10"/>
      <c r="K106" s="10"/>
      <c r="L106" s="10"/>
      <c r="M106" s="10"/>
      <c r="N106" s="10"/>
      <c r="O106" s="10">
        <f t="shared" si="28"/>
        <v>0</v>
      </c>
      <c r="P106" s="10" t="s">
        <v>962</v>
      </c>
      <c r="S106" s="423"/>
      <c r="T106" s="10"/>
      <c r="U106" s="10"/>
      <c r="V106" s="10"/>
      <c r="W106" s="10"/>
      <c r="X106" s="10"/>
      <c r="Y106" s="10">
        <f t="shared" si="29"/>
        <v>0</v>
      </c>
      <c r="Z106" s="10" t="s">
        <v>975</v>
      </c>
    </row>
    <row r="107" spans="1:26" ht="26.4">
      <c r="A107" s="7"/>
      <c r="G107" s="4">
        <v>100</v>
      </c>
      <c r="H107" s="10" t="s">
        <v>576</v>
      </c>
      <c r="I107" s="10">
        <v>0.12</v>
      </c>
      <c r="J107" s="10"/>
      <c r="K107" s="10"/>
      <c r="L107" s="10"/>
      <c r="M107" s="10"/>
      <c r="N107" s="10"/>
      <c r="O107" s="10">
        <f t="shared" si="28"/>
        <v>0</v>
      </c>
      <c r="P107" s="10" t="s">
        <v>970</v>
      </c>
      <c r="S107" s="423"/>
      <c r="T107" s="10"/>
      <c r="U107" s="10"/>
      <c r="V107" s="10"/>
      <c r="W107" s="10"/>
      <c r="X107" s="10"/>
      <c r="Y107" s="10">
        <f t="shared" si="29"/>
        <v>0</v>
      </c>
      <c r="Z107" s="10" t="s">
        <v>975</v>
      </c>
    </row>
    <row r="108" spans="1:26">
      <c r="A108" s="7"/>
      <c r="S108" s="423"/>
    </row>
    <row r="109" spans="1:26" ht="26.4">
      <c r="A109" s="7"/>
      <c r="B109" s="18" t="s">
        <v>571</v>
      </c>
      <c r="C109" s="3" t="s">
        <v>617</v>
      </c>
      <c r="D109" s="18" t="s">
        <v>618</v>
      </c>
      <c r="E109" s="18" t="s">
        <v>587</v>
      </c>
      <c r="F109" s="18" t="s">
        <v>100</v>
      </c>
      <c r="G109" s="4">
        <v>20</v>
      </c>
      <c r="H109" s="3" t="s">
        <v>575</v>
      </c>
      <c r="I109" s="13">
        <v>3.3</v>
      </c>
      <c r="O109" s="3">
        <f t="shared" ref="O109:O118" si="30">COUNT(J109:L109)</f>
        <v>0</v>
      </c>
      <c r="P109" s="3" t="s">
        <v>970</v>
      </c>
      <c r="S109" s="423"/>
      <c r="Y109" s="3">
        <f t="shared" ref="Y109:Y118" si="31">COUNT(T109:V109)</f>
        <v>0</v>
      </c>
      <c r="Z109" s="3" t="s">
        <v>975</v>
      </c>
    </row>
    <row r="110" spans="1:26" ht="26.4">
      <c r="A110" s="7"/>
      <c r="B110" s="18"/>
      <c r="D110" s="18"/>
      <c r="E110" s="18"/>
      <c r="F110" s="18"/>
      <c r="G110" s="4">
        <v>40</v>
      </c>
      <c r="H110" s="3" t="s">
        <v>575</v>
      </c>
      <c r="I110" s="13">
        <v>3.3</v>
      </c>
      <c r="O110" s="3">
        <f t="shared" si="30"/>
        <v>0</v>
      </c>
      <c r="P110" s="3" t="s">
        <v>962</v>
      </c>
      <c r="S110" s="7"/>
      <c r="Y110" s="3">
        <f t="shared" si="31"/>
        <v>0</v>
      </c>
      <c r="Z110" s="3" t="s">
        <v>975</v>
      </c>
    </row>
    <row r="111" spans="1:26" ht="26.4">
      <c r="A111" s="7"/>
      <c r="B111" s="18"/>
      <c r="D111" s="18"/>
      <c r="E111" s="18"/>
      <c r="F111" s="18"/>
      <c r="G111" s="4">
        <v>100</v>
      </c>
      <c r="H111" s="3" t="s">
        <v>575</v>
      </c>
      <c r="I111" s="13">
        <v>3.3</v>
      </c>
      <c r="O111" s="3">
        <f t="shared" si="30"/>
        <v>0</v>
      </c>
      <c r="P111" s="3" t="s">
        <v>972</v>
      </c>
      <c r="S111" s="7"/>
      <c r="Y111" s="3">
        <f t="shared" si="31"/>
        <v>0</v>
      </c>
      <c r="Z111" s="3" t="s">
        <v>975</v>
      </c>
    </row>
    <row r="112" spans="1:26" ht="26.4">
      <c r="A112" s="7"/>
      <c r="G112" s="4">
        <v>20</v>
      </c>
      <c r="H112" s="10" t="s">
        <v>576</v>
      </c>
      <c r="I112" s="10">
        <v>0.12</v>
      </c>
      <c r="J112" s="10"/>
      <c r="K112" s="10"/>
      <c r="L112" s="10"/>
      <c r="M112" s="10"/>
      <c r="N112" s="10"/>
      <c r="O112" s="10">
        <f t="shared" si="30"/>
        <v>0</v>
      </c>
      <c r="P112" s="10" t="s">
        <v>962</v>
      </c>
      <c r="S112" s="7"/>
      <c r="T112" s="10"/>
      <c r="U112" s="10"/>
      <c r="V112" s="10"/>
      <c r="W112" s="10"/>
      <c r="X112" s="10"/>
      <c r="Y112" s="10">
        <f t="shared" si="31"/>
        <v>0</v>
      </c>
      <c r="Z112" s="10" t="s">
        <v>1015</v>
      </c>
    </row>
    <row r="113" spans="1:26" ht="26.4">
      <c r="A113" s="7"/>
      <c r="G113" s="4">
        <v>40</v>
      </c>
      <c r="H113" s="10" t="s">
        <v>576</v>
      </c>
      <c r="I113" s="10">
        <v>0.12</v>
      </c>
      <c r="J113" s="10"/>
      <c r="K113" s="10"/>
      <c r="L113" s="10"/>
      <c r="M113" s="10"/>
      <c r="N113" s="10"/>
      <c r="O113" s="10">
        <f t="shared" si="30"/>
        <v>0</v>
      </c>
      <c r="P113" s="10" t="s">
        <v>972</v>
      </c>
      <c r="S113" s="7"/>
      <c r="T113" s="10"/>
      <c r="U113" s="10"/>
      <c r="V113" s="10"/>
      <c r="W113" s="10"/>
      <c r="X113" s="10"/>
      <c r="Y113" s="10">
        <f t="shared" si="31"/>
        <v>0</v>
      </c>
      <c r="Z113" s="10" t="s">
        <v>975</v>
      </c>
    </row>
    <row r="114" spans="1:26" ht="26.4">
      <c r="A114" s="7"/>
      <c r="G114" s="4">
        <v>100</v>
      </c>
      <c r="H114" s="10" t="s">
        <v>576</v>
      </c>
      <c r="I114" s="10">
        <v>0.12</v>
      </c>
      <c r="J114" s="10"/>
      <c r="K114" s="10"/>
      <c r="L114" s="10"/>
      <c r="M114" s="10"/>
      <c r="N114" s="10"/>
      <c r="O114" s="10">
        <f t="shared" si="30"/>
        <v>0</v>
      </c>
      <c r="P114" s="10" t="s">
        <v>962</v>
      </c>
      <c r="S114" s="7"/>
      <c r="T114" s="10"/>
      <c r="U114" s="10"/>
      <c r="V114" s="10"/>
      <c r="W114" s="10"/>
      <c r="X114" s="10"/>
      <c r="Y114" s="10">
        <f t="shared" si="31"/>
        <v>0</v>
      </c>
      <c r="Z114" s="10" t="s">
        <v>972</v>
      </c>
    </row>
    <row r="115" spans="1:26" ht="26.4">
      <c r="A115" s="211"/>
      <c r="B115" s="15" t="s">
        <v>571</v>
      </c>
      <c r="C115" s="3" t="s">
        <v>611</v>
      </c>
      <c r="D115" s="3" t="s">
        <v>612</v>
      </c>
      <c r="E115" s="3" t="s">
        <v>574</v>
      </c>
      <c r="F115" s="3" t="s">
        <v>97</v>
      </c>
      <c r="G115" s="4">
        <v>20</v>
      </c>
      <c r="H115" s="3" t="s">
        <v>575</v>
      </c>
      <c r="I115" s="13">
        <v>3.3</v>
      </c>
      <c r="J115" s="3">
        <v>17.375262054507342</v>
      </c>
      <c r="M115" s="3">
        <f>AVERAGE(J115:L115)</f>
        <v>17.375262054507342</v>
      </c>
      <c r="O115" s="3">
        <f t="shared" si="30"/>
        <v>1</v>
      </c>
      <c r="P115" s="3" t="s">
        <v>961</v>
      </c>
      <c r="S115" s="211"/>
      <c r="Y115" s="3">
        <f t="shared" si="31"/>
        <v>0</v>
      </c>
      <c r="Z115" s="3" t="s">
        <v>975</v>
      </c>
    </row>
    <row r="116" spans="1:26" ht="26.4">
      <c r="A116" s="211"/>
      <c r="B116" s="15"/>
      <c r="G116" s="4">
        <v>40</v>
      </c>
      <c r="H116" s="3" t="s">
        <v>575</v>
      </c>
      <c r="I116" s="13">
        <v>3.3</v>
      </c>
      <c r="J116" s="3">
        <v>21.110943396226418</v>
      </c>
      <c r="M116" s="3">
        <f>AVERAGE(J116:L116)</f>
        <v>21.110943396226418</v>
      </c>
      <c r="O116" s="3">
        <f t="shared" si="30"/>
        <v>1</v>
      </c>
      <c r="P116" s="3" t="s">
        <v>960</v>
      </c>
      <c r="S116" s="211"/>
      <c r="Y116" s="3">
        <f t="shared" si="31"/>
        <v>0</v>
      </c>
      <c r="Z116" s="3" t="s">
        <v>970</v>
      </c>
    </row>
    <row r="117" spans="1:26" ht="26.4">
      <c r="A117" s="211"/>
      <c r="G117" s="4">
        <v>20</v>
      </c>
      <c r="H117" s="10" t="s">
        <v>576</v>
      </c>
      <c r="I117" s="10">
        <v>0.12</v>
      </c>
      <c r="J117" s="10">
        <v>0.4254591194968555</v>
      </c>
      <c r="K117" s="10"/>
      <c r="L117" s="10"/>
      <c r="M117" s="10">
        <f>AVERAGE(J117:L117)</f>
        <v>0.4254591194968555</v>
      </c>
      <c r="N117" s="10"/>
      <c r="O117" s="10">
        <f t="shared" si="30"/>
        <v>1</v>
      </c>
      <c r="P117" s="10" t="s">
        <v>966</v>
      </c>
      <c r="S117" s="211"/>
      <c r="T117" s="10"/>
      <c r="U117" s="10"/>
      <c r="V117" s="10"/>
      <c r="W117" s="10"/>
      <c r="X117" s="10"/>
      <c r="Y117" s="10">
        <f t="shared" si="31"/>
        <v>0</v>
      </c>
      <c r="Z117" s="10" t="s">
        <v>965</v>
      </c>
    </row>
    <row r="118" spans="1:26" ht="26.4">
      <c r="A118" s="211"/>
      <c r="G118" s="4">
        <v>40</v>
      </c>
      <c r="H118" s="10" t="s">
        <v>576</v>
      </c>
      <c r="I118" s="10">
        <v>0.12</v>
      </c>
      <c r="J118" s="10">
        <v>0.51693283018867942</v>
      </c>
      <c r="K118" s="10"/>
      <c r="L118" s="10"/>
      <c r="M118" s="10">
        <f>AVERAGE(J118:L118)</f>
        <v>0.51693283018867942</v>
      </c>
      <c r="N118" s="10"/>
      <c r="O118" s="10">
        <f t="shared" si="30"/>
        <v>1</v>
      </c>
      <c r="P118" s="10" t="s">
        <v>966</v>
      </c>
      <c r="S118" s="211"/>
      <c r="T118" s="10"/>
      <c r="U118" s="10"/>
      <c r="V118" s="10"/>
      <c r="W118" s="10"/>
      <c r="X118" s="10"/>
      <c r="Y118" s="10">
        <f t="shared" si="31"/>
        <v>0</v>
      </c>
      <c r="Z118" s="10" t="s">
        <v>975</v>
      </c>
    </row>
    <row r="119" spans="1:26">
      <c r="A119" s="211"/>
      <c r="S119" s="211"/>
    </row>
    <row r="120" spans="1:26" ht="26.4">
      <c r="A120" s="211"/>
      <c r="B120" s="3" t="s">
        <v>571</v>
      </c>
      <c r="C120" s="3" t="s">
        <v>609</v>
      </c>
      <c r="D120" s="242" t="s">
        <v>936</v>
      </c>
      <c r="E120" s="3" t="s">
        <v>574</v>
      </c>
      <c r="F120" s="3" t="s">
        <v>98</v>
      </c>
      <c r="G120" s="4">
        <v>20</v>
      </c>
      <c r="H120" s="3" t="s">
        <v>575</v>
      </c>
      <c r="I120" s="13">
        <v>3.3</v>
      </c>
      <c r="O120" s="3">
        <f>COUNT(J120:L120)</f>
        <v>0</v>
      </c>
      <c r="P120" s="3" t="s">
        <v>962</v>
      </c>
      <c r="S120" s="211"/>
      <c r="Y120" s="3">
        <f>COUNT(T120:V120)</f>
        <v>0</v>
      </c>
      <c r="Z120" s="3" t="s">
        <v>963</v>
      </c>
    </row>
    <row r="121" spans="1:26" ht="26.4">
      <c r="A121" s="211"/>
      <c r="D121" s="15"/>
      <c r="G121" s="4">
        <v>40</v>
      </c>
      <c r="H121" s="3" t="s">
        <v>575</v>
      </c>
      <c r="I121" s="13">
        <v>3.3</v>
      </c>
      <c r="O121" s="3">
        <f>COUNT(J121:L121)</f>
        <v>0</v>
      </c>
      <c r="P121" s="3" t="s">
        <v>970</v>
      </c>
      <c r="S121" s="211"/>
      <c r="Y121" s="3">
        <f>COUNT(T121:V121)</f>
        <v>0</v>
      </c>
      <c r="Z121" s="3" t="s">
        <v>1014</v>
      </c>
    </row>
    <row r="122" spans="1:26" ht="26.4">
      <c r="A122" s="211"/>
      <c r="G122" s="4">
        <v>20</v>
      </c>
      <c r="H122" s="10" t="s">
        <v>576</v>
      </c>
      <c r="I122" s="10">
        <v>0.12</v>
      </c>
      <c r="J122" s="10"/>
      <c r="K122" s="10"/>
      <c r="L122" s="10"/>
      <c r="M122" s="10"/>
      <c r="N122" s="10"/>
      <c r="O122" s="10">
        <f>COUNT(J122:L122)</f>
        <v>0</v>
      </c>
      <c r="P122" s="10" t="s">
        <v>962</v>
      </c>
      <c r="S122" s="211"/>
      <c r="T122" s="10"/>
      <c r="U122" s="10"/>
      <c r="V122" s="10"/>
      <c r="W122" s="10"/>
      <c r="X122" s="10"/>
      <c r="Y122" s="10">
        <f>COUNT(T122:V122)</f>
        <v>0</v>
      </c>
      <c r="Z122" s="10" t="s">
        <v>962</v>
      </c>
    </row>
    <row r="123" spans="1:26" ht="26.4">
      <c r="A123" s="211"/>
      <c r="G123" s="4">
        <v>40</v>
      </c>
      <c r="H123" s="10" t="s">
        <v>576</v>
      </c>
      <c r="I123" s="10">
        <v>0.12</v>
      </c>
      <c r="J123" s="10"/>
      <c r="K123" s="10"/>
      <c r="L123" s="10"/>
      <c r="M123" s="10"/>
      <c r="N123" s="10"/>
      <c r="O123" s="10">
        <f>COUNT(J123:L123)</f>
        <v>0</v>
      </c>
      <c r="P123" s="10" t="s">
        <v>962</v>
      </c>
      <c r="S123" s="211"/>
      <c r="T123" s="10"/>
      <c r="U123" s="10"/>
      <c r="V123" s="10"/>
      <c r="W123" s="10"/>
      <c r="X123" s="10"/>
      <c r="Y123" s="10">
        <f>COUNT(T123:V123)</f>
        <v>0</v>
      </c>
      <c r="Z123" s="10" t="s">
        <v>962</v>
      </c>
    </row>
    <row r="124" spans="1:26">
      <c r="A124" s="211"/>
      <c r="S124" s="211"/>
    </row>
    <row r="125" spans="1:26" ht="26.4">
      <c r="A125" s="211"/>
      <c r="B125" s="15" t="s">
        <v>577</v>
      </c>
      <c r="C125" s="202" t="s">
        <v>778</v>
      </c>
      <c r="D125" s="3" t="s">
        <v>608</v>
      </c>
      <c r="E125" s="3" t="s">
        <v>574</v>
      </c>
      <c r="F125" s="3" t="s">
        <v>98</v>
      </c>
      <c r="G125" s="4">
        <v>20</v>
      </c>
      <c r="H125" s="3" t="s">
        <v>575</v>
      </c>
      <c r="I125" s="13">
        <v>3.3</v>
      </c>
      <c r="O125" s="3">
        <f>COUNT(J125:L125)</f>
        <v>0</v>
      </c>
      <c r="P125" s="3" t="s">
        <v>962</v>
      </c>
      <c r="S125" s="211"/>
      <c r="Y125" s="3">
        <f>COUNT(T125:V125)</f>
        <v>0</v>
      </c>
      <c r="Z125" s="3" t="s">
        <v>972</v>
      </c>
    </row>
    <row r="126" spans="1:26" ht="26.4">
      <c r="A126" s="211"/>
      <c r="G126" s="4">
        <v>20</v>
      </c>
      <c r="H126" s="10" t="s">
        <v>576</v>
      </c>
      <c r="I126" s="10">
        <v>0.12</v>
      </c>
      <c r="J126" s="10"/>
      <c r="K126" s="10"/>
      <c r="L126" s="10"/>
      <c r="M126" s="10"/>
      <c r="N126" s="10"/>
      <c r="O126" s="10">
        <f>COUNT(J126:L126)</f>
        <v>0</v>
      </c>
      <c r="P126" s="10" t="s">
        <v>962</v>
      </c>
      <c r="S126" s="211"/>
      <c r="T126" s="10"/>
      <c r="U126" s="10"/>
      <c r="V126" s="10"/>
      <c r="W126" s="10"/>
      <c r="X126" s="10"/>
      <c r="Y126" s="10">
        <f>COUNT(T126:V126)</f>
        <v>0</v>
      </c>
      <c r="Z126" s="10" t="s">
        <v>962</v>
      </c>
    </row>
    <row r="127" spans="1:26">
      <c r="A127" s="7"/>
    </row>
    <row r="128" spans="1:26" ht="26.4">
      <c r="A128" s="211"/>
      <c r="B128" s="15" t="s">
        <v>577</v>
      </c>
      <c r="C128" s="202" t="s">
        <v>779</v>
      </c>
      <c r="D128" s="3" t="s">
        <v>612</v>
      </c>
      <c r="E128" s="3" t="s">
        <v>574</v>
      </c>
      <c r="F128" s="202" t="s">
        <v>659</v>
      </c>
      <c r="G128" s="4">
        <v>20</v>
      </c>
      <c r="H128" s="3" t="s">
        <v>575</v>
      </c>
      <c r="I128" s="13">
        <v>3.3</v>
      </c>
      <c r="J128" s="3">
        <v>14.745492662473799</v>
      </c>
      <c r="M128" s="3">
        <f>AVERAGE(J128:L128)</f>
        <v>14.745492662473799</v>
      </c>
      <c r="O128" s="3">
        <f t="shared" ref="O128:O143" si="32">COUNT(J128:L128)</f>
        <v>1</v>
      </c>
      <c r="P128" s="3" t="s">
        <v>960</v>
      </c>
      <c r="S128" s="211"/>
      <c r="Y128" s="3">
        <f t="shared" ref="Y128:Y143" si="33">COUNT(T128:V128)</f>
        <v>0</v>
      </c>
      <c r="Z128" s="3" t="s">
        <v>962</v>
      </c>
    </row>
    <row r="129" spans="1:26" ht="26.4">
      <c r="A129" s="211"/>
      <c r="G129" s="4">
        <v>20</v>
      </c>
      <c r="H129" s="10" t="s">
        <v>576</v>
      </c>
      <c r="I129" s="10">
        <v>0.12</v>
      </c>
      <c r="J129" s="10">
        <v>0.35689727463312382</v>
      </c>
      <c r="K129" s="10"/>
      <c r="L129" s="10"/>
      <c r="M129" s="10">
        <f>AVERAGE(J129:L129)</f>
        <v>0.35689727463312382</v>
      </c>
      <c r="N129" s="10"/>
      <c r="O129" s="10">
        <f t="shared" si="32"/>
        <v>1</v>
      </c>
      <c r="P129" s="10" t="s">
        <v>978</v>
      </c>
      <c r="S129" s="211"/>
      <c r="T129" s="10"/>
      <c r="U129" s="10"/>
      <c r="V129" s="10"/>
      <c r="W129" s="10"/>
      <c r="X129" s="10"/>
      <c r="Y129" s="10">
        <f t="shared" si="33"/>
        <v>0</v>
      </c>
      <c r="Z129" s="10" t="s">
        <v>1016</v>
      </c>
    </row>
    <row r="130" spans="1:26" ht="26.4">
      <c r="A130" s="226"/>
      <c r="B130" s="242" t="s">
        <v>571</v>
      </c>
      <c r="C130" s="242" t="s">
        <v>688</v>
      </c>
      <c r="D130" s="242" t="s">
        <v>689</v>
      </c>
      <c r="E130" s="242" t="s">
        <v>587</v>
      </c>
      <c r="F130" s="242" t="s">
        <v>615</v>
      </c>
      <c r="G130" s="4">
        <v>20</v>
      </c>
      <c r="H130" s="3" t="s">
        <v>575</v>
      </c>
      <c r="I130" s="13">
        <v>3.3</v>
      </c>
      <c r="O130" s="3">
        <f t="shared" si="32"/>
        <v>0</v>
      </c>
      <c r="P130" s="3" t="s">
        <v>965</v>
      </c>
      <c r="S130" s="226"/>
      <c r="Y130" s="3">
        <f t="shared" si="33"/>
        <v>0</v>
      </c>
      <c r="Z130" s="3" t="s">
        <v>1016</v>
      </c>
    </row>
    <row r="131" spans="1:26" ht="26.4">
      <c r="A131" s="226"/>
      <c r="D131" s="15"/>
      <c r="E131" s="15"/>
      <c r="F131" s="15"/>
      <c r="G131" s="4">
        <v>40</v>
      </c>
      <c r="H131" s="3" t="s">
        <v>575</v>
      </c>
      <c r="I131" s="13">
        <v>3.3</v>
      </c>
      <c r="O131" s="3">
        <f t="shared" si="32"/>
        <v>0</v>
      </c>
      <c r="P131" s="3" t="s">
        <v>975</v>
      </c>
      <c r="S131" s="226"/>
      <c r="Y131" s="3">
        <f t="shared" si="33"/>
        <v>0</v>
      </c>
      <c r="Z131" s="3" t="s">
        <v>972</v>
      </c>
    </row>
    <row r="132" spans="1:26" ht="26.4">
      <c r="A132" s="226"/>
      <c r="D132" s="15"/>
      <c r="E132" s="15"/>
      <c r="F132" s="15"/>
      <c r="G132" s="4">
        <v>100</v>
      </c>
      <c r="H132" s="3" t="s">
        <v>575</v>
      </c>
      <c r="I132" s="13">
        <v>3.3</v>
      </c>
      <c r="O132" s="3">
        <f t="shared" si="32"/>
        <v>0</v>
      </c>
      <c r="P132" s="3" t="s">
        <v>962</v>
      </c>
      <c r="S132" s="226"/>
      <c r="Y132" s="3">
        <f t="shared" si="33"/>
        <v>0</v>
      </c>
      <c r="Z132" s="3" t="s">
        <v>975</v>
      </c>
    </row>
    <row r="133" spans="1:26" ht="26.4">
      <c r="A133" s="226"/>
      <c r="G133" s="4">
        <v>20</v>
      </c>
      <c r="H133" s="10" t="s">
        <v>576</v>
      </c>
      <c r="I133" s="10">
        <v>0.12</v>
      </c>
      <c r="J133" s="10"/>
      <c r="K133" s="10"/>
      <c r="L133" s="10"/>
      <c r="M133" s="10"/>
      <c r="N133" s="10"/>
      <c r="O133" s="10">
        <f t="shared" si="32"/>
        <v>0</v>
      </c>
      <c r="P133" s="10" t="s">
        <v>962</v>
      </c>
      <c r="S133" s="226"/>
      <c r="T133" s="10"/>
      <c r="U133" s="10"/>
      <c r="V133" s="10"/>
      <c r="W133" s="10"/>
      <c r="X133" s="10"/>
      <c r="Y133" s="10">
        <f t="shared" si="33"/>
        <v>0</v>
      </c>
      <c r="Z133" s="10" t="s">
        <v>975</v>
      </c>
    </row>
    <row r="134" spans="1:26" ht="26.4">
      <c r="A134" s="226"/>
      <c r="G134" s="4">
        <v>40</v>
      </c>
      <c r="H134" s="10" t="s">
        <v>576</v>
      </c>
      <c r="I134" s="10">
        <v>0.12</v>
      </c>
      <c r="J134" s="10"/>
      <c r="K134" s="10"/>
      <c r="L134" s="10"/>
      <c r="M134" s="10"/>
      <c r="N134" s="10"/>
      <c r="O134" s="10">
        <f t="shared" si="32"/>
        <v>0</v>
      </c>
      <c r="P134" s="10" t="s">
        <v>962</v>
      </c>
      <c r="S134" s="226"/>
      <c r="T134" s="10"/>
      <c r="U134" s="10"/>
      <c r="V134" s="10"/>
      <c r="W134" s="10"/>
      <c r="X134" s="10"/>
      <c r="Y134" s="10">
        <f t="shared" si="33"/>
        <v>0</v>
      </c>
      <c r="Z134" s="10" t="s">
        <v>970</v>
      </c>
    </row>
    <row r="135" spans="1:26" ht="26.4">
      <c r="A135" s="226"/>
      <c r="G135" s="4">
        <v>100</v>
      </c>
      <c r="H135" s="10" t="s">
        <v>576</v>
      </c>
      <c r="I135" s="10">
        <v>0.12</v>
      </c>
      <c r="J135" s="10"/>
      <c r="K135" s="10"/>
      <c r="L135" s="10"/>
      <c r="M135" s="10"/>
      <c r="N135" s="10"/>
      <c r="O135" s="10">
        <f t="shared" si="32"/>
        <v>0</v>
      </c>
      <c r="P135" s="10" t="s">
        <v>962</v>
      </c>
      <c r="S135" s="226"/>
      <c r="T135" s="10"/>
      <c r="U135" s="10"/>
      <c r="V135" s="10"/>
      <c r="W135" s="10"/>
      <c r="X135" s="10"/>
      <c r="Y135" s="10">
        <f t="shared" si="33"/>
        <v>0</v>
      </c>
      <c r="Z135" s="10" t="s">
        <v>972</v>
      </c>
    </row>
    <row r="136" spans="1:26" ht="26.4">
      <c r="A136" s="226"/>
      <c r="B136" s="242" t="s">
        <v>571</v>
      </c>
      <c r="C136" s="242" t="s">
        <v>613</v>
      </c>
      <c r="D136" s="242" t="s">
        <v>614</v>
      </c>
      <c r="E136" s="242" t="s">
        <v>587</v>
      </c>
      <c r="F136" s="242" t="s">
        <v>690</v>
      </c>
      <c r="G136" s="4">
        <v>20</v>
      </c>
      <c r="H136" s="3" t="s">
        <v>575</v>
      </c>
      <c r="I136" s="13">
        <v>3.3</v>
      </c>
      <c r="O136" s="3">
        <f t="shared" si="32"/>
        <v>0</v>
      </c>
      <c r="P136" s="3" t="s">
        <v>972</v>
      </c>
      <c r="S136" s="226"/>
      <c r="Y136" s="3">
        <f t="shared" si="33"/>
        <v>0</v>
      </c>
      <c r="Z136" s="3" t="s">
        <v>1014</v>
      </c>
    </row>
    <row r="137" spans="1:26" ht="26.4">
      <c r="A137" s="226"/>
      <c r="D137" s="15"/>
      <c r="E137" s="15"/>
      <c r="F137" s="15"/>
      <c r="G137" s="4">
        <v>40</v>
      </c>
      <c r="H137" s="3" t="s">
        <v>575</v>
      </c>
      <c r="I137" s="13">
        <v>3.3</v>
      </c>
      <c r="O137" s="3">
        <f t="shared" si="32"/>
        <v>0</v>
      </c>
      <c r="P137" s="3" t="s">
        <v>970</v>
      </c>
      <c r="S137" s="226"/>
      <c r="Y137" s="3">
        <f t="shared" si="33"/>
        <v>0</v>
      </c>
      <c r="Z137" s="3" t="s">
        <v>962</v>
      </c>
    </row>
    <row r="138" spans="1:26" ht="26.4">
      <c r="A138" s="226"/>
      <c r="D138" s="15"/>
      <c r="E138" s="15"/>
      <c r="F138" s="15"/>
      <c r="G138" s="4">
        <v>100</v>
      </c>
      <c r="H138" s="3" t="s">
        <v>575</v>
      </c>
      <c r="I138" s="13">
        <v>3.3</v>
      </c>
      <c r="O138" s="3">
        <f t="shared" si="32"/>
        <v>0</v>
      </c>
      <c r="P138" s="3" t="s">
        <v>975</v>
      </c>
      <c r="S138" s="226"/>
      <c r="Y138" s="3">
        <f t="shared" si="33"/>
        <v>0</v>
      </c>
      <c r="Z138" s="3" t="s">
        <v>965</v>
      </c>
    </row>
    <row r="139" spans="1:26" ht="26.4">
      <c r="A139" s="226"/>
      <c r="G139" s="4">
        <v>20</v>
      </c>
      <c r="H139" s="10" t="s">
        <v>576</v>
      </c>
      <c r="I139" s="10">
        <v>0.12</v>
      </c>
      <c r="J139" s="10"/>
      <c r="K139" s="10"/>
      <c r="L139" s="10"/>
      <c r="M139" s="10"/>
      <c r="N139" s="10"/>
      <c r="O139" s="10">
        <f t="shared" si="32"/>
        <v>0</v>
      </c>
      <c r="P139" s="10" t="s">
        <v>975</v>
      </c>
      <c r="S139" s="226"/>
      <c r="T139" s="10"/>
      <c r="U139" s="10"/>
      <c r="V139" s="10"/>
      <c r="W139" s="10"/>
      <c r="X139" s="10"/>
      <c r="Y139" s="10">
        <f t="shared" si="33"/>
        <v>0</v>
      </c>
      <c r="Z139" s="10" t="s">
        <v>972</v>
      </c>
    </row>
    <row r="140" spans="1:26" ht="26.4">
      <c r="A140" s="226"/>
      <c r="G140" s="4">
        <v>40</v>
      </c>
      <c r="H140" s="10" t="s">
        <v>576</v>
      </c>
      <c r="I140" s="10">
        <v>0.12</v>
      </c>
      <c r="J140" s="10"/>
      <c r="K140" s="10"/>
      <c r="L140" s="10"/>
      <c r="M140" s="10"/>
      <c r="N140" s="10"/>
      <c r="O140" s="10">
        <f t="shared" si="32"/>
        <v>0</v>
      </c>
      <c r="P140" s="10" t="s">
        <v>975</v>
      </c>
      <c r="S140" s="226"/>
      <c r="T140" s="10"/>
      <c r="U140" s="10"/>
      <c r="V140" s="10"/>
      <c r="W140" s="10"/>
      <c r="X140" s="10"/>
      <c r="Y140" s="10">
        <f t="shared" si="33"/>
        <v>0</v>
      </c>
      <c r="Z140" s="10" t="s">
        <v>962</v>
      </c>
    </row>
    <row r="141" spans="1:26" ht="26.4">
      <c r="A141" s="226"/>
      <c r="G141" s="4">
        <v>100</v>
      </c>
      <c r="H141" s="10" t="s">
        <v>576</v>
      </c>
      <c r="I141" s="10">
        <v>0.12</v>
      </c>
      <c r="J141" s="10"/>
      <c r="K141" s="10"/>
      <c r="L141" s="10"/>
      <c r="M141" s="10"/>
      <c r="N141" s="10"/>
      <c r="O141" s="10">
        <f t="shared" si="32"/>
        <v>0</v>
      </c>
      <c r="P141" s="10" t="s">
        <v>975</v>
      </c>
      <c r="S141" s="226"/>
      <c r="T141" s="10"/>
      <c r="U141" s="10"/>
      <c r="V141" s="10"/>
      <c r="W141" s="10"/>
      <c r="X141" s="10"/>
      <c r="Y141" s="10">
        <f t="shared" si="33"/>
        <v>0</v>
      </c>
      <c r="Z141" s="10" t="s">
        <v>972</v>
      </c>
    </row>
    <row r="142" spans="1:26" ht="26.4">
      <c r="A142" s="226"/>
      <c r="B142" s="242" t="s">
        <v>577</v>
      </c>
      <c r="C142" s="242" t="s">
        <v>778</v>
      </c>
      <c r="D142" s="242" t="s">
        <v>608</v>
      </c>
      <c r="E142" s="242" t="s">
        <v>574</v>
      </c>
      <c r="F142" s="242" t="s">
        <v>777</v>
      </c>
      <c r="G142" s="4">
        <v>20</v>
      </c>
      <c r="H142" s="3" t="s">
        <v>575</v>
      </c>
      <c r="I142" s="13">
        <v>3.3</v>
      </c>
      <c r="O142" s="3">
        <f t="shared" si="32"/>
        <v>0</v>
      </c>
      <c r="P142" s="3" t="s">
        <v>962</v>
      </c>
      <c r="S142" s="226"/>
      <c r="Y142" s="3">
        <f t="shared" si="33"/>
        <v>0</v>
      </c>
      <c r="Z142" s="3" t="s">
        <v>965</v>
      </c>
    </row>
    <row r="143" spans="1:26" ht="26.4">
      <c r="A143" s="226"/>
      <c r="G143" s="4">
        <v>20</v>
      </c>
      <c r="H143" s="10" t="s">
        <v>576</v>
      </c>
      <c r="I143" s="10">
        <v>0.12</v>
      </c>
      <c r="J143" s="10"/>
      <c r="K143" s="10"/>
      <c r="L143" s="10"/>
      <c r="M143" s="10"/>
      <c r="N143" s="10"/>
      <c r="O143" s="10">
        <f t="shared" si="32"/>
        <v>0</v>
      </c>
      <c r="P143" s="10" t="s">
        <v>963</v>
      </c>
      <c r="S143" s="226"/>
      <c r="T143" s="10"/>
      <c r="U143" s="10"/>
      <c r="V143" s="10"/>
      <c r="W143" s="10"/>
      <c r="X143" s="10"/>
      <c r="Y143" s="10">
        <f t="shared" si="33"/>
        <v>0</v>
      </c>
      <c r="Z143" s="10" t="s">
        <v>962</v>
      </c>
    </row>
    <row r="144" spans="1:26">
      <c r="A144" s="306"/>
      <c r="G144" s="3"/>
      <c r="I144" s="2"/>
      <c r="R144" s="14"/>
      <c r="S144" s="306"/>
    </row>
    <row r="145" spans="1:26" ht="26.4">
      <c r="A145" s="306"/>
      <c r="B145" s="242" t="s">
        <v>832</v>
      </c>
      <c r="C145" s="242" t="s">
        <v>784</v>
      </c>
      <c r="D145" s="242" t="s">
        <v>833</v>
      </c>
      <c r="E145" s="242" t="s">
        <v>574</v>
      </c>
      <c r="F145" s="242" t="s">
        <v>837</v>
      </c>
      <c r="G145" s="4">
        <v>20</v>
      </c>
      <c r="H145" s="3" t="s">
        <v>575</v>
      </c>
      <c r="I145" s="21">
        <v>3.3</v>
      </c>
      <c r="O145" s="3">
        <f>COUNT(J145:L145)</f>
        <v>0</v>
      </c>
      <c r="P145" s="3" t="s">
        <v>962</v>
      </c>
      <c r="S145" s="306"/>
      <c r="V145" s="3">
        <v>11.241</v>
      </c>
      <c r="W145" s="3">
        <f>AVERAGE(T145:V145)</f>
        <v>11.241</v>
      </c>
      <c r="Y145" s="3">
        <f>COUNT(T145:V145)</f>
        <v>1</v>
      </c>
      <c r="Z145" s="3" t="s">
        <v>960</v>
      </c>
    </row>
    <row r="146" spans="1:26" ht="26.4">
      <c r="A146" s="306"/>
      <c r="G146" s="4">
        <v>40</v>
      </c>
      <c r="H146" s="3" t="s">
        <v>575</v>
      </c>
      <c r="I146" s="3">
        <v>3.3</v>
      </c>
      <c r="O146" s="3">
        <f>COUNT(J146:L146)</f>
        <v>0</v>
      </c>
      <c r="P146" s="3" t="s">
        <v>963</v>
      </c>
      <c r="S146" s="306"/>
      <c r="V146" s="3">
        <v>12.625503516102732</v>
      </c>
      <c r="W146" s="3">
        <f>AVERAGE(T146:V146)</f>
        <v>12.625503516102732</v>
      </c>
      <c r="Y146" s="3">
        <f>COUNT(T146:V146)</f>
        <v>1</v>
      </c>
      <c r="Z146" s="3" t="s">
        <v>960</v>
      </c>
    </row>
    <row r="147" spans="1:26" ht="26.4">
      <c r="A147" s="306"/>
      <c r="B147" s="242"/>
      <c r="C147" s="242"/>
      <c r="D147" s="242"/>
      <c r="E147" s="242"/>
      <c r="F147" s="242"/>
      <c r="G147" s="4">
        <v>20</v>
      </c>
      <c r="H147" s="203" t="s">
        <v>576</v>
      </c>
      <c r="I147" s="307">
        <v>0.12</v>
      </c>
      <c r="J147" s="203"/>
      <c r="K147" s="203"/>
      <c r="L147" s="203"/>
      <c r="M147" s="203"/>
      <c r="N147" s="203"/>
      <c r="O147" s="203">
        <f>COUNT(J147:L147)</f>
        <v>0</v>
      </c>
      <c r="P147" s="203" t="s">
        <v>963</v>
      </c>
      <c r="Q147" s="203"/>
      <c r="R147" s="203"/>
      <c r="S147" s="306"/>
      <c r="T147" s="203"/>
      <c r="U147" s="203"/>
      <c r="V147" s="203">
        <v>0.24399999999999999</v>
      </c>
      <c r="W147" s="203">
        <f>AVERAGE(T147:V147)</f>
        <v>0.24399999999999999</v>
      </c>
      <c r="X147" s="203"/>
      <c r="Y147" s="203">
        <f>COUNT(T147:V147)</f>
        <v>1</v>
      </c>
      <c r="Z147" s="203" t="s">
        <v>960</v>
      </c>
    </row>
    <row r="148" spans="1:26" ht="26.4">
      <c r="A148" s="306"/>
      <c r="G148" s="4">
        <v>40</v>
      </c>
      <c r="H148" s="203" t="s">
        <v>576</v>
      </c>
      <c r="I148" s="203">
        <v>0.12</v>
      </c>
      <c r="J148" s="203"/>
      <c r="K148" s="203"/>
      <c r="L148" s="203"/>
      <c r="M148" s="203"/>
      <c r="N148" s="203"/>
      <c r="O148" s="203">
        <f>COUNT(J148:L148)</f>
        <v>0</v>
      </c>
      <c r="P148" s="203" t="s">
        <v>963</v>
      </c>
      <c r="Q148" s="203"/>
      <c r="R148" s="203"/>
      <c r="S148" s="306"/>
      <c r="T148" s="203"/>
      <c r="U148" s="203"/>
      <c r="V148" s="203">
        <v>0.27405238483489608</v>
      </c>
      <c r="W148" s="203">
        <f>AVERAGE(T148:V148)</f>
        <v>0.27405238483489608</v>
      </c>
      <c r="X148" s="203"/>
      <c r="Y148" s="203">
        <f>COUNT(T148:V148)</f>
        <v>1</v>
      </c>
      <c r="Z148" s="203" t="s">
        <v>960</v>
      </c>
    </row>
    <row r="149" spans="1:26">
      <c r="A149" s="306"/>
      <c r="G149" s="3"/>
      <c r="S149" s="306"/>
    </row>
    <row r="150" spans="1:26" ht="26.4">
      <c r="A150" s="306"/>
      <c r="B150" s="242" t="s">
        <v>832</v>
      </c>
      <c r="C150" s="242" t="s">
        <v>784</v>
      </c>
      <c r="D150" s="242" t="s">
        <v>833</v>
      </c>
      <c r="E150" s="242" t="s">
        <v>574</v>
      </c>
      <c r="F150" s="242" t="s">
        <v>699</v>
      </c>
      <c r="G150" s="4">
        <v>20</v>
      </c>
      <c r="H150" s="3" t="s">
        <v>575</v>
      </c>
      <c r="I150" s="21">
        <v>3.3</v>
      </c>
      <c r="O150" s="3">
        <f>COUNT(J150:L150)</f>
        <v>0</v>
      </c>
      <c r="P150" s="3" t="s">
        <v>972</v>
      </c>
      <c r="S150" s="306"/>
      <c r="V150" s="3">
        <v>11.081</v>
      </c>
      <c r="W150" s="3">
        <f>AVERAGE(T150:V150)</f>
        <v>11.081</v>
      </c>
      <c r="Y150" s="3">
        <f>COUNT(T150:V150)</f>
        <v>1</v>
      </c>
      <c r="Z150" s="3" t="s">
        <v>960</v>
      </c>
    </row>
    <row r="151" spans="1:26" ht="26.4">
      <c r="A151" s="306"/>
      <c r="G151" s="4">
        <v>40</v>
      </c>
      <c r="H151" s="3" t="s">
        <v>575</v>
      </c>
      <c r="I151" s="3">
        <v>3.3</v>
      </c>
      <c r="O151" s="3">
        <f>COUNT(J151:L151)</f>
        <v>0</v>
      </c>
      <c r="P151" s="3" t="s">
        <v>963</v>
      </c>
      <c r="S151" s="306"/>
      <c r="V151" s="3">
        <v>12.425364344916735</v>
      </c>
      <c r="W151" s="3">
        <f>AVERAGE(T151:V151)</f>
        <v>12.425364344916735</v>
      </c>
      <c r="Y151" s="3">
        <f>COUNT(T151:V151)</f>
        <v>1</v>
      </c>
      <c r="Z151" s="3" t="s">
        <v>986</v>
      </c>
    </row>
    <row r="152" spans="1:26" ht="26.4">
      <c r="A152" s="306"/>
      <c r="B152" s="242"/>
      <c r="C152" s="242"/>
      <c r="D152" s="242"/>
      <c r="E152" s="242"/>
      <c r="F152" s="242"/>
      <c r="G152" s="4">
        <v>20</v>
      </c>
      <c r="H152" s="203" t="s">
        <v>576</v>
      </c>
      <c r="I152" s="203">
        <v>0.12</v>
      </c>
      <c r="J152" s="203"/>
      <c r="K152" s="203"/>
      <c r="L152" s="203"/>
      <c r="M152" s="203"/>
      <c r="N152" s="203"/>
      <c r="O152" s="203">
        <f>COUNT(J152:L152)</f>
        <v>0</v>
      </c>
      <c r="P152" s="203" t="s">
        <v>965</v>
      </c>
      <c r="Q152" s="203"/>
      <c r="R152" s="203"/>
      <c r="S152" s="306"/>
      <c r="T152" s="203"/>
      <c r="U152" s="203"/>
      <c r="V152" s="203">
        <v>0.25600000000000001</v>
      </c>
      <c r="W152" s="203">
        <f>AVERAGE(T152:V152)</f>
        <v>0.25600000000000001</v>
      </c>
      <c r="X152" s="203"/>
      <c r="Y152" s="203">
        <f>COUNT(T152:V152)</f>
        <v>1</v>
      </c>
      <c r="Z152" s="203" t="s">
        <v>966</v>
      </c>
    </row>
    <row r="153" spans="1:26" ht="26.4">
      <c r="A153" s="306"/>
      <c r="G153" s="4">
        <v>40</v>
      </c>
      <c r="H153" s="203" t="s">
        <v>576</v>
      </c>
      <c r="I153" s="203">
        <v>0.12</v>
      </c>
      <c r="J153" s="203"/>
      <c r="K153" s="203"/>
      <c r="L153" s="203"/>
      <c r="M153" s="203"/>
      <c r="N153" s="203"/>
      <c r="O153" s="203">
        <f>COUNT(J153:L153)</f>
        <v>0</v>
      </c>
      <c r="P153" s="203" t="s">
        <v>963</v>
      </c>
      <c r="Q153" s="203"/>
      <c r="R153" s="203"/>
      <c r="S153" s="306"/>
      <c r="T153" s="203"/>
      <c r="U153" s="203"/>
      <c r="V153" s="203">
        <v>0.28705832256102198</v>
      </c>
      <c r="W153" s="203">
        <f>AVERAGE(T153:V153)</f>
        <v>0.28705832256102198</v>
      </c>
      <c r="X153" s="203"/>
      <c r="Y153" s="203">
        <f>COUNT(T153:V153)</f>
        <v>1</v>
      </c>
      <c r="Z153" s="203" t="s">
        <v>960</v>
      </c>
    </row>
    <row r="154" spans="1:26">
      <c r="A154" s="306"/>
      <c r="G154" s="3"/>
      <c r="S154" s="306"/>
    </row>
    <row r="155" spans="1:26">
      <c r="A155" s="211"/>
      <c r="S155" s="211"/>
    </row>
    <row r="156" spans="1:26" ht="12.75" customHeight="1">
      <c r="A156" s="421" t="s">
        <v>590</v>
      </c>
      <c r="B156" s="8" t="s">
        <v>74</v>
      </c>
      <c r="C156" s="8"/>
      <c r="D156" s="8" t="s">
        <v>74</v>
      </c>
      <c r="E156" s="8"/>
      <c r="F156" s="8"/>
      <c r="G156" s="9"/>
      <c r="H156" s="12"/>
      <c r="I156" s="12"/>
      <c r="J156" s="12"/>
      <c r="K156" s="12"/>
      <c r="L156" s="12"/>
      <c r="M156" s="12"/>
      <c r="N156" s="12"/>
      <c r="O156" s="12"/>
      <c r="P156" s="12"/>
      <c r="S156" s="421" t="s">
        <v>590</v>
      </c>
      <c r="T156" s="12"/>
      <c r="U156" s="12"/>
      <c r="V156" s="12"/>
      <c r="W156" s="12"/>
      <c r="X156" s="12"/>
      <c r="Y156" s="12"/>
      <c r="Z156" s="12"/>
    </row>
    <row r="157" spans="1:26" ht="26.4">
      <c r="A157" s="421"/>
      <c r="B157" s="3" t="s">
        <v>571</v>
      </c>
      <c r="C157" s="3" t="s">
        <v>598</v>
      </c>
      <c r="D157" s="3" t="s">
        <v>619</v>
      </c>
      <c r="E157" s="3" t="s">
        <v>574</v>
      </c>
      <c r="H157" s="3" t="s">
        <v>575</v>
      </c>
      <c r="I157" s="13">
        <v>1.6</v>
      </c>
      <c r="K157" s="3">
        <v>4.3643305600649347</v>
      </c>
      <c r="M157" s="3">
        <f>AVERAGE(J157:L157)</f>
        <v>4.3643305600649347</v>
      </c>
      <c r="O157" s="3">
        <f>COUNT(J157:L157)</f>
        <v>1</v>
      </c>
      <c r="P157" s="3" t="s">
        <v>969</v>
      </c>
      <c r="S157" s="421"/>
      <c r="U157" s="3">
        <v>4.2699222808441553</v>
      </c>
      <c r="W157" s="3">
        <f>AVERAGE(T157:V157)</f>
        <v>4.2699222808441553</v>
      </c>
      <c r="Y157" s="3">
        <f>COUNT(T157:V157)</f>
        <v>1</v>
      </c>
      <c r="Z157" s="3" t="s">
        <v>966</v>
      </c>
    </row>
    <row r="158" spans="1:26" ht="26.4">
      <c r="A158" s="421"/>
      <c r="H158" s="10" t="s">
        <v>576</v>
      </c>
      <c r="I158" s="10">
        <v>4.4999999999999998E-2</v>
      </c>
      <c r="J158" s="10"/>
      <c r="K158" s="10">
        <v>0.16726684253246754</v>
      </c>
      <c r="L158" s="10"/>
      <c r="M158" s="10">
        <f>AVERAGE(J158:L158)</f>
        <v>0.16726684253246754</v>
      </c>
      <c r="N158" s="10"/>
      <c r="O158" s="10">
        <f>COUNT(J158:L158)</f>
        <v>1</v>
      </c>
      <c r="P158" s="10" t="s">
        <v>960</v>
      </c>
      <c r="S158" s="421"/>
      <c r="T158" s="203"/>
      <c r="U158" s="203">
        <v>0.1457171266233766</v>
      </c>
      <c r="V158" s="203"/>
      <c r="W158" s="203">
        <f>AVERAGE(T158:V158)</f>
        <v>0.1457171266233766</v>
      </c>
      <c r="X158" s="203"/>
      <c r="Y158" s="203">
        <f>COUNT(T158:V158)</f>
        <v>1</v>
      </c>
      <c r="Z158" s="203" t="s">
        <v>984</v>
      </c>
    </row>
    <row r="159" spans="1:26">
      <c r="A159" s="421"/>
      <c r="S159" s="421"/>
    </row>
    <row r="160" spans="1:26" ht="26.4">
      <c r="A160" s="421"/>
      <c r="B160" s="3" t="s">
        <v>571</v>
      </c>
      <c r="C160" s="3" t="s">
        <v>598</v>
      </c>
      <c r="D160" s="3" t="s">
        <v>620</v>
      </c>
      <c r="E160" s="3" t="s">
        <v>574</v>
      </c>
      <c r="H160" s="3" t="s">
        <v>575</v>
      </c>
      <c r="I160" s="13">
        <v>1.6</v>
      </c>
      <c r="K160" s="3">
        <v>7.694274756493507</v>
      </c>
      <c r="M160" s="3">
        <f>AVERAGE(J160:L160)</f>
        <v>7.694274756493507</v>
      </c>
      <c r="O160" s="3">
        <f>COUNT(J160:L160)</f>
        <v>1</v>
      </c>
      <c r="P160" s="3" t="s">
        <v>960</v>
      </c>
      <c r="S160" s="421"/>
      <c r="T160" s="3">
        <v>6.7629999999999999</v>
      </c>
      <c r="U160" s="3">
        <v>7.5567670454545448</v>
      </c>
      <c r="W160" s="3">
        <f>AVERAGE(T160:V160)</f>
        <v>7.1598835227272719</v>
      </c>
      <c r="X160" s="3">
        <f>_xlfn.STDEV.S(T160:V160)</f>
        <v>0.56127806052331919</v>
      </c>
      <c r="Y160" s="3">
        <f>COUNT(T160:V160)</f>
        <v>2</v>
      </c>
      <c r="Z160" s="3" t="s">
        <v>966</v>
      </c>
    </row>
    <row r="161" spans="1:26" ht="26.4">
      <c r="A161" s="421"/>
      <c r="H161" s="10" t="s">
        <v>576</v>
      </c>
      <c r="I161" s="10">
        <v>4.4999999999999998E-2</v>
      </c>
      <c r="J161" s="10"/>
      <c r="K161" s="10">
        <v>0.25962276785714283</v>
      </c>
      <c r="L161" s="10"/>
      <c r="M161" s="10">
        <f>AVERAGE(J161:L161)</f>
        <v>0.25962276785714283</v>
      </c>
      <c r="N161" s="10"/>
      <c r="O161" s="10">
        <f>COUNT(J161:L161)</f>
        <v>1</v>
      </c>
      <c r="P161" s="10" t="s">
        <v>1012</v>
      </c>
      <c r="S161" s="421"/>
      <c r="T161" s="203">
        <v>0.193</v>
      </c>
      <c r="U161" s="203">
        <v>0.21447098214285712</v>
      </c>
      <c r="V161" s="203"/>
      <c r="W161" s="203">
        <f>AVERAGE(T161:V161)</f>
        <v>0.20373549107142858</v>
      </c>
      <c r="X161" s="203">
        <f>_xlfn.STDEV.S(T161:V161)</f>
        <v>1.5182277071949534E-2</v>
      </c>
      <c r="Y161" s="203">
        <f>COUNT(T161:V161)</f>
        <v>2</v>
      </c>
      <c r="Z161" s="203" t="s">
        <v>969</v>
      </c>
    </row>
    <row r="162" spans="1:26">
      <c r="A162" s="421"/>
      <c r="S162" s="421"/>
    </row>
    <row r="163" spans="1:26" ht="26.4">
      <c r="A163" s="421"/>
      <c r="B163" s="3" t="s">
        <v>571</v>
      </c>
      <c r="C163" s="3" t="s">
        <v>609</v>
      </c>
      <c r="D163" s="3" t="s">
        <v>621</v>
      </c>
      <c r="E163" s="3" t="s">
        <v>574</v>
      </c>
      <c r="H163" s="3" t="s">
        <v>575</v>
      </c>
      <c r="I163" s="13">
        <v>1.6</v>
      </c>
      <c r="O163" s="3">
        <f>COUNT(J163:L163)</f>
        <v>0</v>
      </c>
      <c r="P163" s="3" t="s">
        <v>1011</v>
      </c>
      <c r="S163" s="421"/>
      <c r="Y163" s="3">
        <f>COUNT(T163:V163)</f>
        <v>0</v>
      </c>
      <c r="Z163" s="3" t="s">
        <v>963</v>
      </c>
    </row>
    <row r="164" spans="1:26" ht="26.4">
      <c r="A164" s="421"/>
      <c r="H164" s="10" t="s">
        <v>576</v>
      </c>
      <c r="I164" s="10">
        <v>4.4999999999999998E-2</v>
      </c>
      <c r="J164" s="10"/>
      <c r="K164" s="10"/>
      <c r="L164" s="10"/>
      <c r="M164" s="10"/>
      <c r="N164" s="10"/>
      <c r="O164" s="10">
        <f>COUNT(J164:L164)</f>
        <v>0</v>
      </c>
      <c r="P164" s="10" t="s">
        <v>962</v>
      </c>
      <c r="S164" s="421"/>
      <c r="T164" s="203"/>
      <c r="U164" s="203"/>
      <c r="V164" s="203"/>
      <c r="W164" s="203"/>
      <c r="X164" s="203"/>
      <c r="Y164" s="203">
        <f>COUNT(T164:V164)</f>
        <v>0</v>
      </c>
      <c r="Z164" s="203" t="s">
        <v>970</v>
      </c>
    </row>
    <row r="165" spans="1:26">
      <c r="A165" s="421"/>
      <c r="S165" s="421"/>
    </row>
    <row r="166" spans="1:26" ht="26.4">
      <c r="A166" s="421"/>
      <c r="B166" s="3" t="s">
        <v>571</v>
      </c>
      <c r="C166" s="3" t="s">
        <v>598</v>
      </c>
      <c r="D166" s="3" t="s">
        <v>622</v>
      </c>
      <c r="E166" s="3" t="s">
        <v>574</v>
      </c>
      <c r="H166" s="3" t="s">
        <v>575</v>
      </c>
      <c r="I166" s="13">
        <v>1.6</v>
      </c>
      <c r="O166" s="3">
        <f>COUNT(J166:L166)</f>
        <v>0</v>
      </c>
      <c r="P166" s="3" t="s">
        <v>972</v>
      </c>
      <c r="S166" s="421"/>
      <c r="Y166" s="3">
        <f>COUNT(T166:V166)</f>
        <v>0</v>
      </c>
      <c r="Z166" s="3" t="s">
        <v>963</v>
      </c>
    </row>
    <row r="167" spans="1:26" ht="26.4">
      <c r="A167" s="421"/>
      <c r="H167" s="10" t="s">
        <v>576</v>
      </c>
      <c r="I167" s="10">
        <v>4.4999999999999998E-2</v>
      </c>
      <c r="J167" s="10"/>
      <c r="K167" s="10"/>
      <c r="L167" s="10"/>
      <c r="M167" s="10"/>
      <c r="N167" s="10"/>
      <c r="O167" s="10">
        <f>COUNT(J167:L167)</f>
        <v>0</v>
      </c>
      <c r="P167" s="10" t="s">
        <v>972</v>
      </c>
      <c r="S167" s="421"/>
      <c r="T167" s="203"/>
      <c r="U167" s="203"/>
      <c r="V167" s="203"/>
      <c r="W167" s="203"/>
      <c r="X167" s="203"/>
      <c r="Y167" s="203">
        <f>COUNT(T167:V167)</f>
        <v>0</v>
      </c>
      <c r="Z167" s="203" t="s">
        <v>972</v>
      </c>
    </row>
    <row r="168" spans="1:26">
      <c r="A168" s="421"/>
      <c r="S168" s="421"/>
    </row>
    <row r="169" spans="1:26" ht="26.4">
      <c r="A169" s="421"/>
      <c r="B169" s="3" t="s">
        <v>571</v>
      </c>
      <c r="C169" s="3" t="s">
        <v>602</v>
      </c>
      <c r="D169" s="3" t="s">
        <v>623</v>
      </c>
      <c r="E169" s="3" t="s">
        <v>574</v>
      </c>
      <c r="H169" s="3" t="s">
        <v>575</v>
      </c>
      <c r="I169" s="13">
        <v>1.6</v>
      </c>
      <c r="O169" s="3">
        <f>COUNT(J169:L169)</f>
        <v>0</v>
      </c>
      <c r="P169" s="3" t="s">
        <v>962</v>
      </c>
      <c r="S169" s="421"/>
      <c r="Y169" s="3">
        <f>COUNT(T169:V169)</f>
        <v>0</v>
      </c>
      <c r="Z169" s="3" t="s">
        <v>963</v>
      </c>
    </row>
    <row r="170" spans="1:26" ht="26.4">
      <c r="A170" s="421"/>
      <c r="H170" s="10" t="s">
        <v>576</v>
      </c>
      <c r="I170" s="10">
        <v>4.4999999999999998E-2</v>
      </c>
      <c r="J170" s="10"/>
      <c r="K170" s="10"/>
      <c r="L170" s="10"/>
      <c r="M170" s="10"/>
      <c r="N170" s="10"/>
      <c r="O170" s="10">
        <f>COUNT(J170:L170)</f>
        <v>0</v>
      </c>
      <c r="P170" s="10" t="s">
        <v>970</v>
      </c>
      <c r="S170" s="421"/>
      <c r="T170" s="203"/>
      <c r="U170" s="203"/>
      <c r="V170" s="203"/>
      <c r="W170" s="203"/>
      <c r="X170" s="203"/>
      <c r="Y170" s="203">
        <f>COUNT(T170:V170)</f>
        <v>0</v>
      </c>
      <c r="Z170" s="203" t="s">
        <v>970</v>
      </c>
    </row>
    <row r="171" spans="1:26">
      <c r="A171" s="421"/>
      <c r="S171" s="421"/>
    </row>
    <row r="172" spans="1:26">
      <c r="A172" s="421"/>
      <c r="B172" s="8" t="s">
        <v>75</v>
      </c>
      <c r="C172" s="8"/>
      <c r="D172" s="8" t="s">
        <v>75</v>
      </c>
      <c r="E172" s="8"/>
      <c r="F172" s="8"/>
      <c r="G172" s="9"/>
      <c r="H172" s="12"/>
      <c r="I172" s="12"/>
      <c r="J172" s="12"/>
      <c r="K172" s="12"/>
      <c r="L172" s="12"/>
      <c r="M172" s="12"/>
      <c r="N172" s="12"/>
      <c r="O172" s="12"/>
      <c r="P172" s="12"/>
      <c r="S172" s="421"/>
      <c r="T172" s="12"/>
      <c r="U172" s="12"/>
      <c r="V172" s="12"/>
      <c r="W172" s="12"/>
      <c r="X172" s="12"/>
      <c r="Y172" s="12"/>
      <c r="Z172" s="12"/>
    </row>
    <row r="173" spans="1:26" ht="39.6">
      <c r="A173" s="421"/>
      <c r="B173" s="3" t="s">
        <v>571</v>
      </c>
      <c r="C173" s="3" t="s">
        <v>598</v>
      </c>
      <c r="D173" s="3" t="s">
        <v>624</v>
      </c>
      <c r="E173" s="3" t="s">
        <v>587</v>
      </c>
      <c r="F173" s="3" t="s">
        <v>97</v>
      </c>
      <c r="H173" s="3" t="s">
        <v>575</v>
      </c>
      <c r="I173" s="13">
        <v>1.6</v>
      </c>
      <c r="K173" s="3">
        <v>3.1839260504201676</v>
      </c>
      <c r="M173" s="3">
        <f>AVERAGE(J173:L173)</f>
        <v>3.1839260504201676</v>
      </c>
      <c r="O173" s="3">
        <f>COUNT(J173:L173)</f>
        <v>1</v>
      </c>
      <c r="P173" s="3" t="s">
        <v>982</v>
      </c>
      <c r="S173" s="421"/>
      <c r="U173" s="3">
        <v>3.1166924369747897</v>
      </c>
      <c r="W173" s="3">
        <f>AVERAGE(T173:V173)</f>
        <v>3.1166924369747897</v>
      </c>
      <c r="Y173" s="3">
        <f>COUNT(T173:V173)</f>
        <v>1</v>
      </c>
      <c r="Z173" s="3" t="s">
        <v>986</v>
      </c>
    </row>
    <row r="174" spans="1:26" ht="26.4">
      <c r="A174" s="421"/>
      <c r="H174" s="10" t="s">
        <v>576</v>
      </c>
      <c r="I174" s="10">
        <v>4.4999999999999998E-2</v>
      </c>
      <c r="J174" s="10"/>
      <c r="K174" s="10">
        <v>0.11328403361344537</v>
      </c>
      <c r="L174" s="10"/>
      <c r="M174" s="10">
        <f>AVERAGE(J174:L174)</f>
        <v>0.11328403361344537</v>
      </c>
      <c r="N174" s="10"/>
      <c r="O174" s="10">
        <f>COUNT(J174:L174)</f>
        <v>1</v>
      </c>
      <c r="P174" s="10" t="s">
        <v>960</v>
      </c>
      <c r="S174" s="421"/>
      <c r="T174" s="10"/>
      <c r="U174" s="10">
        <v>9.4863865546218479E-2</v>
      </c>
      <c r="V174" s="10"/>
      <c r="W174" s="10">
        <f>AVERAGE(T174:V174)</f>
        <v>9.4863865546218479E-2</v>
      </c>
      <c r="X174" s="10"/>
      <c r="Y174" s="10">
        <f>COUNT(T174:V174)</f>
        <v>1</v>
      </c>
      <c r="Z174" s="10" t="s">
        <v>966</v>
      </c>
    </row>
    <row r="175" spans="1:26">
      <c r="A175" s="16"/>
      <c r="S175" s="16"/>
    </row>
    <row r="176" spans="1:26" ht="39.6">
      <c r="A176" s="16"/>
      <c r="B176" s="3" t="s">
        <v>571</v>
      </c>
      <c r="C176" s="3" t="s">
        <v>598</v>
      </c>
      <c r="D176" s="3" t="s">
        <v>624</v>
      </c>
      <c r="E176" s="3" t="s">
        <v>574</v>
      </c>
      <c r="F176" s="3" t="s">
        <v>97</v>
      </c>
      <c r="H176" s="3" t="s">
        <v>575</v>
      </c>
      <c r="I176" s="13">
        <v>1.6</v>
      </c>
      <c r="K176" s="3">
        <v>3.5362671280276818</v>
      </c>
      <c r="M176" s="3">
        <f>AVERAGE(J176:L176)</f>
        <v>3.5362671280276818</v>
      </c>
      <c r="O176" s="3">
        <f>COUNT(J176:L176)</f>
        <v>1</v>
      </c>
      <c r="P176" s="3" t="s">
        <v>966</v>
      </c>
      <c r="S176" s="16"/>
      <c r="U176" s="3">
        <v>3.464001384083045</v>
      </c>
      <c r="W176" s="3">
        <f>AVERAGE(T176:V176)</f>
        <v>3.464001384083045</v>
      </c>
      <c r="Y176" s="3">
        <f>COUNT(T176:V176)</f>
        <v>1</v>
      </c>
      <c r="Z176" s="3" t="s">
        <v>960</v>
      </c>
    </row>
    <row r="177" spans="1:26" ht="26.4">
      <c r="A177" s="16"/>
      <c r="H177" s="10" t="s">
        <v>576</v>
      </c>
      <c r="I177" s="10">
        <v>4.4999999999999998E-2</v>
      </c>
      <c r="J177" s="10"/>
      <c r="K177" s="10">
        <v>0.11980899653979239</v>
      </c>
      <c r="L177" s="10"/>
      <c r="M177" s="10">
        <f>AVERAGE(J177:L177)</f>
        <v>0.11980899653979239</v>
      </c>
      <c r="N177" s="10"/>
      <c r="O177" s="10">
        <f>COUNT(J177:L177)</f>
        <v>1</v>
      </c>
      <c r="P177" s="10" t="s">
        <v>960</v>
      </c>
      <c r="S177" s="16"/>
      <c r="T177" s="10"/>
      <c r="U177" s="10">
        <v>9.8889965397923871E-2</v>
      </c>
      <c r="V177" s="10"/>
      <c r="W177" s="10">
        <f>AVERAGE(T177:V177)</f>
        <v>9.8889965397923871E-2</v>
      </c>
      <c r="X177" s="10"/>
      <c r="Y177" s="10">
        <f>COUNT(T177:V177)</f>
        <v>1</v>
      </c>
      <c r="Z177" s="10" t="s">
        <v>961</v>
      </c>
    </row>
    <row r="178" spans="1:26">
      <c r="A178" s="16"/>
      <c r="S178" s="16"/>
    </row>
    <row r="179" spans="1:26" ht="39.6">
      <c r="A179" s="16"/>
      <c r="B179" s="3" t="s">
        <v>571</v>
      </c>
      <c r="C179" s="3" t="s">
        <v>598</v>
      </c>
      <c r="D179" s="3" t="s">
        <v>625</v>
      </c>
      <c r="E179" s="3" t="s">
        <v>587</v>
      </c>
      <c r="F179" s="3" t="s">
        <v>97</v>
      </c>
      <c r="H179" s="3" t="s">
        <v>575</v>
      </c>
      <c r="I179" s="13">
        <v>1.6</v>
      </c>
      <c r="K179" s="3">
        <v>5.7277512605042018</v>
      </c>
      <c r="M179" s="3">
        <f>AVERAGE(J179:L179)</f>
        <v>5.7277512605042018</v>
      </c>
      <c r="O179" s="3">
        <f>COUNT(J179:L179)</f>
        <v>1</v>
      </c>
      <c r="P179" s="3" t="s">
        <v>960</v>
      </c>
      <c r="S179" s="16"/>
      <c r="T179" s="3">
        <v>5.9489999999999998</v>
      </c>
      <c r="U179" s="3">
        <v>5.7627495798319321</v>
      </c>
      <c r="W179" s="3">
        <f>AVERAGE(T179:V179)</f>
        <v>5.8558747899159656</v>
      </c>
      <c r="X179" s="3">
        <f>_xlfn.STDEV.S(T179:V179)</f>
        <v>0.13169893509968439</v>
      </c>
      <c r="Y179" s="3">
        <f>COUNT(T179:V179)</f>
        <v>2</v>
      </c>
      <c r="Z179" s="3" t="s">
        <v>984</v>
      </c>
    </row>
    <row r="180" spans="1:26" ht="26.4">
      <c r="A180" s="16"/>
      <c r="H180" s="10" t="s">
        <v>576</v>
      </c>
      <c r="I180" s="10">
        <v>4.4999999999999998E-2</v>
      </c>
      <c r="J180" s="10"/>
      <c r="K180" s="10">
        <v>0.1777546218487395</v>
      </c>
      <c r="L180" s="10"/>
      <c r="M180" s="10">
        <f>AVERAGE(J180:L180)</f>
        <v>0.1777546218487395</v>
      </c>
      <c r="N180" s="10"/>
      <c r="O180" s="10">
        <f>COUNT(J180:L180)</f>
        <v>1</v>
      </c>
      <c r="P180" s="10" t="s">
        <v>960</v>
      </c>
      <c r="S180" s="16"/>
      <c r="T180" s="10">
        <v>0.13600000000000001</v>
      </c>
      <c r="U180" s="10">
        <v>0.12986218487394957</v>
      </c>
      <c r="V180" s="10"/>
      <c r="W180" s="10">
        <f>AVERAGE(T180:V180)</f>
        <v>0.13293109243697479</v>
      </c>
      <c r="X180" s="10">
        <f>_xlfn.STDEV.S(T180:V180)</f>
        <v>4.3400906972996291E-3</v>
      </c>
      <c r="Y180" s="10">
        <f>COUNT(T180:V180)</f>
        <v>2</v>
      </c>
      <c r="Z180" s="10" t="s">
        <v>960</v>
      </c>
    </row>
    <row r="181" spans="1:26">
      <c r="A181" s="16"/>
      <c r="S181" s="16"/>
    </row>
    <row r="182" spans="1:26" ht="39.6">
      <c r="A182" s="16"/>
      <c r="B182" s="3" t="s">
        <v>571</v>
      </c>
      <c r="C182" s="3" t="s">
        <v>598</v>
      </c>
      <c r="D182" s="3" t="s">
        <v>625</v>
      </c>
      <c r="E182" s="3" t="s">
        <v>574</v>
      </c>
      <c r="F182" s="3" t="s">
        <v>97</v>
      </c>
      <c r="H182" s="3" t="s">
        <v>575</v>
      </c>
      <c r="I182" s="13">
        <v>1.6</v>
      </c>
      <c r="K182" s="3">
        <v>6.3013826989619375</v>
      </c>
      <c r="M182" s="3">
        <f>AVERAGE(J182:L182)</f>
        <v>6.3013826989619375</v>
      </c>
      <c r="O182" s="3">
        <f>COUNT(J182:L182)</f>
        <v>1</v>
      </c>
      <c r="P182" s="3" t="s">
        <v>966</v>
      </c>
      <c r="S182" s="16"/>
      <c r="T182" s="3">
        <v>5.6710000000000003</v>
      </c>
      <c r="U182" s="3">
        <v>6.0370422145328719</v>
      </c>
      <c r="W182" s="3">
        <f>AVERAGE(T182:V182)</f>
        <v>5.8540211072664361</v>
      </c>
      <c r="X182" s="3">
        <f>_xlfn.STDEV.S(T182:V182)</f>
        <v>0.25883093209673458</v>
      </c>
      <c r="Y182" s="3">
        <f>COUNT(T182:V182)</f>
        <v>2</v>
      </c>
      <c r="Z182" s="3" t="s">
        <v>960</v>
      </c>
    </row>
    <row r="183" spans="1:26" ht="26.4">
      <c r="A183" s="16"/>
      <c r="H183" s="10" t="s">
        <v>576</v>
      </c>
      <c r="I183" s="10">
        <v>4.4999999999999998E-2</v>
      </c>
      <c r="J183" s="10"/>
      <c r="K183" s="10">
        <v>0.18541868512110729</v>
      </c>
      <c r="L183" s="10"/>
      <c r="M183" s="10">
        <f>AVERAGE(J183:L183)</f>
        <v>0.18541868512110729</v>
      </c>
      <c r="N183" s="10"/>
      <c r="O183" s="10">
        <f>COUNT(J183:L183)</f>
        <v>1</v>
      </c>
      <c r="P183" s="10" t="s">
        <v>966</v>
      </c>
      <c r="S183" s="16"/>
      <c r="T183" s="10">
        <v>0.124</v>
      </c>
      <c r="U183" s="10">
        <v>0.14928581314878894</v>
      </c>
      <c r="V183" s="10"/>
      <c r="W183" s="10">
        <f>AVERAGE(T183:V183)</f>
        <v>0.13664290657439448</v>
      </c>
      <c r="X183" s="10">
        <f>_xlfn.STDEV.S(T183:V183)</f>
        <v>1.7879769945324631E-2</v>
      </c>
      <c r="Y183" s="10">
        <f>COUNT(T183:V183)</f>
        <v>2</v>
      </c>
      <c r="Z183" s="10" t="s">
        <v>978</v>
      </c>
    </row>
    <row r="184" spans="1:26">
      <c r="A184" s="16"/>
      <c r="S184" s="16"/>
    </row>
    <row r="185" spans="1:26" ht="39.6">
      <c r="A185" s="16"/>
      <c r="B185" s="3" t="s">
        <v>571</v>
      </c>
      <c r="C185" s="3" t="s">
        <v>609</v>
      </c>
      <c r="D185" s="3" t="s">
        <v>626</v>
      </c>
      <c r="E185" s="3" t="s">
        <v>574</v>
      </c>
      <c r="F185" s="3" t="s">
        <v>98</v>
      </c>
      <c r="H185" s="3" t="s">
        <v>575</v>
      </c>
      <c r="I185" s="13">
        <v>1.6</v>
      </c>
      <c r="O185" s="3">
        <f>COUNT(J185:L185)</f>
        <v>0</v>
      </c>
      <c r="P185" s="3" t="s">
        <v>963</v>
      </c>
      <c r="S185" s="16"/>
      <c r="Y185" s="3">
        <f>COUNT(T185:V185)</f>
        <v>0</v>
      </c>
      <c r="Z185" s="3" t="s">
        <v>975</v>
      </c>
    </row>
    <row r="186" spans="1:26" ht="26.4">
      <c r="A186" s="16"/>
      <c r="H186" s="10" t="s">
        <v>576</v>
      </c>
      <c r="I186" s="10">
        <v>4.4999999999999998E-2</v>
      </c>
      <c r="J186" s="10"/>
      <c r="K186" s="10"/>
      <c r="L186" s="10"/>
      <c r="M186" s="10"/>
      <c r="N186" s="10"/>
      <c r="O186" s="10">
        <f>COUNT(J186:L186)</f>
        <v>0</v>
      </c>
      <c r="P186" s="10" t="s">
        <v>970</v>
      </c>
      <c r="S186" s="16"/>
      <c r="T186" s="10"/>
      <c r="U186" s="10"/>
      <c r="V186" s="10"/>
      <c r="W186" s="10"/>
      <c r="X186" s="10"/>
      <c r="Y186" s="10">
        <f>COUNT(T186:V186)</f>
        <v>0</v>
      </c>
      <c r="Z186" s="10" t="s">
        <v>970</v>
      </c>
    </row>
    <row r="187" spans="1:26">
      <c r="A187" s="16"/>
      <c r="S187" s="16"/>
    </row>
    <row r="188" spans="1:26" ht="39.6">
      <c r="A188" s="16"/>
      <c r="B188" s="3" t="s">
        <v>571</v>
      </c>
      <c r="C188" s="3" t="s">
        <v>611</v>
      </c>
      <c r="D188" s="3" t="s">
        <v>627</v>
      </c>
      <c r="E188" s="3" t="s">
        <v>574</v>
      </c>
      <c r="F188" s="3" t="s">
        <v>97</v>
      </c>
      <c r="H188" s="3" t="s">
        <v>575</v>
      </c>
      <c r="I188" s="13">
        <v>1.6</v>
      </c>
      <c r="J188" s="3">
        <v>10.730946291560102</v>
      </c>
      <c r="M188" s="3">
        <f>AVERAGE(J188:L188)</f>
        <v>10.730946291560102</v>
      </c>
      <c r="O188" s="3">
        <f>COUNT(J188:L188)</f>
        <v>1</v>
      </c>
      <c r="P188" s="3" t="s">
        <v>960</v>
      </c>
      <c r="S188" s="16"/>
      <c r="Y188" s="3">
        <f>COUNT(T188:V188)</f>
        <v>0</v>
      </c>
      <c r="Z188" s="3" t="s">
        <v>972</v>
      </c>
    </row>
    <row r="189" spans="1:26" ht="26.4">
      <c r="A189" s="16"/>
      <c r="H189" s="10" t="s">
        <v>576</v>
      </c>
      <c r="I189" s="10">
        <v>4.4999999999999998E-2</v>
      </c>
      <c r="J189" s="10">
        <v>7.3473145780051152E-2</v>
      </c>
      <c r="K189" s="10"/>
      <c r="L189" s="10"/>
      <c r="M189" s="10">
        <f>AVERAGE(J189:L189)</f>
        <v>7.3473145780051152E-2</v>
      </c>
      <c r="N189" s="10"/>
      <c r="O189" s="10">
        <f>COUNT(J189:L189)</f>
        <v>1</v>
      </c>
      <c r="P189" s="10" t="s">
        <v>984</v>
      </c>
      <c r="S189" s="16"/>
      <c r="T189" s="10"/>
      <c r="U189" s="10"/>
      <c r="V189" s="10"/>
      <c r="W189" s="10"/>
      <c r="X189" s="10"/>
      <c r="Y189" s="10">
        <f>COUNT(T189:V189)</f>
        <v>0</v>
      </c>
      <c r="Z189" s="10" t="s">
        <v>975</v>
      </c>
    </row>
    <row r="190" spans="1:26">
      <c r="A190" s="16"/>
      <c r="S190" s="421"/>
    </row>
    <row r="191" spans="1:26" ht="39.6">
      <c r="A191" s="16"/>
      <c r="B191" s="3" t="s">
        <v>571</v>
      </c>
      <c r="C191" s="3" t="s">
        <v>613</v>
      </c>
      <c r="D191" s="15" t="s">
        <v>629</v>
      </c>
      <c r="E191" s="3" t="s">
        <v>587</v>
      </c>
      <c r="F191" s="15" t="s">
        <v>98</v>
      </c>
      <c r="G191" s="17"/>
      <c r="H191" s="3" t="s">
        <v>575</v>
      </c>
      <c r="I191" s="13">
        <v>1.6</v>
      </c>
      <c r="O191" s="3">
        <f>COUNT(J191:L191)</f>
        <v>0</v>
      </c>
      <c r="P191" s="3" t="s">
        <v>962</v>
      </c>
      <c r="S191" s="421"/>
      <c r="Y191" s="3">
        <f>COUNT(T191:V191)</f>
        <v>0</v>
      </c>
      <c r="Z191" s="3" t="s">
        <v>972</v>
      </c>
    </row>
    <row r="192" spans="1:26" ht="26.4">
      <c r="A192" s="16"/>
      <c r="H192" s="10" t="s">
        <v>576</v>
      </c>
      <c r="I192" s="10">
        <v>4.4999999999999998E-2</v>
      </c>
      <c r="J192" s="10"/>
      <c r="K192" s="10"/>
      <c r="L192" s="10"/>
      <c r="M192" s="10"/>
      <c r="N192" s="10"/>
      <c r="O192" s="10">
        <f>COUNT(J192:L192)</f>
        <v>0</v>
      </c>
      <c r="P192" s="10" t="s">
        <v>962</v>
      </c>
      <c r="S192" s="421"/>
      <c r="T192" s="10"/>
      <c r="U192" s="10"/>
      <c r="V192" s="10"/>
      <c r="W192" s="10"/>
      <c r="X192" s="10"/>
      <c r="Y192" s="10">
        <f>COUNT(T192:V192)</f>
        <v>0</v>
      </c>
      <c r="Z192" s="10" t="s">
        <v>975</v>
      </c>
    </row>
    <row r="193" spans="1:26">
      <c r="A193" s="16"/>
      <c r="S193" s="421"/>
    </row>
    <row r="194" spans="1:26" ht="39.6">
      <c r="A194" s="16"/>
      <c r="B194" s="3" t="s">
        <v>571</v>
      </c>
      <c r="C194" s="3" t="s">
        <v>613</v>
      </c>
      <c r="D194" s="15" t="s">
        <v>629</v>
      </c>
      <c r="E194" s="3" t="s">
        <v>587</v>
      </c>
      <c r="F194" s="3" t="s">
        <v>97</v>
      </c>
      <c r="H194" s="3" t="s">
        <v>575</v>
      </c>
      <c r="I194" s="13">
        <v>1.6</v>
      </c>
      <c r="O194" s="3">
        <f>COUNT(J194:L194)</f>
        <v>0</v>
      </c>
      <c r="P194" s="3" t="s">
        <v>962</v>
      </c>
      <c r="S194" s="421"/>
      <c r="Y194" s="3">
        <f>COUNT(T194:V194)</f>
        <v>0</v>
      </c>
      <c r="Z194" s="3" t="s">
        <v>965</v>
      </c>
    </row>
    <row r="195" spans="1:26" ht="26.4">
      <c r="A195" s="16"/>
      <c r="H195" s="10" t="s">
        <v>576</v>
      </c>
      <c r="I195" s="10">
        <v>4.4999999999999998E-2</v>
      </c>
      <c r="J195" s="10"/>
      <c r="K195" s="10"/>
      <c r="L195" s="10"/>
      <c r="M195" s="10"/>
      <c r="N195" s="10"/>
      <c r="O195" s="10">
        <f>COUNT(J195:L195)</f>
        <v>0</v>
      </c>
      <c r="P195" s="10" t="s">
        <v>962</v>
      </c>
      <c r="S195" s="421"/>
      <c r="T195" s="10"/>
      <c r="U195" s="10"/>
      <c r="V195" s="10"/>
      <c r="W195" s="10"/>
      <c r="X195" s="10"/>
      <c r="Y195" s="10">
        <f>COUNT(T195:V195)</f>
        <v>0</v>
      </c>
      <c r="Z195" s="10" t="s">
        <v>1014</v>
      </c>
    </row>
    <row r="196" spans="1:26">
      <c r="A196" s="16"/>
      <c r="S196" s="421"/>
    </row>
    <row r="197" spans="1:26" ht="39.6">
      <c r="A197" s="16"/>
      <c r="B197" s="3" t="s">
        <v>571</v>
      </c>
      <c r="C197" s="3" t="s">
        <v>630</v>
      </c>
      <c r="D197" s="3" t="s">
        <v>631</v>
      </c>
      <c r="E197" s="3" t="s">
        <v>587</v>
      </c>
      <c r="F197" s="3" t="s">
        <v>100</v>
      </c>
      <c r="H197" s="3" t="s">
        <v>575</v>
      </c>
      <c r="I197" s="13">
        <v>1.6</v>
      </c>
      <c r="O197" s="3">
        <f>COUNT(J197:L197)</f>
        <v>0</v>
      </c>
      <c r="P197" s="3" t="s">
        <v>972</v>
      </c>
      <c r="S197" s="421"/>
      <c r="Y197" s="3">
        <f>COUNT(T197:V197)</f>
        <v>0</v>
      </c>
      <c r="Z197" s="3" t="s">
        <v>975</v>
      </c>
    </row>
    <row r="198" spans="1:26" ht="26.4">
      <c r="A198" s="16"/>
      <c r="H198" s="10" t="s">
        <v>576</v>
      </c>
      <c r="I198" s="10">
        <v>4.4999999999999998E-2</v>
      </c>
      <c r="J198" s="10"/>
      <c r="K198" s="10"/>
      <c r="L198" s="10"/>
      <c r="M198" s="10"/>
      <c r="N198" s="10"/>
      <c r="O198" s="10">
        <f>COUNT(J198:L198)</f>
        <v>0</v>
      </c>
      <c r="P198" s="10" t="s">
        <v>962</v>
      </c>
      <c r="S198" s="421"/>
      <c r="T198" s="10"/>
      <c r="U198" s="10"/>
      <c r="V198" s="10"/>
      <c r="W198" s="10"/>
      <c r="X198" s="10"/>
      <c r="Y198" s="10">
        <f>COUNT(T198:V198)</f>
        <v>0</v>
      </c>
      <c r="Z198" s="10" t="s">
        <v>975</v>
      </c>
    </row>
    <row r="199" spans="1:26">
      <c r="A199" s="210"/>
      <c r="S199" s="210"/>
    </row>
    <row r="200" spans="1:26" ht="39.6">
      <c r="A200" s="210"/>
      <c r="B200" s="3" t="s">
        <v>577</v>
      </c>
      <c r="C200" s="202" t="s">
        <v>779</v>
      </c>
      <c r="D200" s="202" t="s">
        <v>736</v>
      </c>
      <c r="E200" s="3" t="s">
        <v>574</v>
      </c>
      <c r="F200" s="202" t="s">
        <v>659</v>
      </c>
      <c r="H200" s="3" t="s">
        <v>575</v>
      </c>
      <c r="I200" s="13">
        <v>1.6</v>
      </c>
      <c r="J200" s="3">
        <v>10.150895140664961</v>
      </c>
      <c r="M200" s="3">
        <f>AVERAGE(J200:L200)</f>
        <v>10.150895140664961</v>
      </c>
      <c r="O200" s="3">
        <f t="shared" ref="O200:O207" si="34">COUNT(J200:L200)</f>
        <v>1</v>
      </c>
      <c r="P200" s="3" t="s">
        <v>978</v>
      </c>
      <c r="S200" s="210"/>
      <c r="Y200" s="3">
        <f t="shared" ref="Y200:Y207" si="35">COUNT(T200:V200)</f>
        <v>0</v>
      </c>
      <c r="Z200" s="3" t="s">
        <v>975</v>
      </c>
    </row>
    <row r="201" spans="1:26" ht="26.4">
      <c r="A201" s="210"/>
      <c r="H201" s="10" t="s">
        <v>576</v>
      </c>
      <c r="I201" s="10">
        <v>4.4999999999999998E-2</v>
      </c>
      <c r="J201" s="10">
        <v>6.9606138107416879E-2</v>
      </c>
      <c r="K201" s="10"/>
      <c r="L201" s="10"/>
      <c r="M201" s="10">
        <f>AVERAGE(J201:L201)</f>
        <v>6.9606138107416879E-2</v>
      </c>
      <c r="N201" s="10"/>
      <c r="O201" s="10">
        <f t="shared" si="34"/>
        <v>1</v>
      </c>
      <c r="P201" s="10" t="s">
        <v>960</v>
      </c>
      <c r="S201" s="210"/>
      <c r="T201" s="10"/>
      <c r="U201" s="10"/>
      <c r="V201" s="10"/>
      <c r="W201" s="10"/>
      <c r="X201" s="10"/>
      <c r="Y201" s="10">
        <f t="shared" si="35"/>
        <v>0</v>
      </c>
      <c r="Z201" s="10" t="s">
        <v>972</v>
      </c>
    </row>
    <row r="202" spans="1:26" ht="39.6">
      <c r="A202" s="225"/>
      <c r="B202" s="242" t="s">
        <v>571</v>
      </c>
      <c r="C202" s="242" t="s">
        <v>613</v>
      </c>
      <c r="D202" s="242" t="s">
        <v>629</v>
      </c>
      <c r="E202" s="242" t="s">
        <v>587</v>
      </c>
      <c r="F202" s="242" t="s">
        <v>696</v>
      </c>
      <c r="G202" s="3"/>
      <c r="H202" s="3" t="s">
        <v>575</v>
      </c>
      <c r="I202" s="13">
        <v>1.6</v>
      </c>
      <c r="O202" s="3">
        <f t="shared" si="34"/>
        <v>0</v>
      </c>
      <c r="P202" s="3" t="s">
        <v>962</v>
      </c>
      <c r="S202" s="225"/>
      <c r="Y202" s="3">
        <f t="shared" si="35"/>
        <v>0</v>
      </c>
      <c r="Z202" s="3" t="s">
        <v>975</v>
      </c>
    </row>
    <row r="203" spans="1:26" ht="26.4">
      <c r="A203" s="225"/>
      <c r="B203" s="242"/>
      <c r="C203" s="242"/>
      <c r="D203" s="242"/>
      <c r="E203" s="242"/>
      <c r="F203" s="242"/>
      <c r="G203" s="3"/>
      <c r="H203" s="10" t="s">
        <v>576</v>
      </c>
      <c r="I203" s="10">
        <v>4.4999999999999998E-2</v>
      </c>
      <c r="J203" s="10"/>
      <c r="K203" s="10"/>
      <c r="L203" s="10"/>
      <c r="M203" s="10"/>
      <c r="N203" s="10"/>
      <c r="O203" s="10">
        <f t="shared" si="34"/>
        <v>0</v>
      </c>
      <c r="P203" s="10" t="s">
        <v>972</v>
      </c>
      <c r="S203" s="225"/>
      <c r="T203" s="10"/>
      <c r="U203" s="10"/>
      <c r="V203" s="10"/>
      <c r="W203" s="10"/>
      <c r="X203" s="10"/>
      <c r="Y203" s="10">
        <f t="shared" si="35"/>
        <v>0</v>
      </c>
      <c r="Z203" s="10" t="s">
        <v>975</v>
      </c>
    </row>
    <row r="204" spans="1:26" ht="39.6">
      <c r="A204" s="225"/>
      <c r="B204" s="242" t="s">
        <v>571</v>
      </c>
      <c r="C204" s="242" t="s">
        <v>613</v>
      </c>
      <c r="D204" s="242" t="s">
        <v>629</v>
      </c>
      <c r="E204" s="242" t="s">
        <v>587</v>
      </c>
      <c r="F204" s="242" t="s">
        <v>697</v>
      </c>
      <c r="G204" s="3"/>
      <c r="H204" s="3" t="s">
        <v>575</v>
      </c>
      <c r="I204" s="13">
        <v>1.6</v>
      </c>
      <c r="O204" s="3">
        <f t="shared" si="34"/>
        <v>0</v>
      </c>
      <c r="P204" s="3" t="s">
        <v>972</v>
      </c>
      <c r="S204" s="225"/>
      <c r="Y204" s="3">
        <f t="shared" si="35"/>
        <v>0</v>
      </c>
      <c r="Z204" s="3" t="s">
        <v>975</v>
      </c>
    </row>
    <row r="205" spans="1:26" ht="26.4">
      <c r="A205" s="225"/>
      <c r="G205" s="3"/>
      <c r="H205" s="10" t="s">
        <v>576</v>
      </c>
      <c r="I205" s="10">
        <v>4.4999999999999998E-2</v>
      </c>
      <c r="J205" s="10"/>
      <c r="K205" s="10"/>
      <c r="L205" s="10"/>
      <c r="M205" s="10"/>
      <c r="N205" s="10"/>
      <c r="O205" s="10">
        <f t="shared" si="34"/>
        <v>0</v>
      </c>
      <c r="P205" s="10" t="s">
        <v>962</v>
      </c>
      <c r="S205" s="225"/>
      <c r="T205" s="10"/>
      <c r="U205" s="10"/>
      <c r="V205" s="10"/>
      <c r="W205" s="10"/>
      <c r="X205" s="10"/>
      <c r="Y205" s="10">
        <f t="shared" si="35"/>
        <v>0</v>
      </c>
      <c r="Z205" s="10" t="s">
        <v>972</v>
      </c>
    </row>
    <row r="206" spans="1:26" ht="39.6">
      <c r="A206" s="225"/>
      <c r="B206" s="242" t="s">
        <v>571</v>
      </c>
      <c r="C206" s="242" t="s">
        <v>721</v>
      </c>
      <c r="D206" s="242" t="s">
        <v>720</v>
      </c>
      <c r="E206" s="242" t="s">
        <v>587</v>
      </c>
      <c r="F206" s="242" t="s">
        <v>97</v>
      </c>
      <c r="G206" s="3"/>
      <c r="H206" s="3" t="s">
        <v>575</v>
      </c>
      <c r="I206" s="13">
        <v>1.6</v>
      </c>
      <c r="O206" s="3">
        <f t="shared" si="34"/>
        <v>0</v>
      </c>
      <c r="P206" s="3" t="s">
        <v>962</v>
      </c>
      <c r="S206" s="225"/>
      <c r="Y206" s="3">
        <f t="shared" si="35"/>
        <v>0</v>
      </c>
      <c r="Z206" s="3" t="s">
        <v>975</v>
      </c>
    </row>
    <row r="207" spans="1:26" ht="26.4">
      <c r="A207" s="225"/>
      <c r="G207" s="3"/>
      <c r="H207" s="10" t="s">
        <v>576</v>
      </c>
      <c r="I207" s="10">
        <v>4.4999999999999998E-2</v>
      </c>
      <c r="J207" s="10"/>
      <c r="K207" s="10"/>
      <c r="L207" s="10"/>
      <c r="M207" s="10"/>
      <c r="N207" s="10"/>
      <c r="O207" s="10">
        <f t="shared" si="34"/>
        <v>0</v>
      </c>
      <c r="P207" s="10" t="s">
        <v>962</v>
      </c>
      <c r="S207" s="305"/>
      <c r="T207" s="10"/>
      <c r="U207" s="10"/>
      <c r="V207" s="10"/>
      <c r="W207" s="10"/>
      <c r="X207" s="10"/>
      <c r="Y207" s="10">
        <f t="shared" si="35"/>
        <v>0</v>
      </c>
      <c r="Z207" s="10" t="s">
        <v>972</v>
      </c>
    </row>
    <row r="208" spans="1:26">
      <c r="A208" s="305"/>
      <c r="G208" s="3"/>
      <c r="I208" s="2"/>
      <c r="R208" s="4"/>
      <c r="S208" s="305"/>
    </row>
    <row r="209" spans="1:26" ht="39.6">
      <c r="A209" s="305"/>
      <c r="B209" s="242" t="s">
        <v>571</v>
      </c>
      <c r="C209" s="242" t="s">
        <v>784</v>
      </c>
      <c r="D209" s="242" t="s">
        <v>835</v>
      </c>
      <c r="E209" s="242" t="s">
        <v>834</v>
      </c>
      <c r="F209" s="242" t="s">
        <v>837</v>
      </c>
      <c r="G209" s="242"/>
      <c r="H209" s="3" t="s">
        <v>575</v>
      </c>
      <c r="I209" s="13">
        <v>1.6</v>
      </c>
      <c r="O209" s="3">
        <f>COUNT(J209:L209)</f>
        <v>0</v>
      </c>
      <c r="P209" s="3" t="s">
        <v>972</v>
      </c>
      <c r="S209" s="305"/>
      <c r="V209" s="3">
        <v>6.266</v>
      </c>
      <c r="W209" s="3">
        <f>AVERAGE(T209:V209)</f>
        <v>6.266</v>
      </c>
      <c r="Y209" s="3">
        <f>COUNT(T209:V209)</f>
        <v>1</v>
      </c>
      <c r="Z209" s="3" t="s">
        <v>978</v>
      </c>
    </row>
    <row r="210" spans="1:26" ht="26.4">
      <c r="A210" s="305"/>
      <c r="G210" s="3"/>
      <c r="H210" s="10" t="s">
        <v>576</v>
      </c>
      <c r="I210" s="10">
        <v>4.4999999999999998E-2</v>
      </c>
      <c r="J210" s="10"/>
      <c r="K210" s="10"/>
      <c r="L210" s="10"/>
      <c r="M210" s="10"/>
      <c r="N210" s="10"/>
      <c r="O210" s="10">
        <f>COUNT(J210:L210)</f>
        <v>0</v>
      </c>
      <c r="P210" s="10" t="s">
        <v>972</v>
      </c>
      <c r="S210" s="305"/>
      <c r="T210" s="10"/>
      <c r="U210" s="10"/>
      <c r="V210" s="10">
        <v>8.4000000000000005E-2</v>
      </c>
      <c r="W210" s="10">
        <f>AVERAGE(T210:V210)</f>
        <v>8.4000000000000005E-2</v>
      </c>
      <c r="X210" s="10"/>
      <c r="Y210" s="10">
        <f>COUNT(T210:V210)</f>
        <v>1</v>
      </c>
      <c r="Z210" s="10" t="s">
        <v>978</v>
      </c>
    </row>
    <row r="211" spans="1:26">
      <c r="A211" s="305"/>
      <c r="G211" s="3"/>
      <c r="S211" s="305"/>
    </row>
    <row r="212" spans="1:26" ht="39.6">
      <c r="A212" s="305"/>
      <c r="B212" s="242" t="s">
        <v>571</v>
      </c>
      <c r="C212" s="242" t="s">
        <v>784</v>
      </c>
      <c r="D212" s="242" t="s">
        <v>835</v>
      </c>
      <c r="E212" s="242" t="s">
        <v>834</v>
      </c>
      <c r="F212" s="242" t="s">
        <v>97</v>
      </c>
      <c r="G212" s="242"/>
      <c r="H212" s="3" t="s">
        <v>575</v>
      </c>
      <c r="I212" s="13">
        <v>1.6</v>
      </c>
      <c r="O212" s="3">
        <f>COUNT(J212:L212)</f>
        <v>0</v>
      </c>
      <c r="P212" s="3" t="s">
        <v>962</v>
      </c>
      <c r="S212" s="305"/>
      <c r="V212" s="3">
        <v>5.2450000000000001</v>
      </c>
      <c r="W212" s="3">
        <f>AVERAGE(T212:V212)</f>
        <v>5.2450000000000001</v>
      </c>
      <c r="Y212" s="3">
        <f>COUNT(T212:V212)</f>
        <v>1</v>
      </c>
      <c r="Z212" s="3" t="s">
        <v>978</v>
      </c>
    </row>
    <row r="213" spans="1:26" ht="26.4">
      <c r="A213" s="305"/>
      <c r="G213" s="3"/>
      <c r="H213" s="10" t="s">
        <v>576</v>
      </c>
      <c r="I213" s="10">
        <v>4.4999999999999998E-2</v>
      </c>
      <c r="J213" s="10"/>
      <c r="K213" s="10"/>
      <c r="L213" s="10"/>
      <c r="M213" s="10"/>
      <c r="N213" s="10"/>
      <c r="O213" s="10">
        <f>COUNT(J213:L213)</f>
        <v>0</v>
      </c>
      <c r="P213" s="10" t="s">
        <v>962</v>
      </c>
      <c r="S213" s="305"/>
      <c r="T213" s="10"/>
      <c r="U213" s="10"/>
      <c r="V213" s="10">
        <v>7.8E-2</v>
      </c>
      <c r="W213" s="10">
        <f>AVERAGE(T213:V213)</f>
        <v>7.8E-2</v>
      </c>
      <c r="X213" s="10"/>
      <c r="Y213" s="10">
        <f>COUNT(T213:V213)</f>
        <v>1</v>
      </c>
      <c r="Z213" s="10" t="s">
        <v>960</v>
      </c>
    </row>
    <row r="253" spans="1:26" s="2" customFormat="1">
      <c r="A253" s="3"/>
      <c r="B253" s="3"/>
      <c r="C253" s="3"/>
      <c r="D253" s="3"/>
      <c r="E253" s="3"/>
      <c r="F253" s="3"/>
      <c r="G253" s="4"/>
      <c r="H253" s="3"/>
      <c r="I253" s="3"/>
      <c r="J253" s="3"/>
      <c r="K253" s="3"/>
      <c r="L253" s="3"/>
      <c r="M253" s="3"/>
      <c r="N253" s="3"/>
      <c r="O253" s="3"/>
      <c r="P253" s="3"/>
      <c r="Q253" s="3"/>
      <c r="R253" s="3"/>
      <c r="S253" s="3"/>
      <c r="T253" s="3"/>
      <c r="U253" s="3"/>
      <c r="V253" s="3"/>
      <c r="W253" s="3"/>
      <c r="X253" s="3"/>
      <c r="Y253" s="3"/>
      <c r="Z253" s="3"/>
    </row>
    <row r="254" spans="1:26" s="2" customFormat="1">
      <c r="A254" s="3"/>
      <c r="B254" s="3"/>
      <c r="C254" s="3"/>
      <c r="D254" s="3"/>
      <c r="E254" s="3"/>
      <c r="F254" s="3"/>
      <c r="G254" s="4"/>
      <c r="H254" s="3"/>
      <c r="I254" s="3"/>
      <c r="J254" s="3"/>
      <c r="K254" s="3"/>
      <c r="L254" s="3"/>
      <c r="M254" s="3"/>
      <c r="N254" s="3"/>
      <c r="O254" s="3"/>
      <c r="P254" s="3"/>
      <c r="Q254" s="3"/>
      <c r="R254" s="3"/>
      <c r="S254" s="3"/>
      <c r="T254" s="3"/>
      <c r="U254" s="3"/>
      <c r="V254" s="3"/>
      <c r="W254" s="3"/>
      <c r="X254" s="3"/>
      <c r="Y254" s="3"/>
      <c r="Z254" s="3"/>
    </row>
    <row r="255" spans="1:26" s="2" customFormat="1">
      <c r="A255" s="3"/>
      <c r="B255" s="3"/>
      <c r="C255" s="3"/>
      <c r="D255" s="3"/>
      <c r="E255" s="3"/>
      <c r="F255" s="3"/>
      <c r="G255" s="4"/>
      <c r="H255" s="3"/>
      <c r="I255" s="3"/>
      <c r="J255" s="3"/>
      <c r="K255" s="3"/>
      <c r="L255" s="3"/>
      <c r="M255" s="3"/>
      <c r="N255" s="3"/>
      <c r="O255" s="3"/>
      <c r="P255" s="3"/>
      <c r="Q255" s="3"/>
      <c r="R255" s="3"/>
      <c r="S255" s="3"/>
      <c r="T255" s="3"/>
      <c r="U255" s="3"/>
      <c r="V255" s="3"/>
      <c r="W255" s="3"/>
      <c r="X255" s="3"/>
      <c r="Y255" s="3"/>
      <c r="Z255" s="3"/>
    </row>
    <row r="256" spans="1:26" s="2" customFormat="1">
      <c r="A256" s="3"/>
      <c r="B256" s="3"/>
      <c r="C256" s="3"/>
      <c r="D256" s="3"/>
      <c r="E256" s="3"/>
      <c r="F256" s="3"/>
      <c r="G256" s="4"/>
      <c r="H256" s="3"/>
      <c r="I256" s="3"/>
      <c r="J256" s="3"/>
      <c r="K256" s="3"/>
      <c r="L256" s="3"/>
      <c r="M256" s="3"/>
      <c r="N256" s="3"/>
      <c r="O256" s="3"/>
      <c r="P256" s="3"/>
      <c r="Q256" s="3"/>
      <c r="R256" s="3"/>
      <c r="S256" s="3"/>
      <c r="T256" s="3"/>
      <c r="U256" s="3"/>
      <c r="V256" s="3"/>
      <c r="W256" s="3"/>
      <c r="X256" s="3"/>
      <c r="Y256" s="3"/>
      <c r="Z256" s="3"/>
    </row>
    <row r="257" spans="1:26" s="2" customFormat="1">
      <c r="A257" s="3"/>
      <c r="B257" s="3"/>
      <c r="C257" s="3"/>
      <c r="D257" s="3"/>
      <c r="E257" s="3"/>
      <c r="F257" s="3"/>
      <c r="G257" s="4"/>
      <c r="H257" s="3"/>
      <c r="I257" s="3"/>
      <c r="J257" s="3"/>
      <c r="K257" s="3"/>
      <c r="L257" s="3"/>
      <c r="M257" s="3"/>
      <c r="N257" s="3"/>
      <c r="O257" s="3"/>
      <c r="P257" s="3"/>
      <c r="Q257" s="3"/>
      <c r="R257" s="3"/>
      <c r="S257" s="3"/>
      <c r="T257" s="3"/>
      <c r="U257" s="3"/>
      <c r="V257" s="3"/>
      <c r="W257" s="3"/>
      <c r="X257" s="3"/>
      <c r="Y257" s="3"/>
      <c r="Z257" s="3"/>
    </row>
    <row r="258" spans="1:26" s="2" customFormat="1">
      <c r="A258" s="3"/>
      <c r="B258" s="3"/>
      <c r="C258" s="3"/>
      <c r="D258" s="3"/>
      <c r="E258" s="3"/>
      <c r="F258" s="3"/>
      <c r="G258" s="4"/>
      <c r="H258" s="3"/>
      <c r="I258" s="3"/>
      <c r="J258" s="3"/>
      <c r="K258" s="3"/>
      <c r="L258" s="3"/>
      <c r="M258" s="3"/>
      <c r="N258" s="3"/>
      <c r="O258" s="3"/>
      <c r="P258" s="3"/>
      <c r="Q258" s="3"/>
      <c r="R258" s="3"/>
      <c r="S258" s="3"/>
      <c r="T258" s="3"/>
      <c r="U258" s="3"/>
      <c r="V258" s="3"/>
      <c r="W258" s="3"/>
      <c r="X258" s="3"/>
      <c r="Y258" s="3"/>
      <c r="Z258" s="3"/>
    </row>
    <row r="259" spans="1:26" s="2" customFormat="1">
      <c r="A259" s="3"/>
      <c r="B259" s="3"/>
      <c r="C259" s="3"/>
      <c r="D259" s="3"/>
      <c r="E259" s="3"/>
      <c r="F259" s="3"/>
      <c r="G259" s="4"/>
      <c r="H259" s="3"/>
      <c r="I259" s="3"/>
      <c r="J259" s="3"/>
      <c r="K259" s="3"/>
      <c r="L259" s="3"/>
      <c r="M259" s="3"/>
      <c r="N259" s="3"/>
      <c r="O259" s="3"/>
      <c r="P259" s="3"/>
      <c r="Q259" s="3"/>
      <c r="R259" s="3"/>
      <c r="S259" s="3"/>
      <c r="T259" s="3"/>
      <c r="U259" s="3"/>
      <c r="V259" s="3"/>
      <c r="W259" s="3"/>
      <c r="X259" s="3"/>
      <c r="Y259" s="3"/>
      <c r="Z259" s="3"/>
    </row>
    <row r="260" spans="1:26" s="2" customFormat="1">
      <c r="A260" s="3"/>
      <c r="B260" s="3"/>
      <c r="C260" s="3"/>
      <c r="D260" s="3"/>
      <c r="E260" s="3"/>
      <c r="F260" s="3"/>
      <c r="G260" s="4"/>
      <c r="H260" s="3"/>
      <c r="I260" s="3"/>
      <c r="J260" s="3"/>
      <c r="K260" s="3"/>
      <c r="L260" s="3"/>
      <c r="M260" s="3"/>
      <c r="N260" s="3"/>
      <c r="O260" s="3"/>
      <c r="P260" s="3"/>
      <c r="Q260" s="3"/>
      <c r="R260" s="3"/>
      <c r="S260" s="3"/>
      <c r="T260" s="3"/>
      <c r="U260" s="3"/>
      <c r="V260" s="3"/>
      <c r="W260" s="3"/>
      <c r="X260" s="3"/>
      <c r="Y260" s="3"/>
      <c r="Z260" s="3"/>
    </row>
    <row r="261" spans="1:26" s="2" customFormat="1">
      <c r="A261" s="3"/>
      <c r="B261" s="3"/>
      <c r="C261" s="3"/>
      <c r="D261" s="3"/>
      <c r="E261" s="3"/>
      <c r="F261" s="3"/>
      <c r="G261" s="4"/>
      <c r="H261" s="3"/>
      <c r="I261" s="3"/>
      <c r="J261" s="3"/>
      <c r="K261" s="3"/>
      <c r="L261" s="3"/>
      <c r="M261" s="3"/>
      <c r="N261" s="3"/>
      <c r="O261" s="3"/>
      <c r="P261" s="3"/>
      <c r="Q261" s="3"/>
      <c r="R261" s="3"/>
      <c r="S261" s="3"/>
      <c r="T261" s="3"/>
      <c r="U261" s="3"/>
      <c r="V261" s="3"/>
      <c r="W261" s="3"/>
      <c r="X261" s="3"/>
      <c r="Y261" s="3"/>
      <c r="Z261" s="3"/>
    </row>
    <row r="262" spans="1:26" s="2" customFormat="1">
      <c r="A262" s="3"/>
      <c r="B262" s="3"/>
      <c r="C262" s="3"/>
      <c r="D262" s="3"/>
      <c r="E262" s="3"/>
      <c r="F262" s="3"/>
      <c r="G262" s="4"/>
      <c r="H262" s="3"/>
      <c r="I262" s="3"/>
      <c r="J262" s="3"/>
      <c r="K262" s="3"/>
      <c r="L262" s="3"/>
      <c r="M262" s="3"/>
      <c r="N262" s="3"/>
      <c r="O262" s="3"/>
      <c r="P262" s="3"/>
      <c r="Q262" s="3"/>
      <c r="R262" s="3"/>
      <c r="S262" s="3"/>
      <c r="T262" s="3"/>
      <c r="U262" s="3"/>
      <c r="V262" s="3"/>
      <c r="W262" s="3"/>
      <c r="X262" s="3"/>
      <c r="Y262" s="3"/>
      <c r="Z262" s="3"/>
    </row>
    <row r="263" spans="1:26" s="2" customFormat="1">
      <c r="A263" s="3"/>
      <c r="B263" s="3"/>
      <c r="C263" s="3"/>
      <c r="D263" s="3"/>
      <c r="E263" s="3"/>
      <c r="F263" s="3"/>
      <c r="G263" s="4"/>
      <c r="H263" s="3"/>
      <c r="I263" s="3"/>
      <c r="J263" s="3"/>
      <c r="K263" s="3"/>
      <c r="L263" s="3"/>
      <c r="M263" s="3"/>
      <c r="N263" s="3"/>
      <c r="O263" s="3"/>
      <c r="P263" s="3"/>
      <c r="Q263" s="3"/>
      <c r="R263" s="3"/>
      <c r="S263" s="3"/>
      <c r="T263" s="3"/>
      <c r="U263" s="3"/>
      <c r="V263" s="3"/>
      <c r="W263" s="3"/>
      <c r="X263" s="3"/>
      <c r="Y263" s="3"/>
      <c r="Z263" s="3"/>
    </row>
    <row r="264" spans="1:26" s="2" customFormat="1">
      <c r="A264" s="3"/>
      <c r="B264" s="3"/>
      <c r="C264" s="3"/>
      <c r="D264" s="3"/>
      <c r="E264" s="3"/>
      <c r="F264" s="3"/>
      <c r="G264" s="4"/>
      <c r="H264" s="3"/>
      <c r="I264" s="3"/>
      <c r="J264" s="3"/>
      <c r="K264" s="3"/>
      <c r="L264" s="3"/>
      <c r="M264" s="3"/>
      <c r="N264" s="3"/>
      <c r="O264" s="3"/>
      <c r="P264" s="3"/>
      <c r="Q264" s="3"/>
      <c r="R264" s="3"/>
      <c r="S264" s="3"/>
      <c r="T264" s="3"/>
      <c r="U264" s="3"/>
      <c r="V264" s="3"/>
      <c r="W264" s="3"/>
      <c r="X264" s="3"/>
      <c r="Y264" s="3"/>
      <c r="Z264" s="3"/>
    </row>
    <row r="265" spans="1:26" s="2" customFormat="1">
      <c r="A265" s="3"/>
      <c r="B265" s="3"/>
      <c r="C265" s="3"/>
      <c r="D265" s="3"/>
      <c r="E265" s="3"/>
      <c r="F265" s="3"/>
      <c r="G265" s="4"/>
      <c r="H265" s="3"/>
      <c r="I265" s="3"/>
      <c r="J265" s="3"/>
      <c r="K265" s="3"/>
      <c r="L265" s="3"/>
      <c r="M265" s="3"/>
      <c r="N265" s="3"/>
      <c r="O265" s="3"/>
      <c r="P265" s="3"/>
      <c r="Q265" s="3"/>
      <c r="R265" s="3"/>
      <c r="S265" s="3"/>
      <c r="T265" s="3"/>
      <c r="U265" s="3"/>
      <c r="V265" s="3"/>
      <c r="W265" s="3"/>
      <c r="X265" s="3"/>
      <c r="Y265" s="3"/>
      <c r="Z265" s="3"/>
    </row>
    <row r="266" spans="1:26" s="2" customFormat="1">
      <c r="A266" s="3"/>
      <c r="B266" s="3"/>
      <c r="C266" s="3"/>
      <c r="D266" s="3"/>
      <c r="E266" s="3"/>
      <c r="F266" s="3"/>
      <c r="G266" s="4"/>
      <c r="H266" s="3"/>
      <c r="I266" s="3"/>
      <c r="J266" s="3"/>
      <c r="K266" s="3"/>
      <c r="L266" s="3"/>
      <c r="M266" s="3"/>
      <c r="N266" s="3"/>
      <c r="O266" s="3"/>
      <c r="P266" s="3"/>
      <c r="Q266" s="3"/>
      <c r="R266" s="3"/>
      <c r="S266" s="3"/>
      <c r="T266" s="3"/>
      <c r="U266" s="3"/>
      <c r="V266" s="3"/>
      <c r="W266" s="3"/>
      <c r="X266" s="3"/>
      <c r="Y266" s="3"/>
      <c r="Z266" s="3"/>
    </row>
    <row r="267" spans="1:26" s="2" customFormat="1">
      <c r="A267" s="3"/>
      <c r="B267" s="3"/>
      <c r="C267" s="3"/>
      <c r="D267" s="3"/>
      <c r="E267" s="3"/>
      <c r="F267" s="3"/>
      <c r="G267" s="4"/>
      <c r="H267" s="3"/>
      <c r="I267" s="3"/>
      <c r="J267" s="3"/>
      <c r="K267" s="3"/>
      <c r="L267" s="3"/>
      <c r="M267" s="3"/>
      <c r="N267" s="3"/>
      <c r="O267" s="3"/>
      <c r="P267" s="3"/>
      <c r="Q267" s="3"/>
      <c r="R267" s="3"/>
      <c r="S267" s="3"/>
      <c r="T267" s="3"/>
      <c r="U267" s="3"/>
      <c r="V267" s="3"/>
      <c r="W267" s="3"/>
      <c r="X267" s="3"/>
      <c r="Y267" s="3"/>
      <c r="Z267" s="3"/>
    </row>
    <row r="268" spans="1:26" s="2" customFormat="1">
      <c r="A268" s="3"/>
      <c r="B268" s="3"/>
      <c r="C268" s="3"/>
      <c r="D268" s="3"/>
      <c r="E268" s="3"/>
      <c r="F268" s="3"/>
      <c r="G268" s="4"/>
      <c r="H268" s="3"/>
      <c r="I268" s="3"/>
      <c r="J268" s="3"/>
      <c r="K268" s="3"/>
      <c r="L268" s="3"/>
      <c r="M268" s="3"/>
      <c r="N268" s="3"/>
      <c r="O268" s="3"/>
      <c r="P268" s="3"/>
      <c r="Q268" s="3"/>
      <c r="R268" s="3"/>
      <c r="S268" s="3"/>
      <c r="T268" s="3"/>
      <c r="U268" s="3"/>
      <c r="V268" s="3"/>
      <c r="W268" s="3"/>
      <c r="X268" s="3"/>
      <c r="Y268" s="3"/>
      <c r="Z268" s="3"/>
    </row>
    <row r="269" spans="1:26" s="2" customFormat="1">
      <c r="A269" s="3"/>
      <c r="B269" s="3"/>
      <c r="C269" s="3"/>
      <c r="D269" s="3"/>
      <c r="E269" s="3"/>
      <c r="F269" s="3"/>
      <c r="G269" s="4"/>
      <c r="H269" s="3"/>
      <c r="I269" s="3"/>
      <c r="J269" s="3"/>
      <c r="K269" s="3"/>
      <c r="L269" s="3"/>
      <c r="M269" s="3"/>
      <c r="N269" s="3"/>
      <c r="O269" s="3"/>
      <c r="P269" s="3"/>
      <c r="Q269" s="3"/>
      <c r="R269" s="3"/>
      <c r="S269" s="3"/>
      <c r="T269" s="3"/>
      <c r="U269" s="3"/>
      <c r="V269" s="3"/>
      <c r="W269" s="3"/>
      <c r="X269" s="3"/>
      <c r="Y269" s="3"/>
      <c r="Z269" s="3"/>
    </row>
    <row r="270" spans="1:26" s="2" customFormat="1">
      <c r="A270" s="3"/>
      <c r="B270" s="3"/>
      <c r="C270" s="3"/>
      <c r="D270" s="3"/>
      <c r="E270" s="3"/>
      <c r="F270" s="3"/>
      <c r="G270" s="4"/>
      <c r="H270" s="3"/>
      <c r="I270" s="3"/>
      <c r="J270" s="3"/>
      <c r="K270" s="3"/>
      <c r="L270" s="3"/>
      <c r="M270" s="3"/>
      <c r="N270" s="3"/>
      <c r="O270" s="3"/>
      <c r="P270" s="3"/>
      <c r="Q270" s="3"/>
      <c r="R270" s="3"/>
      <c r="S270" s="3"/>
      <c r="T270" s="3"/>
      <c r="U270" s="3"/>
      <c r="V270" s="3"/>
      <c r="W270" s="3"/>
      <c r="X270" s="3"/>
      <c r="Y270" s="3"/>
      <c r="Z270" s="3"/>
    </row>
    <row r="271" spans="1:26" s="2" customFormat="1">
      <c r="A271" s="3"/>
      <c r="B271" s="3"/>
      <c r="C271" s="3"/>
      <c r="D271" s="3"/>
      <c r="E271" s="3"/>
      <c r="F271" s="3"/>
      <c r="G271" s="4"/>
      <c r="H271" s="3"/>
      <c r="I271" s="3"/>
      <c r="J271" s="3"/>
      <c r="K271" s="3"/>
      <c r="L271" s="3"/>
      <c r="M271" s="3"/>
      <c r="N271" s="3"/>
      <c r="O271" s="3"/>
      <c r="P271" s="3"/>
      <c r="Q271" s="3"/>
      <c r="R271" s="3"/>
      <c r="S271" s="3"/>
      <c r="T271" s="3"/>
      <c r="U271" s="3"/>
      <c r="V271" s="3"/>
      <c r="W271" s="3"/>
      <c r="X271" s="3"/>
      <c r="Y271" s="3"/>
      <c r="Z271" s="3"/>
    </row>
    <row r="272" spans="1:26" s="2" customFormat="1">
      <c r="A272" s="3"/>
      <c r="B272" s="3"/>
      <c r="C272" s="3"/>
      <c r="D272" s="3"/>
      <c r="E272" s="3"/>
      <c r="F272" s="3"/>
      <c r="G272" s="4"/>
      <c r="H272" s="3"/>
      <c r="I272" s="3"/>
      <c r="J272" s="3"/>
      <c r="K272" s="3"/>
      <c r="L272" s="3"/>
      <c r="M272" s="3"/>
      <c r="N272" s="3"/>
      <c r="O272" s="3"/>
      <c r="P272" s="3"/>
      <c r="Q272" s="3"/>
      <c r="R272" s="3"/>
      <c r="S272" s="3"/>
      <c r="T272" s="3"/>
      <c r="U272" s="3"/>
      <c r="V272" s="3"/>
      <c r="W272" s="3"/>
      <c r="X272" s="3"/>
      <c r="Y272" s="3"/>
      <c r="Z272" s="3"/>
    </row>
    <row r="273" spans="1:26" s="2" customFormat="1">
      <c r="A273" s="3"/>
      <c r="B273" s="3"/>
      <c r="C273" s="3"/>
      <c r="D273" s="3"/>
      <c r="E273" s="3"/>
      <c r="F273" s="3"/>
      <c r="G273" s="4"/>
      <c r="H273" s="3"/>
      <c r="I273" s="3"/>
      <c r="J273" s="3"/>
      <c r="K273" s="3"/>
      <c r="L273" s="3"/>
      <c r="M273" s="3"/>
      <c r="N273" s="3"/>
      <c r="O273" s="3"/>
      <c r="P273" s="3"/>
      <c r="Q273" s="3"/>
      <c r="R273" s="3"/>
      <c r="S273" s="3"/>
      <c r="T273" s="3"/>
      <c r="U273" s="3"/>
      <c r="V273" s="3"/>
      <c r="W273" s="3"/>
      <c r="X273" s="3"/>
      <c r="Y273" s="3"/>
      <c r="Z273" s="3"/>
    </row>
    <row r="274" spans="1:26" s="2" customFormat="1">
      <c r="A274" s="3"/>
      <c r="B274" s="3"/>
      <c r="C274" s="3"/>
      <c r="D274" s="3"/>
      <c r="E274" s="3"/>
      <c r="F274" s="3"/>
      <c r="G274" s="4"/>
      <c r="H274" s="3"/>
      <c r="I274" s="3"/>
      <c r="J274" s="3"/>
      <c r="K274" s="3"/>
      <c r="L274" s="3"/>
      <c r="M274" s="3"/>
      <c r="N274" s="3"/>
      <c r="O274" s="3"/>
      <c r="P274" s="3"/>
      <c r="Q274" s="3"/>
      <c r="R274" s="3"/>
      <c r="S274" s="3"/>
      <c r="T274" s="3"/>
      <c r="U274" s="3"/>
      <c r="V274" s="3"/>
      <c r="W274" s="3"/>
      <c r="X274" s="3"/>
      <c r="Y274" s="3"/>
      <c r="Z274" s="3"/>
    </row>
    <row r="275" spans="1:26" s="2" customFormat="1">
      <c r="A275" s="3"/>
      <c r="B275" s="3"/>
      <c r="C275" s="3"/>
      <c r="D275" s="3"/>
      <c r="E275" s="3"/>
      <c r="F275" s="3"/>
      <c r="G275" s="4"/>
      <c r="H275" s="3"/>
      <c r="I275" s="3"/>
      <c r="J275" s="3"/>
      <c r="K275" s="3"/>
      <c r="L275" s="3"/>
      <c r="M275" s="3"/>
      <c r="N275" s="3"/>
      <c r="O275" s="3"/>
      <c r="P275" s="3"/>
      <c r="Q275" s="3"/>
      <c r="R275" s="3"/>
      <c r="S275" s="3"/>
      <c r="T275" s="3"/>
      <c r="U275" s="3"/>
      <c r="V275" s="3"/>
      <c r="W275" s="3"/>
      <c r="X275" s="3"/>
      <c r="Y275" s="3"/>
      <c r="Z275" s="3"/>
    </row>
    <row r="276" spans="1:26" s="2" customFormat="1">
      <c r="A276" s="3"/>
      <c r="B276" s="3"/>
      <c r="C276" s="3"/>
      <c r="D276" s="3"/>
      <c r="E276" s="3"/>
      <c r="F276" s="3"/>
      <c r="G276" s="4"/>
      <c r="H276" s="3"/>
      <c r="I276" s="3"/>
      <c r="J276" s="3"/>
      <c r="K276" s="3"/>
      <c r="L276" s="3"/>
      <c r="M276" s="3"/>
      <c r="N276" s="3"/>
      <c r="O276" s="3"/>
      <c r="P276" s="3"/>
      <c r="Q276" s="3"/>
      <c r="R276" s="3"/>
      <c r="S276" s="3"/>
      <c r="T276" s="3"/>
      <c r="U276" s="3"/>
      <c r="V276" s="3"/>
      <c r="W276" s="3"/>
      <c r="X276" s="3"/>
      <c r="Y276" s="3"/>
      <c r="Z276" s="3"/>
    </row>
    <row r="277" spans="1:26" s="2" customFormat="1">
      <c r="A277" s="3"/>
      <c r="B277" s="3"/>
      <c r="C277" s="3"/>
      <c r="D277" s="3"/>
      <c r="E277" s="3"/>
      <c r="F277" s="3"/>
      <c r="G277" s="4"/>
      <c r="H277" s="3"/>
      <c r="I277" s="3"/>
      <c r="J277" s="3"/>
      <c r="K277" s="3"/>
      <c r="L277" s="3"/>
      <c r="M277" s="3"/>
      <c r="N277" s="3"/>
      <c r="O277" s="3"/>
      <c r="P277" s="3"/>
      <c r="Q277" s="3"/>
      <c r="R277" s="3"/>
      <c r="S277" s="3"/>
      <c r="T277" s="3"/>
      <c r="U277" s="3"/>
      <c r="V277" s="3"/>
      <c r="W277" s="3"/>
      <c r="X277" s="3"/>
      <c r="Y277" s="3"/>
      <c r="Z277" s="3"/>
    </row>
    <row r="278" spans="1:26" s="2" customFormat="1">
      <c r="A278" s="3"/>
      <c r="B278" s="3"/>
      <c r="C278" s="3"/>
      <c r="D278" s="3"/>
      <c r="E278" s="3"/>
      <c r="F278" s="3"/>
      <c r="G278" s="4"/>
      <c r="H278" s="3"/>
      <c r="I278" s="3"/>
      <c r="J278" s="3"/>
      <c r="K278" s="3"/>
      <c r="L278" s="3"/>
      <c r="M278" s="3"/>
      <c r="N278" s="3"/>
      <c r="O278" s="3"/>
      <c r="P278" s="3"/>
      <c r="Q278" s="3"/>
      <c r="R278" s="3"/>
      <c r="S278" s="3"/>
      <c r="T278" s="3"/>
      <c r="U278" s="3"/>
      <c r="V278" s="3"/>
      <c r="W278" s="3"/>
      <c r="X278" s="3"/>
      <c r="Y278" s="3"/>
      <c r="Z278" s="3"/>
    </row>
    <row r="279" spans="1:26" s="2" customFormat="1">
      <c r="A279" s="3"/>
      <c r="B279" s="3"/>
      <c r="C279" s="3"/>
      <c r="D279" s="3"/>
      <c r="E279" s="3"/>
      <c r="F279" s="3"/>
      <c r="G279" s="4"/>
      <c r="H279" s="3"/>
      <c r="I279" s="3"/>
      <c r="J279" s="3"/>
      <c r="K279" s="3"/>
      <c r="L279" s="3"/>
      <c r="M279" s="3"/>
      <c r="N279" s="3"/>
      <c r="O279" s="3"/>
      <c r="P279" s="3"/>
      <c r="Q279" s="3"/>
      <c r="R279" s="3"/>
      <c r="S279" s="3"/>
      <c r="T279" s="3"/>
      <c r="U279" s="3"/>
      <c r="V279" s="3"/>
      <c r="W279" s="3"/>
      <c r="X279" s="3"/>
      <c r="Y279" s="3"/>
      <c r="Z279" s="3"/>
    </row>
    <row r="280" spans="1:26" s="2" customFormat="1">
      <c r="A280" s="3"/>
      <c r="B280" s="3"/>
      <c r="C280" s="3"/>
      <c r="D280" s="3"/>
      <c r="E280" s="3"/>
      <c r="F280" s="3"/>
      <c r="G280" s="4"/>
      <c r="H280" s="3"/>
      <c r="I280" s="3"/>
      <c r="J280" s="3"/>
      <c r="K280" s="3"/>
      <c r="L280" s="3"/>
      <c r="M280" s="3"/>
      <c r="N280" s="3"/>
      <c r="O280" s="3"/>
      <c r="P280" s="3"/>
      <c r="Q280" s="3"/>
      <c r="R280" s="3"/>
      <c r="S280" s="3"/>
      <c r="T280" s="3"/>
      <c r="U280" s="3"/>
      <c r="V280" s="3"/>
      <c r="W280" s="3"/>
      <c r="X280" s="3"/>
      <c r="Y280" s="3"/>
      <c r="Z280" s="3"/>
    </row>
    <row r="281" spans="1:26" s="2" customFormat="1">
      <c r="A281" s="3"/>
      <c r="B281" s="3"/>
      <c r="C281" s="3"/>
      <c r="D281" s="3"/>
      <c r="E281" s="3"/>
      <c r="F281" s="3"/>
      <c r="G281" s="4"/>
      <c r="H281" s="3"/>
      <c r="I281" s="3"/>
      <c r="J281" s="3"/>
      <c r="K281" s="3"/>
      <c r="L281" s="3"/>
      <c r="M281" s="3"/>
      <c r="N281" s="3"/>
      <c r="O281" s="3"/>
      <c r="P281" s="3"/>
      <c r="Q281" s="3"/>
      <c r="R281" s="3"/>
      <c r="S281" s="3"/>
      <c r="T281" s="3"/>
      <c r="U281" s="3"/>
      <c r="V281" s="3"/>
      <c r="W281" s="3"/>
      <c r="X281" s="3"/>
      <c r="Y281" s="3"/>
      <c r="Z281" s="3"/>
    </row>
    <row r="282" spans="1:26" s="2" customFormat="1">
      <c r="A282" s="3"/>
      <c r="B282" s="3"/>
      <c r="C282" s="3"/>
      <c r="D282" s="3"/>
      <c r="E282" s="3"/>
      <c r="F282" s="3"/>
      <c r="G282" s="4"/>
      <c r="H282" s="3"/>
      <c r="I282" s="3"/>
      <c r="J282" s="3"/>
      <c r="K282" s="3"/>
      <c r="L282" s="3"/>
      <c r="M282" s="3"/>
      <c r="N282" s="3"/>
      <c r="O282" s="3"/>
      <c r="P282" s="3"/>
      <c r="Q282" s="3"/>
      <c r="R282" s="3"/>
      <c r="S282" s="3"/>
      <c r="T282" s="3"/>
      <c r="U282" s="3"/>
      <c r="V282" s="3"/>
      <c r="W282" s="3"/>
      <c r="X282" s="3"/>
      <c r="Y282" s="3"/>
      <c r="Z282" s="3"/>
    </row>
    <row r="283" spans="1:26" s="2" customFormat="1">
      <c r="A283" s="3"/>
      <c r="B283" s="3"/>
      <c r="C283" s="3"/>
      <c r="D283" s="3"/>
      <c r="E283" s="3"/>
      <c r="F283" s="3"/>
      <c r="G283" s="4"/>
      <c r="H283" s="3"/>
      <c r="I283" s="3"/>
      <c r="J283" s="3"/>
      <c r="K283" s="3"/>
      <c r="L283" s="3"/>
      <c r="M283" s="3"/>
      <c r="N283" s="3"/>
      <c r="O283" s="3"/>
      <c r="P283" s="3"/>
      <c r="Q283" s="3"/>
      <c r="R283" s="3"/>
      <c r="S283" s="3"/>
      <c r="T283" s="3"/>
      <c r="U283" s="3"/>
      <c r="V283" s="3"/>
      <c r="W283" s="3"/>
      <c r="X283" s="3"/>
      <c r="Y283" s="3"/>
      <c r="Z283" s="3"/>
    </row>
    <row r="284" spans="1:26" s="2" customFormat="1">
      <c r="A284" s="3"/>
      <c r="B284" s="3"/>
      <c r="C284" s="3"/>
      <c r="D284" s="3"/>
      <c r="E284" s="3"/>
      <c r="F284" s="3"/>
      <c r="G284" s="4"/>
      <c r="H284" s="3"/>
      <c r="I284" s="3"/>
      <c r="J284" s="3"/>
      <c r="K284" s="3"/>
      <c r="L284" s="3"/>
      <c r="M284" s="3"/>
      <c r="N284" s="3"/>
      <c r="O284" s="3"/>
      <c r="P284" s="3"/>
      <c r="Q284" s="3"/>
      <c r="R284" s="3"/>
      <c r="S284" s="3"/>
      <c r="T284" s="3"/>
      <c r="U284" s="3"/>
      <c r="V284" s="3"/>
      <c r="W284" s="3"/>
      <c r="X284" s="3"/>
      <c r="Y284" s="3"/>
      <c r="Z284" s="3"/>
    </row>
    <row r="285" spans="1:26" s="2" customFormat="1">
      <c r="A285" s="3"/>
      <c r="B285" s="3"/>
      <c r="C285" s="3"/>
      <c r="D285" s="3"/>
      <c r="E285" s="3"/>
      <c r="F285" s="3"/>
      <c r="G285" s="4"/>
      <c r="H285" s="3"/>
      <c r="I285" s="3"/>
      <c r="J285" s="3"/>
      <c r="K285" s="3"/>
      <c r="L285" s="3"/>
      <c r="M285" s="3"/>
      <c r="N285" s="3"/>
      <c r="O285" s="3"/>
      <c r="P285" s="3"/>
      <c r="Q285" s="3"/>
      <c r="R285" s="3"/>
      <c r="S285" s="3"/>
      <c r="T285" s="3"/>
      <c r="U285" s="3"/>
      <c r="V285" s="3"/>
      <c r="W285" s="3"/>
      <c r="X285" s="3"/>
      <c r="Y285" s="3"/>
      <c r="Z285" s="3"/>
    </row>
    <row r="286" spans="1:26" s="2" customFormat="1">
      <c r="A286" s="3"/>
      <c r="B286" s="3"/>
      <c r="C286" s="3"/>
      <c r="D286" s="3"/>
      <c r="E286" s="3"/>
      <c r="F286" s="3"/>
      <c r="G286" s="4"/>
      <c r="H286" s="3"/>
      <c r="I286" s="3"/>
      <c r="J286" s="3"/>
      <c r="K286" s="3"/>
      <c r="L286" s="3"/>
      <c r="M286" s="3"/>
      <c r="N286" s="3"/>
      <c r="O286" s="3"/>
      <c r="P286" s="3"/>
      <c r="Q286" s="3"/>
      <c r="R286" s="3"/>
      <c r="S286" s="3"/>
      <c r="T286" s="3"/>
      <c r="U286" s="3"/>
      <c r="V286" s="3"/>
      <c r="W286" s="3"/>
      <c r="X286" s="3"/>
      <c r="Y286" s="3"/>
      <c r="Z286" s="3"/>
    </row>
    <row r="287" spans="1:26" s="2" customFormat="1">
      <c r="A287" s="3"/>
      <c r="B287" s="3"/>
      <c r="C287" s="3"/>
      <c r="D287" s="3"/>
      <c r="E287" s="3"/>
      <c r="F287" s="3"/>
      <c r="G287" s="4"/>
      <c r="H287" s="3"/>
      <c r="I287" s="3"/>
      <c r="J287" s="3"/>
      <c r="K287" s="3"/>
      <c r="L287" s="3"/>
      <c r="M287" s="3"/>
      <c r="N287" s="3"/>
      <c r="O287" s="3"/>
      <c r="P287" s="3"/>
      <c r="Q287" s="3"/>
      <c r="R287" s="3"/>
      <c r="S287" s="3"/>
      <c r="T287" s="3"/>
      <c r="U287" s="3"/>
      <c r="V287" s="3"/>
      <c r="W287" s="3"/>
      <c r="X287" s="3"/>
      <c r="Y287" s="3"/>
      <c r="Z287" s="3"/>
    </row>
    <row r="288" spans="1:26" s="2" customFormat="1">
      <c r="A288" s="3"/>
      <c r="B288" s="3"/>
      <c r="C288" s="3"/>
      <c r="D288" s="3"/>
      <c r="E288" s="3"/>
      <c r="F288" s="3"/>
      <c r="G288" s="4"/>
      <c r="H288" s="3"/>
      <c r="I288" s="3"/>
      <c r="J288" s="3"/>
      <c r="K288" s="3"/>
      <c r="L288" s="3"/>
      <c r="M288" s="3"/>
      <c r="N288" s="3"/>
      <c r="O288" s="3"/>
      <c r="P288" s="3"/>
      <c r="Q288" s="3"/>
      <c r="R288" s="3"/>
      <c r="S288" s="3"/>
      <c r="T288" s="3"/>
      <c r="U288" s="3"/>
      <c r="V288" s="3"/>
      <c r="W288" s="3"/>
      <c r="X288" s="3"/>
      <c r="Y288" s="3"/>
      <c r="Z288" s="3"/>
    </row>
    <row r="289" spans="1:26" s="2" customFormat="1">
      <c r="A289" s="3"/>
      <c r="B289" s="3"/>
      <c r="C289" s="3"/>
      <c r="D289" s="3"/>
      <c r="E289" s="3"/>
      <c r="F289" s="3"/>
      <c r="G289" s="4"/>
      <c r="H289" s="3"/>
      <c r="I289" s="3"/>
      <c r="J289" s="3"/>
      <c r="K289" s="3"/>
      <c r="L289" s="3"/>
      <c r="M289" s="3"/>
      <c r="N289" s="3"/>
      <c r="O289" s="3"/>
      <c r="P289" s="3"/>
      <c r="Q289" s="3"/>
      <c r="R289" s="3"/>
      <c r="S289" s="3"/>
      <c r="T289" s="3"/>
      <c r="U289" s="3"/>
      <c r="V289" s="3"/>
      <c r="W289" s="3"/>
      <c r="X289" s="3"/>
      <c r="Y289" s="3"/>
      <c r="Z289" s="3"/>
    </row>
    <row r="290" spans="1:26" s="2" customFormat="1">
      <c r="A290" s="3"/>
      <c r="B290" s="3"/>
      <c r="C290" s="3"/>
      <c r="D290" s="3"/>
      <c r="E290" s="3"/>
      <c r="F290" s="3"/>
      <c r="G290" s="4"/>
      <c r="H290" s="3"/>
      <c r="I290" s="3"/>
      <c r="J290" s="3"/>
      <c r="K290" s="3"/>
      <c r="L290" s="3"/>
      <c r="M290" s="3"/>
      <c r="N290" s="3"/>
      <c r="O290" s="3"/>
      <c r="P290" s="3"/>
      <c r="Q290" s="3"/>
      <c r="R290" s="3"/>
      <c r="S290" s="3"/>
      <c r="T290" s="3"/>
      <c r="U290" s="3"/>
      <c r="V290" s="3"/>
      <c r="W290" s="3"/>
      <c r="X290" s="3"/>
      <c r="Y290" s="3"/>
      <c r="Z290" s="3"/>
    </row>
    <row r="291" spans="1:26" s="2" customFormat="1">
      <c r="A291" s="3"/>
      <c r="B291" s="3"/>
      <c r="C291" s="3"/>
      <c r="D291" s="3"/>
      <c r="E291" s="3"/>
      <c r="F291" s="3"/>
      <c r="G291" s="4"/>
      <c r="H291" s="3"/>
      <c r="I291" s="3"/>
      <c r="J291" s="3"/>
      <c r="K291" s="3"/>
      <c r="L291" s="3"/>
      <c r="M291" s="3"/>
      <c r="N291" s="3"/>
      <c r="O291" s="3"/>
      <c r="P291" s="3"/>
      <c r="Q291" s="3"/>
      <c r="R291" s="3"/>
      <c r="S291" s="3"/>
      <c r="T291" s="3"/>
      <c r="U291" s="3"/>
      <c r="V291" s="3"/>
      <c r="W291" s="3"/>
      <c r="X291" s="3"/>
      <c r="Y291" s="3"/>
      <c r="Z291" s="3"/>
    </row>
    <row r="292" spans="1:26" s="2" customFormat="1">
      <c r="A292" s="3"/>
      <c r="B292" s="3"/>
      <c r="C292" s="3"/>
      <c r="D292" s="3"/>
      <c r="E292" s="3"/>
      <c r="F292" s="3"/>
      <c r="G292" s="4"/>
      <c r="H292" s="3"/>
      <c r="I292" s="3"/>
      <c r="J292" s="3"/>
      <c r="K292" s="3"/>
      <c r="L292" s="3"/>
      <c r="M292" s="3"/>
      <c r="N292" s="3"/>
      <c r="O292" s="3"/>
      <c r="P292" s="3"/>
      <c r="Q292" s="3"/>
      <c r="R292" s="3"/>
      <c r="S292" s="3"/>
      <c r="T292" s="3"/>
      <c r="U292" s="3"/>
      <c r="V292" s="3"/>
      <c r="W292" s="3"/>
      <c r="X292" s="3"/>
      <c r="Y292" s="3"/>
      <c r="Z292" s="3"/>
    </row>
    <row r="293" spans="1:26" s="2" customFormat="1">
      <c r="A293" s="3"/>
      <c r="B293" s="3"/>
      <c r="C293" s="3"/>
      <c r="D293" s="3"/>
      <c r="E293" s="3"/>
      <c r="F293" s="3"/>
      <c r="G293" s="4"/>
      <c r="H293" s="3"/>
      <c r="I293" s="3"/>
      <c r="J293" s="3"/>
      <c r="K293" s="3"/>
      <c r="L293" s="3"/>
      <c r="M293" s="3"/>
      <c r="N293" s="3"/>
      <c r="O293" s="3"/>
      <c r="P293" s="3"/>
      <c r="Q293" s="3"/>
      <c r="R293" s="3"/>
      <c r="S293" s="3"/>
      <c r="T293" s="3"/>
      <c r="U293" s="3"/>
      <c r="V293" s="3"/>
      <c r="W293" s="3"/>
      <c r="X293" s="3"/>
      <c r="Y293" s="3"/>
      <c r="Z293" s="3"/>
    </row>
    <row r="294" spans="1:26" s="2" customFormat="1">
      <c r="A294" s="3"/>
      <c r="B294" s="3"/>
      <c r="C294" s="3"/>
      <c r="D294" s="3"/>
      <c r="E294" s="3"/>
      <c r="F294" s="3"/>
      <c r="G294" s="4"/>
      <c r="H294" s="3"/>
      <c r="I294" s="3"/>
      <c r="J294" s="3"/>
      <c r="K294" s="3"/>
      <c r="L294" s="3"/>
      <c r="M294" s="3"/>
      <c r="N294" s="3"/>
      <c r="O294" s="3"/>
      <c r="P294" s="3"/>
      <c r="Q294" s="3"/>
      <c r="R294" s="3"/>
      <c r="S294" s="3"/>
      <c r="T294" s="3"/>
      <c r="U294" s="3"/>
      <c r="V294" s="3"/>
      <c r="W294" s="3"/>
      <c r="X294" s="3"/>
      <c r="Y294" s="3"/>
      <c r="Z294" s="3"/>
    </row>
    <row r="295" spans="1:26" s="2" customFormat="1">
      <c r="A295" s="3"/>
      <c r="B295" s="3"/>
      <c r="C295" s="3"/>
      <c r="D295" s="3"/>
      <c r="E295" s="3"/>
      <c r="F295" s="3"/>
      <c r="G295" s="4"/>
      <c r="H295" s="3"/>
      <c r="I295" s="3"/>
      <c r="J295" s="3"/>
      <c r="K295" s="3"/>
      <c r="L295" s="3"/>
      <c r="M295" s="3"/>
      <c r="N295" s="3"/>
      <c r="O295" s="3"/>
      <c r="P295" s="3"/>
      <c r="Q295" s="3"/>
      <c r="R295" s="3"/>
      <c r="S295" s="3"/>
      <c r="T295" s="3"/>
      <c r="U295" s="3"/>
      <c r="V295" s="3"/>
      <c r="W295" s="3"/>
      <c r="X295" s="3"/>
      <c r="Y295" s="3"/>
      <c r="Z295" s="3"/>
    </row>
    <row r="296" spans="1:26" s="2" customFormat="1">
      <c r="A296" s="3"/>
      <c r="B296" s="3"/>
      <c r="C296" s="3"/>
      <c r="D296" s="3"/>
      <c r="E296" s="3"/>
      <c r="F296" s="3"/>
      <c r="G296" s="4"/>
      <c r="H296" s="3"/>
      <c r="I296" s="3"/>
      <c r="J296" s="3"/>
      <c r="K296" s="3"/>
      <c r="L296" s="3"/>
      <c r="M296" s="3"/>
      <c r="N296" s="3"/>
      <c r="O296" s="3"/>
      <c r="P296" s="3"/>
      <c r="Q296" s="3"/>
      <c r="R296" s="3"/>
      <c r="S296" s="3"/>
      <c r="T296" s="3"/>
      <c r="U296" s="3"/>
      <c r="V296" s="3"/>
      <c r="W296" s="3"/>
      <c r="X296" s="3"/>
      <c r="Y296" s="3"/>
      <c r="Z296" s="3"/>
    </row>
    <row r="297" spans="1:26" s="2" customFormat="1">
      <c r="A297" s="3"/>
      <c r="B297" s="3"/>
      <c r="C297" s="3"/>
      <c r="D297" s="3"/>
      <c r="E297" s="3"/>
      <c r="F297" s="3"/>
      <c r="G297" s="4"/>
      <c r="H297" s="3"/>
      <c r="I297" s="3"/>
      <c r="J297" s="3"/>
      <c r="K297" s="3"/>
      <c r="L297" s="3"/>
      <c r="M297" s="3"/>
      <c r="N297" s="3"/>
      <c r="O297" s="3"/>
      <c r="P297" s="3"/>
      <c r="Q297" s="3"/>
      <c r="R297" s="3"/>
      <c r="S297" s="3"/>
      <c r="T297" s="3"/>
      <c r="U297" s="3"/>
      <c r="V297" s="3"/>
      <c r="W297" s="3"/>
      <c r="X297" s="3"/>
      <c r="Y297" s="3"/>
      <c r="Z297" s="3"/>
    </row>
    <row r="298" spans="1:26" s="2" customFormat="1">
      <c r="A298" s="3"/>
      <c r="B298" s="3"/>
      <c r="C298" s="3"/>
      <c r="D298" s="3"/>
      <c r="E298" s="3"/>
      <c r="F298" s="3"/>
      <c r="G298" s="4"/>
      <c r="H298" s="3"/>
      <c r="I298" s="3"/>
      <c r="J298" s="3"/>
      <c r="K298" s="3"/>
      <c r="L298" s="3"/>
      <c r="M298" s="3"/>
      <c r="N298" s="3"/>
      <c r="O298" s="3"/>
      <c r="P298" s="3"/>
      <c r="Q298" s="3"/>
      <c r="R298" s="3"/>
      <c r="S298" s="3"/>
      <c r="T298" s="3"/>
      <c r="U298" s="3"/>
      <c r="V298" s="3"/>
      <c r="W298" s="3"/>
      <c r="X298" s="3"/>
      <c r="Y298" s="3"/>
      <c r="Z298" s="3"/>
    </row>
    <row r="299" spans="1:26" s="2" customFormat="1">
      <c r="A299" s="3"/>
      <c r="B299" s="3"/>
      <c r="C299" s="3"/>
      <c r="D299" s="3"/>
      <c r="E299" s="3"/>
      <c r="F299" s="3"/>
      <c r="G299" s="4"/>
      <c r="H299" s="3"/>
      <c r="I299" s="3"/>
      <c r="J299" s="3"/>
      <c r="K299" s="3"/>
      <c r="L299" s="3"/>
      <c r="M299" s="3"/>
      <c r="N299" s="3"/>
      <c r="O299" s="3"/>
      <c r="P299" s="3"/>
      <c r="Q299" s="3"/>
      <c r="R299" s="3"/>
      <c r="S299" s="3"/>
      <c r="T299" s="3"/>
      <c r="U299" s="3"/>
      <c r="V299" s="3"/>
      <c r="W299" s="3"/>
      <c r="X299" s="3"/>
      <c r="Y299" s="3"/>
      <c r="Z299" s="3"/>
    </row>
    <row r="300" spans="1:26" s="2" customFormat="1">
      <c r="A300" s="3"/>
      <c r="B300" s="3"/>
      <c r="C300" s="3"/>
      <c r="D300" s="3"/>
      <c r="E300" s="3"/>
      <c r="F300" s="3"/>
      <c r="G300" s="4"/>
      <c r="H300" s="3"/>
      <c r="I300" s="3"/>
      <c r="J300" s="3"/>
      <c r="K300" s="3"/>
      <c r="L300" s="3"/>
      <c r="M300" s="3"/>
      <c r="N300" s="3"/>
      <c r="O300" s="3"/>
      <c r="P300" s="3"/>
      <c r="Q300" s="3"/>
      <c r="R300" s="3"/>
      <c r="S300" s="3"/>
      <c r="T300" s="3"/>
      <c r="U300" s="3"/>
      <c r="V300" s="3"/>
      <c r="W300" s="3"/>
      <c r="X300" s="3"/>
      <c r="Y300" s="3"/>
      <c r="Z300" s="3"/>
    </row>
    <row r="301" spans="1:26" s="2" customFormat="1">
      <c r="A301" s="3"/>
      <c r="B301" s="3"/>
      <c r="C301" s="3"/>
      <c r="D301" s="3"/>
      <c r="E301" s="3"/>
      <c r="F301" s="3"/>
      <c r="G301" s="4"/>
      <c r="H301" s="3"/>
      <c r="I301" s="3"/>
      <c r="J301" s="3"/>
      <c r="K301" s="3"/>
      <c r="L301" s="3"/>
      <c r="M301" s="3"/>
      <c r="N301" s="3"/>
      <c r="O301" s="3"/>
      <c r="P301" s="3"/>
      <c r="Q301" s="3"/>
      <c r="R301" s="3"/>
      <c r="S301" s="3"/>
      <c r="T301" s="3"/>
      <c r="U301" s="3"/>
      <c r="V301" s="3"/>
      <c r="W301" s="3"/>
      <c r="X301" s="3"/>
      <c r="Y301" s="3"/>
      <c r="Z301" s="3"/>
    </row>
    <row r="302" spans="1:26" s="2" customFormat="1">
      <c r="A302" s="3"/>
      <c r="B302" s="3"/>
      <c r="C302" s="3"/>
      <c r="D302" s="3"/>
      <c r="E302" s="3"/>
      <c r="F302" s="3"/>
      <c r="G302" s="4"/>
      <c r="H302" s="3"/>
      <c r="I302" s="3"/>
      <c r="J302" s="3"/>
      <c r="K302" s="3"/>
      <c r="L302" s="3"/>
      <c r="M302" s="3"/>
      <c r="N302" s="3"/>
      <c r="O302" s="3"/>
      <c r="P302" s="3"/>
      <c r="Q302" s="3"/>
      <c r="R302" s="3"/>
      <c r="S302" s="3"/>
      <c r="T302" s="3"/>
      <c r="U302" s="3"/>
      <c r="V302" s="3"/>
      <c r="W302" s="3"/>
      <c r="X302" s="3"/>
      <c r="Y302" s="3"/>
      <c r="Z302" s="3"/>
    </row>
    <row r="303" spans="1:26" s="2" customFormat="1">
      <c r="A303" s="3"/>
      <c r="B303" s="3"/>
      <c r="C303" s="3"/>
      <c r="D303" s="3"/>
      <c r="E303" s="3"/>
      <c r="F303" s="3"/>
      <c r="G303" s="4"/>
      <c r="H303" s="3"/>
      <c r="I303" s="3"/>
      <c r="J303" s="3"/>
      <c r="K303" s="3"/>
      <c r="L303" s="3"/>
      <c r="M303" s="3"/>
      <c r="N303" s="3"/>
      <c r="O303" s="3"/>
      <c r="P303" s="3"/>
      <c r="Q303" s="3"/>
      <c r="R303" s="3"/>
      <c r="S303" s="3"/>
      <c r="T303" s="3"/>
      <c r="U303" s="3"/>
      <c r="V303" s="3"/>
      <c r="W303" s="3"/>
      <c r="X303" s="3"/>
      <c r="Y303" s="3"/>
      <c r="Z303" s="3"/>
    </row>
    <row r="304" spans="1:26" s="2" customFormat="1">
      <c r="A304" s="3"/>
      <c r="B304" s="3"/>
      <c r="C304" s="3"/>
      <c r="D304" s="3"/>
      <c r="E304" s="3"/>
      <c r="F304" s="3"/>
      <c r="G304" s="4"/>
      <c r="H304" s="3"/>
      <c r="I304" s="3"/>
      <c r="J304" s="3"/>
      <c r="K304" s="3"/>
      <c r="L304" s="3"/>
      <c r="M304" s="3"/>
      <c r="N304" s="3"/>
      <c r="O304" s="3"/>
      <c r="P304" s="3"/>
      <c r="Q304" s="3"/>
      <c r="R304" s="3"/>
      <c r="S304" s="3"/>
      <c r="T304" s="3"/>
      <c r="U304" s="3"/>
      <c r="V304" s="3"/>
      <c r="W304" s="3"/>
      <c r="X304" s="3"/>
      <c r="Y304" s="3"/>
      <c r="Z304" s="3"/>
    </row>
    <row r="305" spans="1:26" s="2" customFormat="1">
      <c r="A305" s="3"/>
      <c r="B305" s="3"/>
      <c r="C305" s="3"/>
      <c r="D305" s="3"/>
      <c r="E305" s="3"/>
      <c r="F305" s="3"/>
      <c r="G305" s="4"/>
      <c r="H305" s="3"/>
      <c r="I305" s="3"/>
      <c r="J305" s="3"/>
      <c r="K305" s="3"/>
      <c r="L305" s="3"/>
      <c r="M305" s="3"/>
      <c r="N305" s="3"/>
      <c r="O305" s="3"/>
      <c r="P305" s="3"/>
      <c r="Q305" s="3"/>
      <c r="R305" s="3"/>
      <c r="S305" s="3"/>
      <c r="T305" s="3"/>
      <c r="U305" s="3"/>
      <c r="V305" s="3"/>
      <c r="W305" s="3"/>
      <c r="X305" s="3"/>
      <c r="Y305" s="3"/>
      <c r="Z305" s="3"/>
    </row>
    <row r="306" spans="1:26" s="2" customFormat="1">
      <c r="A306" s="3"/>
      <c r="B306" s="3"/>
      <c r="C306" s="3"/>
      <c r="D306" s="3"/>
      <c r="E306" s="3"/>
      <c r="F306" s="3"/>
      <c r="G306" s="4"/>
      <c r="H306" s="3"/>
      <c r="I306" s="3"/>
      <c r="J306" s="3"/>
      <c r="K306" s="3"/>
      <c r="L306" s="3"/>
      <c r="M306" s="3"/>
      <c r="N306" s="3"/>
      <c r="O306" s="3"/>
      <c r="P306" s="3"/>
      <c r="Q306" s="3"/>
      <c r="R306" s="3"/>
      <c r="S306" s="3"/>
      <c r="T306" s="3"/>
      <c r="U306" s="3"/>
      <c r="V306" s="3"/>
      <c r="W306" s="3"/>
      <c r="X306" s="3"/>
      <c r="Y306" s="3"/>
      <c r="Z306" s="3"/>
    </row>
    <row r="307" spans="1:26" s="2" customFormat="1">
      <c r="A307" s="3"/>
      <c r="B307" s="3"/>
      <c r="C307" s="3"/>
      <c r="D307" s="3"/>
      <c r="E307" s="3"/>
      <c r="F307" s="3"/>
      <c r="G307" s="4"/>
      <c r="H307" s="3"/>
      <c r="I307" s="3"/>
      <c r="J307" s="3"/>
      <c r="K307" s="3"/>
      <c r="L307" s="3"/>
      <c r="M307" s="3"/>
      <c r="N307" s="3"/>
      <c r="O307" s="3"/>
      <c r="P307" s="3"/>
      <c r="Q307" s="3"/>
      <c r="R307" s="3"/>
      <c r="S307" s="3"/>
      <c r="T307" s="3"/>
      <c r="U307" s="3"/>
      <c r="V307" s="3"/>
      <c r="W307" s="3"/>
      <c r="X307" s="3"/>
      <c r="Y307" s="3"/>
      <c r="Z307" s="3"/>
    </row>
    <row r="308" spans="1:26" s="2" customFormat="1">
      <c r="A308" s="3"/>
      <c r="B308" s="3"/>
      <c r="C308" s="3"/>
      <c r="D308" s="3"/>
      <c r="E308" s="3"/>
      <c r="F308" s="3"/>
      <c r="G308" s="4"/>
      <c r="H308" s="3"/>
      <c r="I308" s="3"/>
      <c r="J308" s="3"/>
      <c r="K308" s="3"/>
      <c r="L308" s="3"/>
      <c r="M308" s="3"/>
      <c r="N308" s="3"/>
      <c r="O308" s="3"/>
      <c r="P308" s="3"/>
      <c r="Q308" s="3"/>
      <c r="R308" s="3"/>
      <c r="S308" s="3"/>
      <c r="T308" s="3"/>
      <c r="U308" s="3"/>
      <c r="V308" s="3"/>
      <c r="W308" s="3"/>
      <c r="X308" s="3"/>
      <c r="Y308" s="3"/>
      <c r="Z308" s="3"/>
    </row>
    <row r="309" spans="1:26" s="2" customFormat="1">
      <c r="A309" s="3"/>
      <c r="B309" s="3"/>
      <c r="C309" s="3"/>
      <c r="D309" s="3"/>
      <c r="E309" s="3"/>
      <c r="F309" s="3"/>
      <c r="G309" s="4"/>
      <c r="H309" s="3"/>
      <c r="I309" s="3"/>
      <c r="J309" s="3"/>
      <c r="K309" s="3"/>
      <c r="L309" s="3"/>
      <c r="M309" s="3"/>
      <c r="N309" s="3"/>
      <c r="O309" s="3"/>
      <c r="P309" s="3"/>
      <c r="Q309" s="3"/>
      <c r="R309" s="3"/>
      <c r="S309" s="3"/>
      <c r="T309" s="3"/>
      <c r="U309" s="3"/>
      <c r="V309" s="3"/>
      <c r="W309" s="3"/>
      <c r="X309" s="3"/>
      <c r="Y309" s="3"/>
      <c r="Z309" s="3"/>
    </row>
    <row r="310" spans="1:26" s="2" customFormat="1">
      <c r="A310" s="3"/>
      <c r="B310" s="3"/>
      <c r="C310" s="3"/>
      <c r="D310" s="3"/>
      <c r="E310" s="3"/>
      <c r="F310" s="3"/>
      <c r="G310" s="4"/>
      <c r="H310" s="3"/>
      <c r="I310" s="3"/>
      <c r="J310" s="3"/>
      <c r="K310" s="3"/>
      <c r="L310" s="3"/>
      <c r="M310" s="3"/>
      <c r="N310" s="3"/>
      <c r="O310" s="3"/>
      <c r="P310" s="3"/>
      <c r="Q310" s="3"/>
      <c r="R310" s="3"/>
      <c r="S310" s="3"/>
      <c r="T310" s="3"/>
      <c r="U310" s="3"/>
      <c r="V310" s="3"/>
      <c r="W310" s="3"/>
      <c r="X310" s="3"/>
      <c r="Y310" s="3"/>
      <c r="Z310" s="3"/>
    </row>
    <row r="311" spans="1:26" s="2" customFormat="1">
      <c r="A311" s="3"/>
      <c r="B311" s="3"/>
      <c r="C311" s="3"/>
      <c r="D311" s="3"/>
      <c r="E311" s="3"/>
      <c r="F311" s="3"/>
      <c r="G311" s="4"/>
      <c r="H311" s="3"/>
      <c r="I311" s="3"/>
      <c r="J311" s="3"/>
      <c r="K311" s="3"/>
      <c r="L311" s="3"/>
      <c r="M311" s="3"/>
      <c r="N311" s="3"/>
      <c r="O311" s="3"/>
      <c r="P311" s="3"/>
      <c r="Q311" s="3"/>
      <c r="R311" s="3"/>
      <c r="S311" s="3"/>
      <c r="T311" s="3"/>
      <c r="U311" s="3"/>
      <c r="V311" s="3"/>
      <c r="W311" s="3"/>
      <c r="X311" s="3"/>
      <c r="Y311" s="3"/>
      <c r="Z311" s="3"/>
    </row>
    <row r="312" spans="1:26" s="2" customFormat="1">
      <c r="A312" s="3"/>
      <c r="B312" s="3"/>
      <c r="C312" s="3"/>
      <c r="D312" s="3"/>
      <c r="E312" s="3"/>
      <c r="F312" s="3"/>
      <c r="G312" s="4"/>
      <c r="H312" s="3"/>
      <c r="I312" s="3"/>
      <c r="J312" s="3"/>
      <c r="K312" s="3"/>
      <c r="L312" s="3"/>
      <c r="M312" s="3"/>
      <c r="N312" s="3"/>
      <c r="O312" s="3"/>
      <c r="P312" s="3"/>
      <c r="Q312" s="3"/>
      <c r="R312" s="3"/>
      <c r="S312" s="3"/>
      <c r="T312" s="3"/>
      <c r="U312" s="3"/>
      <c r="V312" s="3"/>
      <c r="W312" s="3"/>
      <c r="X312" s="3"/>
      <c r="Y312" s="3"/>
      <c r="Z312" s="3"/>
    </row>
    <row r="313" spans="1:26" s="2" customFormat="1">
      <c r="A313" s="3"/>
      <c r="B313" s="3"/>
      <c r="C313" s="3"/>
      <c r="D313" s="3"/>
      <c r="E313" s="3"/>
      <c r="F313" s="3"/>
      <c r="G313" s="4"/>
      <c r="H313" s="3"/>
      <c r="I313" s="3"/>
      <c r="J313" s="3"/>
      <c r="K313" s="3"/>
      <c r="L313" s="3"/>
      <c r="M313" s="3"/>
      <c r="N313" s="3"/>
      <c r="O313" s="3"/>
      <c r="P313" s="3"/>
      <c r="Q313" s="3"/>
      <c r="R313" s="3"/>
      <c r="S313" s="3"/>
      <c r="T313" s="3"/>
      <c r="U313" s="3"/>
      <c r="V313" s="3"/>
      <c r="W313" s="3"/>
      <c r="X313" s="3"/>
      <c r="Y313" s="3"/>
      <c r="Z313" s="3"/>
    </row>
    <row r="314" spans="1:26" s="2" customFormat="1">
      <c r="A314" s="3"/>
      <c r="B314" s="3"/>
      <c r="C314" s="3"/>
      <c r="D314" s="3"/>
      <c r="E314" s="3"/>
      <c r="F314" s="3"/>
      <c r="G314" s="4"/>
      <c r="H314" s="3"/>
      <c r="I314" s="3"/>
      <c r="J314" s="3"/>
      <c r="K314" s="3"/>
      <c r="L314" s="3"/>
      <c r="M314" s="3"/>
      <c r="N314" s="3"/>
      <c r="O314" s="3"/>
      <c r="P314" s="3"/>
      <c r="Q314" s="3"/>
      <c r="R314" s="3"/>
      <c r="S314" s="3"/>
      <c r="T314" s="3"/>
      <c r="U314" s="3"/>
      <c r="V314" s="3"/>
      <c r="W314" s="3"/>
      <c r="X314" s="3"/>
      <c r="Y314" s="3"/>
      <c r="Z314" s="3"/>
    </row>
    <row r="315" spans="1:26" s="2" customFormat="1">
      <c r="A315" s="3"/>
      <c r="B315" s="3"/>
      <c r="C315" s="3"/>
      <c r="D315" s="3"/>
      <c r="E315" s="3"/>
      <c r="F315" s="3"/>
      <c r="G315" s="4"/>
      <c r="H315" s="3"/>
      <c r="I315" s="3"/>
      <c r="J315" s="3"/>
      <c r="K315" s="3"/>
      <c r="L315" s="3"/>
      <c r="M315" s="3"/>
      <c r="N315" s="3"/>
      <c r="O315" s="3"/>
      <c r="P315" s="3"/>
      <c r="Q315" s="3"/>
      <c r="R315" s="3"/>
      <c r="S315" s="3"/>
      <c r="T315" s="3"/>
      <c r="U315" s="3"/>
      <c r="V315" s="3"/>
      <c r="W315" s="3"/>
      <c r="X315" s="3"/>
      <c r="Y315" s="3"/>
      <c r="Z315" s="3"/>
    </row>
    <row r="316" spans="1:26" s="2" customFormat="1">
      <c r="A316" s="3"/>
      <c r="B316" s="3"/>
      <c r="C316" s="3"/>
      <c r="D316" s="3"/>
      <c r="E316" s="3"/>
      <c r="F316" s="3"/>
      <c r="G316" s="4"/>
      <c r="H316" s="3"/>
      <c r="I316" s="3"/>
      <c r="J316" s="3"/>
      <c r="K316" s="3"/>
      <c r="L316" s="3"/>
      <c r="M316" s="3"/>
      <c r="N316" s="3"/>
      <c r="O316" s="3"/>
      <c r="P316" s="3"/>
      <c r="Q316" s="3"/>
      <c r="R316" s="3"/>
      <c r="S316" s="3"/>
      <c r="T316" s="3"/>
      <c r="U316" s="3"/>
      <c r="V316" s="3"/>
      <c r="W316" s="3"/>
      <c r="X316" s="3"/>
      <c r="Y316" s="3"/>
      <c r="Z316" s="3"/>
    </row>
    <row r="317" spans="1:26" s="2" customFormat="1">
      <c r="A317" s="3"/>
      <c r="B317" s="3"/>
      <c r="C317" s="3"/>
      <c r="D317" s="3"/>
      <c r="E317" s="3"/>
      <c r="F317" s="3"/>
      <c r="G317" s="4"/>
      <c r="H317" s="3"/>
      <c r="I317" s="3"/>
      <c r="J317" s="3"/>
      <c r="K317" s="3"/>
      <c r="L317" s="3"/>
      <c r="M317" s="3"/>
      <c r="N317" s="3"/>
      <c r="O317" s="3"/>
      <c r="P317" s="3"/>
      <c r="Q317" s="3"/>
      <c r="R317" s="3"/>
      <c r="S317" s="3"/>
      <c r="T317" s="3"/>
      <c r="U317" s="3"/>
      <c r="V317" s="3"/>
      <c r="W317" s="3"/>
      <c r="X317" s="3"/>
      <c r="Y317" s="3"/>
      <c r="Z317" s="3"/>
    </row>
    <row r="318" spans="1:26" s="2" customFormat="1">
      <c r="A318" s="3"/>
      <c r="B318" s="3"/>
      <c r="C318" s="3"/>
      <c r="D318" s="3"/>
      <c r="E318" s="3"/>
      <c r="F318" s="3"/>
      <c r="G318" s="4"/>
      <c r="H318" s="3"/>
      <c r="I318" s="3"/>
      <c r="J318" s="3"/>
      <c r="K318" s="3"/>
      <c r="L318" s="3"/>
      <c r="M318" s="3"/>
      <c r="N318" s="3"/>
      <c r="O318" s="3"/>
      <c r="P318" s="3"/>
      <c r="Q318" s="3"/>
      <c r="R318" s="3"/>
      <c r="S318" s="3"/>
      <c r="T318" s="3"/>
      <c r="U318" s="3"/>
      <c r="V318" s="3"/>
      <c r="W318" s="3"/>
      <c r="X318" s="3"/>
      <c r="Y318" s="3"/>
      <c r="Z318" s="3"/>
    </row>
    <row r="319" spans="1:26" s="2" customFormat="1">
      <c r="A319" s="3"/>
      <c r="B319" s="3"/>
      <c r="C319" s="3"/>
      <c r="D319" s="3"/>
      <c r="E319" s="3"/>
      <c r="F319" s="3"/>
      <c r="G319" s="4"/>
      <c r="H319" s="3"/>
      <c r="I319" s="3"/>
      <c r="J319" s="3"/>
      <c r="K319" s="3"/>
      <c r="L319" s="3"/>
      <c r="M319" s="3"/>
      <c r="N319" s="3"/>
      <c r="O319" s="3"/>
      <c r="P319" s="3"/>
      <c r="Q319" s="3"/>
      <c r="R319" s="3"/>
      <c r="S319" s="3"/>
      <c r="T319" s="3"/>
      <c r="U319" s="3"/>
      <c r="V319" s="3"/>
      <c r="W319" s="3"/>
      <c r="X319" s="3"/>
      <c r="Y319" s="3"/>
      <c r="Z319" s="3"/>
    </row>
    <row r="320" spans="1:26" s="2" customFormat="1">
      <c r="A320" s="3"/>
      <c r="B320" s="3"/>
      <c r="C320" s="3"/>
      <c r="D320" s="3"/>
      <c r="E320" s="3"/>
      <c r="F320" s="3"/>
      <c r="G320" s="4"/>
      <c r="H320" s="3"/>
      <c r="I320" s="3"/>
      <c r="J320" s="3"/>
      <c r="K320" s="3"/>
      <c r="L320" s="3"/>
      <c r="M320" s="3"/>
      <c r="N320" s="3"/>
      <c r="O320" s="3"/>
      <c r="P320" s="3"/>
      <c r="Q320" s="3"/>
      <c r="R320" s="3"/>
      <c r="S320" s="3"/>
      <c r="T320" s="3"/>
      <c r="U320" s="3"/>
      <c r="V320" s="3"/>
      <c r="W320" s="3"/>
      <c r="X320" s="3"/>
      <c r="Y320" s="3"/>
      <c r="Z320" s="3"/>
    </row>
    <row r="321" spans="1:26" s="2" customFormat="1">
      <c r="A321" s="3"/>
      <c r="B321" s="3"/>
      <c r="C321" s="3"/>
      <c r="D321" s="3"/>
      <c r="E321" s="3"/>
      <c r="F321" s="3"/>
      <c r="G321" s="4"/>
      <c r="H321" s="3"/>
      <c r="I321" s="3"/>
      <c r="J321" s="3"/>
      <c r="K321" s="3"/>
      <c r="L321" s="3"/>
      <c r="M321" s="3"/>
      <c r="N321" s="3"/>
      <c r="O321" s="3"/>
      <c r="P321" s="3"/>
      <c r="Q321" s="3"/>
      <c r="R321" s="3"/>
      <c r="S321" s="3"/>
      <c r="T321" s="3"/>
      <c r="U321" s="3"/>
      <c r="V321" s="3"/>
      <c r="W321" s="3"/>
      <c r="X321" s="3"/>
      <c r="Y321" s="3"/>
      <c r="Z321" s="3"/>
    </row>
    <row r="322" spans="1:26" s="2" customFormat="1">
      <c r="A322" s="3"/>
      <c r="B322" s="3"/>
      <c r="C322" s="3"/>
      <c r="D322" s="3"/>
      <c r="E322" s="3"/>
      <c r="F322" s="3"/>
      <c r="G322" s="4"/>
      <c r="H322" s="3"/>
      <c r="I322" s="3"/>
      <c r="J322" s="3"/>
      <c r="K322" s="3"/>
      <c r="L322" s="3"/>
      <c r="M322" s="3"/>
      <c r="N322" s="3"/>
      <c r="O322" s="3"/>
      <c r="P322" s="3"/>
      <c r="Q322" s="3"/>
      <c r="R322" s="3"/>
      <c r="S322" s="3"/>
      <c r="T322" s="3"/>
      <c r="U322" s="3"/>
      <c r="V322" s="3"/>
      <c r="W322" s="3"/>
      <c r="X322" s="3"/>
      <c r="Y322" s="3"/>
      <c r="Z322" s="3"/>
    </row>
    <row r="323" spans="1:26" s="2" customFormat="1">
      <c r="A323" s="3"/>
      <c r="B323" s="3"/>
      <c r="C323" s="3"/>
      <c r="D323" s="3"/>
      <c r="E323" s="3"/>
      <c r="F323" s="3"/>
      <c r="G323" s="4"/>
      <c r="H323" s="3"/>
      <c r="I323" s="3"/>
      <c r="J323" s="3"/>
      <c r="K323" s="3"/>
      <c r="L323" s="3"/>
      <c r="M323" s="3"/>
      <c r="N323" s="3"/>
      <c r="O323" s="3"/>
      <c r="P323" s="3"/>
      <c r="Q323" s="3"/>
      <c r="R323" s="3"/>
      <c r="S323" s="3"/>
      <c r="T323" s="3"/>
      <c r="U323" s="3"/>
      <c r="V323" s="3"/>
      <c r="W323" s="3"/>
      <c r="X323" s="3"/>
      <c r="Y323" s="3"/>
      <c r="Z323" s="3"/>
    </row>
    <row r="324" spans="1:26" s="2" customFormat="1">
      <c r="A324" s="3"/>
      <c r="B324" s="3"/>
      <c r="C324" s="3"/>
      <c r="D324" s="3"/>
      <c r="E324" s="3"/>
      <c r="F324" s="3"/>
      <c r="G324" s="4"/>
      <c r="H324" s="3"/>
      <c r="I324" s="3"/>
      <c r="J324" s="3"/>
      <c r="K324" s="3"/>
      <c r="L324" s="3"/>
      <c r="M324" s="3"/>
      <c r="N324" s="3"/>
      <c r="O324" s="3"/>
      <c r="P324" s="3"/>
      <c r="Q324" s="3"/>
      <c r="R324" s="3"/>
      <c r="S324" s="3"/>
      <c r="T324" s="3"/>
      <c r="U324" s="3"/>
      <c r="V324" s="3"/>
      <c r="W324" s="3"/>
      <c r="X324" s="3"/>
      <c r="Y324" s="3"/>
      <c r="Z324" s="3"/>
    </row>
    <row r="325" spans="1:26" s="2" customFormat="1">
      <c r="A325" s="3"/>
      <c r="B325" s="3"/>
      <c r="C325" s="3"/>
      <c r="D325" s="3"/>
      <c r="E325" s="3"/>
      <c r="F325" s="3"/>
      <c r="G325" s="4"/>
      <c r="H325" s="3"/>
      <c r="I325" s="3"/>
      <c r="J325" s="3"/>
      <c r="K325" s="3"/>
      <c r="L325" s="3"/>
      <c r="M325" s="3"/>
      <c r="N325" s="3"/>
      <c r="O325" s="3"/>
      <c r="P325" s="3"/>
      <c r="Q325" s="3"/>
      <c r="R325" s="3"/>
      <c r="S325" s="3"/>
      <c r="T325" s="3"/>
      <c r="U325" s="3"/>
      <c r="V325" s="3"/>
      <c r="W325" s="3"/>
      <c r="X325" s="3"/>
      <c r="Y325" s="3"/>
      <c r="Z325" s="3"/>
    </row>
    <row r="326" spans="1:26" s="2" customFormat="1">
      <c r="A326" s="3"/>
      <c r="B326" s="3"/>
      <c r="C326" s="3"/>
      <c r="D326" s="3"/>
      <c r="E326" s="3"/>
      <c r="F326" s="3"/>
      <c r="G326" s="4"/>
      <c r="H326" s="3"/>
      <c r="I326" s="3"/>
      <c r="J326" s="3"/>
      <c r="K326" s="3"/>
      <c r="L326" s="3"/>
      <c r="M326" s="3"/>
      <c r="N326" s="3"/>
      <c r="O326" s="3"/>
      <c r="P326" s="3"/>
      <c r="Q326" s="3"/>
      <c r="R326" s="3"/>
      <c r="S326" s="3"/>
      <c r="T326" s="3"/>
      <c r="U326" s="3"/>
      <c r="V326" s="3"/>
      <c r="W326" s="3"/>
      <c r="X326" s="3"/>
      <c r="Y326" s="3"/>
      <c r="Z326" s="3"/>
    </row>
    <row r="327" spans="1:26" s="2" customFormat="1">
      <c r="A327" s="3"/>
      <c r="B327" s="3"/>
      <c r="C327" s="3"/>
      <c r="D327" s="3"/>
      <c r="E327" s="3"/>
      <c r="F327" s="3"/>
      <c r="G327" s="4"/>
      <c r="H327" s="3"/>
      <c r="I327" s="3"/>
      <c r="J327" s="3"/>
      <c r="K327" s="3"/>
      <c r="L327" s="3"/>
      <c r="M327" s="3"/>
      <c r="N327" s="3"/>
      <c r="O327" s="3"/>
      <c r="P327" s="3"/>
      <c r="Q327" s="3"/>
      <c r="R327" s="3"/>
      <c r="S327" s="3"/>
      <c r="T327" s="3"/>
      <c r="U327" s="3"/>
      <c r="V327" s="3"/>
      <c r="W327" s="3"/>
      <c r="X327" s="3"/>
      <c r="Y327" s="3"/>
      <c r="Z327" s="3"/>
    </row>
    <row r="328" spans="1:26" s="2" customFormat="1">
      <c r="A328" s="3"/>
      <c r="B328" s="3"/>
      <c r="C328" s="3"/>
      <c r="D328" s="3"/>
      <c r="E328" s="3"/>
      <c r="F328" s="3"/>
      <c r="G328" s="4"/>
      <c r="H328" s="3"/>
      <c r="I328" s="3"/>
      <c r="J328" s="3"/>
      <c r="K328" s="3"/>
      <c r="L328" s="3"/>
      <c r="M328" s="3"/>
      <c r="N328" s="3"/>
      <c r="O328" s="3"/>
      <c r="P328" s="3"/>
      <c r="Q328" s="3"/>
      <c r="R328" s="3"/>
      <c r="S328" s="3"/>
      <c r="T328" s="3"/>
      <c r="U328" s="3"/>
      <c r="V328" s="3"/>
      <c r="W328" s="3"/>
      <c r="X328" s="3"/>
      <c r="Y328" s="3"/>
      <c r="Z328" s="3"/>
    </row>
    <row r="329" spans="1:26" s="2" customFormat="1">
      <c r="A329" s="3"/>
      <c r="B329" s="3"/>
      <c r="C329" s="3"/>
      <c r="D329" s="3"/>
      <c r="E329" s="3"/>
      <c r="F329" s="3"/>
      <c r="G329" s="4"/>
      <c r="H329" s="3"/>
      <c r="I329" s="3"/>
      <c r="J329" s="3"/>
      <c r="K329" s="3"/>
      <c r="L329" s="3"/>
      <c r="M329" s="3"/>
      <c r="N329" s="3"/>
      <c r="O329" s="3"/>
      <c r="P329" s="3"/>
      <c r="Q329" s="3"/>
      <c r="R329" s="3"/>
      <c r="S329" s="3"/>
      <c r="T329" s="3"/>
      <c r="U329" s="3"/>
      <c r="V329" s="3"/>
      <c r="W329" s="3"/>
      <c r="X329" s="3"/>
      <c r="Y329" s="3"/>
      <c r="Z329" s="3"/>
    </row>
    <row r="330" spans="1:26" s="2" customFormat="1">
      <c r="A330" s="3"/>
      <c r="B330" s="3"/>
      <c r="C330" s="3"/>
      <c r="D330" s="3"/>
      <c r="E330" s="3"/>
      <c r="F330" s="3"/>
      <c r="G330" s="4"/>
      <c r="H330" s="3"/>
      <c r="I330" s="3"/>
      <c r="J330" s="3"/>
      <c r="K330" s="3"/>
      <c r="L330" s="3"/>
      <c r="M330" s="3"/>
      <c r="N330" s="3"/>
      <c r="O330" s="3"/>
      <c r="P330" s="3"/>
      <c r="Q330" s="3"/>
      <c r="R330" s="3"/>
      <c r="S330" s="3"/>
      <c r="T330" s="3"/>
      <c r="U330" s="3"/>
      <c r="V330" s="3"/>
      <c r="W330" s="3"/>
      <c r="X330" s="3"/>
      <c r="Y330" s="3"/>
      <c r="Z330" s="3"/>
    </row>
    <row r="331" spans="1:26" s="2" customFormat="1">
      <c r="A331" s="3"/>
      <c r="B331" s="3"/>
      <c r="C331" s="3"/>
      <c r="D331" s="3"/>
      <c r="E331" s="3"/>
      <c r="F331" s="3"/>
      <c r="G331" s="4"/>
      <c r="H331" s="3"/>
      <c r="I331" s="3"/>
      <c r="J331" s="3"/>
      <c r="K331" s="3"/>
      <c r="L331" s="3"/>
      <c r="M331" s="3"/>
      <c r="N331" s="3"/>
      <c r="O331" s="3"/>
      <c r="P331" s="3"/>
      <c r="Q331" s="3"/>
      <c r="R331" s="3"/>
      <c r="S331" s="3"/>
      <c r="T331" s="3"/>
      <c r="U331" s="3"/>
      <c r="V331" s="3"/>
      <c r="W331" s="3"/>
      <c r="X331" s="3"/>
      <c r="Y331" s="3"/>
      <c r="Z331" s="3"/>
    </row>
    <row r="332" spans="1:26" s="2" customFormat="1">
      <c r="A332" s="3"/>
      <c r="B332" s="3"/>
      <c r="C332" s="3"/>
      <c r="D332" s="3"/>
      <c r="E332" s="3"/>
      <c r="F332" s="3"/>
      <c r="G332" s="4"/>
      <c r="H332" s="3"/>
      <c r="I332" s="3"/>
      <c r="J332" s="3"/>
      <c r="K332" s="3"/>
      <c r="L332" s="3"/>
      <c r="M332" s="3"/>
      <c r="N332" s="3"/>
      <c r="O332" s="3"/>
      <c r="P332" s="3"/>
      <c r="Q332" s="3"/>
      <c r="R332" s="3"/>
      <c r="S332" s="3"/>
      <c r="T332" s="3"/>
      <c r="U332" s="3"/>
      <c r="V332" s="3"/>
      <c r="W332" s="3"/>
      <c r="X332" s="3"/>
      <c r="Y332" s="3"/>
      <c r="Z332" s="3"/>
    </row>
    <row r="333" spans="1:26" s="2" customFormat="1">
      <c r="A333" s="3"/>
      <c r="B333" s="3"/>
      <c r="C333" s="3"/>
      <c r="D333" s="3"/>
      <c r="E333" s="3"/>
      <c r="F333" s="3"/>
      <c r="G333" s="4"/>
      <c r="H333" s="3"/>
      <c r="I333" s="3"/>
      <c r="J333" s="3"/>
      <c r="K333" s="3"/>
      <c r="L333" s="3"/>
      <c r="M333" s="3"/>
      <c r="N333" s="3"/>
      <c r="O333" s="3"/>
      <c r="P333" s="3"/>
      <c r="Q333" s="3"/>
      <c r="R333" s="3"/>
      <c r="S333" s="3"/>
      <c r="T333" s="3"/>
      <c r="U333" s="3"/>
      <c r="V333" s="3"/>
      <c r="W333" s="3"/>
      <c r="X333" s="3"/>
      <c r="Y333" s="3"/>
      <c r="Z333" s="3"/>
    </row>
    <row r="334" spans="1:26" s="2" customFormat="1">
      <c r="A334" s="3"/>
      <c r="B334" s="3"/>
      <c r="C334" s="3"/>
      <c r="D334" s="3"/>
      <c r="E334" s="3"/>
      <c r="F334" s="3"/>
      <c r="G334" s="4"/>
      <c r="H334" s="3"/>
      <c r="I334" s="3"/>
      <c r="J334" s="3"/>
      <c r="K334" s="3"/>
      <c r="L334" s="3"/>
      <c r="M334" s="3"/>
      <c r="N334" s="3"/>
      <c r="O334" s="3"/>
      <c r="P334" s="3"/>
      <c r="Q334" s="3"/>
      <c r="R334" s="3"/>
      <c r="S334" s="3"/>
      <c r="T334" s="3"/>
      <c r="U334" s="3"/>
      <c r="V334" s="3"/>
      <c r="W334" s="3"/>
      <c r="X334" s="3"/>
      <c r="Y334" s="3"/>
      <c r="Z334" s="3"/>
    </row>
    <row r="335" spans="1:26" s="2" customFormat="1">
      <c r="A335" s="3"/>
      <c r="B335" s="3"/>
      <c r="C335" s="3"/>
      <c r="D335" s="3"/>
      <c r="E335" s="3"/>
      <c r="F335" s="3"/>
      <c r="G335" s="4"/>
      <c r="H335" s="3"/>
      <c r="I335" s="3"/>
      <c r="J335" s="3"/>
      <c r="K335" s="3"/>
      <c r="L335" s="3"/>
      <c r="M335" s="3"/>
      <c r="N335" s="3"/>
      <c r="O335" s="3"/>
      <c r="P335" s="3"/>
      <c r="Q335" s="3"/>
      <c r="R335" s="3"/>
      <c r="S335" s="3"/>
      <c r="T335" s="3"/>
      <c r="U335" s="3"/>
      <c r="V335" s="3"/>
      <c r="W335" s="3"/>
      <c r="X335" s="3"/>
      <c r="Y335" s="3"/>
      <c r="Z335" s="3"/>
    </row>
    <row r="336" spans="1:26" s="2" customFormat="1">
      <c r="A336" s="3"/>
      <c r="B336" s="3"/>
      <c r="C336" s="3"/>
      <c r="D336" s="3"/>
      <c r="E336" s="3"/>
      <c r="F336" s="3"/>
      <c r="G336" s="4"/>
      <c r="H336" s="3"/>
      <c r="I336" s="3"/>
      <c r="J336" s="3"/>
      <c r="K336" s="3"/>
      <c r="L336" s="3"/>
      <c r="M336" s="3"/>
      <c r="N336" s="3"/>
      <c r="O336" s="3"/>
      <c r="P336" s="3"/>
      <c r="Q336" s="3"/>
      <c r="R336" s="3"/>
      <c r="S336" s="3"/>
      <c r="T336" s="3"/>
      <c r="U336" s="3"/>
      <c r="V336" s="3"/>
      <c r="W336" s="3"/>
      <c r="X336" s="3"/>
      <c r="Y336" s="3"/>
      <c r="Z336" s="3"/>
    </row>
    <row r="337" spans="1:26" s="2" customFormat="1">
      <c r="A337" s="3"/>
      <c r="B337" s="3"/>
      <c r="C337" s="3"/>
      <c r="D337" s="3"/>
      <c r="E337" s="3"/>
      <c r="F337" s="3"/>
      <c r="G337" s="4"/>
      <c r="H337" s="3"/>
      <c r="I337" s="3"/>
      <c r="J337" s="3"/>
      <c r="K337" s="3"/>
      <c r="L337" s="3"/>
      <c r="M337" s="3"/>
      <c r="N337" s="3"/>
      <c r="O337" s="3"/>
      <c r="P337" s="3"/>
      <c r="Q337" s="3"/>
      <c r="R337" s="3"/>
      <c r="S337" s="3"/>
      <c r="T337" s="3"/>
      <c r="U337" s="3"/>
      <c r="V337" s="3"/>
      <c r="W337" s="3"/>
      <c r="X337" s="3"/>
      <c r="Y337" s="3"/>
      <c r="Z337" s="3"/>
    </row>
    <row r="338" spans="1:26" s="2" customFormat="1">
      <c r="A338" s="3"/>
      <c r="B338" s="3"/>
      <c r="C338" s="3"/>
      <c r="D338" s="3"/>
      <c r="E338" s="3"/>
      <c r="F338" s="3"/>
      <c r="G338" s="4"/>
      <c r="H338" s="3"/>
      <c r="I338" s="3"/>
      <c r="J338" s="3"/>
      <c r="K338" s="3"/>
      <c r="L338" s="3"/>
      <c r="M338" s="3"/>
      <c r="N338" s="3"/>
      <c r="O338" s="3"/>
      <c r="P338" s="3"/>
      <c r="Q338" s="3"/>
      <c r="R338" s="3"/>
      <c r="S338" s="3"/>
      <c r="T338" s="3"/>
      <c r="U338" s="3"/>
      <c r="V338" s="3"/>
      <c r="W338" s="3"/>
      <c r="X338" s="3"/>
      <c r="Y338" s="3"/>
      <c r="Z338" s="3"/>
    </row>
    <row r="339" spans="1:26" s="2" customFormat="1">
      <c r="A339" s="3"/>
      <c r="B339" s="3"/>
      <c r="C339" s="3"/>
      <c r="D339" s="3"/>
      <c r="E339" s="3"/>
      <c r="F339" s="3"/>
      <c r="G339" s="4"/>
      <c r="H339" s="3"/>
      <c r="I339" s="3"/>
      <c r="J339" s="3"/>
      <c r="K339" s="3"/>
      <c r="L339" s="3"/>
      <c r="M339" s="3"/>
      <c r="N339" s="3"/>
      <c r="O339" s="3"/>
      <c r="P339" s="3"/>
      <c r="Q339" s="3"/>
      <c r="R339" s="3"/>
      <c r="S339" s="3"/>
      <c r="T339" s="3"/>
      <c r="U339" s="3"/>
      <c r="V339" s="3"/>
      <c r="W339" s="3"/>
      <c r="X339" s="3"/>
      <c r="Y339" s="3"/>
      <c r="Z339" s="3"/>
    </row>
    <row r="340" spans="1:26" s="2" customFormat="1">
      <c r="A340" s="3"/>
      <c r="B340" s="3"/>
      <c r="C340" s="3"/>
      <c r="D340" s="3"/>
      <c r="E340" s="3"/>
      <c r="F340" s="3"/>
      <c r="G340" s="4"/>
      <c r="H340" s="3"/>
      <c r="I340" s="3"/>
      <c r="J340" s="3"/>
      <c r="K340" s="3"/>
      <c r="L340" s="3"/>
      <c r="M340" s="3"/>
      <c r="N340" s="3"/>
      <c r="O340" s="3"/>
      <c r="P340" s="3"/>
      <c r="Q340" s="3"/>
      <c r="R340" s="3"/>
      <c r="S340" s="3"/>
      <c r="T340" s="3"/>
      <c r="U340" s="3"/>
      <c r="V340" s="3"/>
      <c r="W340" s="3"/>
      <c r="X340" s="3"/>
      <c r="Y340" s="3"/>
      <c r="Z340" s="3"/>
    </row>
    <row r="341" spans="1:26" s="2" customFormat="1">
      <c r="A341" s="3"/>
      <c r="B341" s="3"/>
      <c r="C341" s="3"/>
      <c r="D341" s="3"/>
      <c r="E341" s="3"/>
      <c r="F341" s="3"/>
      <c r="G341" s="4"/>
      <c r="H341" s="3"/>
      <c r="I341" s="3"/>
      <c r="J341" s="3"/>
      <c r="K341" s="3"/>
      <c r="L341" s="3"/>
      <c r="M341" s="3"/>
      <c r="N341" s="3"/>
      <c r="O341" s="3"/>
      <c r="P341" s="3"/>
      <c r="Q341" s="3"/>
      <c r="R341" s="3"/>
      <c r="S341" s="3"/>
      <c r="T341" s="3"/>
      <c r="U341" s="3"/>
      <c r="V341" s="3"/>
      <c r="W341" s="3"/>
      <c r="X341" s="3"/>
      <c r="Y341" s="3"/>
      <c r="Z341" s="3"/>
    </row>
    <row r="342" spans="1:26" s="2" customFormat="1">
      <c r="A342" s="3"/>
      <c r="B342" s="3"/>
      <c r="C342" s="3"/>
      <c r="D342" s="3"/>
      <c r="E342" s="3"/>
      <c r="F342" s="3"/>
      <c r="G342" s="4"/>
      <c r="H342" s="3"/>
      <c r="I342" s="3"/>
      <c r="J342" s="3"/>
      <c r="K342" s="3"/>
      <c r="L342" s="3"/>
      <c r="M342" s="3"/>
      <c r="N342" s="3"/>
      <c r="O342" s="3"/>
      <c r="P342" s="3"/>
      <c r="Q342" s="3"/>
      <c r="R342" s="3"/>
      <c r="S342" s="3"/>
      <c r="T342" s="3"/>
      <c r="U342" s="3"/>
      <c r="V342" s="3"/>
      <c r="W342" s="3"/>
      <c r="X342" s="3"/>
      <c r="Y342" s="3"/>
      <c r="Z342" s="3"/>
    </row>
    <row r="343" spans="1:26" s="2" customFormat="1">
      <c r="A343" s="3"/>
      <c r="B343" s="3"/>
      <c r="C343" s="3"/>
      <c r="D343" s="3"/>
      <c r="E343" s="3"/>
      <c r="F343" s="3"/>
      <c r="G343" s="4"/>
      <c r="H343" s="3"/>
      <c r="I343" s="3"/>
      <c r="J343" s="3"/>
      <c r="K343" s="3"/>
      <c r="L343" s="3"/>
      <c r="M343" s="3"/>
      <c r="N343" s="3"/>
      <c r="O343" s="3"/>
      <c r="P343" s="3"/>
      <c r="Q343" s="3"/>
      <c r="R343" s="3"/>
      <c r="S343" s="3"/>
      <c r="T343" s="3"/>
      <c r="U343" s="3"/>
      <c r="V343" s="3"/>
      <c r="W343" s="3"/>
      <c r="X343" s="3"/>
      <c r="Y343" s="3"/>
      <c r="Z343" s="3"/>
    </row>
    <row r="344" spans="1:26" s="2" customFormat="1">
      <c r="A344" s="3"/>
      <c r="B344" s="3"/>
      <c r="C344" s="3"/>
      <c r="D344" s="3"/>
      <c r="E344" s="3"/>
      <c r="F344" s="3"/>
      <c r="G344" s="4"/>
      <c r="H344" s="3"/>
      <c r="I344" s="3"/>
      <c r="J344" s="3"/>
      <c r="K344" s="3"/>
      <c r="L344" s="3"/>
      <c r="M344" s="3"/>
      <c r="N344" s="3"/>
      <c r="O344" s="3"/>
      <c r="P344" s="3"/>
      <c r="Q344" s="3"/>
      <c r="R344" s="3"/>
      <c r="S344" s="3"/>
      <c r="T344" s="3"/>
      <c r="U344" s="3"/>
      <c r="V344" s="3"/>
      <c r="W344" s="3"/>
      <c r="X344" s="3"/>
      <c r="Y344" s="3"/>
      <c r="Z344" s="3"/>
    </row>
    <row r="345" spans="1:26" s="2" customFormat="1">
      <c r="A345" s="3"/>
      <c r="B345" s="3"/>
      <c r="C345" s="3"/>
      <c r="D345" s="3"/>
      <c r="E345" s="3"/>
      <c r="F345" s="3"/>
      <c r="G345" s="4"/>
      <c r="H345" s="3"/>
      <c r="I345" s="3"/>
      <c r="J345" s="3"/>
      <c r="K345" s="3"/>
      <c r="L345" s="3"/>
      <c r="M345" s="3"/>
      <c r="N345" s="3"/>
      <c r="O345" s="3"/>
      <c r="P345" s="3"/>
      <c r="Q345" s="3"/>
      <c r="R345" s="3"/>
      <c r="S345" s="3"/>
      <c r="T345" s="3"/>
      <c r="U345" s="3"/>
      <c r="V345" s="3"/>
      <c r="W345" s="3"/>
      <c r="X345" s="3"/>
      <c r="Y345" s="3"/>
      <c r="Z345" s="3"/>
    </row>
    <row r="346" spans="1:26" s="2" customFormat="1">
      <c r="A346" s="3"/>
      <c r="B346" s="3"/>
      <c r="C346" s="3"/>
      <c r="D346" s="3"/>
      <c r="E346" s="3"/>
      <c r="F346" s="3"/>
      <c r="G346" s="4"/>
      <c r="H346" s="3"/>
      <c r="I346" s="3"/>
      <c r="J346" s="3"/>
      <c r="K346" s="3"/>
      <c r="L346" s="3"/>
      <c r="M346" s="3"/>
      <c r="N346" s="3"/>
      <c r="O346" s="3"/>
      <c r="P346" s="3"/>
      <c r="Q346" s="3"/>
      <c r="R346" s="3"/>
      <c r="S346" s="3"/>
      <c r="T346" s="3"/>
      <c r="U346" s="3"/>
      <c r="V346" s="3"/>
      <c r="W346" s="3"/>
      <c r="X346" s="3"/>
      <c r="Y346" s="3"/>
      <c r="Z346" s="3"/>
    </row>
    <row r="347" spans="1:26" s="2" customFormat="1">
      <c r="A347" s="3"/>
      <c r="B347" s="3"/>
      <c r="C347" s="3"/>
      <c r="D347" s="3"/>
      <c r="E347" s="3"/>
      <c r="F347" s="3"/>
      <c r="G347" s="4"/>
      <c r="H347" s="3"/>
      <c r="I347" s="3"/>
      <c r="J347" s="3"/>
      <c r="K347" s="3"/>
      <c r="L347" s="3"/>
      <c r="M347" s="3"/>
      <c r="N347" s="3"/>
      <c r="O347" s="3"/>
      <c r="P347" s="3"/>
      <c r="Q347" s="3"/>
      <c r="R347" s="3"/>
      <c r="S347" s="3"/>
      <c r="T347" s="3"/>
      <c r="U347" s="3"/>
      <c r="V347" s="3"/>
      <c r="W347" s="3"/>
      <c r="X347" s="3"/>
      <c r="Y347" s="3"/>
      <c r="Z347" s="3"/>
    </row>
    <row r="348" spans="1:26" s="2" customFormat="1">
      <c r="A348" s="3"/>
      <c r="B348" s="3"/>
      <c r="C348" s="3"/>
      <c r="D348" s="3"/>
      <c r="E348" s="3"/>
      <c r="F348" s="3"/>
      <c r="G348" s="4"/>
      <c r="H348" s="3"/>
      <c r="I348" s="3"/>
      <c r="J348" s="3"/>
      <c r="K348" s="3"/>
      <c r="L348" s="3"/>
      <c r="M348" s="3"/>
      <c r="N348" s="3"/>
      <c r="O348" s="3"/>
      <c r="P348" s="3"/>
      <c r="Q348" s="3"/>
      <c r="R348" s="3"/>
      <c r="S348" s="3"/>
      <c r="T348" s="3"/>
      <c r="U348" s="3"/>
      <c r="V348" s="3"/>
      <c r="W348" s="3"/>
      <c r="X348" s="3"/>
      <c r="Y348" s="3"/>
      <c r="Z348" s="3"/>
    </row>
    <row r="349" spans="1:26" s="2" customFormat="1">
      <c r="A349" s="3"/>
      <c r="B349" s="3"/>
      <c r="C349" s="3"/>
      <c r="D349" s="3"/>
      <c r="E349" s="3"/>
      <c r="F349" s="3"/>
      <c r="G349" s="4"/>
      <c r="H349" s="3"/>
      <c r="I349" s="3"/>
      <c r="J349" s="3"/>
      <c r="K349" s="3"/>
      <c r="L349" s="3"/>
      <c r="M349" s="3"/>
      <c r="N349" s="3"/>
      <c r="O349" s="3"/>
      <c r="P349" s="3"/>
      <c r="Q349" s="3"/>
      <c r="R349" s="3"/>
      <c r="S349" s="3"/>
      <c r="T349" s="3"/>
      <c r="U349" s="3"/>
      <c r="V349" s="3"/>
      <c r="W349" s="3"/>
      <c r="X349" s="3"/>
      <c r="Y349" s="3"/>
      <c r="Z349" s="3"/>
    </row>
    <row r="350" spans="1:26" s="2" customFormat="1">
      <c r="A350" s="3"/>
      <c r="B350" s="3"/>
      <c r="C350" s="3"/>
      <c r="D350" s="3"/>
      <c r="E350" s="3"/>
      <c r="F350" s="3"/>
      <c r="G350" s="4"/>
      <c r="H350" s="3"/>
      <c r="I350" s="3"/>
      <c r="J350" s="3"/>
      <c r="K350" s="3"/>
      <c r="L350" s="3"/>
      <c r="M350" s="3"/>
      <c r="N350" s="3"/>
      <c r="O350" s="3"/>
      <c r="P350" s="3"/>
      <c r="Q350" s="3"/>
      <c r="R350" s="3"/>
      <c r="S350" s="3"/>
      <c r="T350" s="3"/>
      <c r="U350" s="3"/>
      <c r="V350" s="3"/>
      <c r="W350" s="3"/>
      <c r="X350" s="3"/>
      <c r="Y350" s="3"/>
      <c r="Z350" s="3"/>
    </row>
    <row r="351" spans="1:26" s="2" customFormat="1">
      <c r="A351" s="3"/>
      <c r="B351" s="3"/>
      <c r="C351" s="3"/>
      <c r="D351" s="3"/>
      <c r="E351" s="3"/>
      <c r="F351" s="3"/>
      <c r="G351" s="4"/>
      <c r="H351" s="3"/>
      <c r="I351" s="3"/>
      <c r="J351" s="3"/>
      <c r="K351" s="3"/>
      <c r="L351" s="3"/>
      <c r="M351" s="3"/>
      <c r="N351" s="3"/>
      <c r="O351" s="3"/>
      <c r="P351" s="3"/>
      <c r="Q351" s="3"/>
      <c r="R351" s="3"/>
      <c r="S351" s="3"/>
      <c r="T351" s="3"/>
      <c r="U351" s="3"/>
      <c r="V351" s="3"/>
      <c r="W351" s="3"/>
      <c r="X351" s="3"/>
      <c r="Y351" s="3"/>
      <c r="Z351" s="3"/>
    </row>
    <row r="352" spans="1:26" s="2" customFormat="1">
      <c r="A352" s="3"/>
      <c r="B352" s="3"/>
      <c r="C352" s="3"/>
      <c r="D352" s="3"/>
      <c r="E352" s="3"/>
      <c r="F352" s="3"/>
      <c r="G352" s="4"/>
      <c r="H352" s="3"/>
      <c r="I352" s="3"/>
      <c r="J352" s="3"/>
      <c r="K352" s="3"/>
      <c r="L352" s="3"/>
      <c r="M352" s="3"/>
      <c r="N352" s="3"/>
      <c r="O352" s="3"/>
      <c r="P352" s="3"/>
      <c r="Q352" s="3"/>
      <c r="R352" s="3"/>
      <c r="S352" s="3"/>
      <c r="T352" s="3"/>
      <c r="U352" s="3"/>
      <c r="V352" s="3"/>
      <c r="W352" s="3"/>
      <c r="X352" s="3"/>
      <c r="Y352" s="3"/>
      <c r="Z352" s="3"/>
    </row>
    <row r="353" spans="1:26" s="2" customFormat="1">
      <c r="A353" s="3"/>
      <c r="B353" s="3"/>
      <c r="C353" s="3"/>
      <c r="D353" s="3"/>
      <c r="E353" s="3"/>
      <c r="F353" s="3"/>
      <c r="G353" s="4"/>
      <c r="H353" s="3"/>
      <c r="I353" s="3"/>
      <c r="J353" s="3"/>
      <c r="K353" s="3"/>
      <c r="L353" s="3"/>
      <c r="M353" s="3"/>
      <c r="N353" s="3"/>
      <c r="O353" s="3"/>
      <c r="P353" s="3"/>
      <c r="Q353" s="3"/>
      <c r="R353" s="3"/>
      <c r="S353" s="3"/>
      <c r="T353" s="3"/>
      <c r="U353" s="3"/>
      <c r="V353" s="3"/>
      <c r="W353" s="3"/>
      <c r="X353" s="3"/>
      <c r="Y353" s="3"/>
      <c r="Z353" s="3"/>
    </row>
    <row r="354" spans="1:26" s="2" customFormat="1">
      <c r="A354" s="3"/>
      <c r="B354" s="3"/>
      <c r="C354" s="3"/>
      <c r="D354" s="3"/>
      <c r="E354" s="3"/>
      <c r="F354" s="3"/>
      <c r="G354" s="4"/>
      <c r="H354" s="3"/>
      <c r="I354" s="3"/>
      <c r="J354" s="3"/>
      <c r="K354" s="3"/>
      <c r="L354" s="3"/>
      <c r="M354" s="3"/>
      <c r="N354" s="3"/>
      <c r="O354" s="3"/>
      <c r="P354" s="3"/>
      <c r="Q354" s="3"/>
      <c r="R354" s="3"/>
      <c r="S354" s="3"/>
      <c r="T354" s="3"/>
      <c r="U354" s="3"/>
      <c r="V354" s="3"/>
      <c r="W354" s="3"/>
      <c r="X354" s="3"/>
      <c r="Y354" s="3"/>
      <c r="Z354" s="3"/>
    </row>
    <row r="355" spans="1:26" s="2" customFormat="1">
      <c r="A355" s="3"/>
      <c r="B355" s="3"/>
      <c r="C355" s="3"/>
      <c r="D355" s="3"/>
      <c r="E355" s="3"/>
      <c r="F355" s="3"/>
      <c r="G355" s="4"/>
      <c r="H355" s="3"/>
      <c r="I355" s="3"/>
      <c r="J355" s="3"/>
      <c r="K355" s="3"/>
      <c r="L355" s="3"/>
      <c r="M355" s="3"/>
      <c r="N355" s="3"/>
      <c r="O355" s="3"/>
      <c r="P355" s="3"/>
      <c r="Q355" s="3"/>
      <c r="R355" s="3"/>
      <c r="S355" s="3"/>
      <c r="T355" s="3"/>
      <c r="U355" s="3"/>
      <c r="V355" s="3"/>
      <c r="W355" s="3"/>
      <c r="X355" s="3"/>
      <c r="Y355" s="3"/>
      <c r="Z355" s="3"/>
    </row>
    <row r="356" spans="1:26" s="2" customFormat="1">
      <c r="A356" s="3"/>
      <c r="B356" s="3"/>
      <c r="C356" s="3"/>
      <c r="D356" s="3"/>
      <c r="E356" s="3"/>
      <c r="F356" s="3"/>
      <c r="G356" s="4"/>
      <c r="H356" s="3"/>
      <c r="I356" s="3"/>
      <c r="J356" s="3"/>
      <c r="K356" s="3"/>
      <c r="L356" s="3"/>
      <c r="M356" s="3"/>
      <c r="N356" s="3"/>
      <c r="O356" s="3"/>
      <c r="P356" s="3"/>
      <c r="Q356" s="3"/>
      <c r="R356" s="3"/>
      <c r="S356" s="3"/>
      <c r="T356" s="3"/>
      <c r="U356" s="3"/>
      <c r="V356" s="3"/>
      <c r="W356" s="3"/>
      <c r="X356" s="3"/>
      <c r="Y356" s="3"/>
      <c r="Z356" s="3"/>
    </row>
    <row r="357" spans="1:26" s="2" customFormat="1">
      <c r="A357" s="3"/>
      <c r="B357" s="3"/>
      <c r="C357" s="3"/>
      <c r="D357" s="3"/>
      <c r="E357" s="3"/>
      <c r="F357" s="3"/>
      <c r="G357" s="4"/>
      <c r="H357" s="3"/>
      <c r="I357" s="3"/>
      <c r="J357" s="3"/>
      <c r="K357" s="3"/>
      <c r="L357" s="3"/>
      <c r="M357" s="3"/>
      <c r="N357" s="3"/>
      <c r="O357" s="3"/>
      <c r="P357" s="3"/>
      <c r="Q357" s="3"/>
      <c r="R357" s="3"/>
      <c r="S357" s="3"/>
      <c r="T357" s="3"/>
      <c r="U357" s="3"/>
      <c r="V357" s="3"/>
      <c r="W357" s="3"/>
      <c r="X357" s="3"/>
      <c r="Y357" s="3"/>
      <c r="Z357" s="3"/>
    </row>
    <row r="358" spans="1:26" s="2" customFormat="1">
      <c r="A358" s="3"/>
      <c r="B358" s="3"/>
      <c r="C358" s="3"/>
      <c r="D358" s="3"/>
      <c r="E358" s="3"/>
      <c r="F358" s="3"/>
      <c r="G358" s="4"/>
      <c r="H358" s="3"/>
      <c r="I358" s="3"/>
      <c r="J358" s="3"/>
      <c r="K358" s="3"/>
      <c r="L358" s="3"/>
      <c r="M358" s="3"/>
      <c r="N358" s="3"/>
      <c r="O358" s="3"/>
      <c r="P358" s="3"/>
      <c r="Q358" s="3"/>
      <c r="R358" s="3"/>
      <c r="S358" s="3"/>
      <c r="T358" s="3"/>
      <c r="U358" s="3"/>
      <c r="V358" s="3"/>
      <c r="W358" s="3"/>
      <c r="X358" s="3"/>
      <c r="Y358" s="3"/>
      <c r="Z358" s="3"/>
    </row>
    <row r="359" spans="1:26" s="2" customFormat="1">
      <c r="A359" s="3"/>
      <c r="B359" s="3"/>
      <c r="C359" s="3"/>
      <c r="D359" s="3"/>
      <c r="E359" s="3"/>
      <c r="F359" s="3"/>
      <c r="G359" s="4"/>
      <c r="H359" s="3"/>
      <c r="I359" s="3"/>
      <c r="J359" s="3"/>
      <c r="K359" s="3"/>
      <c r="L359" s="3"/>
      <c r="M359" s="3"/>
      <c r="N359" s="3"/>
      <c r="O359" s="3"/>
      <c r="P359" s="3"/>
      <c r="Q359" s="3"/>
      <c r="R359" s="3"/>
      <c r="S359" s="3"/>
      <c r="T359" s="3"/>
      <c r="U359" s="3"/>
      <c r="V359" s="3"/>
      <c r="W359" s="3"/>
      <c r="X359" s="3"/>
      <c r="Y359" s="3"/>
      <c r="Z359" s="3"/>
    </row>
    <row r="360" spans="1:26" s="2" customFormat="1">
      <c r="A360" s="3"/>
      <c r="B360" s="3"/>
      <c r="C360" s="3"/>
      <c r="D360" s="3"/>
      <c r="E360" s="3"/>
      <c r="F360" s="3"/>
      <c r="G360" s="4"/>
      <c r="H360" s="3"/>
      <c r="I360" s="3"/>
      <c r="J360" s="3"/>
      <c r="K360" s="3"/>
      <c r="L360" s="3"/>
      <c r="M360" s="3"/>
      <c r="N360" s="3"/>
      <c r="O360" s="3"/>
      <c r="P360" s="3"/>
      <c r="Q360" s="3"/>
      <c r="R360" s="3"/>
      <c r="S360" s="3"/>
      <c r="T360" s="3"/>
      <c r="U360" s="3"/>
      <c r="V360" s="3"/>
      <c r="W360" s="3"/>
      <c r="X360" s="3"/>
      <c r="Y360" s="3"/>
      <c r="Z360" s="3"/>
    </row>
    <row r="361" spans="1:26" s="2" customFormat="1">
      <c r="A361" s="3"/>
      <c r="B361" s="3"/>
      <c r="C361" s="3"/>
      <c r="D361" s="3"/>
      <c r="E361" s="3"/>
      <c r="F361" s="3"/>
      <c r="G361" s="4"/>
      <c r="H361" s="3"/>
      <c r="I361" s="3"/>
      <c r="J361" s="3"/>
      <c r="K361" s="3"/>
      <c r="L361" s="3"/>
      <c r="M361" s="3"/>
      <c r="N361" s="3"/>
      <c r="O361" s="3"/>
      <c r="P361" s="3"/>
      <c r="Q361" s="3"/>
      <c r="R361" s="3"/>
      <c r="S361" s="3"/>
      <c r="T361" s="3"/>
      <c r="U361" s="3"/>
      <c r="V361" s="3"/>
      <c r="W361" s="3"/>
      <c r="X361" s="3"/>
      <c r="Y361" s="3"/>
      <c r="Z361" s="3"/>
    </row>
    <row r="362" spans="1:26" s="2" customFormat="1">
      <c r="A362" s="3"/>
      <c r="B362" s="3"/>
      <c r="C362" s="3"/>
      <c r="D362" s="3"/>
      <c r="E362" s="3"/>
      <c r="F362" s="3"/>
      <c r="G362" s="4"/>
      <c r="H362" s="3"/>
      <c r="I362" s="3"/>
      <c r="J362" s="3"/>
      <c r="K362" s="3"/>
      <c r="L362" s="3"/>
      <c r="M362" s="3"/>
      <c r="N362" s="3"/>
      <c r="O362" s="3"/>
      <c r="P362" s="3"/>
      <c r="Q362" s="3"/>
      <c r="R362" s="3"/>
      <c r="S362" s="3"/>
      <c r="T362" s="3"/>
      <c r="U362" s="3"/>
      <c r="V362" s="3"/>
      <c r="W362" s="3"/>
      <c r="X362" s="3"/>
      <c r="Y362" s="3"/>
      <c r="Z362" s="3"/>
    </row>
    <row r="363" spans="1:26" s="2" customFormat="1">
      <c r="A363" s="3"/>
      <c r="B363" s="3"/>
      <c r="C363" s="3"/>
      <c r="D363" s="3"/>
      <c r="E363" s="3"/>
      <c r="F363" s="3"/>
      <c r="G363" s="4"/>
      <c r="H363" s="3"/>
      <c r="I363" s="3"/>
      <c r="J363" s="3"/>
      <c r="K363" s="3"/>
      <c r="L363" s="3"/>
      <c r="M363" s="3"/>
      <c r="N363" s="3"/>
      <c r="O363" s="3"/>
      <c r="P363" s="3"/>
      <c r="Q363" s="3"/>
      <c r="R363" s="3"/>
      <c r="S363" s="3"/>
      <c r="T363" s="3"/>
      <c r="U363" s="3"/>
      <c r="V363" s="3"/>
      <c r="W363" s="3"/>
      <c r="X363" s="3"/>
      <c r="Y363" s="3"/>
      <c r="Z363" s="3"/>
    </row>
    <row r="364" spans="1:26" s="2" customFormat="1">
      <c r="A364" s="3"/>
      <c r="B364" s="3"/>
      <c r="C364" s="3"/>
      <c r="D364" s="3"/>
      <c r="E364" s="3"/>
      <c r="F364" s="3"/>
      <c r="G364" s="4"/>
      <c r="H364" s="3"/>
      <c r="I364" s="3"/>
      <c r="J364" s="3"/>
      <c r="K364" s="3"/>
      <c r="L364" s="3"/>
      <c r="M364" s="3"/>
      <c r="N364" s="3"/>
      <c r="O364" s="3"/>
      <c r="P364" s="3"/>
      <c r="Q364" s="3"/>
      <c r="R364" s="3"/>
      <c r="S364" s="3"/>
      <c r="T364" s="3"/>
      <c r="U364" s="3"/>
      <c r="V364" s="3"/>
      <c r="W364" s="3"/>
      <c r="X364" s="3"/>
      <c r="Y364" s="3"/>
      <c r="Z364" s="3"/>
    </row>
    <row r="365" spans="1:26" s="2" customFormat="1">
      <c r="A365" s="3"/>
      <c r="B365" s="3"/>
      <c r="C365" s="3"/>
      <c r="D365" s="3"/>
      <c r="E365" s="3"/>
      <c r="F365" s="3"/>
      <c r="G365" s="4"/>
      <c r="H365" s="3"/>
      <c r="I365" s="3"/>
      <c r="J365" s="3"/>
      <c r="K365" s="3"/>
      <c r="L365" s="3"/>
      <c r="M365" s="3"/>
      <c r="N365" s="3"/>
      <c r="O365" s="3"/>
      <c r="P365" s="3"/>
      <c r="Q365" s="3"/>
      <c r="R365" s="3"/>
      <c r="S365" s="3"/>
      <c r="T365" s="3"/>
      <c r="U365" s="3"/>
      <c r="V365" s="3"/>
      <c r="W365" s="3"/>
      <c r="X365" s="3"/>
      <c r="Y365" s="3"/>
      <c r="Z365" s="3"/>
    </row>
    <row r="366" spans="1:26" s="2" customFormat="1">
      <c r="A366" s="3"/>
      <c r="B366" s="3"/>
      <c r="C366" s="3"/>
      <c r="D366" s="3"/>
      <c r="E366" s="3"/>
      <c r="F366" s="3"/>
      <c r="G366" s="4"/>
      <c r="H366" s="3"/>
      <c r="I366" s="3"/>
      <c r="J366" s="3"/>
      <c r="K366" s="3"/>
      <c r="L366" s="3"/>
      <c r="M366" s="3"/>
      <c r="N366" s="3"/>
      <c r="O366" s="3"/>
      <c r="P366" s="3"/>
      <c r="Q366" s="3"/>
      <c r="R366" s="3"/>
      <c r="S366" s="3"/>
      <c r="T366" s="3"/>
      <c r="U366" s="3"/>
      <c r="V366" s="3"/>
      <c r="W366" s="3"/>
      <c r="X366" s="3"/>
      <c r="Y366" s="3"/>
      <c r="Z366" s="3"/>
    </row>
    <row r="367" spans="1:26" s="2" customFormat="1">
      <c r="A367" s="3"/>
      <c r="B367" s="3"/>
      <c r="C367" s="3"/>
      <c r="D367" s="3"/>
      <c r="E367" s="3"/>
      <c r="F367" s="3"/>
      <c r="G367" s="4"/>
      <c r="H367" s="3"/>
      <c r="I367" s="3"/>
      <c r="J367" s="3"/>
      <c r="K367" s="3"/>
      <c r="L367" s="3"/>
      <c r="M367" s="3"/>
      <c r="N367" s="3"/>
      <c r="O367" s="3"/>
      <c r="P367" s="3"/>
      <c r="Q367" s="3"/>
      <c r="R367" s="3"/>
      <c r="S367" s="3"/>
      <c r="T367" s="3"/>
      <c r="U367" s="3"/>
      <c r="V367" s="3"/>
      <c r="W367" s="3"/>
      <c r="X367" s="3"/>
      <c r="Y367" s="3"/>
      <c r="Z367" s="3"/>
    </row>
    <row r="368" spans="1:26" s="2" customFormat="1">
      <c r="A368" s="3"/>
      <c r="B368" s="3"/>
      <c r="C368" s="3"/>
      <c r="D368" s="3"/>
      <c r="E368" s="3"/>
      <c r="F368" s="3"/>
      <c r="G368" s="4"/>
      <c r="H368" s="3"/>
      <c r="I368" s="3"/>
      <c r="J368" s="3"/>
      <c r="K368" s="3"/>
      <c r="L368" s="3"/>
      <c r="M368" s="3"/>
      <c r="N368" s="3"/>
      <c r="O368" s="3"/>
      <c r="P368" s="3"/>
      <c r="Q368" s="3"/>
      <c r="R368" s="3"/>
      <c r="S368" s="3"/>
      <c r="T368" s="3"/>
      <c r="U368" s="3"/>
      <c r="V368" s="3"/>
      <c r="W368" s="3"/>
      <c r="X368" s="3"/>
      <c r="Y368" s="3"/>
      <c r="Z368" s="3"/>
    </row>
    <row r="369" spans="1:26" s="2" customFormat="1">
      <c r="A369" s="3"/>
      <c r="B369" s="3"/>
      <c r="C369" s="3"/>
      <c r="D369" s="3"/>
      <c r="E369" s="3"/>
      <c r="F369" s="3"/>
      <c r="G369" s="4"/>
      <c r="H369" s="3"/>
      <c r="I369" s="3"/>
      <c r="J369" s="3"/>
      <c r="K369" s="3"/>
      <c r="L369" s="3"/>
      <c r="M369" s="3"/>
      <c r="N369" s="3"/>
      <c r="O369" s="3"/>
      <c r="P369" s="3"/>
      <c r="Q369" s="3"/>
      <c r="R369" s="3"/>
      <c r="S369" s="3"/>
      <c r="T369" s="3"/>
      <c r="U369" s="3"/>
      <c r="V369" s="3"/>
      <c r="W369" s="3"/>
      <c r="X369" s="3"/>
      <c r="Y369" s="3"/>
      <c r="Z369" s="3"/>
    </row>
    <row r="370" spans="1:26" s="2" customFormat="1">
      <c r="A370" s="3"/>
      <c r="B370" s="3"/>
      <c r="C370" s="3"/>
      <c r="D370" s="3"/>
      <c r="E370" s="3"/>
      <c r="F370" s="3"/>
      <c r="G370" s="4"/>
      <c r="H370" s="3"/>
      <c r="I370" s="3"/>
      <c r="J370" s="3"/>
      <c r="K370" s="3"/>
      <c r="L370" s="3"/>
      <c r="M370" s="3"/>
      <c r="N370" s="3"/>
      <c r="O370" s="3"/>
      <c r="P370" s="3"/>
      <c r="Q370" s="3"/>
      <c r="R370" s="3"/>
      <c r="S370" s="3"/>
      <c r="T370" s="3"/>
      <c r="U370" s="3"/>
      <c r="V370" s="3"/>
      <c r="W370" s="3"/>
      <c r="X370" s="3"/>
      <c r="Y370" s="3"/>
      <c r="Z370" s="3"/>
    </row>
    <row r="371" spans="1:26" s="2" customFormat="1">
      <c r="A371" s="3"/>
      <c r="B371" s="3"/>
      <c r="C371" s="3"/>
      <c r="D371" s="3"/>
      <c r="E371" s="3"/>
      <c r="F371" s="3"/>
      <c r="G371" s="4"/>
      <c r="H371" s="3"/>
      <c r="I371" s="3"/>
      <c r="J371" s="3"/>
      <c r="K371" s="3"/>
      <c r="L371" s="3"/>
      <c r="M371" s="3"/>
      <c r="N371" s="3"/>
      <c r="O371" s="3"/>
      <c r="P371" s="3"/>
      <c r="Q371" s="3"/>
      <c r="R371" s="3"/>
      <c r="S371" s="3"/>
      <c r="T371" s="3"/>
      <c r="U371" s="3"/>
      <c r="V371" s="3"/>
      <c r="W371" s="3"/>
      <c r="X371" s="3"/>
      <c r="Y371" s="3"/>
      <c r="Z371" s="3"/>
    </row>
    <row r="372" spans="1:26" s="2" customFormat="1">
      <c r="A372" s="3"/>
      <c r="B372" s="3"/>
      <c r="C372" s="3"/>
      <c r="D372" s="3"/>
      <c r="E372" s="3"/>
      <c r="F372" s="3"/>
      <c r="G372" s="4"/>
      <c r="H372" s="3"/>
      <c r="I372" s="3"/>
      <c r="J372" s="3"/>
      <c r="K372" s="3"/>
      <c r="L372" s="3"/>
      <c r="M372" s="3"/>
      <c r="N372" s="3"/>
      <c r="O372" s="3"/>
      <c r="P372" s="3"/>
      <c r="Q372" s="3"/>
      <c r="R372" s="3"/>
      <c r="S372" s="3"/>
      <c r="T372" s="3"/>
      <c r="U372" s="3"/>
      <c r="V372" s="3"/>
      <c r="W372" s="3"/>
      <c r="X372" s="3"/>
      <c r="Y372" s="3"/>
      <c r="Z372" s="3"/>
    </row>
    <row r="373" spans="1:26" s="2" customFormat="1">
      <c r="A373" s="3"/>
      <c r="B373" s="3"/>
      <c r="C373" s="3"/>
      <c r="D373" s="3"/>
      <c r="E373" s="3"/>
      <c r="F373" s="3"/>
      <c r="G373" s="4"/>
      <c r="H373" s="3"/>
      <c r="I373" s="3"/>
      <c r="J373" s="3"/>
      <c r="K373" s="3"/>
      <c r="L373" s="3"/>
      <c r="M373" s="3"/>
      <c r="N373" s="3"/>
      <c r="O373" s="3"/>
      <c r="P373" s="3"/>
      <c r="Q373" s="3"/>
      <c r="R373" s="3"/>
      <c r="S373" s="3"/>
      <c r="T373" s="3"/>
      <c r="U373" s="3"/>
      <c r="V373" s="3"/>
      <c r="W373" s="3"/>
      <c r="X373" s="3"/>
      <c r="Y373" s="3"/>
      <c r="Z373" s="3"/>
    </row>
  </sheetData>
  <customSheetViews>
    <customSheetView guid="{67590F70-5005-492E-AD47-1C13C49F2D83}" scale="70">
      <pane xSplit="9" ySplit="2" topLeftCell="R3" activePane="bottomRight" state="frozen"/>
      <selection pane="bottomRight" activeCell="C199" sqref="C199"/>
      <pageMargins left="0.69930555555555596" right="0.69930555555555596" top="0.75" bottom="0.75" header="0.3" footer="0.3"/>
      <pageSetup paperSize="9" orientation="portrait"/>
    </customSheetView>
    <customSheetView guid="{A0559F95-FBE7-4275-9B44-A293A1B62940}" scale="70">
      <pane xSplit="9" ySplit="2" topLeftCell="R3" activePane="bottomRight" state="frozen"/>
      <selection pane="bottomRight" activeCell="C199" sqref="C199"/>
      <pageMargins left="0.69930555555555596" right="0.69930555555555596" top="0.75" bottom="0.75" header="0.3" footer="0.3"/>
      <pageSetup paperSize="9" orientation="portrait"/>
    </customSheetView>
    <customSheetView guid="{11FB768A-9BE5-454D-8324-F7BD8513C471}" scale="70">
      <pane xSplit="9" ySplit="2" topLeftCell="J138" activePane="bottomRight" state="frozen"/>
      <selection pane="bottomRight" activeCell="C199" sqref="C199"/>
      <pageMargins left="0.69930555555555596" right="0.69930555555555596" top="0.75" bottom="0.75" header="0.3" footer="0.3"/>
      <pageSetup paperSize="9" orientation="portrait"/>
    </customSheetView>
    <customSheetView guid="{656CB8E5-9B79-4056-861F-BA0520B66BDB}" scale="70">
      <pane xSplit="9" ySplit="2" topLeftCell="J3" activePane="bottomRight" state="frozen"/>
      <selection pane="bottomRight" activeCell="M130" sqref="M130"/>
      <pageMargins left="0.69930555555555596" right="0.69930555555555596" top="0.75" bottom="0.75" header="0.3" footer="0.3"/>
      <pageSetup paperSize="9" orientation="portrait"/>
    </customSheetView>
    <customSheetView guid="{3A76011A-5D7E-44CA-8EBC-D2C75FB686D2}" scale="70">
      <pane xSplit="9" ySplit="2" topLeftCell="J138" activePane="bottomRight" state="frozen"/>
      <selection pane="bottomRight" activeCell="C199" sqref="C199"/>
      <pageMargins left="0.69930555555555596" right="0.69930555555555596" top="0.75" bottom="0.75" header="0.3" footer="0.3"/>
      <pageSetup paperSize="9" orientation="portrait"/>
    </customSheetView>
  </customSheetViews>
  <mergeCells count="7">
    <mergeCell ref="S190:S198"/>
    <mergeCell ref="H1:I1"/>
    <mergeCell ref="A2:A60"/>
    <mergeCell ref="A156:A174"/>
    <mergeCell ref="S2:S60"/>
    <mergeCell ref="S98:S109"/>
    <mergeCell ref="S156:S174"/>
  </mergeCells>
  <phoneticPr fontId="9" type="noConversion"/>
  <pageMargins left="0.69930555555555596" right="0.69930555555555596"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B323"/>
  <sheetViews>
    <sheetView tabSelected="1" zoomScale="70" zoomScaleNormal="70" workbookViewId="0">
      <pane xSplit="9" ySplit="2" topLeftCell="J3" activePane="bottomRight" state="frozen"/>
      <selection pane="topRight" activeCell="J1" sqref="J1"/>
      <selection pane="bottomLeft" activeCell="A3" sqref="A3"/>
      <selection pane="bottomRight" activeCell="J1" sqref="J1:J1048576"/>
    </sheetView>
  </sheetViews>
  <sheetFormatPr defaultColWidth="9.44140625" defaultRowHeight="13.2"/>
  <cols>
    <col min="1" max="1" width="9.44140625" style="3"/>
    <col min="2" max="2" width="5.44140625" style="3" customWidth="1"/>
    <col min="3" max="3" width="23.88671875" style="3" customWidth="1"/>
    <col min="4" max="4" width="16" style="3" customWidth="1"/>
    <col min="5" max="5" width="11.44140625" style="3" customWidth="1"/>
    <col min="6" max="6" width="9.44140625" style="3" customWidth="1"/>
    <col min="7" max="7" width="10.88671875" style="4" customWidth="1"/>
    <col min="8" max="8" width="16.44140625" style="3" customWidth="1"/>
    <col min="9" max="9" width="6.44140625" style="3" customWidth="1"/>
    <col min="10" max="17" width="9.44140625" style="3" customWidth="1"/>
    <col min="18" max="20" width="9.44140625" style="3"/>
    <col min="21" max="28" width="9.44140625" style="3" customWidth="1"/>
    <col min="29" max="16384" width="9.44140625" style="3"/>
  </cols>
  <sheetData>
    <row r="1" spans="1:28" s="1" customFormat="1" ht="41.1" customHeight="1">
      <c r="A1" s="5" t="s">
        <v>561</v>
      </c>
      <c r="B1" s="1" t="s">
        <v>562</v>
      </c>
      <c r="C1" s="1" t="s">
        <v>563</v>
      </c>
      <c r="D1" s="1" t="s">
        <v>564</v>
      </c>
      <c r="E1" s="1" t="s">
        <v>82</v>
      </c>
      <c r="F1" s="1" t="s">
        <v>95</v>
      </c>
      <c r="G1" s="6" t="s">
        <v>646</v>
      </c>
      <c r="H1" s="422" t="s">
        <v>565</v>
      </c>
      <c r="I1" s="422"/>
      <c r="J1" s="1" t="s">
        <v>15</v>
      </c>
      <c r="K1" s="1" t="s">
        <v>5</v>
      </c>
      <c r="L1" s="1" t="s">
        <v>24</v>
      </c>
      <c r="M1" s="1" t="s">
        <v>20</v>
      </c>
      <c r="N1" s="1" t="s">
        <v>566</v>
      </c>
      <c r="O1" s="1" t="s">
        <v>567</v>
      </c>
      <c r="P1" s="1" t="s">
        <v>568</v>
      </c>
      <c r="Q1" s="1" t="s">
        <v>1017</v>
      </c>
      <c r="T1" s="5" t="s">
        <v>569</v>
      </c>
      <c r="U1" s="1" t="s">
        <v>15</v>
      </c>
      <c r="V1" s="1" t="s">
        <v>5</v>
      </c>
      <c r="W1" s="1" t="s">
        <v>24</v>
      </c>
      <c r="X1" s="1" t="s">
        <v>20</v>
      </c>
      <c r="Y1" s="1" t="s">
        <v>566</v>
      </c>
      <c r="Z1" s="1" t="s">
        <v>567</v>
      </c>
      <c r="AA1" s="1" t="s">
        <v>568</v>
      </c>
      <c r="AB1" s="1" t="s">
        <v>1020</v>
      </c>
    </row>
    <row r="2" spans="1:28" ht="12.75" customHeight="1">
      <c r="A2" s="7" t="s">
        <v>570</v>
      </c>
      <c r="B2" s="8" t="s">
        <v>74</v>
      </c>
      <c r="C2" s="8"/>
      <c r="D2" s="8" t="s">
        <v>74</v>
      </c>
      <c r="E2" s="8"/>
      <c r="F2" s="8"/>
      <c r="G2" s="9"/>
      <c r="H2" s="8"/>
      <c r="I2" s="8"/>
      <c r="J2" s="12"/>
      <c r="K2" s="12"/>
      <c r="L2" s="12"/>
      <c r="M2" s="12"/>
      <c r="N2" s="12"/>
      <c r="O2" s="12"/>
      <c r="P2" s="12"/>
      <c r="Q2" s="12"/>
      <c r="T2" s="7" t="s">
        <v>570</v>
      </c>
      <c r="U2" s="12"/>
      <c r="V2" s="12"/>
      <c r="W2" s="12"/>
      <c r="X2" s="12"/>
      <c r="Y2" s="12"/>
      <c r="Z2" s="12"/>
      <c r="AA2" s="12"/>
      <c r="AB2" s="12"/>
    </row>
    <row r="3" spans="1:28" ht="26.4">
      <c r="A3" s="7"/>
      <c r="B3" s="3" t="s">
        <v>571</v>
      </c>
      <c r="C3" s="3" t="s">
        <v>632</v>
      </c>
      <c r="D3" s="3" t="s">
        <v>580</v>
      </c>
      <c r="E3" s="3" t="s">
        <v>574</v>
      </c>
      <c r="G3" s="4">
        <v>10</v>
      </c>
      <c r="H3" s="3" t="s">
        <v>575</v>
      </c>
      <c r="I3" s="13">
        <v>3.3</v>
      </c>
      <c r="K3" s="3">
        <v>7.5970000000000004</v>
      </c>
      <c r="N3" s="3">
        <f t="shared" ref="N3:N8" si="0">AVERAGE(J3:M3)</f>
        <v>7.5970000000000004</v>
      </c>
      <c r="P3" s="3">
        <f t="shared" ref="P3:P8" si="1">COUNT(J3:M3)</f>
        <v>1</v>
      </c>
      <c r="Q3" s="3" t="s">
        <v>992</v>
      </c>
      <c r="T3" s="7"/>
      <c r="U3" s="3">
        <v>5.5629999999999997</v>
      </c>
      <c r="V3" s="3">
        <v>7.6070000000000002</v>
      </c>
      <c r="Y3" s="3">
        <f t="shared" ref="Y3:Y8" si="2">AVERAGE(U3:X3)</f>
        <v>6.585</v>
      </c>
      <c r="Z3" s="3">
        <f t="shared" ref="Z3:Z8" si="3">_xlfn.STDEV.S(U3:X3)</f>
        <v>1.445326260745301</v>
      </c>
      <c r="AA3" s="3">
        <f t="shared" ref="AA3:AA8" si="4">COUNT(U3:X3)</f>
        <v>2</v>
      </c>
      <c r="AB3" s="3" t="s">
        <v>978</v>
      </c>
    </row>
    <row r="4" spans="1:28" ht="26.4">
      <c r="A4" s="7"/>
      <c r="G4" s="4">
        <v>20</v>
      </c>
      <c r="H4" s="3" t="s">
        <v>575</v>
      </c>
      <c r="I4" s="13">
        <v>3.3</v>
      </c>
      <c r="K4" s="3">
        <v>8.5105979465449852</v>
      </c>
      <c r="N4" s="3">
        <f t="shared" si="0"/>
        <v>8.5105979465449852</v>
      </c>
      <c r="P4" s="3">
        <f t="shared" si="1"/>
        <v>1</v>
      </c>
      <c r="Q4" s="3" t="s">
        <v>1018</v>
      </c>
      <c r="T4" s="7"/>
      <c r="U4" s="3">
        <v>6.18</v>
      </c>
      <c r="V4" s="3">
        <v>8.5218005238077801</v>
      </c>
      <c r="Y4" s="3">
        <f t="shared" si="2"/>
        <v>7.3509002619038899</v>
      </c>
      <c r="Z4" s="3">
        <f t="shared" si="3"/>
        <v>1.6559030305706888</v>
      </c>
      <c r="AA4" s="3">
        <f t="shared" si="4"/>
        <v>2</v>
      </c>
      <c r="AB4" s="3" t="s">
        <v>969</v>
      </c>
    </row>
    <row r="5" spans="1:28" ht="26.4">
      <c r="A5" s="7"/>
      <c r="G5" s="4">
        <v>40</v>
      </c>
      <c r="H5" s="3" t="s">
        <v>575</v>
      </c>
      <c r="I5" s="13">
        <v>3.3</v>
      </c>
      <c r="K5" s="3">
        <v>9.0617107235984378</v>
      </c>
      <c r="N5" s="3">
        <f t="shared" si="0"/>
        <v>9.0617107235984378</v>
      </c>
      <c r="P5" s="3">
        <f t="shared" si="1"/>
        <v>1</v>
      </c>
      <c r="Q5" s="3" t="s">
        <v>1019</v>
      </c>
      <c r="T5" s="7"/>
      <c r="U5" s="3">
        <v>6.49</v>
      </c>
      <c r="V5" s="3">
        <v>9.0736387356079131</v>
      </c>
      <c r="Y5" s="3">
        <f t="shared" si="2"/>
        <v>7.7818193678039567</v>
      </c>
      <c r="Z5" s="3">
        <f t="shared" si="3"/>
        <v>1.8269084700845923</v>
      </c>
      <c r="AA5" s="3">
        <f t="shared" si="4"/>
        <v>2</v>
      </c>
      <c r="AB5" s="3" t="s">
        <v>1021</v>
      </c>
    </row>
    <row r="6" spans="1:28" ht="26.4">
      <c r="A6" s="7"/>
      <c r="G6" s="4">
        <v>10</v>
      </c>
      <c r="H6" s="10" t="s">
        <v>576</v>
      </c>
      <c r="I6" s="10">
        <v>0.12</v>
      </c>
      <c r="J6" s="10"/>
      <c r="K6" s="10">
        <v>0.18</v>
      </c>
      <c r="L6" s="10"/>
      <c r="M6" s="10"/>
      <c r="N6" s="10">
        <f t="shared" si="0"/>
        <v>0.18</v>
      </c>
      <c r="O6" s="10"/>
      <c r="P6" s="10">
        <f t="shared" si="1"/>
        <v>1</v>
      </c>
      <c r="Q6" s="10" t="s">
        <v>981</v>
      </c>
      <c r="T6" s="7"/>
      <c r="U6" s="10">
        <v>0.17699999999999999</v>
      </c>
      <c r="V6" s="10">
        <v>0.183</v>
      </c>
      <c r="W6" s="10"/>
      <c r="X6" s="10"/>
      <c r="Y6" s="10">
        <f t="shared" si="2"/>
        <v>0.18</v>
      </c>
      <c r="Z6" s="10">
        <f t="shared" si="3"/>
        <v>4.2426406871192892E-3</v>
      </c>
      <c r="AA6" s="10">
        <f t="shared" si="4"/>
        <v>2</v>
      </c>
      <c r="AB6" s="10" t="s">
        <v>982</v>
      </c>
    </row>
    <row r="7" spans="1:28" ht="26.4">
      <c r="A7" s="7"/>
      <c r="G7" s="4">
        <v>20</v>
      </c>
      <c r="H7" s="10" t="s">
        <v>576</v>
      </c>
      <c r="I7" s="10">
        <v>0.12</v>
      </c>
      <c r="J7" s="10"/>
      <c r="K7" s="10">
        <v>0.20164639073030108</v>
      </c>
      <c r="L7" s="10"/>
      <c r="M7" s="10"/>
      <c r="N7" s="10">
        <f t="shared" si="0"/>
        <v>0.20164639073030108</v>
      </c>
      <c r="O7" s="10"/>
      <c r="P7" s="10">
        <f t="shared" si="1"/>
        <v>1</v>
      </c>
      <c r="Q7" s="10" t="s">
        <v>978</v>
      </c>
      <c r="T7" s="7"/>
      <c r="U7" s="10">
        <v>0.2</v>
      </c>
      <c r="V7" s="10">
        <v>0.20500716390913942</v>
      </c>
      <c r="W7" s="10"/>
      <c r="X7" s="10"/>
      <c r="Y7" s="10">
        <f t="shared" si="2"/>
        <v>0.20250358195456972</v>
      </c>
      <c r="Z7" s="10">
        <f t="shared" si="3"/>
        <v>3.5405995546650198E-3</v>
      </c>
      <c r="AA7" s="10">
        <f t="shared" si="4"/>
        <v>2</v>
      </c>
      <c r="AB7" s="10" t="s">
        <v>1022</v>
      </c>
    </row>
    <row r="8" spans="1:28" ht="26.4">
      <c r="A8" s="7"/>
      <c r="G8" s="4">
        <v>40</v>
      </c>
      <c r="H8" s="10" t="s">
        <v>576</v>
      </c>
      <c r="I8" s="10">
        <v>0.12</v>
      </c>
      <c r="J8" s="10"/>
      <c r="K8" s="10">
        <v>0.21470421617055663</v>
      </c>
      <c r="L8" s="10"/>
      <c r="M8" s="10"/>
      <c r="N8" s="10">
        <f t="shared" si="0"/>
        <v>0.21470421617055663</v>
      </c>
      <c r="O8" s="10"/>
      <c r="P8" s="10">
        <f t="shared" si="1"/>
        <v>1</v>
      </c>
      <c r="Q8" s="10" t="s">
        <v>992</v>
      </c>
      <c r="T8" s="7"/>
      <c r="U8" s="10">
        <v>0.21</v>
      </c>
      <c r="V8" s="10">
        <v>0.21828261977339924</v>
      </c>
      <c r="W8" s="10"/>
      <c r="X8" s="10"/>
      <c r="Y8" s="10">
        <f t="shared" si="2"/>
        <v>0.2141413098866996</v>
      </c>
      <c r="Z8" s="10">
        <f t="shared" si="3"/>
        <v>5.8566966077603965E-3</v>
      </c>
      <c r="AA8" s="10">
        <f t="shared" si="4"/>
        <v>2</v>
      </c>
      <c r="AB8" s="10" t="s">
        <v>1023</v>
      </c>
    </row>
    <row r="9" spans="1:28">
      <c r="A9" s="7"/>
      <c r="T9" s="7"/>
    </row>
    <row r="10" spans="1:28" ht="26.4">
      <c r="A10" s="7"/>
      <c r="B10" s="3" t="s">
        <v>571</v>
      </c>
      <c r="C10" s="3" t="s">
        <v>633</v>
      </c>
      <c r="D10" s="3" t="s">
        <v>582</v>
      </c>
      <c r="E10" s="3" t="s">
        <v>574</v>
      </c>
      <c r="G10" s="4">
        <v>10</v>
      </c>
      <c r="H10" s="3" t="s">
        <v>575</v>
      </c>
      <c r="I10" s="13">
        <v>3.3</v>
      </c>
      <c r="K10" s="3">
        <v>8.1340000000000003</v>
      </c>
      <c r="N10" s="3">
        <f t="shared" ref="N10:N15" si="5">AVERAGE(J10:M10)</f>
        <v>8.1340000000000003</v>
      </c>
      <c r="P10" s="3">
        <f t="shared" ref="P10:P15" si="6">COUNT(J10:M10)</f>
        <v>1</v>
      </c>
      <c r="Q10" s="3" t="s">
        <v>982</v>
      </c>
      <c r="T10" s="7"/>
      <c r="V10" s="3">
        <v>8.1370000000000005</v>
      </c>
      <c r="Y10" s="3">
        <f t="shared" ref="Y10:Y15" si="7">AVERAGE(U10:X10)</f>
        <v>8.1370000000000005</v>
      </c>
      <c r="AA10" s="3">
        <f t="shared" ref="AA10:AA15" si="8">COUNT(U10:X10)</f>
        <v>1</v>
      </c>
      <c r="AB10" s="3" t="s">
        <v>1023</v>
      </c>
    </row>
    <row r="11" spans="1:28" ht="26.4">
      <c r="A11" s="7"/>
      <c r="G11" s="4">
        <v>20</v>
      </c>
      <c r="H11" s="3" t="s">
        <v>575</v>
      </c>
      <c r="I11" s="13">
        <v>3.3</v>
      </c>
      <c r="K11" s="3">
        <v>9.1274497342219494</v>
      </c>
      <c r="N11" s="3">
        <f t="shared" si="5"/>
        <v>9.1274497342219494</v>
      </c>
      <c r="P11" s="3">
        <f t="shared" si="6"/>
        <v>1</v>
      </c>
      <c r="Q11" s="3" t="s">
        <v>992</v>
      </c>
      <c r="T11" s="7"/>
      <c r="V11" s="3">
        <v>9.1308161405660204</v>
      </c>
      <c r="Y11" s="3">
        <f t="shared" si="7"/>
        <v>9.1308161405660204</v>
      </c>
      <c r="AA11" s="3">
        <f t="shared" si="8"/>
        <v>1</v>
      </c>
      <c r="AB11" s="3" t="s">
        <v>978</v>
      </c>
    </row>
    <row r="12" spans="1:28" ht="26.4">
      <c r="A12" s="7"/>
      <c r="G12" s="4">
        <v>40</v>
      </c>
      <c r="H12" s="3" t="s">
        <v>575</v>
      </c>
      <c r="I12" s="13">
        <v>3.3</v>
      </c>
      <c r="K12" s="3">
        <v>9.7255782423227171</v>
      </c>
      <c r="N12" s="3">
        <f t="shared" si="5"/>
        <v>9.7255782423227171</v>
      </c>
      <c r="P12" s="3">
        <f t="shared" si="6"/>
        <v>1</v>
      </c>
      <c r="Q12" s="3" t="s">
        <v>992</v>
      </c>
      <c r="T12" s="7"/>
      <c r="V12" s="3">
        <v>9.7291652517555871</v>
      </c>
      <c r="Y12" s="3">
        <f t="shared" si="7"/>
        <v>9.7291652517555871</v>
      </c>
      <c r="AA12" s="3">
        <f t="shared" si="8"/>
        <v>1</v>
      </c>
      <c r="AB12" s="3" t="s">
        <v>1024</v>
      </c>
    </row>
    <row r="13" spans="1:28" ht="26.4">
      <c r="A13" s="7"/>
      <c r="G13" s="4">
        <v>10</v>
      </c>
      <c r="H13" s="10" t="s">
        <v>576</v>
      </c>
      <c r="I13" s="10">
        <v>0.12</v>
      </c>
      <c r="J13" s="10"/>
      <c r="K13" s="10">
        <v>0.20300000000000001</v>
      </c>
      <c r="L13" s="10"/>
      <c r="M13" s="10"/>
      <c r="N13" s="10">
        <f t="shared" si="5"/>
        <v>0.20300000000000001</v>
      </c>
      <c r="O13" s="10"/>
      <c r="P13" s="10">
        <f t="shared" si="6"/>
        <v>1</v>
      </c>
      <c r="Q13" s="10" t="s">
        <v>992</v>
      </c>
      <c r="T13" s="7"/>
      <c r="U13" s="10"/>
      <c r="V13" s="10">
        <v>0.20100000000000001</v>
      </c>
      <c r="W13" s="10"/>
      <c r="X13" s="10"/>
      <c r="Y13" s="10">
        <f t="shared" si="7"/>
        <v>0.20100000000000001</v>
      </c>
      <c r="Z13" s="10"/>
      <c r="AA13" s="10">
        <f t="shared" si="8"/>
        <v>1</v>
      </c>
      <c r="AB13" s="10" t="s">
        <v>1025</v>
      </c>
    </row>
    <row r="14" spans="1:28" ht="26.4">
      <c r="A14" s="7"/>
      <c r="G14" s="4">
        <v>20</v>
      </c>
      <c r="H14" s="10" t="s">
        <v>576</v>
      </c>
      <c r="I14" s="10">
        <v>0.12</v>
      </c>
      <c r="J14" s="10"/>
      <c r="K14" s="10">
        <v>0.22779349594874057</v>
      </c>
      <c r="L14" s="10"/>
      <c r="M14" s="10"/>
      <c r="N14" s="10">
        <f t="shared" si="5"/>
        <v>0.22779349594874057</v>
      </c>
      <c r="O14" s="10"/>
      <c r="P14" s="10">
        <f t="shared" si="6"/>
        <v>1</v>
      </c>
      <c r="Q14" s="10" t="s">
        <v>992</v>
      </c>
      <c r="T14" s="7"/>
      <c r="U14" s="10"/>
      <c r="V14" s="10">
        <v>0.22554922505269387</v>
      </c>
      <c r="W14" s="10"/>
      <c r="X14" s="10"/>
      <c r="Y14" s="10">
        <f t="shared" si="7"/>
        <v>0.22554922505269387</v>
      </c>
      <c r="Z14" s="10"/>
      <c r="AA14" s="10">
        <f t="shared" si="8"/>
        <v>1</v>
      </c>
      <c r="AB14" s="10" t="s">
        <v>1025</v>
      </c>
    </row>
    <row r="15" spans="1:28" ht="30.75" customHeight="1">
      <c r="A15" s="7"/>
      <c r="G15" s="4">
        <v>40</v>
      </c>
      <c r="H15" s="10" t="s">
        <v>576</v>
      </c>
      <c r="I15" s="10">
        <v>0.12</v>
      </c>
      <c r="J15" s="10"/>
      <c r="K15" s="10">
        <v>0.24272097162423303</v>
      </c>
      <c r="L15" s="10"/>
      <c r="M15" s="10"/>
      <c r="N15" s="10">
        <f t="shared" si="5"/>
        <v>0.24272097162423303</v>
      </c>
      <c r="O15" s="10"/>
      <c r="P15" s="10">
        <f t="shared" si="6"/>
        <v>1</v>
      </c>
      <c r="Q15" s="10" t="s">
        <v>992</v>
      </c>
      <c r="T15" s="7"/>
      <c r="U15" s="10"/>
      <c r="V15" s="10">
        <v>0.24032963200231941</v>
      </c>
      <c r="W15" s="10"/>
      <c r="X15" s="10"/>
      <c r="Y15" s="10">
        <f t="shared" si="7"/>
        <v>0.24032963200231941</v>
      </c>
      <c r="Z15" s="10"/>
      <c r="AA15" s="10">
        <f t="shared" si="8"/>
        <v>1</v>
      </c>
      <c r="AB15" s="10" t="s">
        <v>1024</v>
      </c>
    </row>
    <row r="16" spans="1:28">
      <c r="A16" s="7"/>
      <c r="T16" s="7"/>
    </row>
    <row r="17" spans="1:28" ht="26.4">
      <c r="A17" s="7"/>
      <c r="B17" s="3" t="s">
        <v>571</v>
      </c>
      <c r="C17" s="3" t="s">
        <v>634</v>
      </c>
      <c r="D17" s="3" t="s">
        <v>582</v>
      </c>
      <c r="E17" s="3" t="s">
        <v>574</v>
      </c>
      <c r="G17" s="4">
        <v>10</v>
      </c>
      <c r="H17" s="3" t="s">
        <v>575</v>
      </c>
      <c r="I17" s="13">
        <v>3.3</v>
      </c>
      <c r="P17" s="3">
        <f t="shared" ref="P17:P22" si="9">COUNT(J17:M17)</f>
        <v>0</v>
      </c>
      <c r="Q17" s="3" t="s">
        <v>989</v>
      </c>
      <c r="T17" s="7"/>
      <c r="AA17" s="3">
        <f t="shared" ref="AA17:AA22" si="10">COUNT(U17:X17)</f>
        <v>0</v>
      </c>
      <c r="AB17" s="3" t="s">
        <v>1026</v>
      </c>
    </row>
    <row r="18" spans="1:28" ht="26.4">
      <c r="A18" s="7"/>
      <c r="G18" s="4">
        <v>20</v>
      </c>
      <c r="H18" s="3" t="s">
        <v>575</v>
      </c>
      <c r="I18" s="13">
        <v>3.3</v>
      </c>
      <c r="P18" s="3">
        <f t="shared" si="9"/>
        <v>0</v>
      </c>
      <c r="Q18" s="3" t="s">
        <v>989</v>
      </c>
      <c r="T18" s="7"/>
      <c r="AA18" s="3">
        <f t="shared" si="10"/>
        <v>0</v>
      </c>
      <c r="AB18" s="3" t="s">
        <v>1026</v>
      </c>
    </row>
    <row r="19" spans="1:28" ht="26.4">
      <c r="A19" s="7"/>
      <c r="G19" s="4">
        <v>40</v>
      </c>
      <c r="H19" s="3" t="s">
        <v>575</v>
      </c>
      <c r="I19" s="13">
        <v>3.3</v>
      </c>
      <c r="P19" s="3">
        <f t="shared" si="9"/>
        <v>0</v>
      </c>
      <c r="Q19" s="3" t="s">
        <v>989</v>
      </c>
      <c r="T19" s="7"/>
      <c r="AA19" s="3">
        <f t="shared" si="10"/>
        <v>0</v>
      </c>
      <c r="AB19" s="3" t="s">
        <v>976</v>
      </c>
    </row>
    <row r="20" spans="1:28" ht="26.4">
      <c r="A20" s="7"/>
      <c r="G20" s="4">
        <v>10</v>
      </c>
      <c r="H20" s="10" t="s">
        <v>576</v>
      </c>
      <c r="I20" s="10">
        <v>0.12</v>
      </c>
      <c r="J20" s="10"/>
      <c r="K20" s="10"/>
      <c r="L20" s="10"/>
      <c r="M20" s="10"/>
      <c r="N20" s="10"/>
      <c r="O20" s="10"/>
      <c r="P20" s="10">
        <f t="shared" si="9"/>
        <v>0</v>
      </c>
      <c r="Q20" s="10" t="s">
        <v>989</v>
      </c>
      <c r="T20" s="7"/>
      <c r="U20" s="10"/>
      <c r="V20" s="10"/>
      <c r="W20" s="10"/>
      <c r="X20" s="10"/>
      <c r="Y20" s="10"/>
      <c r="Z20" s="10"/>
      <c r="AA20" s="10">
        <f t="shared" si="10"/>
        <v>0</v>
      </c>
      <c r="AB20" s="10" t="s">
        <v>1026</v>
      </c>
    </row>
    <row r="21" spans="1:28" ht="26.4">
      <c r="A21" s="7"/>
      <c r="G21" s="4">
        <v>20</v>
      </c>
      <c r="H21" s="10" t="s">
        <v>576</v>
      </c>
      <c r="I21" s="10">
        <v>0.12</v>
      </c>
      <c r="J21" s="10"/>
      <c r="K21" s="10"/>
      <c r="L21" s="10"/>
      <c r="M21" s="10"/>
      <c r="N21" s="10"/>
      <c r="O21" s="10"/>
      <c r="P21" s="10">
        <f t="shared" si="9"/>
        <v>0</v>
      </c>
      <c r="Q21" s="10" t="s">
        <v>989</v>
      </c>
      <c r="T21" s="7"/>
      <c r="U21" s="10"/>
      <c r="V21" s="10"/>
      <c r="W21" s="10"/>
      <c r="X21" s="10"/>
      <c r="Y21" s="10"/>
      <c r="Z21" s="10"/>
      <c r="AA21" s="10">
        <f t="shared" si="10"/>
        <v>0</v>
      </c>
      <c r="AB21" s="10" t="s">
        <v>1026</v>
      </c>
    </row>
    <row r="22" spans="1:28" ht="26.4">
      <c r="A22" s="7"/>
      <c r="G22" s="4">
        <v>40</v>
      </c>
      <c r="H22" s="10" t="s">
        <v>576</v>
      </c>
      <c r="I22" s="10">
        <v>0.12</v>
      </c>
      <c r="J22" s="10"/>
      <c r="K22" s="10"/>
      <c r="L22" s="10"/>
      <c r="M22" s="10"/>
      <c r="N22" s="10"/>
      <c r="O22" s="10"/>
      <c r="P22" s="10">
        <f t="shared" si="9"/>
        <v>0</v>
      </c>
      <c r="Q22" s="10" t="s">
        <v>989</v>
      </c>
      <c r="T22" s="7"/>
      <c r="U22" s="10"/>
      <c r="V22" s="10"/>
      <c r="W22" s="10"/>
      <c r="X22" s="10"/>
      <c r="Y22" s="10"/>
      <c r="Z22" s="10"/>
      <c r="AA22" s="10">
        <f t="shared" si="10"/>
        <v>0</v>
      </c>
      <c r="AB22" s="10" t="s">
        <v>976</v>
      </c>
    </row>
    <row r="23" spans="1:28">
      <c r="A23" s="7"/>
      <c r="T23" s="7"/>
    </row>
    <row r="24" spans="1:28" ht="39.6">
      <c r="A24" s="11"/>
      <c r="B24" s="3" t="s">
        <v>571</v>
      </c>
      <c r="C24" s="3" t="s">
        <v>632</v>
      </c>
      <c r="D24" s="3" t="s">
        <v>635</v>
      </c>
      <c r="E24" s="3" t="s">
        <v>574</v>
      </c>
      <c r="G24" s="4">
        <v>10</v>
      </c>
      <c r="H24" s="3" t="s">
        <v>575</v>
      </c>
      <c r="I24" s="13">
        <v>3.3</v>
      </c>
      <c r="P24" s="3">
        <f t="shared" ref="P24:P29" si="11">COUNT(J24:M24)</f>
        <v>0</v>
      </c>
      <c r="Q24" s="3" t="s">
        <v>989</v>
      </c>
      <c r="T24" s="11"/>
      <c r="AA24" s="3">
        <f t="shared" ref="AA24:AA29" si="12">COUNT(U24:X24)</f>
        <v>0</v>
      </c>
      <c r="AB24" s="3" t="s">
        <v>1027</v>
      </c>
    </row>
    <row r="25" spans="1:28" ht="26.4">
      <c r="A25" s="11"/>
      <c r="G25" s="4">
        <v>20</v>
      </c>
      <c r="H25" s="3" t="s">
        <v>575</v>
      </c>
      <c r="I25" s="13">
        <v>3.3</v>
      </c>
      <c r="P25" s="3">
        <f t="shared" si="11"/>
        <v>0</v>
      </c>
      <c r="Q25" s="3" t="s">
        <v>972</v>
      </c>
      <c r="T25" s="11"/>
      <c r="AA25" s="3">
        <f t="shared" si="12"/>
        <v>0</v>
      </c>
      <c r="AB25" s="3" t="s">
        <v>1027</v>
      </c>
    </row>
    <row r="26" spans="1:28" ht="26.4">
      <c r="A26" s="11"/>
      <c r="G26" s="4">
        <v>40</v>
      </c>
      <c r="H26" s="3" t="s">
        <v>575</v>
      </c>
      <c r="I26" s="13">
        <v>3.3</v>
      </c>
      <c r="P26" s="3">
        <f t="shared" si="11"/>
        <v>0</v>
      </c>
      <c r="Q26" s="3" t="s">
        <v>971</v>
      </c>
      <c r="T26" s="11"/>
      <c r="AA26" s="3">
        <f t="shared" si="12"/>
        <v>0</v>
      </c>
      <c r="AB26" s="3" t="s">
        <v>972</v>
      </c>
    </row>
    <row r="27" spans="1:28" ht="26.4">
      <c r="A27" s="11"/>
      <c r="G27" s="4">
        <v>10</v>
      </c>
      <c r="H27" s="10" t="s">
        <v>576</v>
      </c>
      <c r="I27" s="10">
        <v>0.12</v>
      </c>
      <c r="J27" s="10"/>
      <c r="K27" s="10"/>
      <c r="L27" s="10"/>
      <c r="M27" s="10"/>
      <c r="N27" s="10"/>
      <c r="O27" s="10"/>
      <c r="P27" s="10">
        <f t="shared" si="11"/>
        <v>0</v>
      </c>
      <c r="Q27" s="10" t="s">
        <v>972</v>
      </c>
      <c r="T27" s="11"/>
      <c r="U27" s="10"/>
      <c r="V27" s="10"/>
      <c r="W27" s="10"/>
      <c r="X27" s="10"/>
      <c r="Y27" s="10"/>
      <c r="Z27" s="10"/>
      <c r="AA27" s="10">
        <f t="shared" si="12"/>
        <v>0</v>
      </c>
      <c r="AB27" s="10" t="s">
        <v>975</v>
      </c>
    </row>
    <row r="28" spans="1:28" ht="26.4">
      <c r="A28" s="11"/>
      <c r="G28" s="4">
        <v>20</v>
      </c>
      <c r="H28" s="10" t="s">
        <v>576</v>
      </c>
      <c r="I28" s="10">
        <v>0.12</v>
      </c>
      <c r="J28" s="10"/>
      <c r="K28" s="10"/>
      <c r="L28" s="10"/>
      <c r="M28" s="10"/>
      <c r="N28" s="10"/>
      <c r="O28" s="10"/>
      <c r="P28" s="10">
        <f t="shared" si="11"/>
        <v>0</v>
      </c>
      <c r="Q28" s="10" t="s">
        <v>972</v>
      </c>
      <c r="T28" s="11"/>
      <c r="U28" s="10"/>
      <c r="V28" s="10"/>
      <c r="W28" s="10"/>
      <c r="X28" s="10"/>
      <c r="Y28" s="10"/>
      <c r="Z28" s="10"/>
      <c r="AA28" s="10">
        <f t="shared" si="12"/>
        <v>0</v>
      </c>
      <c r="AB28" s="10" t="s">
        <v>971</v>
      </c>
    </row>
    <row r="29" spans="1:28" ht="26.4">
      <c r="A29" s="11"/>
      <c r="G29" s="4">
        <v>40</v>
      </c>
      <c r="H29" s="10" t="s">
        <v>576</v>
      </c>
      <c r="I29" s="10">
        <v>0.12</v>
      </c>
      <c r="J29" s="10"/>
      <c r="K29" s="10"/>
      <c r="L29" s="10"/>
      <c r="M29" s="10"/>
      <c r="N29" s="10"/>
      <c r="O29" s="10"/>
      <c r="P29" s="10">
        <f t="shared" si="11"/>
        <v>0</v>
      </c>
      <c r="Q29" s="10" t="s">
        <v>989</v>
      </c>
      <c r="T29" s="11"/>
      <c r="U29" s="10"/>
      <c r="V29" s="10"/>
      <c r="W29" s="10"/>
      <c r="X29" s="10"/>
      <c r="Y29" s="10"/>
      <c r="Z29" s="10"/>
      <c r="AA29" s="10">
        <f t="shared" si="12"/>
        <v>0</v>
      </c>
      <c r="AB29" s="10" t="s">
        <v>975</v>
      </c>
    </row>
    <row r="30" spans="1:28">
      <c r="A30" s="7"/>
      <c r="T30" s="7"/>
    </row>
    <row r="31" spans="1:28" ht="26.4">
      <c r="A31" s="11"/>
      <c r="B31" s="3" t="s">
        <v>571</v>
      </c>
      <c r="C31" s="3" t="s">
        <v>632</v>
      </c>
      <c r="D31" s="3" t="s">
        <v>636</v>
      </c>
      <c r="E31" s="3" t="s">
        <v>574</v>
      </c>
      <c r="G31" s="4">
        <v>10</v>
      </c>
      <c r="H31" s="3" t="s">
        <v>575</v>
      </c>
      <c r="I31" s="13">
        <v>3.3</v>
      </c>
      <c r="L31" s="3">
        <v>6.84</v>
      </c>
      <c r="N31" s="3">
        <f t="shared" ref="N31:N36" si="13">AVERAGE(J31:M31)</f>
        <v>6.84</v>
      </c>
      <c r="P31" s="3">
        <f t="shared" ref="P31:P36" si="14">COUNT(J31:M31)</f>
        <v>1</v>
      </c>
      <c r="Q31" s="3" t="s">
        <v>992</v>
      </c>
      <c r="T31" s="11"/>
      <c r="AA31" s="3">
        <f t="shared" ref="AA31:AA36" si="15">COUNT(U31:X31)</f>
        <v>0</v>
      </c>
      <c r="AB31" s="3" t="s">
        <v>975</v>
      </c>
    </row>
    <row r="32" spans="1:28" ht="26.4">
      <c r="A32" s="11"/>
      <c r="G32" s="4">
        <v>20</v>
      </c>
      <c r="H32" s="3" t="s">
        <v>575</v>
      </c>
      <c r="I32" s="13">
        <v>3.3</v>
      </c>
      <c r="L32" s="3">
        <v>7.7288212025316509</v>
      </c>
      <c r="N32" s="3">
        <f t="shared" si="13"/>
        <v>7.7288212025316509</v>
      </c>
      <c r="P32" s="3">
        <f t="shared" si="14"/>
        <v>1</v>
      </c>
      <c r="Q32" s="3" t="s">
        <v>992</v>
      </c>
      <c r="T32" s="11"/>
      <c r="AA32" s="3">
        <f t="shared" si="15"/>
        <v>0</v>
      </c>
      <c r="AB32" s="3" t="s">
        <v>965</v>
      </c>
    </row>
    <row r="33" spans="1:28" ht="26.4">
      <c r="A33" s="11"/>
      <c r="G33" s="4">
        <v>40</v>
      </c>
      <c r="H33" s="3" t="s">
        <v>575</v>
      </c>
      <c r="I33" s="13">
        <v>3.3</v>
      </c>
      <c r="L33" s="3">
        <v>8.2600395569620328</v>
      </c>
      <c r="N33" s="3">
        <f t="shared" si="13"/>
        <v>8.2600395569620328</v>
      </c>
      <c r="P33" s="3">
        <f t="shared" si="14"/>
        <v>1</v>
      </c>
      <c r="Q33" s="3" t="s">
        <v>992</v>
      </c>
      <c r="T33" s="11"/>
      <c r="AA33" s="3">
        <f t="shared" si="15"/>
        <v>0</v>
      </c>
      <c r="AB33" s="3" t="s">
        <v>975</v>
      </c>
    </row>
    <row r="34" spans="1:28" ht="26.4">
      <c r="A34" s="11"/>
      <c r="G34" s="4">
        <v>10</v>
      </c>
      <c r="H34" s="10" t="s">
        <v>576</v>
      </c>
      <c r="I34" s="10">
        <v>0.12</v>
      </c>
      <c r="J34" s="10"/>
      <c r="K34" s="10"/>
      <c r="L34" s="10">
        <v>0.25</v>
      </c>
      <c r="M34" s="10"/>
      <c r="N34" s="10">
        <f t="shared" si="13"/>
        <v>0.25</v>
      </c>
      <c r="O34" s="10"/>
      <c r="P34" s="10">
        <f t="shared" si="14"/>
        <v>1</v>
      </c>
      <c r="Q34" s="10" t="s">
        <v>992</v>
      </c>
      <c r="T34" s="11"/>
      <c r="U34" s="10"/>
      <c r="V34" s="10"/>
      <c r="W34" s="10"/>
      <c r="X34" s="10"/>
      <c r="Y34" s="10"/>
      <c r="Z34" s="10"/>
      <c r="AA34" s="10">
        <f t="shared" si="15"/>
        <v>0</v>
      </c>
      <c r="AB34" s="10" t="s">
        <v>975</v>
      </c>
    </row>
    <row r="35" spans="1:28" ht="26.4">
      <c r="A35" s="11"/>
      <c r="G35" s="4">
        <v>20</v>
      </c>
      <c r="H35" s="10" t="s">
        <v>576</v>
      </c>
      <c r="I35" s="10">
        <v>0.12</v>
      </c>
      <c r="J35" s="10"/>
      <c r="K35" s="10"/>
      <c r="L35" s="10">
        <v>0.28248615506329133</v>
      </c>
      <c r="M35" s="10"/>
      <c r="N35" s="10">
        <f t="shared" si="13"/>
        <v>0.28248615506329133</v>
      </c>
      <c r="O35" s="10"/>
      <c r="P35" s="10">
        <f t="shared" si="14"/>
        <v>1</v>
      </c>
      <c r="Q35" s="10" t="s">
        <v>1019</v>
      </c>
      <c r="T35" s="11"/>
      <c r="U35" s="10"/>
      <c r="V35" s="10"/>
      <c r="W35" s="10"/>
      <c r="X35" s="10"/>
      <c r="Y35" s="10"/>
      <c r="Z35" s="10"/>
      <c r="AA35" s="10">
        <f t="shared" si="15"/>
        <v>0</v>
      </c>
      <c r="AB35" s="10" t="s">
        <v>997</v>
      </c>
    </row>
    <row r="36" spans="1:28" ht="26.4">
      <c r="A36" s="11"/>
      <c r="G36" s="4">
        <v>40</v>
      </c>
      <c r="H36" s="10" t="s">
        <v>576</v>
      </c>
      <c r="I36" s="10">
        <v>0.12</v>
      </c>
      <c r="J36" s="10"/>
      <c r="K36" s="10"/>
      <c r="L36" s="10">
        <v>0.30190203059071757</v>
      </c>
      <c r="M36" s="10"/>
      <c r="N36" s="10">
        <f t="shared" si="13"/>
        <v>0.30190203059071757</v>
      </c>
      <c r="O36" s="10"/>
      <c r="P36" s="10">
        <f t="shared" si="14"/>
        <v>1</v>
      </c>
      <c r="Q36" s="10" t="s">
        <v>960</v>
      </c>
      <c r="T36" s="11"/>
      <c r="U36" s="10"/>
      <c r="V36" s="10"/>
      <c r="W36" s="10"/>
      <c r="X36" s="10"/>
      <c r="Y36" s="10"/>
      <c r="Z36" s="10"/>
      <c r="AA36" s="10">
        <f t="shared" si="15"/>
        <v>0</v>
      </c>
      <c r="AB36" s="10" t="s">
        <v>972</v>
      </c>
    </row>
    <row r="37" spans="1:28">
      <c r="A37" s="211"/>
      <c r="T37" s="211"/>
    </row>
    <row r="38" spans="1:28" ht="52.8">
      <c r="A38" s="11"/>
      <c r="B38" s="3" t="s">
        <v>571</v>
      </c>
      <c r="C38" s="3" t="s">
        <v>632</v>
      </c>
      <c r="D38" s="202" t="s">
        <v>663</v>
      </c>
      <c r="E38" s="3" t="s">
        <v>574</v>
      </c>
      <c r="G38" s="4">
        <v>10</v>
      </c>
      <c r="H38" s="3" t="s">
        <v>575</v>
      </c>
      <c r="I38" s="13">
        <v>3.3</v>
      </c>
      <c r="P38" s="3">
        <f t="shared" ref="P38:P43" si="16">COUNT(J38:M38)</f>
        <v>0</v>
      </c>
      <c r="Q38" s="3" t="s">
        <v>971</v>
      </c>
      <c r="T38" s="11"/>
      <c r="AA38" s="3">
        <f t="shared" ref="AA38:AA43" si="17">COUNT(U38:X38)</f>
        <v>0</v>
      </c>
      <c r="AB38" s="3" t="s">
        <v>975</v>
      </c>
    </row>
    <row r="39" spans="1:28" ht="26.4">
      <c r="A39" s="11"/>
      <c r="G39" s="4">
        <v>20</v>
      </c>
      <c r="H39" s="3" t="s">
        <v>575</v>
      </c>
      <c r="I39" s="13">
        <v>3.3</v>
      </c>
      <c r="P39" s="3">
        <f t="shared" si="16"/>
        <v>0</v>
      </c>
      <c r="Q39" s="3" t="s">
        <v>972</v>
      </c>
      <c r="T39" s="11"/>
      <c r="AA39" s="3">
        <f t="shared" si="17"/>
        <v>0</v>
      </c>
      <c r="AB39" s="3" t="s">
        <v>997</v>
      </c>
    </row>
    <row r="40" spans="1:28" ht="26.4">
      <c r="A40" s="11"/>
      <c r="G40" s="4">
        <v>40</v>
      </c>
      <c r="H40" s="3" t="s">
        <v>575</v>
      </c>
      <c r="I40" s="13">
        <v>3.3</v>
      </c>
      <c r="P40" s="3">
        <f t="shared" si="16"/>
        <v>0</v>
      </c>
      <c r="Q40" s="3" t="s">
        <v>990</v>
      </c>
      <c r="T40" s="11"/>
      <c r="AA40" s="3">
        <f t="shared" si="17"/>
        <v>0</v>
      </c>
      <c r="AB40" s="3" t="s">
        <v>965</v>
      </c>
    </row>
    <row r="41" spans="1:28" ht="26.4">
      <c r="A41" s="11"/>
      <c r="G41" s="4">
        <v>10</v>
      </c>
      <c r="H41" s="10" t="s">
        <v>576</v>
      </c>
      <c r="I41" s="10">
        <v>0.12</v>
      </c>
      <c r="J41" s="10"/>
      <c r="K41" s="10"/>
      <c r="L41" s="10"/>
      <c r="M41" s="10"/>
      <c r="N41" s="10"/>
      <c r="O41" s="10"/>
      <c r="P41" s="10">
        <f t="shared" si="16"/>
        <v>0</v>
      </c>
      <c r="Q41" s="10" t="s">
        <v>989</v>
      </c>
      <c r="T41" s="11"/>
      <c r="U41" s="10"/>
      <c r="V41" s="10"/>
      <c r="W41" s="10"/>
      <c r="X41" s="10"/>
      <c r="Y41" s="10"/>
      <c r="Z41" s="10"/>
      <c r="AA41" s="10">
        <f t="shared" si="17"/>
        <v>0</v>
      </c>
      <c r="AB41" s="10" t="s">
        <v>975</v>
      </c>
    </row>
    <row r="42" spans="1:28" ht="26.4">
      <c r="A42" s="11"/>
      <c r="G42" s="4">
        <v>20</v>
      </c>
      <c r="H42" s="10" t="s">
        <v>576</v>
      </c>
      <c r="I42" s="10">
        <v>0.12</v>
      </c>
      <c r="J42" s="10"/>
      <c r="K42" s="10"/>
      <c r="L42" s="10"/>
      <c r="M42" s="10"/>
      <c r="N42" s="10"/>
      <c r="O42" s="10"/>
      <c r="P42" s="10">
        <f t="shared" si="16"/>
        <v>0</v>
      </c>
      <c r="Q42" s="10" t="s">
        <v>972</v>
      </c>
      <c r="T42" s="11"/>
      <c r="U42" s="10"/>
      <c r="V42" s="10"/>
      <c r="W42" s="10"/>
      <c r="X42" s="10"/>
      <c r="Y42" s="10"/>
      <c r="Z42" s="10"/>
      <c r="AA42" s="10">
        <f t="shared" si="17"/>
        <v>0</v>
      </c>
      <c r="AB42" s="10" t="s">
        <v>997</v>
      </c>
    </row>
    <row r="43" spans="1:28" ht="26.4">
      <c r="A43" s="11"/>
      <c r="G43" s="4">
        <v>40</v>
      </c>
      <c r="H43" s="10" t="s">
        <v>576</v>
      </c>
      <c r="I43" s="10">
        <v>0.12</v>
      </c>
      <c r="J43" s="10"/>
      <c r="K43" s="10"/>
      <c r="L43" s="10"/>
      <c r="M43" s="10"/>
      <c r="N43" s="10"/>
      <c r="O43" s="10"/>
      <c r="P43" s="10">
        <f t="shared" si="16"/>
        <v>0</v>
      </c>
      <c r="Q43" s="10" t="s">
        <v>989</v>
      </c>
      <c r="T43" s="11"/>
      <c r="U43" s="10"/>
      <c r="V43" s="10"/>
      <c r="W43" s="10"/>
      <c r="X43" s="10"/>
      <c r="Y43" s="10"/>
      <c r="Z43" s="10"/>
      <c r="AA43" s="10">
        <f t="shared" si="17"/>
        <v>0</v>
      </c>
      <c r="AB43" s="10" t="s">
        <v>970</v>
      </c>
    </row>
    <row r="44" spans="1:28">
      <c r="A44" s="211"/>
      <c r="T44" s="211"/>
    </row>
    <row r="45" spans="1:28" ht="39.6">
      <c r="A45" s="211"/>
      <c r="B45" s="3" t="s">
        <v>577</v>
      </c>
      <c r="C45" s="202" t="s">
        <v>785</v>
      </c>
      <c r="D45" s="202" t="s">
        <v>732</v>
      </c>
      <c r="E45" s="3" t="s">
        <v>574</v>
      </c>
      <c r="G45" s="4">
        <v>10</v>
      </c>
      <c r="H45" s="3" t="s">
        <v>575</v>
      </c>
      <c r="I45" s="13">
        <v>3.3</v>
      </c>
      <c r="K45" s="3">
        <v>5.9640000000000004</v>
      </c>
      <c r="N45" s="3">
        <f>AVERAGE(J45:M45)</f>
        <v>5.9640000000000004</v>
      </c>
      <c r="P45" s="3">
        <f>COUNT(J45:M45)</f>
        <v>1</v>
      </c>
      <c r="Q45" s="3" t="s">
        <v>960</v>
      </c>
      <c r="T45" s="211"/>
      <c r="V45" s="3">
        <v>5.968</v>
      </c>
      <c r="Y45" s="3">
        <f>AVERAGE(U45:X45)</f>
        <v>5.968</v>
      </c>
      <c r="AA45" s="3">
        <f>COUNT(U45:X45)</f>
        <v>1</v>
      </c>
      <c r="AB45" s="3" t="s">
        <v>969</v>
      </c>
    </row>
    <row r="46" spans="1:28" ht="26.4">
      <c r="A46" s="211"/>
      <c r="G46" s="4">
        <v>10</v>
      </c>
      <c r="H46" s="10" t="s">
        <v>576</v>
      </c>
      <c r="I46" s="10">
        <v>0.12</v>
      </c>
      <c r="J46" s="10"/>
      <c r="K46" s="10">
        <v>0.14799999999999999</v>
      </c>
      <c r="L46" s="10"/>
      <c r="M46" s="10"/>
      <c r="N46" s="10">
        <f>AVERAGE(J46:M46)</f>
        <v>0.14799999999999999</v>
      </c>
      <c r="O46" s="10"/>
      <c r="P46" s="10">
        <f>COUNT(J46:M46)</f>
        <v>1</v>
      </c>
      <c r="Q46" s="10" t="s">
        <v>960</v>
      </c>
      <c r="T46" s="211"/>
      <c r="U46" s="10"/>
      <c r="V46" s="10">
        <v>0.14899999999999999</v>
      </c>
      <c r="W46" s="10"/>
      <c r="X46" s="10"/>
      <c r="Y46" s="10">
        <f>AVERAGE(U46:X46)</f>
        <v>0.14899999999999999</v>
      </c>
      <c r="Z46" s="10"/>
      <c r="AA46" s="10">
        <f>COUNT(U46:X46)</f>
        <v>1</v>
      </c>
      <c r="AB46" s="10" t="s">
        <v>978</v>
      </c>
    </row>
    <row r="47" spans="1:28">
      <c r="A47" s="7"/>
      <c r="T47" s="7"/>
    </row>
    <row r="48" spans="1:28">
      <c r="A48" s="7"/>
      <c r="B48" s="8" t="s">
        <v>75</v>
      </c>
      <c r="C48" s="8"/>
      <c r="D48" s="8" t="s">
        <v>75</v>
      </c>
      <c r="E48" s="8"/>
      <c r="F48" s="8"/>
      <c r="G48" s="9"/>
      <c r="H48" s="12"/>
      <c r="I48" s="12"/>
      <c r="J48" s="12"/>
      <c r="K48" s="12"/>
      <c r="L48" s="12"/>
      <c r="M48" s="12"/>
      <c r="N48" s="12"/>
      <c r="O48" s="12"/>
      <c r="P48" s="12"/>
      <c r="Q48" s="12"/>
      <c r="T48" s="7"/>
      <c r="U48" s="12"/>
      <c r="V48" s="12"/>
      <c r="W48" s="12"/>
      <c r="X48" s="12"/>
      <c r="Y48" s="12"/>
      <c r="Z48" s="12"/>
      <c r="AA48" s="12"/>
      <c r="AB48" s="12"/>
    </row>
    <row r="49" spans="1:28" ht="31.5" customHeight="1">
      <c r="A49" s="7"/>
      <c r="B49" s="3" t="s">
        <v>571</v>
      </c>
      <c r="C49" s="3" t="s">
        <v>632</v>
      </c>
      <c r="D49" s="3" t="s">
        <v>637</v>
      </c>
      <c r="E49" s="3" t="s">
        <v>587</v>
      </c>
      <c r="F49" s="3" t="s">
        <v>97</v>
      </c>
      <c r="G49" s="4">
        <v>20</v>
      </c>
      <c r="H49" s="3" t="s">
        <v>575</v>
      </c>
      <c r="I49" s="13">
        <v>3.3</v>
      </c>
      <c r="K49" s="3">
        <v>7.7739622641509429</v>
      </c>
      <c r="N49" s="3">
        <f t="shared" ref="N49:N54" si="18">AVERAGE(J49:M49)</f>
        <v>7.7739622641509429</v>
      </c>
      <c r="P49" s="3">
        <f t="shared" ref="P49:P54" si="19">COUNT(J49:M49)</f>
        <v>1</v>
      </c>
      <c r="Q49" s="3" t="s">
        <v>981</v>
      </c>
      <c r="T49" s="7"/>
      <c r="U49" s="3">
        <v>6.2149999999999999</v>
      </c>
      <c r="V49" s="3">
        <v>7.7851698113207544</v>
      </c>
      <c r="Y49" s="3">
        <f t="shared" ref="Y49:Y54" si="20">AVERAGE(U49:X49)</f>
        <v>7.0000849056603771</v>
      </c>
      <c r="Z49" s="3">
        <f t="shared" ref="Z49:Z54" si="21">_xlfn.STDEV.S(U49:X49)</f>
        <v>1.1102777211993096</v>
      </c>
      <c r="AA49" s="3">
        <f t="shared" ref="AA49:AA54" si="22">COUNT(U49:X49)</f>
        <v>2</v>
      </c>
      <c r="AB49" s="3" t="s">
        <v>960</v>
      </c>
    </row>
    <row r="50" spans="1:28" ht="31.5" customHeight="1">
      <c r="A50" s="7"/>
      <c r="G50" s="4">
        <v>40</v>
      </c>
      <c r="H50" s="3" t="s">
        <v>575</v>
      </c>
      <c r="I50" s="13">
        <v>3.3</v>
      </c>
      <c r="K50" s="3">
        <v>9.0029927919426775</v>
      </c>
      <c r="N50" s="3">
        <f t="shared" si="18"/>
        <v>9.0029927919426775</v>
      </c>
      <c r="P50" s="3">
        <f t="shared" si="19"/>
        <v>1</v>
      </c>
      <c r="Q50" s="3" t="s">
        <v>978</v>
      </c>
      <c r="T50" s="7"/>
      <c r="U50" s="3">
        <v>6.97</v>
      </c>
      <c r="V50" s="3">
        <v>9.0159722048799473</v>
      </c>
      <c r="Y50" s="3">
        <f t="shared" si="20"/>
        <v>7.9929861024399731</v>
      </c>
      <c r="Z50" s="3">
        <f t="shared" si="21"/>
        <v>1.4467208201898138</v>
      </c>
      <c r="AA50" s="3">
        <f t="shared" si="22"/>
        <v>2</v>
      </c>
      <c r="AB50" s="3" t="s">
        <v>978</v>
      </c>
    </row>
    <row r="51" spans="1:28" ht="31.5" customHeight="1">
      <c r="A51" s="7"/>
      <c r="G51" s="4">
        <v>100</v>
      </c>
      <c r="H51" s="3" t="s">
        <v>575</v>
      </c>
      <c r="I51" s="13">
        <v>3.3</v>
      </c>
      <c r="K51" s="3">
        <v>9.8420967213466568</v>
      </c>
      <c r="N51" s="3">
        <f t="shared" si="18"/>
        <v>9.8420967213466568</v>
      </c>
      <c r="P51" s="3">
        <f t="shared" si="19"/>
        <v>1</v>
      </c>
      <c r="Q51" s="3" t="s">
        <v>960</v>
      </c>
      <c r="T51" s="7"/>
      <c r="U51" s="3">
        <v>7.9173487574378711</v>
      </c>
      <c r="V51" s="3">
        <v>9.8562858516133414</v>
      </c>
      <c r="Y51" s="3">
        <f t="shared" si="20"/>
        <v>8.8868173045256071</v>
      </c>
      <c r="Z51" s="3">
        <f t="shared" si="21"/>
        <v>1.3710355675856032</v>
      </c>
      <c r="AA51" s="3">
        <f t="shared" si="22"/>
        <v>2</v>
      </c>
      <c r="AB51" s="3" t="s">
        <v>978</v>
      </c>
    </row>
    <row r="52" spans="1:28" ht="26.4">
      <c r="A52" s="7"/>
      <c r="G52" s="4">
        <v>20</v>
      </c>
      <c r="H52" s="10" t="s">
        <v>576</v>
      </c>
      <c r="I52" s="10">
        <v>0.12</v>
      </c>
      <c r="J52" s="203"/>
      <c r="K52" s="203">
        <v>0.21294339622641509</v>
      </c>
      <c r="L52" s="203"/>
      <c r="M52" s="203"/>
      <c r="N52" s="203">
        <f t="shared" si="18"/>
        <v>0.21294339622641509</v>
      </c>
      <c r="O52" s="203"/>
      <c r="P52" s="203">
        <f t="shared" si="19"/>
        <v>1</v>
      </c>
      <c r="Q52" s="203" t="s">
        <v>978</v>
      </c>
      <c r="T52" s="7"/>
      <c r="U52" s="10">
        <v>0.191</v>
      </c>
      <c r="V52" s="10">
        <v>0.18135849056603773</v>
      </c>
      <c r="W52" s="10"/>
      <c r="X52" s="10"/>
      <c r="Y52" s="10">
        <f t="shared" si="20"/>
        <v>0.18617924528301888</v>
      </c>
      <c r="Z52" s="10">
        <f t="shared" si="21"/>
        <v>6.8175767016287964E-3</v>
      </c>
      <c r="AA52" s="10">
        <f t="shared" si="22"/>
        <v>2</v>
      </c>
      <c r="AB52" s="10" t="s">
        <v>984</v>
      </c>
    </row>
    <row r="53" spans="1:28" ht="26.4">
      <c r="A53" s="7"/>
      <c r="G53" s="4">
        <v>40</v>
      </c>
      <c r="H53" s="10" t="s">
        <v>576</v>
      </c>
      <c r="I53" s="10">
        <v>0.12</v>
      </c>
      <c r="J53" s="203"/>
      <c r="K53" s="203">
        <v>0.24660884580812839</v>
      </c>
      <c r="L53" s="203"/>
      <c r="M53" s="203"/>
      <c r="N53" s="203">
        <f t="shared" si="18"/>
        <v>0.24660884580812839</v>
      </c>
      <c r="O53" s="203"/>
      <c r="P53" s="203">
        <f t="shared" si="19"/>
        <v>1</v>
      </c>
      <c r="Q53" s="203" t="s">
        <v>981</v>
      </c>
      <c r="T53" s="7"/>
      <c r="U53" s="10">
        <v>0.21</v>
      </c>
      <c r="V53" s="10">
        <v>0.21003050025764045</v>
      </c>
      <c r="W53" s="10"/>
      <c r="X53" s="10"/>
      <c r="Y53" s="10">
        <f t="shared" si="20"/>
        <v>0.21001525012882022</v>
      </c>
      <c r="Z53" s="10">
        <f t="shared" si="21"/>
        <v>2.1566939005501396E-5</v>
      </c>
      <c r="AA53" s="10">
        <f t="shared" si="22"/>
        <v>2</v>
      </c>
      <c r="AB53" s="10" t="s">
        <v>960</v>
      </c>
    </row>
    <row r="54" spans="1:28" ht="26.4">
      <c r="A54" s="7"/>
      <c r="G54" s="4">
        <v>100</v>
      </c>
      <c r="H54" s="10" t="s">
        <v>576</v>
      </c>
      <c r="I54" s="10">
        <v>0.12</v>
      </c>
      <c r="J54" s="203"/>
      <c r="K54" s="203">
        <v>0.26959347506703163</v>
      </c>
      <c r="L54" s="203"/>
      <c r="M54" s="203"/>
      <c r="N54" s="203">
        <f t="shared" si="18"/>
        <v>0.26959347506703163</v>
      </c>
      <c r="O54" s="203"/>
      <c r="P54" s="203">
        <f t="shared" si="19"/>
        <v>1</v>
      </c>
      <c r="Q54" s="203" t="s">
        <v>978</v>
      </c>
      <c r="T54" s="7"/>
      <c r="U54" s="10">
        <v>0.24331675183759188</v>
      </c>
      <c r="V54" s="10">
        <v>0.22960592613364414</v>
      </c>
      <c r="W54" s="10"/>
      <c r="X54" s="10"/>
      <c r="Y54" s="10">
        <f t="shared" si="20"/>
        <v>0.236461338985618</v>
      </c>
      <c r="Z54" s="10">
        <f t="shared" si="21"/>
        <v>9.6950178309282674E-3</v>
      </c>
      <c r="AA54" s="10">
        <f t="shared" si="22"/>
        <v>2</v>
      </c>
      <c r="AB54" s="10" t="s">
        <v>960</v>
      </c>
    </row>
    <row r="55" spans="1:28">
      <c r="A55" s="7"/>
      <c r="T55" s="7"/>
    </row>
    <row r="56" spans="1:28" ht="31.5" customHeight="1">
      <c r="A56" s="7"/>
      <c r="B56" s="3" t="s">
        <v>571</v>
      </c>
      <c r="C56" s="3" t="s">
        <v>632</v>
      </c>
      <c r="D56" s="3" t="s">
        <v>637</v>
      </c>
      <c r="E56" s="3" t="s">
        <v>574</v>
      </c>
      <c r="F56" s="3" t="s">
        <v>97</v>
      </c>
      <c r="G56" s="4">
        <v>20</v>
      </c>
      <c r="H56" s="3" t="s">
        <v>575</v>
      </c>
      <c r="I56" s="13">
        <v>3.3</v>
      </c>
      <c r="K56" s="3">
        <v>8.0052452830188674</v>
      </c>
      <c r="N56" s="3">
        <f>AVERAGE(J56:M56)</f>
        <v>8.0052452830188674</v>
      </c>
      <c r="P56" s="3">
        <f>COUNT(J56:M56)</f>
        <v>1</v>
      </c>
      <c r="Q56" s="3" t="s">
        <v>978</v>
      </c>
      <c r="T56" s="7"/>
      <c r="U56" s="3">
        <v>6.2560000000000002</v>
      </c>
      <c r="V56" s="3">
        <v>8.0174716981132068</v>
      </c>
      <c r="X56" s="3">
        <v>9.2040000000000006</v>
      </c>
      <c r="Y56" s="3">
        <f>AVERAGE(U56:X56)</f>
        <v>7.8258238993710689</v>
      </c>
      <c r="Z56" s="3">
        <f>_xlfn.STDEV.S(U56:X56)</f>
        <v>1.483314753877967</v>
      </c>
      <c r="AA56" s="3">
        <f>COUNT(U56:X56)</f>
        <v>3</v>
      </c>
      <c r="AB56" s="3" t="s">
        <v>978</v>
      </c>
    </row>
    <row r="57" spans="1:28" ht="31.5" customHeight="1">
      <c r="A57" s="7"/>
      <c r="G57" s="4">
        <v>40</v>
      </c>
      <c r="H57" s="3" t="s">
        <v>575</v>
      </c>
      <c r="I57" s="13">
        <v>3.3</v>
      </c>
      <c r="K57" s="3">
        <v>9.023626626993039</v>
      </c>
      <c r="N57" s="3">
        <f>AVERAGE(J57:M57)</f>
        <v>9.023626626993039</v>
      </c>
      <c r="P57" s="3">
        <f>COUNT(J57:M57)</f>
        <v>1</v>
      </c>
      <c r="Q57" s="3" t="s">
        <v>994</v>
      </c>
      <c r="T57" s="7"/>
      <c r="U57" s="3">
        <v>7.02</v>
      </c>
      <c r="V57" s="3">
        <v>9.0374084164195274</v>
      </c>
      <c r="X57" s="3">
        <v>10.305683603981144</v>
      </c>
      <c r="Y57" s="3">
        <f>AVERAGE(U57:X57)</f>
        <v>8.7876973401335565</v>
      </c>
      <c r="Z57" s="3">
        <f>_xlfn.STDEV.S(U57:X57)</f>
        <v>1.6570141528009168</v>
      </c>
      <c r="AA57" s="3">
        <f>COUNT(U57:X57)</f>
        <v>3</v>
      </c>
      <c r="AB57" s="3" t="s">
        <v>978</v>
      </c>
    </row>
    <row r="58" spans="1:28" ht="26.4">
      <c r="A58" s="7"/>
      <c r="G58" s="4">
        <v>20</v>
      </c>
      <c r="H58" s="10" t="s">
        <v>576</v>
      </c>
      <c r="I58" s="10">
        <v>0.12</v>
      </c>
      <c r="J58" s="10"/>
      <c r="K58" s="10">
        <v>0.19562264150943395</v>
      </c>
      <c r="L58" s="10"/>
      <c r="M58" s="10"/>
      <c r="N58" s="10">
        <f>AVERAGE(J58:M58)</f>
        <v>0.19562264150943395</v>
      </c>
      <c r="O58" s="10"/>
      <c r="P58" s="10">
        <f>COUNT(J58:M58)</f>
        <v>1</v>
      </c>
      <c r="Q58" s="10" t="s">
        <v>984</v>
      </c>
      <c r="T58" s="7"/>
      <c r="U58" s="10">
        <v>0.19400000000000001</v>
      </c>
      <c r="V58" s="10">
        <v>0.19562264150943395</v>
      </c>
      <c r="W58" s="10"/>
      <c r="X58" s="10">
        <v>0.23699999999999999</v>
      </c>
      <c r="Y58" s="10">
        <f>AVERAGE(U58:X58)</f>
        <v>0.20887421383647797</v>
      </c>
      <c r="Z58" s="10">
        <f>_xlfn.STDEV.S(U58:X58)</f>
        <v>2.4371153580701899E-2</v>
      </c>
      <c r="AA58" s="10">
        <f>COUNT(U58:X58)</f>
        <v>3</v>
      </c>
      <c r="AB58" s="10" t="s">
        <v>960</v>
      </c>
    </row>
    <row r="59" spans="1:28" ht="26.4">
      <c r="A59" s="7"/>
      <c r="G59" s="4">
        <v>40</v>
      </c>
      <c r="H59" s="10" t="s">
        <v>576</v>
      </c>
      <c r="I59" s="10">
        <v>0.12</v>
      </c>
      <c r="J59" s="10"/>
      <c r="K59" s="10">
        <v>0.22050863082380853</v>
      </c>
      <c r="L59" s="10"/>
      <c r="M59" s="10"/>
      <c r="N59" s="10">
        <f>AVERAGE(J59:M59)</f>
        <v>0.22050863082380853</v>
      </c>
      <c r="O59" s="10"/>
      <c r="P59" s="10">
        <f>COUNT(J59:M59)</f>
        <v>1</v>
      </c>
      <c r="Q59" s="10" t="s">
        <v>994</v>
      </c>
      <c r="T59" s="7"/>
      <c r="U59" s="10">
        <v>0.22</v>
      </c>
      <c r="V59" s="10">
        <v>0.22050863082380853</v>
      </c>
      <c r="W59" s="10"/>
      <c r="X59" s="10">
        <v>0.26536799371398639</v>
      </c>
      <c r="Y59" s="10">
        <f>AVERAGE(U59:X59)</f>
        <v>0.23529220817926499</v>
      </c>
      <c r="Z59" s="10">
        <f>_xlfn.STDEV.S(U59:X59)</f>
        <v>2.6047635842368702E-2</v>
      </c>
      <c r="AA59" s="10">
        <f>COUNT(U59:X59)</f>
        <v>3</v>
      </c>
      <c r="AB59" s="10" t="s">
        <v>960</v>
      </c>
    </row>
    <row r="60" spans="1:28">
      <c r="A60" s="7"/>
      <c r="T60" s="7"/>
    </row>
    <row r="61" spans="1:28" ht="31.5" customHeight="1">
      <c r="A61" s="7"/>
      <c r="B61" s="3" t="s">
        <v>571</v>
      </c>
      <c r="C61" s="3" t="s">
        <v>633</v>
      </c>
      <c r="D61" s="3" t="s">
        <v>616</v>
      </c>
      <c r="E61" s="3" t="s">
        <v>587</v>
      </c>
      <c r="F61" s="3" t="s">
        <v>97</v>
      </c>
      <c r="G61" s="4">
        <v>20</v>
      </c>
      <c r="H61" s="3" t="s">
        <v>575</v>
      </c>
      <c r="I61" s="13">
        <v>3.3</v>
      </c>
      <c r="K61" s="3">
        <v>8.6063773584905654</v>
      </c>
      <c r="N61" s="3">
        <f t="shared" ref="N61:N66" si="23">AVERAGE(J61:M61)</f>
        <v>8.6063773584905654</v>
      </c>
      <c r="P61" s="3">
        <f t="shared" ref="P61:P66" si="24">COUNT(J61:M61)</f>
        <v>1</v>
      </c>
      <c r="Q61" s="3" t="s">
        <v>984</v>
      </c>
      <c r="T61" s="7"/>
      <c r="V61" s="3">
        <v>8.5880377358490563</v>
      </c>
      <c r="Y61" s="3">
        <f t="shared" ref="Y61:Y66" si="25">AVERAGE(U61:X61)</f>
        <v>8.5880377358490563</v>
      </c>
      <c r="AA61" s="3">
        <f t="shared" ref="AA61:AA66" si="26">COUNT(U61:X61)</f>
        <v>1</v>
      </c>
      <c r="AB61" s="3" t="s">
        <v>982</v>
      </c>
    </row>
    <row r="62" spans="1:28" ht="31.5" customHeight="1">
      <c r="A62" s="7"/>
      <c r="G62" s="4">
        <v>40</v>
      </c>
      <c r="H62" s="3" t="s">
        <v>575</v>
      </c>
      <c r="I62" s="13">
        <v>3.3</v>
      </c>
      <c r="K62" s="3">
        <v>9.9750350739485807</v>
      </c>
      <c r="N62" s="3">
        <f t="shared" si="23"/>
        <v>9.9750350739485807</v>
      </c>
      <c r="P62" s="3">
        <f t="shared" si="24"/>
        <v>1</v>
      </c>
      <c r="Q62" s="3" t="s">
        <v>978</v>
      </c>
      <c r="T62" s="7"/>
      <c r="V62" s="3">
        <v>9.9537789319655001</v>
      </c>
      <c r="Y62" s="3">
        <f t="shared" si="25"/>
        <v>9.9537789319655001</v>
      </c>
      <c r="AA62" s="3">
        <f t="shared" si="26"/>
        <v>1</v>
      </c>
      <c r="AB62" s="3" t="s">
        <v>1023</v>
      </c>
    </row>
    <row r="63" spans="1:28" ht="31.5" customHeight="1">
      <c r="A63" s="7"/>
      <c r="G63" s="4">
        <v>100</v>
      </c>
      <c r="H63" s="3" t="s">
        <v>575</v>
      </c>
      <c r="I63" s="13">
        <v>3.3</v>
      </c>
      <c r="K63" s="3">
        <v>10.909157111878629</v>
      </c>
      <c r="N63" s="3">
        <f t="shared" si="23"/>
        <v>10.909157111878629</v>
      </c>
      <c r="P63" s="3">
        <f t="shared" si="24"/>
        <v>1</v>
      </c>
      <c r="Q63" s="3" t="s">
        <v>969</v>
      </c>
      <c r="T63" s="7"/>
      <c r="V63" s="3">
        <v>10.885910417429262</v>
      </c>
      <c r="Y63" s="3">
        <f t="shared" si="25"/>
        <v>10.885910417429262</v>
      </c>
      <c r="AA63" s="3">
        <f t="shared" si="26"/>
        <v>1</v>
      </c>
      <c r="AB63" s="3" t="s">
        <v>960</v>
      </c>
    </row>
    <row r="64" spans="1:28" ht="26.4">
      <c r="A64" s="7"/>
      <c r="G64" s="4">
        <v>20</v>
      </c>
      <c r="H64" s="10" t="s">
        <v>576</v>
      </c>
      <c r="I64" s="10">
        <v>0.12</v>
      </c>
      <c r="J64" s="10"/>
      <c r="K64" s="10">
        <v>0.19867924528301886</v>
      </c>
      <c r="L64" s="10"/>
      <c r="M64" s="10"/>
      <c r="N64" s="10">
        <f t="shared" si="23"/>
        <v>0.19867924528301886</v>
      </c>
      <c r="O64" s="10"/>
      <c r="P64" s="10">
        <f t="shared" si="24"/>
        <v>1</v>
      </c>
      <c r="Q64" s="10" t="s">
        <v>960</v>
      </c>
      <c r="T64" s="7"/>
      <c r="U64" s="10"/>
      <c r="V64" s="10">
        <v>0.19358490566037737</v>
      </c>
      <c r="W64" s="10"/>
      <c r="X64" s="10"/>
      <c r="Y64" s="10">
        <f t="shared" si="25"/>
        <v>0.19358490566037737</v>
      </c>
      <c r="Z64" s="10"/>
      <c r="AA64" s="10">
        <f t="shared" si="26"/>
        <v>1</v>
      </c>
      <c r="AB64" s="10" t="s">
        <v>1023</v>
      </c>
    </row>
    <row r="65" spans="1:28" ht="26.4">
      <c r="A65" s="7"/>
      <c r="G65" s="4">
        <v>40</v>
      </c>
      <c r="H65" s="10" t="s">
        <v>576</v>
      </c>
      <c r="I65" s="10">
        <v>0.12</v>
      </c>
      <c r="J65" s="10"/>
      <c r="K65" s="10">
        <v>0.2302748714833637</v>
      </c>
      <c r="L65" s="10"/>
      <c r="M65" s="10"/>
      <c r="N65" s="10">
        <f t="shared" si="23"/>
        <v>0.2302748714833637</v>
      </c>
      <c r="O65" s="10"/>
      <c r="P65" s="10">
        <f t="shared" si="24"/>
        <v>1</v>
      </c>
      <c r="Q65" s="10" t="s">
        <v>978</v>
      </c>
      <c r="T65" s="7"/>
      <c r="U65" s="10"/>
      <c r="V65" s="10">
        <v>0.22437038759917491</v>
      </c>
      <c r="W65" s="10"/>
      <c r="X65" s="10"/>
      <c r="Y65" s="10">
        <f t="shared" si="25"/>
        <v>0.22437038759917491</v>
      </c>
      <c r="Z65" s="10"/>
      <c r="AA65" s="10">
        <f t="shared" si="26"/>
        <v>1</v>
      </c>
      <c r="AB65" s="10" t="s">
        <v>960</v>
      </c>
    </row>
    <row r="66" spans="1:28" ht="26.4">
      <c r="A66" s="7"/>
      <c r="G66" s="4">
        <v>100</v>
      </c>
      <c r="H66" s="10" t="s">
        <v>576</v>
      </c>
      <c r="I66" s="10">
        <v>0.12</v>
      </c>
      <c r="J66" s="10"/>
      <c r="K66" s="10">
        <v>0.25183918986815823</v>
      </c>
      <c r="L66" s="10"/>
      <c r="M66" s="10"/>
      <c r="N66" s="10">
        <f t="shared" si="23"/>
        <v>0.25183918986815823</v>
      </c>
      <c r="O66" s="10"/>
      <c r="P66" s="10">
        <f t="shared" si="24"/>
        <v>1</v>
      </c>
      <c r="Q66" s="10" t="s">
        <v>960</v>
      </c>
      <c r="T66" s="7"/>
      <c r="U66" s="10"/>
      <c r="V66" s="10">
        <v>0.2453817747433337</v>
      </c>
      <c r="W66" s="10"/>
      <c r="X66" s="10"/>
      <c r="Y66" s="10">
        <f t="shared" si="25"/>
        <v>0.2453817747433337</v>
      </c>
      <c r="Z66" s="10"/>
      <c r="AA66" s="10">
        <f t="shared" si="26"/>
        <v>1</v>
      </c>
      <c r="AB66" s="10" t="s">
        <v>1023</v>
      </c>
    </row>
    <row r="67" spans="1:28">
      <c r="A67" s="7"/>
      <c r="T67" s="7"/>
    </row>
    <row r="68" spans="1:28" ht="31.5" customHeight="1">
      <c r="A68" s="7"/>
      <c r="B68" s="3" t="s">
        <v>571</v>
      </c>
      <c r="C68" s="3" t="s">
        <v>633</v>
      </c>
      <c r="D68" s="3" t="s">
        <v>616</v>
      </c>
      <c r="E68" s="3" t="s">
        <v>574</v>
      </c>
      <c r="F68" s="3" t="s">
        <v>97</v>
      </c>
      <c r="G68" s="4">
        <v>20</v>
      </c>
      <c r="H68" s="3" t="s">
        <v>575</v>
      </c>
      <c r="I68" s="13">
        <v>3.3</v>
      </c>
      <c r="K68" s="3">
        <v>8.8325660377358517</v>
      </c>
      <c r="N68" s="3">
        <f>AVERAGE(J68:M68)</f>
        <v>8.8325660377358517</v>
      </c>
      <c r="P68" s="3">
        <f>COUNT(J68:M68)</f>
        <v>1</v>
      </c>
      <c r="Q68" s="3" t="s">
        <v>978</v>
      </c>
      <c r="T68" s="7"/>
      <c r="V68" s="3">
        <v>8.8162641509433985</v>
      </c>
      <c r="Y68" s="3">
        <f>AVERAGE(U68:X68)</f>
        <v>8.8162641509433985</v>
      </c>
      <c r="AA68" s="3">
        <f>COUNT(U68:X68)</f>
        <v>1</v>
      </c>
      <c r="AB68" s="3" t="s">
        <v>1002</v>
      </c>
    </row>
    <row r="69" spans="1:28" ht="31.5" customHeight="1">
      <c r="A69" s="7"/>
      <c r="G69" s="4">
        <v>40</v>
      </c>
      <c r="H69" s="3" t="s">
        <v>575</v>
      </c>
      <c r="I69" s="13">
        <v>3.3</v>
      </c>
      <c r="K69" s="3">
        <v>9.9815104761952771</v>
      </c>
      <c r="N69" s="3">
        <f>AVERAGE(J69:M69)</f>
        <v>9.9815104761952771</v>
      </c>
      <c r="P69" s="3">
        <f>COUNT(J69:M69)</f>
        <v>1</v>
      </c>
      <c r="Q69" s="3" t="s">
        <v>960</v>
      </c>
      <c r="T69" s="7"/>
      <c r="V69" s="3">
        <v>9.9630880321280113</v>
      </c>
      <c r="Y69" s="3">
        <f>AVERAGE(U69:X69)</f>
        <v>9.9630880321280113</v>
      </c>
      <c r="AA69" s="3">
        <f>COUNT(U69:X69)</f>
        <v>1</v>
      </c>
      <c r="AB69" s="3" t="s">
        <v>960</v>
      </c>
    </row>
    <row r="70" spans="1:28" ht="26.4">
      <c r="A70" s="7"/>
      <c r="G70" s="4">
        <v>20</v>
      </c>
      <c r="H70" s="10" t="s">
        <v>576</v>
      </c>
      <c r="I70" s="10">
        <v>0.12</v>
      </c>
      <c r="J70" s="10"/>
      <c r="K70" s="10">
        <v>0.21905660377358496</v>
      </c>
      <c r="L70" s="10"/>
      <c r="M70" s="10"/>
      <c r="N70" s="10">
        <f>AVERAGE(J70:M70)</f>
        <v>0.21905660377358496</v>
      </c>
      <c r="O70" s="10"/>
      <c r="P70" s="10">
        <f>COUNT(J70:M70)</f>
        <v>1</v>
      </c>
      <c r="Q70" s="10" t="s">
        <v>960</v>
      </c>
      <c r="T70" s="7"/>
      <c r="U70" s="10"/>
      <c r="V70" s="10">
        <v>0.21498113207547173</v>
      </c>
      <c r="W70" s="10"/>
      <c r="X70" s="10"/>
      <c r="Y70" s="10">
        <f>AVERAGE(U70:X70)</f>
        <v>0.21498113207547173</v>
      </c>
      <c r="Z70" s="10"/>
      <c r="AA70" s="10">
        <f>COUNT(U70:X70)</f>
        <v>1</v>
      </c>
      <c r="AB70" s="10" t="s">
        <v>1028</v>
      </c>
    </row>
    <row r="71" spans="1:28" ht="26.4">
      <c r="A71" s="7"/>
      <c r="G71" s="4">
        <v>40</v>
      </c>
      <c r="H71" s="10" t="s">
        <v>576</v>
      </c>
      <c r="I71" s="10">
        <v>0.12</v>
      </c>
      <c r="J71" s="10"/>
      <c r="K71" s="10">
        <v>0.24755159215387987</v>
      </c>
      <c r="L71" s="10"/>
      <c r="M71" s="10"/>
      <c r="N71" s="10">
        <f>AVERAGE(J71:M71)</f>
        <v>0.24755159215387987</v>
      </c>
      <c r="O71" s="10"/>
      <c r="P71" s="10">
        <f>COUNT(J71:M71)</f>
        <v>1</v>
      </c>
      <c r="Q71" s="10" t="s">
        <v>994</v>
      </c>
      <c r="T71" s="7"/>
      <c r="U71" s="10"/>
      <c r="V71" s="10">
        <v>0.24294598113706348</v>
      </c>
      <c r="W71" s="10"/>
      <c r="X71" s="10"/>
      <c r="Y71" s="10">
        <f>AVERAGE(U71:X71)</f>
        <v>0.24294598113706348</v>
      </c>
      <c r="Z71" s="10"/>
      <c r="AA71" s="10">
        <f>COUNT(U71:X71)</f>
        <v>1</v>
      </c>
      <c r="AB71" s="10" t="s">
        <v>960</v>
      </c>
    </row>
    <row r="72" spans="1:28">
      <c r="A72" s="7"/>
      <c r="T72" s="7"/>
    </row>
    <row r="73" spans="1:28" ht="26.4">
      <c r="A73" s="7"/>
      <c r="B73" s="3" t="s">
        <v>571</v>
      </c>
      <c r="C73" s="3" t="s">
        <v>634</v>
      </c>
      <c r="D73" s="3" t="s">
        <v>638</v>
      </c>
      <c r="E73" s="3" t="s">
        <v>574</v>
      </c>
      <c r="F73" s="3" t="s">
        <v>98</v>
      </c>
      <c r="G73" s="4">
        <v>20</v>
      </c>
      <c r="H73" s="3" t="s">
        <v>575</v>
      </c>
      <c r="I73" s="13">
        <v>3.3</v>
      </c>
      <c r="P73" s="3">
        <f>COUNT(J73:M73)</f>
        <v>0</v>
      </c>
      <c r="Q73" s="3" t="s">
        <v>972</v>
      </c>
      <c r="T73" s="7"/>
      <c r="AA73" s="3">
        <f>COUNT(U73:X73)</f>
        <v>0</v>
      </c>
      <c r="AB73" s="3" t="s">
        <v>972</v>
      </c>
    </row>
    <row r="74" spans="1:28" ht="26.4">
      <c r="A74" s="7"/>
      <c r="G74" s="4">
        <v>40</v>
      </c>
      <c r="H74" s="3" t="s">
        <v>575</v>
      </c>
      <c r="I74" s="13">
        <v>3.3</v>
      </c>
      <c r="P74" s="3">
        <f>COUNT(J74:M74)</f>
        <v>0</v>
      </c>
      <c r="Q74" s="3" t="s">
        <v>972</v>
      </c>
      <c r="T74" s="7"/>
      <c r="AA74" s="3">
        <f>COUNT(U74:X74)</f>
        <v>0</v>
      </c>
      <c r="AB74" s="3" t="s">
        <v>970</v>
      </c>
    </row>
    <row r="75" spans="1:28" ht="26.4">
      <c r="A75" s="7"/>
      <c r="G75" s="4">
        <v>20</v>
      </c>
      <c r="H75" s="10" t="s">
        <v>576</v>
      </c>
      <c r="I75" s="10">
        <v>0.12</v>
      </c>
      <c r="J75" s="10"/>
      <c r="K75" s="10"/>
      <c r="L75" s="10"/>
      <c r="M75" s="10"/>
      <c r="N75" s="10"/>
      <c r="O75" s="10"/>
      <c r="P75" s="10">
        <f>COUNT(J75:M75)</f>
        <v>0</v>
      </c>
      <c r="Q75" s="10" t="s">
        <v>965</v>
      </c>
      <c r="T75" s="7"/>
      <c r="U75" s="10"/>
      <c r="V75" s="10"/>
      <c r="W75" s="10"/>
      <c r="X75" s="10"/>
      <c r="Y75" s="10"/>
      <c r="Z75" s="10"/>
      <c r="AA75" s="10">
        <f>COUNT(U75:X75)</f>
        <v>0</v>
      </c>
      <c r="AB75" s="10" t="s">
        <v>1026</v>
      </c>
    </row>
    <row r="76" spans="1:28" ht="26.4">
      <c r="A76" s="7"/>
      <c r="G76" s="4">
        <v>40</v>
      </c>
      <c r="H76" s="10" t="s">
        <v>576</v>
      </c>
      <c r="I76" s="10">
        <v>0.12</v>
      </c>
      <c r="J76" s="10"/>
      <c r="K76" s="10"/>
      <c r="L76" s="10"/>
      <c r="M76" s="10"/>
      <c r="N76" s="10"/>
      <c r="O76" s="10"/>
      <c r="P76" s="10">
        <f>COUNT(J76:M76)</f>
        <v>0</v>
      </c>
      <c r="Q76" s="10" t="s">
        <v>975</v>
      </c>
      <c r="T76" s="7"/>
      <c r="U76" s="10"/>
      <c r="V76" s="10"/>
      <c r="W76" s="10"/>
      <c r="X76" s="10"/>
      <c r="Y76" s="10"/>
      <c r="Z76" s="10"/>
      <c r="AA76" s="10">
        <f>COUNT(U76:X76)</f>
        <v>0</v>
      </c>
      <c r="AB76" s="10" t="s">
        <v>972</v>
      </c>
    </row>
    <row r="77" spans="1:28">
      <c r="A77" s="7"/>
      <c r="T77" s="7"/>
    </row>
    <row r="78" spans="1:28" ht="39.6">
      <c r="A78" s="7"/>
      <c r="B78" s="3" t="s">
        <v>571</v>
      </c>
      <c r="C78" s="3" t="s">
        <v>611</v>
      </c>
      <c r="D78" s="15" t="s">
        <v>639</v>
      </c>
      <c r="E78" s="3" t="s">
        <v>574</v>
      </c>
      <c r="F78" s="202" t="s">
        <v>658</v>
      </c>
      <c r="G78" s="4">
        <v>20</v>
      </c>
      <c r="H78" s="3" t="s">
        <v>575</v>
      </c>
      <c r="I78" s="13">
        <v>3.3</v>
      </c>
      <c r="J78" s="3">
        <v>6.010901467505243</v>
      </c>
      <c r="N78" s="3">
        <f>AVERAGE(J78:M78)</f>
        <v>6.010901467505243</v>
      </c>
      <c r="P78" s="3">
        <f t="shared" ref="P78:P85" si="27">COUNT(J78:M78)</f>
        <v>1</v>
      </c>
      <c r="Q78" s="3" t="s">
        <v>960</v>
      </c>
      <c r="T78" s="7"/>
      <c r="AA78" s="3">
        <f t="shared" ref="AA78:AA85" si="28">COUNT(U78:X78)</f>
        <v>0</v>
      </c>
      <c r="AB78" s="3" t="s">
        <v>1026</v>
      </c>
    </row>
    <row r="79" spans="1:28" ht="26.4">
      <c r="A79" s="7"/>
      <c r="D79" s="15"/>
      <c r="G79" s="4">
        <v>40</v>
      </c>
      <c r="H79" s="3" t="s">
        <v>575</v>
      </c>
      <c r="I79" s="13">
        <v>3.3</v>
      </c>
      <c r="J79" s="3">
        <v>7.3032452830188692</v>
      </c>
      <c r="N79" s="3">
        <f>AVERAGE(J79:M79)</f>
        <v>7.3032452830188692</v>
      </c>
      <c r="P79" s="3">
        <f t="shared" si="27"/>
        <v>1</v>
      </c>
      <c r="Q79" s="3" t="s">
        <v>978</v>
      </c>
      <c r="T79" s="7"/>
      <c r="AA79" s="3">
        <f t="shared" si="28"/>
        <v>0</v>
      </c>
      <c r="AB79" s="3" t="s">
        <v>972</v>
      </c>
    </row>
    <row r="80" spans="1:28" ht="26.4">
      <c r="A80" s="7"/>
      <c r="G80" s="4">
        <v>20</v>
      </c>
      <c r="H80" s="10" t="s">
        <v>576</v>
      </c>
      <c r="I80" s="10">
        <v>0.12</v>
      </c>
      <c r="J80" s="10" t="s">
        <v>216</v>
      </c>
      <c r="K80" s="10"/>
      <c r="L80" s="10"/>
      <c r="M80" s="10"/>
      <c r="N80" s="10"/>
      <c r="O80" s="10"/>
      <c r="P80" s="10">
        <f t="shared" si="27"/>
        <v>0</v>
      </c>
      <c r="Q80" s="10" t="s">
        <v>965</v>
      </c>
      <c r="T80" s="7"/>
      <c r="U80" s="10"/>
      <c r="V80" s="10"/>
      <c r="W80" s="10"/>
      <c r="X80" s="10"/>
      <c r="Y80" s="10"/>
      <c r="Z80" s="10"/>
      <c r="AA80" s="10">
        <f t="shared" si="28"/>
        <v>0</v>
      </c>
      <c r="AB80" s="10" t="s">
        <v>972</v>
      </c>
    </row>
    <row r="81" spans="1:28" ht="26.4">
      <c r="A81" s="7"/>
      <c r="G81" s="4">
        <v>40</v>
      </c>
      <c r="H81" s="10" t="s">
        <v>576</v>
      </c>
      <c r="I81" s="10">
        <v>0.12</v>
      </c>
      <c r="J81" s="10" t="s">
        <v>216</v>
      </c>
      <c r="K81" s="10"/>
      <c r="L81" s="10"/>
      <c r="M81" s="10"/>
      <c r="N81" s="10"/>
      <c r="O81" s="10"/>
      <c r="P81" s="10">
        <f t="shared" si="27"/>
        <v>0</v>
      </c>
      <c r="Q81" s="10" t="s">
        <v>975</v>
      </c>
      <c r="T81" s="7"/>
      <c r="U81" s="10"/>
      <c r="V81" s="10"/>
      <c r="W81" s="10"/>
      <c r="X81" s="10"/>
      <c r="Y81" s="10"/>
      <c r="Z81" s="10"/>
      <c r="AA81" s="10">
        <f t="shared" si="28"/>
        <v>0</v>
      </c>
      <c r="AB81" s="10" t="s">
        <v>972</v>
      </c>
    </row>
    <row r="82" spans="1:28" ht="31.5" customHeight="1">
      <c r="A82" s="7"/>
      <c r="B82" s="3" t="s">
        <v>571</v>
      </c>
      <c r="C82" s="3" t="s">
        <v>632</v>
      </c>
      <c r="D82" s="3" t="s">
        <v>637</v>
      </c>
      <c r="E82" s="3" t="s">
        <v>574</v>
      </c>
      <c r="F82" s="3" t="s">
        <v>98</v>
      </c>
      <c r="G82" s="4">
        <v>20</v>
      </c>
      <c r="H82" s="3" t="s">
        <v>575</v>
      </c>
      <c r="I82" s="13">
        <v>3.3</v>
      </c>
      <c r="L82" s="3">
        <v>7.3260759493670866</v>
      </c>
      <c r="N82" s="3">
        <f>AVERAGE(J82:M82)</f>
        <v>7.3260759493670866</v>
      </c>
      <c r="P82" s="3">
        <f t="shared" si="27"/>
        <v>1</v>
      </c>
      <c r="Q82" s="3" t="s">
        <v>960</v>
      </c>
      <c r="T82" s="7"/>
      <c r="X82" s="3">
        <v>9.18</v>
      </c>
      <c r="Y82" s="3">
        <f>AVERAGE(U82:X82)</f>
        <v>9.18</v>
      </c>
      <c r="AA82" s="3">
        <f t="shared" si="28"/>
        <v>1</v>
      </c>
      <c r="AB82" s="3" t="s">
        <v>984</v>
      </c>
    </row>
    <row r="83" spans="1:28" ht="31.5" customHeight="1">
      <c r="A83" s="7"/>
      <c r="G83" s="4">
        <v>40</v>
      </c>
      <c r="H83" s="3" t="s">
        <v>575</v>
      </c>
      <c r="I83" s="13">
        <v>3.3</v>
      </c>
      <c r="L83" s="3">
        <v>8.4901854361585016</v>
      </c>
      <c r="N83" s="3">
        <f>AVERAGE(J83:M83)</f>
        <v>8.4901854361585016</v>
      </c>
      <c r="P83" s="3">
        <f t="shared" si="27"/>
        <v>1</v>
      </c>
      <c r="Q83" s="3" t="s">
        <v>978</v>
      </c>
      <c r="T83" s="7"/>
      <c r="X83" s="3">
        <v>10.290410015961692</v>
      </c>
      <c r="Y83" s="3">
        <f>AVERAGE(U83:X83)</f>
        <v>10.290410015961692</v>
      </c>
      <c r="AA83" s="3">
        <f t="shared" si="28"/>
        <v>1</v>
      </c>
      <c r="AB83" s="3" t="s">
        <v>1019</v>
      </c>
    </row>
    <row r="84" spans="1:28" ht="26.4">
      <c r="A84" s="7"/>
      <c r="G84" s="4">
        <v>20</v>
      </c>
      <c r="H84" s="10" t="s">
        <v>576</v>
      </c>
      <c r="I84" s="10">
        <v>0.12</v>
      </c>
      <c r="J84" s="10"/>
      <c r="K84" s="10"/>
      <c r="L84" s="10">
        <v>0.21721518987341765</v>
      </c>
      <c r="M84" s="10"/>
      <c r="N84" s="10">
        <f>AVERAGE(J84:M84)</f>
        <v>0.21721518987341765</v>
      </c>
      <c r="O84" s="10"/>
      <c r="P84" s="10">
        <f t="shared" si="27"/>
        <v>1</v>
      </c>
      <c r="Q84" s="10" t="s">
        <v>969</v>
      </c>
      <c r="T84" s="7"/>
      <c r="U84" s="10"/>
      <c r="V84" s="10"/>
      <c r="W84" s="10"/>
      <c r="X84" s="10">
        <v>0.23400000000000001</v>
      </c>
      <c r="Y84" s="10">
        <f>AVERAGE(U84:X84)</f>
        <v>0.23400000000000001</v>
      </c>
      <c r="Z84" s="10"/>
      <c r="AA84" s="10">
        <f t="shared" si="28"/>
        <v>1</v>
      </c>
      <c r="AB84" s="10" t="s">
        <v>960</v>
      </c>
    </row>
    <row r="85" spans="1:28" ht="26.4">
      <c r="A85" s="7"/>
      <c r="G85" s="4">
        <v>40</v>
      </c>
      <c r="H85" s="10" t="s">
        <v>576</v>
      </c>
      <c r="I85" s="10">
        <v>0.12</v>
      </c>
      <c r="J85" s="10"/>
      <c r="K85" s="10"/>
      <c r="L85" s="10">
        <v>0.25173056549257011</v>
      </c>
      <c r="M85" s="10"/>
      <c r="N85" s="10">
        <f>AVERAGE(J85:M85)</f>
        <v>0.25173056549257011</v>
      </c>
      <c r="O85" s="10"/>
      <c r="P85" s="10">
        <f t="shared" si="27"/>
        <v>1</v>
      </c>
      <c r="Q85" s="10" t="s">
        <v>994</v>
      </c>
      <c r="T85" s="7"/>
      <c r="U85" s="10"/>
      <c r="V85" s="10"/>
      <c r="W85" s="10"/>
      <c r="X85" s="10">
        <v>0.26230456903431765</v>
      </c>
      <c r="Y85" s="10">
        <f>AVERAGE(U85:X85)</f>
        <v>0.26230456903431765</v>
      </c>
      <c r="Z85" s="10"/>
      <c r="AA85" s="10">
        <f t="shared" si="28"/>
        <v>1</v>
      </c>
      <c r="AB85" s="10" t="s">
        <v>960</v>
      </c>
    </row>
    <row r="86" spans="1:28">
      <c r="A86" s="11"/>
      <c r="T86" s="11"/>
    </row>
    <row r="87" spans="1:28" ht="31.5" customHeight="1">
      <c r="A87" s="7"/>
      <c r="B87" s="3" t="s">
        <v>571</v>
      </c>
      <c r="C87" s="15" t="s">
        <v>572</v>
      </c>
      <c r="D87" s="3" t="s">
        <v>647</v>
      </c>
      <c r="E87" s="15" t="s">
        <v>587</v>
      </c>
      <c r="F87" s="3" t="s">
        <v>98</v>
      </c>
      <c r="G87" s="4">
        <v>20</v>
      </c>
      <c r="H87" s="3" t="s">
        <v>575</v>
      </c>
      <c r="I87" s="13">
        <v>3.3</v>
      </c>
      <c r="P87" s="3">
        <f t="shared" ref="P87:P92" si="29">COUNT(J87:M87)</f>
        <v>0</v>
      </c>
      <c r="Q87" s="3" t="s">
        <v>975</v>
      </c>
      <c r="T87" s="7"/>
      <c r="AA87" s="3">
        <f t="shared" ref="AA87:AA92" si="30">COUNT(U87:X87)</f>
        <v>0</v>
      </c>
      <c r="AB87" s="3" t="s">
        <v>1026</v>
      </c>
    </row>
    <row r="88" spans="1:28" ht="31.5" customHeight="1">
      <c r="A88" s="7"/>
      <c r="C88" s="15"/>
      <c r="E88" s="15"/>
      <c r="G88" s="4">
        <v>40</v>
      </c>
      <c r="H88" s="3" t="s">
        <v>575</v>
      </c>
      <c r="I88" s="13">
        <v>3.3</v>
      </c>
      <c r="P88" s="3">
        <f t="shared" si="29"/>
        <v>0</v>
      </c>
      <c r="Q88" s="3" t="s">
        <v>972</v>
      </c>
      <c r="T88" s="7"/>
      <c r="AA88" s="3">
        <f t="shared" si="30"/>
        <v>0</v>
      </c>
      <c r="AB88" s="3" t="s">
        <v>972</v>
      </c>
    </row>
    <row r="89" spans="1:28" ht="31.5" customHeight="1">
      <c r="A89" s="7"/>
      <c r="C89" s="15"/>
      <c r="E89" s="15"/>
      <c r="G89" s="4">
        <v>100</v>
      </c>
      <c r="H89" s="3" t="s">
        <v>575</v>
      </c>
      <c r="I89" s="13">
        <v>3.3</v>
      </c>
      <c r="P89" s="3">
        <f t="shared" si="29"/>
        <v>0</v>
      </c>
      <c r="Q89" s="3" t="s">
        <v>975</v>
      </c>
      <c r="T89" s="7"/>
      <c r="AA89" s="3">
        <f t="shared" si="30"/>
        <v>0</v>
      </c>
      <c r="AB89" s="3" t="s">
        <v>965</v>
      </c>
    </row>
    <row r="90" spans="1:28" ht="26.4">
      <c r="A90" s="7"/>
      <c r="G90" s="4">
        <v>20</v>
      </c>
      <c r="H90" s="10" t="s">
        <v>576</v>
      </c>
      <c r="I90" s="10">
        <v>0.12</v>
      </c>
      <c r="J90" s="10"/>
      <c r="K90" s="10"/>
      <c r="L90" s="10"/>
      <c r="M90" s="10"/>
      <c r="N90" s="10"/>
      <c r="O90" s="10"/>
      <c r="P90" s="10">
        <f t="shared" si="29"/>
        <v>0</v>
      </c>
      <c r="Q90" s="10" t="s">
        <v>972</v>
      </c>
      <c r="T90" s="7"/>
      <c r="U90" s="10"/>
      <c r="V90" s="10"/>
      <c r="W90" s="10"/>
      <c r="X90" s="10"/>
      <c r="Y90" s="10"/>
      <c r="Z90" s="10"/>
      <c r="AA90" s="10">
        <f t="shared" si="30"/>
        <v>0</v>
      </c>
      <c r="AB90" s="10" t="s">
        <v>1026</v>
      </c>
    </row>
    <row r="91" spans="1:28" ht="26.4">
      <c r="A91" s="7"/>
      <c r="G91" s="4">
        <v>40</v>
      </c>
      <c r="H91" s="10" t="s">
        <v>576</v>
      </c>
      <c r="I91" s="10">
        <v>0.12</v>
      </c>
      <c r="J91" s="10"/>
      <c r="K91" s="10"/>
      <c r="L91" s="10"/>
      <c r="M91" s="10"/>
      <c r="N91" s="10"/>
      <c r="O91" s="10"/>
      <c r="P91" s="10">
        <f t="shared" si="29"/>
        <v>0</v>
      </c>
      <c r="Q91" s="10" t="s">
        <v>975</v>
      </c>
      <c r="T91" s="7"/>
      <c r="U91" s="10"/>
      <c r="V91" s="10"/>
      <c r="W91" s="10"/>
      <c r="X91" s="10"/>
      <c r="Y91" s="10"/>
      <c r="Z91" s="10"/>
      <c r="AA91" s="10">
        <f t="shared" si="30"/>
        <v>0</v>
      </c>
      <c r="AB91" s="10" t="s">
        <v>1026</v>
      </c>
    </row>
    <row r="92" spans="1:28" ht="26.4">
      <c r="A92" s="7"/>
      <c r="G92" s="4">
        <v>100</v>
      </c>
      <c r="H92" s="10" t="s">
        <v>576</v>
      </c>
      <c r="I92" s="10">
        <v>0.12</v>
      </c>
      <c r="J92" s="10"/>
      <c r="K92" s="10"/>
      <c r="L92" s="10"/>
      <c r="M92" s="10"/>
      <c r="N92" s="10"/>
      <c r="O92" s="10"/>
      <c r="P92" s="10">
        <f t="shared" si="29"/>
        <v>0</v>
      </c>
      <c r="Q92" s="10" t="s">
        <v>972</v>
      </c>
      <c r="T92" s="7"/>
      <c r="U92" s="10"/>
      <c r="V92" s="10"/>
      <c r="W92" s="10"/>
      <c r="X92" s="10"/>
      <c r="Y92" s="10"/>
      <c r="Z92" s="10"/>
      <c r="AA92" s="10">
        <f t="shared" si="30"/>
        <v>0</v>
      </c>
      <c r="AB92" s="10" t="s">
        <v>972</v>
      </c>
    </row>
    <row r="93" spans="1:28">
      <c r="A93" s="7"/>
      <c r="T93" s="7"/>
    </row>
    <row r="94" spans="1:28" ht="31.5" customHeight="1">
      <c r="A94" s="7"/>
      <c r="B94" s="3" t="s">
        <v>571</v>
      </c>
      <c r="C94" s="3" t="s">
        <v>634</v>
      </c>
      <c r="D94" s="242" t="s">
        <v>937</v>
      </c>
      <c r="E94" s="3" t="s">
        <v>574</v>
      </c>
      <c r="F94" s="3" t="s">
        <v>98</v>
      </c>
      <c r="G94" s="4">
        <v>20</v>
      </c>
      <c r="H94" s="3" t="s">
        <v>575</v>
      </c>
      <c r="I94" s="13">
        <v>3.3</v>
      </c>
      <c r="P94" s="3">
        <f t="shared" ref="P94:P103" si="31">COUNT(J94:M94)</f>
        <v>0</v>
      </c>
      <c r="Q94" s="3" t="s">
        <v>975</v>
      </c>
      <c r="T94" s="7"/>
      <c r="AA94" s="3">
        <f t="shared" ref="AA94:AA103" si="32">COUNT(U94:X94)</f>
        <v>0</v>
      </c>
      <c r="AB94" s="3" t="s">
        <v>972</v>
      </c>
    </row>
    <row r="95" spans="1:28" ht="31.5" customHeight="1">
      <c r="A95" s="7"/>
      <c r="G95" s="4">
        <v>40</v>
      </c>
      <c r="H95" s="3" t="s">
        <v>575</v>
      </c>
      <c r="I95" s="13">
        <v>3.3</v>
      </c>
      <c r="P95" s="3">
        <f t="shared" si="31"/>
        <v>0</v>
      </c>
      <c r="Q95" s="3" t="s">
        <v>980</v>
      </c>
      <c r="T95" s="7"/>
      <c r="AA95" s="3">
        <f t="shared" si="32"/>
        <v>0</v>
      </c>
      <c r="AB95" s="3" t="s">
        <v>1026</v>
      </c>
    </row>
    <row r="96" spans="1:28" ht="26.4">
      <c r="A96" s="7"/>
      <c r="G96" s="4">
        <v>20</v>
      </c>
      <c r="H96" s="10" t="s">
        <v>576</v>
      </c>
      <c r="I96" s="10">
        <v>0.12</v>
      </c>
      <c r="J96" s="10"/>
      <c r="K96" s="10"/>
      <c r="L96" s="10"/>
      <c r="M96" s="10"/>
      <c r="N96" s="10"/>
      <c r="O96" s="10"/>
      <c r="P96" s="10">
        <f t="shared" si="31"/>
        <v>0</v>
      </c>
      <c r="Q96" s="10" t="s">
        <v>975</v>
      </c>
      <c r="T96" s="7"/>
      <c r="U96" s="10"/>
      <c r="V96" s="10"/>
      <c r="W96" s="10"/>
      <c r="X96" s="10"/>
      <c r="Y96" s="10"/>
      <c r="Z96" s="10"/>
      <c r="AA96" s="10">
        <f t="shared" si="32"/>
        <v>0</v>
      </c>
      <c r="AB96" s="10" t="s">
        <v>1026</v>
      </c>
    </row>
    <row r="97" spans="1:28" ht="26.4">
      <c r="A97" s="7"/>
      <c r="G97" s="4">
        <v>40</v>
      </c>
      <c r="H97" s="10" t="s">
        <v>576</v>
      </c>
      <c r="I97" s="10">
        <v>0.12</v>
      </c>
      <c r="J97" s="10"/>
      <c r="K97" s="10"/>
      <c r="L97" s="10"/>
      <c r="M97" s="10"/>
      <c r="N97" s="10"/>
      <c r="O97" s="10"/>
      <c r="P97" s="10">
        <f t="shared" si="31"/>
        <v>0</v>
      </c>
      <c r="Q97" s="10" t="s">
        <v>972</v>
      </c>
      <c r="T97" s="7"/>
      <c r="U97" s="10"/>
      <c r="V97" s="10"/>
      <c r="W97" s="10"/>
      <c r="X97" s="10"/>
      <c r="Y97" s="10"/>
      <c r="Z97" s="10"/>
      <c r="AA97" s="10">
        <f t="shared" si="32"/>
        <v>0</v>
      </c>
      <c r="AB97" s="10" t="s">
        <v>1026</v>
      </c>
    </row>
    <row r="98" spans="1:28" ht="31.5" customHeight="1">
      <c r="A98" s="348"/>
      <c r="B98" s="3" t="s">
        <v>571</v>
      </c>
      <c r="C98" s="3" t="s">
        <v>632</v>
      </c>
      <c r="D98" s="202" t="s">
        <v>923</v>
      </c>
      <c r="E98" s="3" t="s">
        <v>574</v>
      </c>
      <c r="F98" s="242" t="s">
        <v>97</v>
      </c>
      <c r="G98" s="4">
        <v>20</v>
      </c>
      <c r="H98" s="3" t="s">
        <v>575</v>
      </c>
      <c r="I98" s="13">
        <v>3.3</v>
      </c>
      <c r="P98" s="3">
        <f t="shared" si="31"/>
        <v>0</v>
      </c>
      <c r="Q98" s="3" t="s">
        <v>975</v>
      </c>
      <c r="T98" s="348"/>
      <c r="AA98" s="3">
        <f t="shared" si="32"/>
        <v>0</v>
      </c>
      <c r="AB98" s="3" t="s">
        <v>1026</v>
      </c>
    </row>
    <row r="99" spans="1:28" ht="31.5" customHeight="1">
      <c r="A99" s="348"/>
      <c r="G99" s="4">
        <v>40</v>
      </c>
      <c r="H99" s="3" t="s">
        <v>575</v>
      </c>
      <c r="I99" s="13">
        <v>3.3</v>
      </c>
      <c r="P99" s="3">
        <f t="shared" si="31"/>
        <v>0</v>
      </c>
      <c r="Q99" s="3" t="s">
        <v>975</v>
      </c>
      <c r="T99" s="348"/>
      <c r="AA99" s="3">
        <f t="shared" si="32"/>
        <v>0</v>
      </c>
      <c r="AB99" s="3" t="s">
        <v>972</v>
      </c>
    </row>
    <row r="100" spans="1:28" ht="26.4">
      <c r="A100" s="348"/>
      <c r="G100" s="4">
        <v>20</v>
      </c>
      <c r="H100" s="10" t="s">
        <v>576</v>
      </c>
      <c r="I100" s="10">
        <v>0.12</v>
      </c>
      <c r="J100" s="10"/>
      <c r="K100" s="10"/>
      <c r="L100" s="10"/>
      <c r="M100" s="10"/>
      <c r="N100" s="10"/>
      <c r="O100" s="10"/>
      <c r="P100" s="10">
        <f t="shared" si="31"/>
        <v>0</v>
      </c>
      <c r="Q100" s="10" t="s">
        <v>975</v>
      </c>
      <c r="T100" s="348"/>
      <c r="U100" s="10"/>
      <c r="V100" s="10"/>
      <c r="W100" s="10"/>
      <c r="X100" s="10"/>
      <c r="Y100" s="10"/>
      <c r="Z100" s="10"/>
      <c r="AA100" s="10">
        <f t="shared" si="32"/>
        <v>0</v>
      </c>
      <c r="AB100" s="10" t="s">
        <v>1026</v>
      </c>
    </row>
    <row r="101" spans="1:28" ht="26.4">
      <c r="A101" s="348"/>
      <c r="G101" s="4">
        <v>40</v>
      </c>
      <c r="H101" s="10" t="s">
        <v>576</v>
      </c>
      <c r="I101" s="10">
        <v>0.12</v>
      </c>
      <c r="J101" s="10"/>
      <c r="K101" s="10"/>
      <c r="L101" s="10"/>
      <c r="M101" s="10"/>
      <c r="N101" s="10"/>
      <c r="O101" s="10"/>
      <c r="P101" s="10">
        <f t="shared" si="31"/>
        <v>0</v>
      </c>
      <c r="Q101" s="10" t="s">
        <v>972</v>
      </c>
      <c r="T101" s="348"/>
      <c r="U101" s="10"/>
      <c r="V101" s="10"/>
      <c r="W101" s="10"/>
      <c r="X101" s="10"/>
      <c r="Y101" s="10"/>
      <c r="Z101" s="10"/>
      <c r="AA101" s="10">
        <f t="shared" si="32"/>
        <v>0</v>
      </c>
      <c r="AB101" s="10" t="s">
        <v>1026</v>
      </c>
    </row>
    <row r="102" spans="1:28" ht="31.5" customHeight="1">
      <c r="A102" s="226"/>
      <c r="B102" s="242" t="s">
        <v>780</v>
      </c>
      <c r="C102" s="242" t="s">
        <v>785</v>
      </c>
      <c r="D102" s="242" t="s">
        <v>637</v>
      </c>
      <c r="E102" s="242" t="s">
        <v>574</v>
      </c>
      <c r="F102" s="242" t="s">
        <v>777</v>
      </c>
      <c r="G102" s="4">
        <v>20</v>
      </c>
      <c r="H102" s="3" t="s">
        <v>575</v>
      </c>
      <c r="I102" s="13">
        <v>3.3</v>
      </c>
      <c r="P102" s="3">
        <f t="shared" si="31"/>
        <v>0</v>
      </c>
      <c r="Q102" s="3" t="s">
        <v>975</v>
      </c>
      <c r="T102" s="226"/>
      <c r="AA102" s="3">
        <f t="shared" si="32"/>
        <v>0</v>
      </c>
      <c r="AB102" s="3" t="s">
        <v>972</v>
      </c>
    </row>
    <row r="103" spans="1:28" ht="26.4">
      <c r="A103" s="226"/>
      <c r="G103" s="4">
        <v>20</v>
      </c>
      <c r="H103" s="10" t="s">
        <v>576</v>
      </c>
      <c r="I103" s="10">
        <v>0.12</v>
      </c>
      <c r="J103" s="10"/>
      <c r="K103" s="10"/>
      <c r="L103" s="10"/>
      <c r="M103" s="10"/>
      <c r="N103" s="10"/>
      <c r="O103" s="10"/>
      <c r="P103" s="10">
        <f t="shared" si="31"/>
        <v>0</v>
      </c>
      <c r="Q103" s="10" t="s">
        <v>980</v>
      </c>
      <c r="T103" s="226"/>
      <c r="U103" s="10"/>
      <c r="V103" s="10"/>
      <c r="W103" s="10"/>
      <c r="X103" s="10"/>
      <c r="Y103" s="10"/>
      <c r="Z103" s="10"/>
      <c r="AA103" s="10">
        <f t="shared" si="32"/>
        <v>0</v>
      </c>
      <c r="AB103" s="10" t="s">
        <v>972</v>
      </c>
    </row>
    <row r="105" spans="1:28">
      <c r="A105" s="421" t="s">
        <v>590</v>
      </c>
      <c r="B105" s="8" t="s">
        <v>74</v>
      </c>
      <c r="C105" s="8"/>
      <c r="D105" s="8" t="s">
        <v>74</v>
      </c>
      <c r="E105" s="8"/>
      <c r="F105" s="8"/>
      <c r="G105" s="9"/>
      <c r="H105" s="12"/>
      <c r="I105" s="12"/>
      <c r="J105" s="12"/>
      <c r="K105" s="12"/>
      <c r="L105" s="12"/>
      <c r="M105" s="12"/>
      <c r="N105" s="12"/>
      <c r="O105" s="12"/>
      <c r="P105" s="12"/>
      <c r="Q105" s="12"/>
      <c r="T105" s="421" t="s">
        <v>590</v>
      </c>
      <c r="U105" s="12"/>
      <c r="V105" s="12"/>
      <c r="W105" s="12"/>
      <c r="X105" s="12"/>
      <c r="Y105" s="12"/>
      <c r="Z105" s="12"/>
      <c r="AA105" s="12"/>
      <c r="AB105" s="12"/>
    </row>
    <row r="106" spans="1:28" ht="26.4">
      <c r="A106" s="421"/>
      <c r="B106" s="3" t="s">
        <v>571</v>
      </c>
      <c r="C106" s="3" t="s">
        <v>632</v>
      </c>
      <c r="D106" s="3" t="s">
        <v>594</v>
      </c>
      <c r="E106" s="3" t="s">
        <v>574</v>
      </c>
      <c r="H106" s="3" t="s">
        <v>575</v>
      </c>
      <c r="I106" s="13">
        <v>1.6</v>
      </c>
      <c r="K106" s="3">
        <v>4.1437025162337662</v>
      </c>
      <c r="N106" s="3">
        <f>AVERAGE(J106:M106)</f>
        <v>4.1437025162337662</v>
      </c>
      <c r="P106" s="3">
        <f>COUNT(J106:M106)</f>
        <v>1</v>
      </c>
      <c r="Q106" s="3" t="s">
        <v>960</v>
      </c>
      <c r="T106" s="421"/>
      <c r="V106" s="3">
        <v>4.10368161525974</v>
      </c>
      <c r="Y106" s="3">
        <f>AVERAGE(U106:X106)</f>
        <v>4.10368161525974</v>
      </c>
      <c r="AA106" s="3">
        <f>COUNT(U106:X106)</f>
        <v>1</v>
      </c>
      <c r="AB106" s="3" t="s">
        <v>1019</v>
      </c>
    </row>
    <row r="107" spans="1:28" ht="26.4">
      <c r="A107" s="421"/>
      <c r="H107" s="10" t="s">
        <v>576</v>
      </c>
      <c r="I107" s="10">
        <v>4.4999999999999998E-2</v>
      </c>
      <c r="J107" s="10"/>
      <c r="K107" s="10">
        <v>8.3120332792207791E-2</v>
      </c>
      <c r="L107" s="10"/>
      <c r="M107" s="10"/>
      <c r="N107" s="10">
        <f>AVERAGE(J107:M107)</f>
        <v>8.3120332792207791E-2</v>
      </c>
      <c r="O107" s="10"/>
      <c r="P107" s="10">
        <f>COUNT(J107:M107)</f>
        <v>1</v>
      </c>
      <c r="Q107" s="10" t="s">
        <v>984</v>
      </c>
      <c r="T107" s="421"/>
      <c r="U107" s="10"/>
      <c r="V107" s="10">
        <v>7.4910917207792208E-2</v>
      </c>
      <c r="W107" s="10"/>
      <c r="X107" s="10"/>
      <c r="Y107" s="10">
        <f>AVERAGE(U107:X107)</f>
        <v>7.4910917207792208E-2</v>
      </c>
      <c r="Z107" s="10"/>
      <c r="AA107" s="10">
        <f>COUNT(U107:X107)</f>
        <v>1</v>
      </c>
      <c r="AB107" s="10" t="s">
        <v>960</v>
      </c>
    </row>
    <row r="108" spans="1:28">
      <c r="A108" s="421"/>
      <c r="T108" s="421"/>
    </row>
    <row r="109" spans="1:28">
      <c r="A109" s="421"/>
      <c r="T109" s="421"/>
    </row>
    <row r="110" spans="1:28" ht="26.4">
      <c r="A110" s="421"/>
      <c r="B110" s="3" t="s">
        <v>571</v>
      </c>
      <c r="C110" s="3" t="s">
        <v>632</v>
      </c>
      <c r="D110" s="3" t="s">
        <v>591</v>
      </c>
      <c r="E110" s="3" t="s">
        <v>574</v>
      </c>
      <c r="H110" s="3" t="s">
        <v>575</v>
      </c>
      <c r="I110" s="13">
        <v>1.6</v>
      </c>
      <c r="P110" s="3">
        <f>COUNT(J110:M110)</f>
        <v>0</v>
      </c>
      <c r="Q110" s="3" t="s">
        <v>972</v>
      </c>
      <c r="T110" s="421"/>
      <c r="AA110" s="3">
        <f>COUNT(U110:X110)</f>
        <v>0</v>
      </c>
      <c r="AB110" s="3" t="s">
        <v>1026</v>
      </c>
    </row>
    <row r="111" spans="1:28" ht="26.4">
      <c r="A111" s="421"/>
      <c r="H111" s="10" t="s">
        <v>576</v>
      </c>
      <c r="I111" s="10">
        <v>4.4999999999999998E-2</v>
      </c>
      <c r="J111" s="10"/>
      <c r="K111" s="10"/>
      <c r="L111" s="10"/>
      <c r="M111" s="10"/>
      <c r="N111" s="10"/>
      <c r="O111" s="10"/>
      <c r="P111" s="10">
        <f>COUNT(J111:M111)</f>
        <v>0</v>
      </c>
      <c r="Q111" s="10" t="s">
        <v>975</v>
      </c>
      <c r="T111" s="421"/>
      <c r="U111" s="10"/>
      <c r="V111" s="10"/>
      <c r="W111" s="10"/>
      <c r="X111" s="10"/>
      <c r="Y111" s="10"/>
      <c r="Z111" s="10"/>
      <c r="AA111" s="10">
        <f>COUNT(U111:X111)</f>
        <v>0</v>
      </c>
      <c r="AB111" s="10" t="s">
        <v>1026</v>
      </c>
    </row>
    <row r="112" spans="1:28">
      <c r="A112" s="421"/>
      <c r="T112" s="421"/>
    </row>
    <row r="113" spans="1:28" ht="26.4">
      <c r="A113" s="421"/>
      <c r="B113" s="3" t="s">
        <v>571</v>
      </c>
      <c r="C113" s="3" t="s">
        <v>632</v>
      </c>
      <c r="D113" s="3" t="s">
        <v>640</v>
      </c>
      <c r="E113" s="3" t="s">
        <v>574</v>
      </c>
      <c r="H113" s="3" t="s">
        <v>575</v>
      </c>
      <c r="I113" s="13">
        <v>1.6</v>
      </c>
      <c r="K113" s="3">
        <v>4.8076390016233761</v>
      </c>
      <c r="N113" s="3">
        <f>AVERAGE(J113:M113)</f>
        <v>4.8076390016233761</v>
      </c>
      <c r="P113" s="3">
        <f>COUNT(J113:M113)</f>
        <v>1</v>
      </c>
      <c r="Q113" s="3" t="s">
        <v>978</v>
      </c>
      <c r="T113" s="421"/>
      <c r="U113" s="3">
        <v>4.7539999999999996</v>
      </c>
      <c r="V113" s="3">
        <v>4.7973772321428569</v>
      </c>
      <c r="Y113" s="3">
        <f>AVERAGE(U113:X113)</f>
        <v>4.7756886160714282</v>
      </c>
      <c r="Z113" s="3">
        <f>_xlfn.STDEV.S(U113:X113)</f>
        <v>3.067233499731753E-2</v>
      </c>
      <c r="AA113" s="3">
        <f>COUNT(U113:X113)</f>
        <v>2</v>
      </c>
      <c r="AB113" s="3" t="s">
        <v>984</v>
      </c>
    </row>
    <row r="114" spans="1:28" ht="26.4">
      <c r="A114" s="421"/>
      <c r="H114" s="10" t="s">
        <v>576</v>
      </c>
      <c r="I114" s="10">
        <v>4.4999999999999998E-2</v>
      </c>
      <c r="J114" s="10"/>
      <c r="K114" s="10">
        <v>0.10261769480519481</v>
      </c>
      <c r="L114" s="10"/>
      <c r="M114" s="10"/>
      <c r="N114" s="10">
        <f>AVERAGE(J114:M114)</f>
        <v>0.10261769480519481</v>
      </c>
      <c r="O114" s="10"/>
      <c r="P114" s="10">
        <f>COUNT(J114:M114)</f>
        <v>1</v>
      </c>
      <c r="Q114" s="10" t="s">
        <v>960</v>
      </c>
      <c r="T114" s="421"/>
      <c r="U114" s="10">
        <v>9.6000000000000002E-2</v>
      </c>
      <c r="V114" s="10">
        <v>9.3382102272727266E-2</v>
      </c>
      <c r="W114" s="10"/>
      <c r="X114" s="10"/>
      <c r="Y114" s="10">
        <f>AVERAGE(U114:X114)</f>
        <v>9.4691051136363641E-2</v>
      </c>
      <c r="Z114" s="10">
        <f>_xlfn.STDEV.S(U114:X114)</f>
        <v>1.8511332354074026E-3</v>
      </c>
      <c r="AA114" s="10">
        <f>COUNT(U114:X114)</f>
        <v>2</v>
      </c>
      <c r="AB114" s="10" t="s">
        <v>1019</v>
      </c>
    </row>
    <row r="115" spans="1:28">
      <c r="A115" s="421"/>
      <c r="T115" s="421"/>
    </row>
    <row r="116" spans="1:28" ht="26.4">
      <c r="A116" s="421"/>
      <c r="B116" s="3" t="s">
        <v>571</v>
      </c>
      <c r="C116" s="3" t="s">
        <v>634</v>
      </c>
      <c r="D116" s="3" t="s">
        <v>593</v>
      </c>
      <c r="E116" s="3" t="s">
        <v>574</v>
      </c>
      <c r="H116" s="3" t="s">
        <v>575</v>
      </c>
      <c r="I116" s="13">
        <v>1.6</v>
      </c>
      <c r="P116" s="3">
        <f>COUNT(J116:M116)</f>
        <v>0</v>
      </c>
      <c r="Q116" s="3" t="s">
        <v>989</v>
      </c>
      <c r="T116" s="421"/>
      <c r="AA116" s="3">
        <f>COUNT(U116:X116)</f>
        <v>0</v>
      </c>
      <c r="AB116" s="3" t="s">
        <v>972</v>
      </c>
    </row>
    <row r="117" spans="1:28" ht="26.4">
      <c r="A117" s="421"/>
      <c r="H117" s="10" t="s">
        <v>576</v>
      </c>
      <c r="I117" s="10">
        <v>4.4999999999999998E-2</v>
      </c>
      <c r="J117" s="10"/>
      <c r="K117" s="10"/>
      <c r="L117" s="10"/>
      <c r="M117" s="10"/>
      <c r="N117" s="10"/>
      <c r="O117" s="10"/>
      <c r="P117" s="10">
        <f>COUNT(J117:M117)</f>
        <v>0</v>
      </c>
      <c r="Q117" s="10" t="s">
        <v>990</v>
      </c>
      <c r="T117" s="421"/>
      <c r="U117" s="10"/>
      <c r="V117" s="10"/>
      <c r="W117" s="10"/>
      <c r="X117" s="10"/>
      <c r="Y117" s="10"/>
      <c r="Z117" s="10"/>
      <c r="AA117" s="10">
        <f>COUNT(U117:X117)</f>
        <v>0</v>
      </c>
      <c r="AB117" s="10" t="s">
        <v>1026</v>
      </c>
    </row>
    <row r="118" spans="1:28">
      <c r="A118" s="421"/>
      <c r="T118" s="421"/>
    </row>
    <row r="119" spans="1:28" ht="26.4">
      <c r="A119" s="421"/>
      <c r="B119" s="3" t="s">
        <v>571</v>
      </c>
      <c r="C119" s="3" t="s">
        <v>632</v>
      </c>
      <c r="D119" s="3" t="s">
        <v>642</v>
      </c>
      <c r="E119" s="3" t="s">
        <v>574</v>
      </c>
      <c r="H119" s="3" t="s">
        <v>575</v>
      </c>
      <c r="I119" s="13">
        <v>1.6</v>
      </c>
      <c r="P119" s="3">
        <f>COUNT(J119:M119)</f>
        <v>0</v>
      </c>
      <c r="Q119" s="3" t="s">
        <v>972</v>
      </c>
      <c r="T119" s="421"/>
      <c r="AA119" s="3">
        <f>COUNT(U119:X119)</f>
        <v>0</v>
      </c>
      <c r="AB119" s="3" t="s">
        <v>1026</v>
      </c>
    </row>
    <row r="120" spans="1:28" ht="26.4">
      <c r="A120" s="421"/>
      <c r="H120" s="10" t="s">
        <v>576</v>
      </c>
      <c r="I120" s="10">
        <v>4.4999999999999998E-2</v>
      </c>
      <c r="J120" s="10"/>
      <c r="K120" s="10"/>
      <c r="L120" s="10"/>
      <c r="M120" s="10"/>
      <c r="N120" s="10"/>
      <c r="O120" s="10"/>
      <c r="P120" s="10">
        <f>COUNT(J120:M120)</f>
        <v>0</v>
      </c>
      <c r="Q120" s="10" t="s">
        <v>990</v>
      </c>
      <c r="T120" s="421"/>
      <c r="U120" s="10"/>
      <c r="V120" s="10"/>
      <c r="W120" s="10"/>
      <c r="X120" s="10"/>
      <c r="Y120" s="10"/>
      <c r="Z120" s="10"/>
      <c r="AA120" s="10">
        <f>COUNT(U120:X120)</f>
        <v>0</v>
      </c>
      <c r="AB120" s="10" t="s">
        <v>1026</v>
      </c>
    </row>
    <row r="121" spans="1:28">
      <c r="A121" s="210"/>
      <c r="T121" s="210"/>
    </row>
    <row r="122" spans="1:28" ht="39.6">
      <c r="A122" s="210"/>
      <c r="B122" s="3" t="s">
        <v>577</v>
      </c>
      <c r="C122" s="202" t="s">
        <v>785</v>
      </c>
      <c r="D122" s="3" t="s">
        <v>641</v>
      </c>
      <c r="E122" s="3" t="s">
        <v>574</v>
      </c>
      <c r="H122" s="3" t="s">
        <v>575</v>
      </c>
      <c r="I122" s="13">
        <v>1.6</v>
      </c>
      <c r="K122" s="3">
        <v>3.3576509740259737</v>
      </c>
      <c r="N122" s="3">
        <f>AVERAGE(J122:M122)</f>
        <v>3.3576509740259737</v>
      </c>
      <c r="P122" s="3">
        <f>COUNT(J122:M122)</f>
        <v>1</v>
      </c>
      <c r="Q122" s="3" t="s">
        <v>992</v>
      </c>
      <c r="T122" s="210"/>
      <c r="V122" s="3">
        <v>3.3094206574675327</v>
      </c>
      <c r="Y122" s="3">
        <f>AVERAGE(U122:X122)</f>
        <v>3.3094206574675327</v>
      </c>
      <c r="AA122" s="3">
        <f>COUNT(U122:X122)</f>
        <v>1</v>
      </c>
      <c r="AB122" s="3" t="s">
        <v>960</v>
      </c>
    </row>
    <row r="123" spans="1:28" ht="26.4">
      <c r="A123" s="210"/>
      <c r="H123" s="10" t="s">
        <v>576</v>
      </c>
      <c r="I123" s="10">
        <v>4.4999999999999998E-2</v>
      </c>
      <c r="J123" s="10"/>
      <c r="K123" s="10">
        <v>6.8753855519480517E-2</v>
      </c>
      <c r="L123" s="10"/>
      <c r="M123" s="10"/>
      <c r="N123" s="10">
        <f>AVERAGE(J123:M123)</f>
        <v>6.8753855519480517E-2</v>
      </c>
      <c r="O123" s="10"/>
      <c r="P123" s="10">
        <f>COUNT(J123:M123)</f>
        <v>1</v>
      </c>
      <c r="Q123" s="10" t="s">
        <v>960</v>
      </c>
      <c r="T123" s="210"/>
      <c r="U123" s="10"/>
      <c r="V123" s="10">
        <v>6.3622970779220772E-2</v>
      </c>
      <c r="W123" s="10"/>
      <c r="X123" s="10"/>
      <c r="Y123" s="10">
        <f>AVERAGE(U123:X123)</f>
        <v>6.3622970779220772E-2</v>
      </c>
      <c r="Z123" s="10"/>
      <c r="AA123" s="10">
        <f>COUNT(U123:X123)</f>
        <v>1</v>
      </c>
      <c r="AB123" s="10" t="s">
        <v>978</v>
      </c>
    </row>
    <row r="124" spans="1:28">
      <c r="A124" s="16"/>
      <c r="T124" s="16"/>
    </row>
    <row r="125" spans="1:28">
      <c r="A125" s="16"/>
      <c r="B125" s="8" t="s">
        <v>75</v>
      </c>
      <c r="C125" s="8"/>
      <c r="D125" s="8" t="s">
        <v>75</v>
      </c>
      <c r="E125" s="8"/>
      <c r="F125" s="8"/>
      <c r="G125" s="9"/>
      <c r="H125" s="12"/>
      <c r="I125" s="12"/>
      <c r="J125" s="12"/>
      <c r="K125" s="12"/>
      <c r="L125" s="12"/>
      <c r="M125" s="12"/>
      <c r="N125" s="12"/>
      <c r="O125" s="12"/>
      <c r="P125" s="12"/>
      <c r="Q125" s="12"/>
      <c r="T125" s="16"/>
      <c r="U125" s="12"/>
      <c r="V125" s="12"/>
      <c r="W125" s="12"/>
      <c r="X125" s="12"/>
      <c r="Y125" s="12"/>
      <c r="Z125" s="12"/>
      <c r="AA125" s="12"/>
      <c r="AB125" s="12"/>
    </row>
    <row r="126" spans="1:28" ht="39.6">
      <c r="A126" s="16"/>
      <c r="B126" s="3" t="s">
        <v>571</v>
      </c>
      <c r="C126" s="3" t="s">
        <v>632</v>
      </c>
      <c r="D126" s="3" t="s">
        <v>595</v>
      </c>
      <c r="E126" s="3" t="s">
        <v>587</v>
      </c>
      <c r="F126" s="3" t="s">
        <v>97</v>
      </c>
      <c r="H126" s="3" t="s">
        <v>575</v>
      </c>
      <c r="I126" s="13">
        <v>1.6</v>
      </c>
      <c r="K126" s="3">
        <v>3.334050420168067</v>
      </c>
      <c r="N126" s="3">
        <f>AVERAGE(J126:M126)</f>
        <v>3.334050420168067</v>
      </c>
      <c r="P126" s="3">
        <f>COUNT(J126:M126)</f>
        <v>1</v>
      </c>
      <c r="Q126" s="3" t="s">
        <v>960</v>
      </c>
      <c r="T126" s="16"/>
      <c r="V126" s="3">
        <v>3.3091831932773106</v>
      </c>
      <c r="Y126" s="3">
        <f>AVERAGE(U126:X126)</f>
        <v>3.3091831932773106</v>
      </c>
      <c r="AA126" s="3">
        <f>COUNT(U126:X126)</f>
        <v>1</v>
      </c>
      <c r="AB126" s="3" t="s">
        <v>1023</v>
      </c>
    </row>
    <row r="127" spans="1:28" ht="26.4">
      <c r="A127" s="16"/>
      <c r="H127" s="10" t="s">
        <v>576</v>
      </c>
      <c r="I127" s="10">
        <v>4.4999999999999998E-2</v>
      </c>
      <c r="J127" s="10"/>
      <c r="K127" s="10">
        <v>6.0786554621848739E-2</v>
      </c>
      <c r="L127" s="10"/>
      <c r="M127" s="10"/>
      <c r="N127" s="10">
        <f>AVERAGE(J127:M127)</f>
        <v>6.0786554621848739E-2</v>
      </c>
      <c r="O127" s="10"/>
      <c r="P127" s="10">
        <f>COUNT(J127:M127)</f>
        <v>1</v>
      </c>
      <c r="Q127" s="10" t="s">
        <v>960</v>
      </c>
      <c r="T127" s="16"/>
      <c r="U127" s="10"/>
      <c r="V127" s="10">
        <v>5.4339495798319322E-2</v>
      </c>
      <c r="W127" s="10"/>
      <c r="X127" s="10"/>
      <c r="Y127" s="10">
        <f>AVERAGE(U127:X127)</f>
        <v>5.4339495798319322E-2</v>
      </c>
      <c r="Z127" s="10"/>
      <c r="AA127" s="10">
        <f>COUNT(U127:X127)</f>
        <v>1</v>
      </c>
      <c r="AB127" s="10" t="s">
        <v>960</v>
      </c>
    </row>
    <row r="128" spans="1:28">
      <c r="A128" s="16"/>
      <c r="T128" s="16"/>
    </row>
    <row r="129" spans="1:28" ht="39.6">
      <c r="A129" s="16"/>
      <c r="B129" s="3" t="s">
        <v>571</v>
      </c>
      <c r="C129" s="3" t="s">
        <v>632</v>
      </c>
      <c r="D129" s="3" t="s">
        <v>595</v>
      </c>
      <c r="E129" s="3" t="s">
        <v>574</v>
      </c>
      <c r="F129" s="3" t="s">
        <v>97</v>
      </c>
      <c r="H129" s="3" t="s">
        <v>575</v>
      </c>
      <c r="I129" s="13">
        <v>1.6</v>
      </c>
      <c r="K129" s="3">
        <v>3.5628913494809686</v>
      </c>
      <c r="N129" s="3">
        <f>AVERAGE(J129:M129)</f>
        <v>3.5628913494809686</v>
      </c>
      <c r="P129" s="3">
        <f>COUNT(J129:M129)</f>
        <v>1</v>
      </c>
      <c r="Q129" s="3" t="s">
        <v>960</v>
      </c>
      <c r="T129" s="16"/>
      <c r="V129" s="3">
        <v>3.5666948096885811</v>
      </c>
      <c r="Y129" s="3">
        <f>AVERAGE(U129:X129)</f>
        <v>3.5666948096885811</v>
      </c>
      <c r="AA129" s="3">
        <f>COUNT(U129:X129)</f>
        <v>1</v>
      </c>
      <c r="AB129" s="3" t="s">
        <v>984</v>
      </c>
    </row>
    <row r="130" spans="1:28" ht="26.4">
      <c r="A130" s="16"/>
      <c r="H130" s="10" t="s">
        <v>576</v>
      </c>
      <c r="I130" s="10">
        <v>4.4999999999999998E-2</v>
      </c>
      <c r="J130" s="10"/>
      <c r="K130" s="10">
        <v>4.9444982698961935E-2</v>
      </c>
      <c r="L130" s="10"/>
      <c r="M130" s="10"/>
      <c r="N130" s="10">
        <f>AVERAGE(J130:M130)</f>
        <v>4.9444982698961935E-2</v>
      </c>
      <c r="O130" s="10"/>
      <c r="P130" s="10">
        <f>COUNT(J130:M130)</f>
        <v>1</v>
      </c>
      <c r="Q130" s="10" t="s">
        <v>960</v>
      </c>
      <c r="T130" s="16"/>
      <c r="U130" s="10"/>
      <c r="V130" s="10">
        <v>4.2788927335640138E-2</v>
      </c>
      <c r="W130" s="10"/>
      <c r="X130" s="10"/>
      <c r="Y130" s="10">
        <f>AVERAGE(U130:X130)</f>
        <v>4.2788927335640138E-2</v>
      </c>
      <c r="Z130" s="10"/>
      <c r="AA130" s="10">
        <f>COUNT(U130:X130)</f>
        <v>1</v>
      </c>
      <c r="AB130" s="10" t="s">
        <v>1000</v>
      </c>
    </row>
    <row r="131" spans="1:28">
      <c r="A131" s="16"/>
      <c r="T131" s="16"/>
    </row>
    <row r="132" spans="1:28" ht="39.6">
      <c r="A132" s="16"/>
      <c r="B132" s="3" t="s">
        <v>571</v>
      </c>
      <c r="C132" s="3" t="s">
        <v>632</v>
      </c>
      <c r="D132" s="3" t="s">
        <v>643</v>
      </c>
      <c r="E132" s="3" t="s">
        <v>587</v>
      </c>
      <c r="F132" s="3" t="s">
        <v>97</v>
      </c>
      <c r="H132" s="3" t="s">
        <v>575</v>
      </c>
      <c r="I132" s="13">
        <v>1.6</v>
      </c>
      <c r="K132" s="3">
        <v>3.8369210084033614</v>
      </c>
      <c r="N132" s="3">
        <f>AVERAGE(J132:M132)</f>
        <v>3.8369210084033614</v>
      </c>
      <c r="P132" s="3">
        <f>COUNT(J132:M132)</f>
        <v>1</v>
      </c>
      <c r="Q132" s="3" t="s">
        <v>978</v>
      </c>
      <c r="T132" s="16"/>
      <c r="U132" s="3">
        <v>4.0549999999999997</v>
      </c>
      <c r="V132" s="3">
        <v>3.824947899159663</v>
      </c>
      <c r="Y132" s="3">
        <f>AVERAGE(U132:X132)</f>
        <v>3.9399739495798314</v>
      </c>
      <c r="Z132" s="3">
        <f>_xlfn.STDEV.S(U132:X132)</f>
        <v>0.16267140053041351</v>
      </c>
      <c r="AA132" s="3">
        <f>COUNT(U132:X132)</f>
        <v>2</v>
      </c>
      <c r="AB132" s="3" t="s">
        <v>1023</v>
      </c>
    </row>
    <row r="133" spans="1:28" ht="26.4">
      <c r="A133" s="16"/>
      <c r="H133" s="10" t="s">
        <v>576</v>
      </c>
      <c r="I133" s="10">
        <v>4.4999999999999998E-2</v>
      </c>
      <c r="J133" s="10"/>
      <c r="K133" s="10">
        <v>7.275966386554622E-2</v>
      </c>
      <c r="L133" s="10"/>
      <c r="M133" s="10"/>
      <c r="N133" s="10">
        <f>AVERAGE(J133:M133)</f>
        <v>7.275966386554622E-2</v>
      </c>
      <c r="O133" s="10"/>
      <c r="P133" s="10">
        <f>COUNT(J133:M133)</f>
        <v>1</v>
      </c>
      <c r="Q133" s="10" t="s">
        <v>960</v>
      </c>
      <c r="T133" s="16"/>
      <c r="U133" s="10">
        <v>0.06</v>
      </c>
      <c r="V133" s="10">
        <v>6.5391596638655458E-2</v>
      </c>
      <c r="W133" s="10"/>
      <c r="X133" s="10"/>
      <c r="Y133" s="10">
        <f>AVERAGE(U133:X133)</f>
        <v>6.2695798319327728E-2</v>
      </c>
      <c r="Z133" s="10">
        <f>_xlfn.STDEV.S(U133:X133)</f>
        <v>3.8124345446158715E-3</v>
      </c>
      <c r="AA133" s="10">
        <f>COUNT(U133:X133)</f>
        <v>2</v>
      </c>
      <c r="AB133" s="10" t="s">
        <v>960</v>
      </c>
    </row>
    <row r="134" spans="1:28">
      <c r="A134" s="16"/>
      <c r="T134" s="16"/>
    </row>
    <row r="135" spans="1:28" ht="39.6">
      <c r="A135" s="16"/>
      <c r="B135" s="3" t="s">
        <v>571</v>
      </c>
      <c r="C135" s="3" t="s">
        <v>632</v>
      </c>
      <c r="D135" s="3" t="s">
        <v>643</v>
      </c>
      <c r="E135" s="3" t="s">
        <v>574</v>
      </c>
      <c r="F135" s="3" t="s">
        <v>97</v>
      </c>
      <c r="H135" s="3" t="s">
        <v>575</v>
      </c>
      <c r="I135" s="13">
        <v>1.6</v>
      </c>
      <c r="K135" s="3">
        <v>4.0725550173010383</v>
      </c>
      <c r="N135" s="3">
        <f>AVERAGE(J135:M135)</f>
        <v>4.0725550173010383</v>
      </c>
      <c r="P135" s="3">
        <f>COUNT(J135:M135)</f>
        <v>1</v>
      </c>
      <c r="Q135" s="3" t="s">
        <v>992</v>
      </c>
      <c r="T135" s="16"/>
      <c r="U135" s="3">
        <v>3.8919999999999999</v>
      </c>
      <c r="V135" s="3">
        <v>4.0820636678200692</v>
      </c>
      <c r="Y135" s="3">
        <f>AVERAGE(U135:X135)</f>
        <v>3.9870318339100344</v>
      </c>
      <c r="Z135" s="3">
        <f>_xlfn.STDEV.S(U135:X135)</f>
        <v>0.1343953083727584</v>
      </c>
      <c r="AA135" s="3">
        <f>COUNT(U135:X135)</f>
        <v>2</v>
      </c>
      <c r="AB135" s="3" t="s">
        <v>1019</v>
      </c>
    </row>
    <row r="136" spans="1:28" ht="26.4">
      <c r="A136" s="16"/>
      <c r="H136" s="10" t="s">
        <v>576</v>
      </c>
      <c r="I136" s="10">
        <v>4.4999999999999998E-2</v>
      </c>
      <c r="J136" s="10"/>
      <c r="K136" s="10">
        <v>5.9904498269896196E-2</v>
      </c>
      <c r="L136" s="10"/>
      <c r="M136" s="10"/>
      <c r="N136" s="10">
        <f>AVERAGE(J136:M136)</f>
        <v>5.9904498269896196E-2</v>
      </c>
      <c r="O136" s="10"/>
      <c r="P136" s="10">
        <f>COUNT(J136:M136)</f>
        <v>1</v>
      </c>
      <c r="Q136" s="10" t="s">
        <v>992</v>
      </c>
      <c r="T136" s="16"/>
      <c r="U136" s="10">
        <v>5.8000000000000003E-2</v>
      </c>
      <c r="V136" s="10">
        <v>5.3248442906574399E-2</v>
      </c>
      <c r="W136" s="10"/>
      <c r="X136" s="10"/>
      <c r="Y136" s="10">
        <f>AVERAGE(U136:X136)</f>
        <v>5.5624221453287201E-2</v>
      </c>
      <c r="Z136" s="10">
        <f>_xlfn.STDEV.S(U136:X136)</f>
        <v>3.3598582419562865E-3</v>
      </c>
      <c r="AA136" s="10">
        <f>COUNT(U136:X136)</f>
        <v>2</v>
      </c>
      <c r="AB136" s="10" t="s">
        <v>960</v>
      </c>
    </row>
    <row r="137" spans="1:28">
      <c r="A137" s="16"/>
      <c r="T137" s="305"/>
    </row>
    <row r="138" spans="1:28" ht="39.6">
      <c r="A138" s="16"/>
      <c r="B138" s="3" t="s">
        <v>571</v>
      </c>
      <c r="C138" s="3" t="s">
        <v>634</v>
      </c>
      <c r="D138" s="3" t="s">
        <v>644</v>
      </c>
      <c r="E138" s="3" t="s">
        <v>574</v>
      </c>
      <c r="F138" s="3" t="s">
        <v>98</v>
      </c>
      <c r="H138" s="3" t="s">
        <v>575</v>
      </c>
      <c r="I138" s="13">
        <v>1.6</v>
      </c>
      <c r="P138" s="3">
        <f>COUNT(J138:M138)</f>
        <v>0</v>
      </c>
      <c r="Q138" s="3" t="s">
        <v>972</v>
      </c>
      <c r="T138" s="305"/>
      <c r="AA138" s="3">
        <f>COUNT(U138:X138)</f>
        <v>0</v>
      </c>
      <c r="AB138" s="3" t="s">
        <v>1005</v>
      </c>
    </row>
    <row r="139" spans="1:28" ht="26.4">
      <c r="A139" s="16"/>
      <c r="H139" s="10" t="s">
        <v>576</v>
      </c>
      <c r="I139" s="10">
        <v>4.4999999999999998E-2</v>
      </c>
      <c r="J139" s="10"/>
      <c r="K139" s="10"/>
      <c r="L139" s="10"/>
      <c r="M139" s="10"/>
      <c r="N139" s="10"/>
      <c r="O139" s="10"/>
      <c r="P139" s="10">
        <f>COUNT(J139:M139)</f>
        <v>0</v>
      </c>
      <c r="Q139" s="10" t="s">
        <v>989</v>
      </c>
      <c r="T139" s="305"/>
      <c r="U139" s="10"/>
      <c r="V139" s="10"/>
      <c r="W139" s="10"/>
      <c r="X139" s="10"/>
      <c r="Y139" s="10"/>
      <c r="Z139" s="10"/>
      <c r="AA139" s="10">
        <f>COUNT(U139:X139)</f>
        <v>0</v>
      </c>
      <c r="AB139" s="10" t="s">
        <v>965</v>
      </c>
    </row>
    <row r="140" spans="1:28">
      <c r="A140" s="225"/>
      <c r="T140" s="305"/>
    </row>
    <row r="141" spans="1:28" ht="39.6">
      <c r="A141" s="16"/>
      <c r="B141" s="3" t="s">
        <v>571</v>
      </c>
      <c r="C141" s="3" t="s">
        <v>611</v>
      </c>
      <c r="D141" s="3" t="s">
        <v>645</v>
      </c>
      <c r="E141" s="3" t="s">
        <v>574</v>
      </c>
      <c r="F141" s="202" t="s">
        <v>658</v>
      </c>
      <c r="H141" s="3" t="s">
        <v>575</v>
      </c>
      <c r="I141" s="13">
        <v>1.6</v>
      </c>
      <c r="J141" s="3">
        <v>4.8240920716112532</v>
      </c>
      <c r="N141" s="3">
        <f>AVERAGE(J141:M141)</f>
        <v>4.8240920716112532</v>
      </c>
      <c r="P141" s="3">
        <f>COUNT(J141:M141)</f>
        <v>1</v>
      </c>
      <c r="Q141" s="3" t="s">
        <v>960</v>
      </c>
      <c r="T141" s="305"/>
      <c r="AA141" s="3">
        <f>COUNT(U141:X141)</f>
        <v>0</v>
      </c>
      <c r="AB141" s="3" t="s">
        <v>1005</v>
      </c>
    </row>
    <row r="142" spans="1:28" ht="26.4">
      <c r="A142" s="16"/>
      <c r="H142" s="10" t="s">
        <v>576</v>
      </c>
      <c r="I142" s="10">
        <v>4.4999999999999998E-2</v>
      </c>
      <c r="J142" s="10" t="s">
        <v>216</v>
      </c>
      <c r="K142" s="10"/>
      <c r="L142" s="10"/>
      <c r="M142" s="10"/>
      <c r="N142" s="10"/>
      <c r="O142" s="10"/>
      <c r="P142" s="10">
        <f>COUNT(J142:M142)</f>
        <v>0</v>
      </c>
      <c r="Q142" s="10" t="s">
        <v>972</v>
      </c>
      <c r="T142" s="305"/>
      <c r="U142" s="10"/>
      <c r="V142" s="10"/>
      <c r="W142" s="10"/>
      <c r="X142" s="10"/>
      <c r="Y142" s="10"/>
      <c r="Z142" s="10"/>
      <c r="AA142" s="10">
        <f>COUNT(U142:X142)</f>
        <v>0</v>
      </c>
      <c r="AB142" s="10" t="s">
        <v>1005</v>
      </c>
    </row>
    <row r="143" spans="1:28">
      <c r="A143" s="16"/>
      <c r="T143" s="305"/>
    </row>
    <row r="144" spans="1:28" ht="39.6">
      <c r="A144" s="16"/>
      <c r="B144" s="3" t="s">
        <v>571</v>
      </c>
      <c r="C144" s="3" t="s">
        <v>632</v>
      </c>
      <c r="D144" s="15" t="s">
        <v>643</v>
      </c>
      <c r="E144" s="3" t="s">
        <v>587</v>
      </c>
      <c r="F144" s="15" t="s">
        <v>98</v>
      </c>
      <c r="G144" s="17"/>
      <c r="H144" s="3" t="s">
        <v>575</v>
      </c>
      <c r="I144" s="13">
        <v>1.6</v>
      </c>
      <c r="P144" s="3">
        <f>COUNT(J144:M144)</f>
        <v>0</v>
      </c>
      <c r="Q144" s="3" t="s">
        <v>989</v>
      </c>
      <c r="T144" s="305"/>
      <c r="AA144" s="3">
        <f>COUNT(U144:X144)</f>
        <v>0</v>
      </c>
      <c r="AB144" s="3" t="s">
        <v>972</v>
      </c>
    </row>
    <row r="145" spans="1:28">
      <c r="A145" s="16"/>
      <c r="H145" s="10"/>
      <c r="I145" s="10"/>
      <c r="J145" s="10"/>
      <c r="K145" s="10"/>
      <c r="L145" s="10"/>
      <c r="M145" s="10"/>
      <c r="N145" s="10"/>
      <c r="O145" s="10"/>
      <c r="P145" s="10"/>
      <c r="Q145" s="10"/>
      <c r="T145" s="305"/>
      <c r="U145" s="10"/>
      <c r="V145" s="10"/>
      <c r="W145" s="10"/>
      <c r="X145" s="10"/>
      <c r="Y145" s="10"/>
      <c r="Z145" s="10"/>
      <c r="AA145" s="10"/>
      <c r="AB145" s="10"/>
    </row>
    <row r="146" spans="1:28">
      <c r="A146" s="305"/>
      <c r="G146" s="3"/>
      <c r="I146" s="2"/>
      <c r="T146" s="305"/>
    </row>
    <row r="147" spans="1:28" s="242" customFormat="1" ht="39.6">
      <c r="A147" s="302"/>
      <c r="B147" s="242" t="s">
        <v>571</v>
      </c>
      <c r="C147" s="242" t="s">
        <v>632</v>
      </c>
      <c r="D147" s="242" t="s">
        <v>836</v>
      </c>
      <c r="E147" s="242" t="s">
        <v>574</v>
      </c>
      <c r="F147" s="242" t="s">
        <v>837</v>
      </c>
      <c r="H147" s="242" t="s">
        <v>575</v>
      </c>
      <c r="I147" s="303">
        <v>1.6</v>
      </c>
      <c r="P147" s="242">
        <f>COUNT(J147:M147)</f>
        <v>0</v>
      </c>
      <c r="Q147" s="242" t="s">
        <v>989</v>
      </c>
      <c r="T147" s="305"/>
      <c r="X147" s="242">
        <v>4.556</v>
      </c>
      <c r="Y147" s="242">
        <f>AVERAGE(U147:X147)</f>
        <v>4.556</v>
      </c>
      <c r="AA147" s="242">
        <f>COUNT(U147:X147)</f>
        <v>1</v>
      </c>
      <c r="AB147" s="242" t="s">
        <v>960</v>
      </c>
    </row>
    <row r="148" spans="1:28" s="242" customFormat="1" ht="24.9" customHeight="1">
      <c r="A148" s="302"/>
      <c r="H148" s="304" t="s">
        <v>576</v>
      </c>
      <c r="I148" s="304">
        <v>4.4999999999999998E-2</v>
      </c>
      <c r="J148" s="304"/>
      <c r="K148" s="304"/>
      <c r="L148" s="304"/>
      <c r="M148" s="304"/>
      <c r="N148" s="304"/>
      <c r="O148" s="304"/>
      <c r="P148" s="304">
        <f>COUNT(J148:M148)</f>
        <v>0</v>
      </c>
      <c r="Q148" s="304" t="s">
        <v>972</v>
      </c>
      <c r="T148" s="305"/>
      <c r="U148" s="304"/>
      <c r="V148" s="304"/>
      <c r="W148" s="304"/>
      <c r="X148" s="304">
        <v>8.6999999999999994E-2</v>
      </c>
      <c r="Y148" s="304">
        <f>AVERAGE(U148:X148)</f>
        <v>8.6999999999999994E-2</v>
      </c>
      <c r="Z148" s="304"/>
      <c r="AA148" s="304">
        <f>COUNT(U148:X148)</f>
        <v>1</v>
      </c>
      <c r="AB148" s="304" t="s">
        <v>984</v>
      </c>
    </row>
    <row r="149" spans="1:28">
      <c r="A149" s="305"/>
      <c r="G149" s="3"/>
      <c r="T149" s="305"/>
    </row>
    <row r="150" spans="1:28" s="242" customFormat="1" ht="39.6">
      <c r="A150" s="302"/>
      <c r="B150" s="242" t="s">
        <v>571</v>
      </c>
      <c r="C150" s="242" t="s">
        <v>632</v>
      </c>
      <c r="D150" s="242" t="s">
        <v>836</v>
      </c>
      <c r="E150" s="242" t="s">
        <v>574</v>
      </c>
      <c r="F150" s="242" t="s">
        <v>97</v>
      </c>
      <c r="H150" s="242" t="s">
        <v>575</v>
      </c>
      <c r="I150" s="303">
        <v>1.6</v>
      </c>
      <c r="P150" s="242">
        <f>COUNT(J150:M150)</f>
        <v>0</v>
      </c>
      <c r="Q150" s="242" t="s">
        <v>989</v>
      </c>
      <c r="T150" s="305"/>
      <c r="X150" s="242">
        <v>3.7909999999999999</v>
      </c>
      <c r="Y150" s="242">
        <f>AVERAGE(U150:X150)</f>
        <v>3.7909999999999999</v>
      </c>
      <c r="AA150" s="242">
        <f>COUNT(U150:X150)</f>
        <v>1</v>
      </c>
      <c r="AB150" s="242" t="s">
        <v>960</v>
      </c>
    </row>
    <row r="151" spans="1:28" s="242" customFormat="1" ht="24.9" customHeight="1">
      <c r="A151" s="302"/>
      <c r="H151" s="304" t="s">
        <v>576</v>
      </c>
      <c r="I151" s="304">
        <v>4.4999999999999998E-2</v>
      </c>
      <c r="J151" s="304"/>
      <c r="K151" s="304"/>
      <c r="L151" s="304"/>
      <c r="M151" s="304"/>
      <c r="N151" s="304"/>
      <c r="O151" s="304"/>
      <c r="P151" s="304">
        <f>COUNT(J151:M151)</f>
        <v>0</v>
      </c>
      <c r="Q151" s="304" t="s">
        <v>972</v>
      </c>
      <c r="T151" s="305"/>
      <c r="U151" s="304"/>
      <c r="V151" s="304"/>
      <c r="W151" s="304"/>
      <c r="X151" s="304">
        <v>7.6999999999999999E-2</v>
      </c>
      <c r="Y151" s="304">
        <f>AVERAGE(U151:X151)</f>
        <v>7.6999999999999999E-2</v>
      </c>
      <c r="Z151" s="304"/>
      <c r="AA151" s="304">
        <f>COUNT(U151:X151)</f>
        <v>1</v>
      </c>
      <c r="AB151" s="304" t="s">
        <v>984</v>
      </c>
    </row>
    <row r="152" spans="1:28">
      <c r="A152" s="16"/>
      <c r="T152" s="305"/>
    </row>
    <row r="192" spans="1:28" s="2" customFormat="1">
      <c r="A192" s="3"/>
      <c r="B192" s="3"/>
      <c r="C192" s="3"/>
      <c r="D192" s="3"/>
      <c r="E192" s="3"/>
      <c r="F192" s="3"/>
      <c r="G192" s="4"/>
      <c r="H192" s="3"/>
      <c r="I192" s="3"/>
      <c r="J192" s="3"/>
      <c r="K192" s="3"/>
      <c r="L192" s="3"/>
      <c r="M192" s="3"/>
      <c r="N192" s="3"/>
      <c r="O192" s="3"/>
      <c r="P192" s="3"/>
      <c r="Q192" s="3"/>
      <c r="R192" s="3"/>
      <c r="S192" s="3"/>
      <c r="T192" s="3"/>
      <c r="U192" s="3"/>
      <c r="V192" s="3"/>
      <c r="W192" s="3"/>
      <c r="X192" s="3"/>
      <c r="Y192" s="3"/>
      <c r="Z192" s="3"/>
      <c r="AA192" s="3"/>
      <c r="AB192" s="3"/>
    </row>
    <row r="193" spans="1:28" s="2" customFormat="1">
      <c r="A193" s="3"/>
      <c r="B193" s="3"/>
      <c r="C193" s="3"/>
      <c r="D193" s="3"/>
      <c r="E193" s="3"/>
      <c r="F193" s="3"/>
      <c r="G193" s="4"/>
      <c r="H193" s="3"/>
      <c r="I193" s="3"/>
      <c r="J193" s="3"/>
      <c r="K193" s="3"/>
      <c r="L193" s="3"/>
      <c r="M193" s="3"/>
      <c r="N193" s="3"/>
      <c r="O193" s="3"/>
      <c r="P193" s="3"/>
      <c r="Q193" s="3"/>
      <c r="R193" s="3"/>
      <c r="S193" s="3"/>
      <c r="T193" s="3"/>
      <c r="U193" s="3"/>
      <c r="V193" s="3"/>
      <c r="W193" s="3"/>
      <c r="X193" s="3"/>
      <c r="Y193" s="3"/>
      <c r="Z193" s="3"/>
      <c r="AA193" s="3"/>
      <c r="AB193" s="3"/>
    </row>
    <row r="194" spans="1:28" s="2" customFormat="1">
      <c r="A194" s="3"/>
      <c r="B194" s="3"/>
      <c r="C194" s="3"/>
      <c r="D194" s="3"/>
      <c r="E194" s="3"/>
      <c r="F194" s="3"/>
      <c r="G194" s="4"/>
      <c r="H194" s="3"/>
      <c r="I194" s="3"/>
      <c r="J194" s="3"/>
      <c r="K194" s="3"/>
      <c r="L194" s="3"/>
      <c r="M194" s="3"/>
      <c r="N194" s="3"/>
      <c r="O194" s="3"/>
      <c r="P194" s="3"/>
      <c r="Q194" s="3"/>
      <c r="R194" s="3"/>
      <c r="S194" s="3"/>
      <c r="T194" s="3"/>
      <c r="U194" s="3"/>
      <c r="V194" s="3"/>
      <c r="W194" s="3"/>
      <c r="X194" s="3"/>
      <c r="Y194" s="3"/>
      <c r="Z194" s="3"/>
      <c r="AA194" s="3"/>
      <c r="AB194" s="3"/>
    </row>
    <row r="195" spans="1:28" s="2" customFormat="1">
      <c r="A195" s="3"/>
      <c r="B195" s="3"/>
      <c r="C195" s="3"/>
      <c r="D195" s="3"/>
      <c r="E195" s="3"/>
      <c r="F195" s="3"/>
      <c r="G195" s="4"/>
      <c r="H195" s="3"/>
      <c r="I195" s="3"/>
      <c r="J195" s="3"/>
      <c r="K195" s="3"/>
      <c r="L195" s="3"/>
      <c r="M195" s="3"/>
      <c r="N195" s="3"/>
      <c r="O195" s="3"/>
      <c r="P195" s="3"/>
      <c r="Q195" s="3"/>
      <c r="R195" s="3"/>
      <c r="S195" s="3"/>
      <c r="T195" s="3"/>
      <c r="U195" s="3"/>
      <c r="V195" s="3"/>
      <c r="W195" s="3"/>
      <c r="X195" s="3"/>
      <c r="Y195" s="3"/>
      <c r="Z195" s="3"/>
      <c r="AA195" s="3"/>
      <c r="AB195" s="3"/>
    </row>
    <row r="196" spans="1:28" s="2" customFormat="1">
      <c r="A196" s="3"/>
      <c r="B196" s="3"/>
      <c r="C196" s="3"/>
      <c r="D196" s="3"/>
      <c r="E196" s="3"/>
      <c r="F196" s="3"/>
      <c r="G196" s="4"/>
      <c r="H196" s="3"/>
      <c r="I196" s="3"/>
      <c r="J196" s="3"/>
      <c r="K196" s="3"/>
      <c r="L196" s="3"/>
      <c r="M196" s="3"/>
      <c r="N196" s="3"/>
      <c r="O196" s="3"/>
      <c r="P196" s="3"/>
      <c r="Q196" s="3"/>
      <c r="R196" s="3"/>
      <c r="S196" s="3"/>
      <c r="T196" s="3"/>
      <c r="U196" s="3"/>
      <c r="V196" s="3"/>
      <c r="W196" s="3"/>
      <c r="X196" s="3"/>
      <c r="Y196" s="3"/>
      <c r="Z196" s="3"/>
      <c r="AA196" s="3"/>
      <c r="AB196" s="3"/>
    </row>
    <row r="197" spans="1:28" s="2" customFormat="1">
      <c r="A197" s="3"/>
      <c r="B197" s="3"/>
      <c r="C197" s="3"/>
      <c r="D197" s="3"/>
      <c r="E197" s="3"/>
      <c r="F197" s="3"/>
      <c r="G197" s="4"/>
      <c r="H197" s="3"/>
      <c r="I197" s="3"/>
      <c r="J197" s="3"/>
      <c r="K197" s="3"/>
      <c r="L197" s="3"/>
      <c r="M197" s="3"/>
      <c r="N197" s="3"/>
      <c r="O197" s="3"/>
      <c r="P197" s="3"/>
      <c r="Q197" s="3"/>
      <c r="R197" s="3"/>
      <c r="S197" s="3"/>
      <c r="T197" s="3"/>
      <c r="U197" s="3"/>
      <c r="V197" s="3"/>
      <c r="W197" s="3"/>
      <c r="X197" s="3"/>
      <c r="Y197" s="3"/>
      <c r="Z197" s="3"/>
      <c r="AA197" s="3"/>
      <c r="AB197" s="3"/>
    </row>
    <row r="198" spans="1:28" s="2" customFormat="1">
      <c r="A198" s="3"/>
      <c r="B198" s="3"/>
      <c r="C198" s="3"/>
      <c r="D198" s="3"/>
      <c r="E198" s="3"/>
      <c r="F198" s="3"/>
      <c r="G198" s="4"/>
      <c r="H198" s="3"/>
      <c r="I198" s="3"/>
      <c r="J198" s="3"/>
      <c r="K198" s="3"/>
      <c r="L198" s="3"/>
      <c r="M198" s="3"/>
      <c r="N198" s="3"/>
      <c r="O198" s="3"/>
      <c r="P198" s="3"/>
      <c r="Q198" s="3"/>
      <c r="R198" s="3"/>
      <c r="S198" s="3"/>
      <c r="T198" s="3"/>
      <c r="U198" s="3"/>
      <c r="V198" s="3"/>
      <c r="W198" s="3"/>
      <c r="X198" s="3"/>
      <c r="Y198" s="3"/>
      <c r="Z198" s="3"/>
      <c r="AA198" s="3"/>
      <c r="AB198" s="3"/>
    </row>
    <row r="199" spans="1:28" s="2" customFormat="1">
      <c r="A199" s="3"/>
      <c r="B199" s="3"/>
      <c r="C199" s="3"/>
      <c r="D199" s="3"/>
      <c r="E199" s="3"/>
      <c r="F199" s="3"/>
      <c r="G199" s="4"/>
      <c r="H199" s="3"/>
      <c r="I199" s="3"/>
      <c r="J199" s="3"/>
      <c r="K199" s="3"/>
      <c r="L199" s="3"/>
      <c r="M199" s="3"/>
      <c r="N199" s="3"/>
      <c r="O199" s="3"/>
      <c r="P199" s="3"/>
      <c r="Q199" s="3"/>
      <c r="R199" s="3"/>
      <c r="S199" s="3"/>
      <c r="T199" s="3"/>
      <c r="U199" s="3"/>
      <c r="V199" s="3"/>
      <c r="W199" s="3"/>
      <c r="X199" s="3"/>
      <c r="Y199" s="3"/>
      <c r="Z199" s="3"/>
      <c r="AA199" s="3"/>
      <c r="AB199" s="3"/>
    </row>
    <row r="200" spans="1:28" s="2" customFormat="1">
      <c r="A200" s="3"/>
      <c r="B200" s="3"/>
      <c r="C200" s="3"/>
      <c r="D200" s="3"/>
      <c r="E200" s="3"/>
      <c r="F200" s="3"/>
      <c r="G200" s="4"/>
      <c r="H200" s="3"/>
      <c r="I200" s="3"/>
      <c r="J200" s="3"/>
      <c r="K200" s="3"/>
      <c r="L200" s="3"/>
      <c r="M200" s="3"/>
      <c r="N200" s="3"/>
      <c r="O200" s="3"/>
      <c r="P200" s="3"/>
      <c r="Q200" s="3"/>
      <c r="R200" s="3"/>
      <c r="S200" s="3"/>
      <c r="T200" s="3"/>
      <c r="U200" s="3"/>
      <c r="V200" s="3"/>
      <c r="W200" s="3"/>
      <c r="X200" s="3"/>
      <c r="Y200" s="3"/>
      <c r="Z200" s="3"/>
      <c r="AA200" s="3"/>
      <c r="AB200" s="3"/>
    </row>
    <row r="201" spans="1:28" s="2" customFormat="1">
      <c r="A201" s="3"/>
      <c r="B201" s="3"/>
      <c r="C201" s="3"/>
      <c r="D201" s="3"/>
      <c r="E201" s="3"/>
      <c r="F201" s="3"/>
      <c r="G201" s="4"/>
      <c r="H201" s="3"/>
      <c r="I201" s="3"/>
      <c r="J201" s="3"/>
      <c r="K201" s="3"/>
      <c r="L201" s="3"/>
      <c r="M201" s="3"/>
      <c r="N201" s="3"/>
      <c r="O201" s="3"/>
      <c r="P201" s="3"/>
      <c r="Q201" s="3"/>
      <c r="R201" s="3"/>
      <c r="S201" s="3"/>
      <c r="T201" s="3"/>
      <c r="U201" s="3"/>
      <c r="V201" s="3"/>
      <c r="W201" s="3"/>
      <c r="X201" s="3"/>
      <c r="Y201" s="3"/>
      <c r="Z201" s="3"/>
      <c r="AA201" s="3"/>
      <c r="AB201" s="3"/>
    </row>
    <row r="202" spans="1:28" s="2" customFormat="1">
      <c r="A202" s="3"/>
      <c r="B202" s="3"/>
      <c r="C202" s="3"/>
      <c r="D202" s="3"/>
      <c r="E202" s="3"/>
      <c r="F202" s="3"/>
      <c r="G202" s="4"/>
      <c r="H202" s="3"/>
      <c r="I202" s="3"/>
      <c r="J202" s="3"/>
      <c r="K202" s="3"/>
      <c r="L202" s="3"/>
      <c r="M202" s="3"/>
      <c r="N202" s="3"/>
      <c r="O202" s="3"/>
      <c r="P202" s="3"/>
      <c r="Q202" s="3"/>
      <c r="R202" s="3"/>
      <c r="S202" s="3"/>
      <c r="T202" s="3"/>
      <c r="U202" s="3"/>
      <c r="V202" s="3"/>
      <c r="W202" s="3"/>
      <c r="X202" s="3"/>
      <c r="Y202" s="3"/>
      <c r="Z202" s="3"/>
      <c r="AA202" s="3"/>
      <c r="AB202" s="3"/>
    </row>
    <row r="203" spans="1:28" s="2" customFormat="1">
      <c r="A203" s="3"/>
      <c r="B203" s="3"/>
      <c r="C203" s="3"/>
      <c r="D203" s="3"/>
      <c r="E203" s="3"/>
      <c r="F203" s="3"/>
      <c r="G203" s="4"/>
      <c r="H203" s="3"/>
      <c r="I203" s="3"/>
      <c r="J203" s="3"/>
      <c r="K203" s="3"/>
      <c r="L203" s="3"/>
      <c r="M203" s="3"/>
      <c r="N203" s="3"/>
      <c r="O203" s="3"/>
      <c r="P203" s="3"/>
      <c r="Q203" s="3"/>
      <c r="R203" s="3"/>
      <c r="S203" s="3"/>
      <c r="T203" s="3"/>
      <c r="U203" s="3"/>
      <c r="V203" s="3"/>
      <c r="W203" s="3"/>
      <c r="X203" s="3"/>
      <c r="Y203" s="3"/>
      <c r="Z203" s="3"/>
      <c r="AA203" s="3"/>
      <c r="AB203" s="3"/>
    </row>
    <row r="204" spans="1:28" s="2" customFormat="1">
      <c r="A204" s="3"/>
      <c r="B204" s="3"/>
      <c r="C204" s="3"/>
      <c r="D204" s="3"/>
      <c r="E204" s="3"/>
      <c r="F204" s="3"/>
      <c r="G204" s="4"/>
      <c r="H204" s="3"/>
      <c r="I204" s="3"/>
      <c r="J204" s="3"/>
      <c r="K204" s="3"/>
      <c r="L204" s="3"/>
      <c r="M204" s="3"/>
      <c r="N204" s="3"/>
      <c r="O204" s="3"/>
      <c r="P204" s="3"/>
      <c r="Q204" s="3"/>
      <c r="R204" s="3"/>
      <c r="S204" s="3"/>
      <c r="T204" s="3"/>
      <c r="U204" s="3"/>
      <c r="V204" s="3"/>
      <c r="W204" s="3"/>
      <c r="X204" s="3"/>
      <c r="Y204" s="3"/>
      <c r="Z204" s="3"/>
      <c r="AA204" s="3"/>
      <c r="AB204" s="3"/>
    </row>
    <row r="205" spans="1:28" s="2" customFormat="1">
      <c r="A205" s="3"/>
      <c r="B205" s="3"/>
      <c r="C205" s="3"/>
      <c r="D205" s="3"/>
      <c r="E205" s="3"/>
      <c r="F205" s="3"/>
      <c r="G205" s="4"/>
      <c r="H205" s="3"/>
      <c r="I205" s="3"/>
      <c r="J205" s="3"/>
      <c r="K205" s="3"/>
      <c r="L205" s="3"/>
      <c r="M205" s="3"/>
      <c r="N205" s="3"/>
      <c r="O205" s="3"/>
      <c r="P205" s="3"/>
      <c r="Q205" s="3"/>
      <c r="R205" s="3"/>
      <c r="S205" s="3"/>
      <c r="T205" s="3"/>
      <c r="U205" s="3"/>
      <c r="V205" s="3"/>
      <c r="W205" s="3"/>
      <c r="X205" s="3"/>
      <c r="Y205" s="3"/>
      <c r="Z205" s="3"/>
      <c r="AA205" s="3"/>
      <c r="AB205" s="3"/>
    </row>
    <row r="206" spans="1:28" s="2" customFormat="1">
      <c r="A206" s="3"/>
      <c r="B206" s="3"/>
      <c r="C206" s="3"/>
      <c r="D206" s="3"/>
      <c r="E206" s="3"/>
      <c r="F206" s="3"/>
      <c r="G206" s="4"/>
      <c r="H206" s="3"/>
      <c r="I206" s="3"/>
      <c r="J206" s="3"/>
      <c r="K206" s="3"/>
      <c r="L206" s="3"/>
      <c r="M206" s="3"/>
      <c r="N206" s="3"/>
      <c r="O206" s="3"/>
      <c r="P206" s="3"/>
      <c r="Q206" s="3"/>
      <c r="R206" s="3"/>
      <c r="S206" s="3"/>
      <c r="T206" s="3"/>
      <c r="U206" s="3"/>
      <c r="V206" s="3"/>
      <c r="W206" s="3"/>
      <c r="X206" s="3"/>
      <c r="Y206" s="3"/>
      <c r="Z206" s="3"/>
      <c r="AA206" s="3"/>
      <c r="AB206" s="3"/>
    </row>
    <row r="207" spans="1:28" s="2" customFormat="1">
      <c r="A207" s="3"/>
      <c r="B207" s="3"/>
      <c r="C207" s="3"/>
      <c r="D207" s="3"/>
      <c r="E207" s="3"/>
      <c r="F207" s="3"/>
      <c r="G207" s="4"/>
      <c r="H207" s="3"/>
      <c r="I207" s="3"/>
      <c r="J207" s="3"/>
      <c r="K207" s="3"/>
      <c r="L207" s="3"/>
      <c r="M207" s="3"/>
      <c r="N207" s="3"/>
      <c r="O207" s="3"/>
      <c r="P207" s="3"/>
      <c r="Q207" s="3"/>
      <c r="R207" s="3"/>
      <c r="S207" s="3"/>
      <c r="T207" s="3"/>
      <c r="U207" s="3"/>
      <c r="V207" s="3"/>
      <c r="W207" s="3"/>
      <c r="X207" s="3"/>
      <c r="Y207" s="3"/>
      <c r="Z207" s="3"/>
      <c r="AA207" s="3"/>
      <c r="AB207" s="3"/>
    </row>
    <row r="208" spans="1:28" s="2" customFormat="1">
      <c r="A208" s="3"/>
      <c r="B208" s="3"/>
      <c r="C208" s="3"/>
      <c r="D208" s="3"/>
      <c r="E208" s="3"/>
      <c r="F208" s="3"/>
      <c r="G208" s="4"/>
      <c r="H208" s="3"/>
      <c r="I208" s="3"/>
      <c r="J208" s="3"/>
      <c r="K208" s="3"/>
      <c r="L208" s="3"/>
      <c r="M208" s="3"/>
      <c r="N208" s="3"/>
      <c r="O208" s="3"/>
      <c r="P208" s="3"/>
      <c r="Q208" s="3"/>
      <c r="R208" s="3"/>
      <c r="S208" s="3"/>
      <c r="T208" s="3"/>
      <c r="U208" s="3"/>
      <c r="V208" s="3"/>
      <c r="W208" s="3"/>
      <c r="X208" s="3"/>
      <c r="Y208" s="3"/>
      <c r="Z208" s="3"/>
      <c r="AA208" s="3"/>
      <c r="AB208" s="3"/>
    </row>
    <row r="209" spans="1:28" s="2" customFormat="1">
      <c r="A209" s="3"/>
      <c r="B209" s="3"/>
      <c r="C209" s="3"/>
      <c r="D209" s="3"/>
      <c r="E209" s="3"/>
      <c r="F209" s="3"/>
      <c r="G209" s="4"/>
      <c r="H209" s="3"/>
      <c r="I209" s="3"/>
      <c r="J209" s="3"/>
      <c r="K209" s="3"/>
      <c r="L209" s="3"/>
      <c r="M209" s="3"/>
      <c r="N209" s="3"/>
      <c r="O209" s="3"/>
      <c r="P209" s="3"/>
      <c r="Q209" s="3"/>
      <c r="R209" s="3"/>
      <c r="S209" s="3"/>
      <c r="T209" s="3"/>
      <c r="U209" s="3"/>
      <c r="V209" s="3"/>
      <c r="W209" s="3"/>
      <c r="X209" s="3"/>
      <c r="Y209" s="3"/>
      <c r="Z209" s="3"/>
      <c r="AA209" s="3"/>
      <c r="AB209" s="3"/>
    </row>
    <row r="210" spans="1:28" s="2" customFormat="1">
      <c r="A210" s="3"/>
      <c r="B210" s="3"/>
      <c r="C210" s="3"/>
      <c r="D210" s="3"/>
      <c r="E210" s="3"/>
      <c r="F210" s="3"/>
      <c r="G210" s="4"/>
      <c r="H210" s="3"/>
      <c r="I210" s="3"/>
      <c r="J210" s="3"/>
      <c r="K210" s="3"/>
      <c r="L210" s="3"/>
      <c r="M210" s="3"/>
      <c r="N210" s="3"/>
      <c r="O210" s="3"/>
      <c r="P210" s="3"/>
      <c r="Q210" s="3"/>
      <c r="R210" s="3"/>
      <c r="S210" s="3"/>
      <c r="T210" s="3"/>
      <c r="U210" s="3"/>
      <c r="V210" s="3"/>
      <c r="W210" s="3"/>
      <c r="X210" s="3"/>
      <c r="Y210" s="3"/>
      <c r="Z210" s="3"/>
      <c r="AA210" s="3"/>
      <c r="AB210" s="3"/>
    </row>
    <row r="211" spans="1:28" s="2" customFormat="1">
      <c r="A211" s="3"/>
      <c r="B211" s="3"/>
      <c r="C211" s="3"/>
      <c r="D211" s="3"/>
      <c r="E211" s="3"/>
      <c r="F211" s="3"/>
      <c r="G211" s="4"/>
      <c r="H211" s="3"/>
      <c r="I211" s="3"/>
      <c r="J211" s="3"/>
      <c r="K211" s="3"/>
      <c r="L211" s="3"/>
      <c r="M211" s="3"/>
      <c r="N211" s="3"/>
      <c r="O211" s="3"/>
      <c r="P211" s="3"/>
      <c r="Q211" s="3"/>
      <c r="R211" s="3"/>
      <c r="S211" s="3"/>
      <c r="T211" s="3"/>
      <c r="U211" s="3"/>
      <c r="V211" s="3"/>
      <c r="W211" s="3"/>
      <c r="X211" s="3"/>
      <c r="Y211" s="3"/>
      <c r="Z211" s="3"/>
      <c r="AA211" s="3"/>
      <c r="AB211" s="3"/>
    </row>
    <row r="212" spans="1:28" s="2" customFormat="1">
      <c r="A212" s="3"/>
      <c r="B212" s="3"/>
      <c r="C212" s="3"/>
      <c r="D212" s="3"/>
      <c r="E212" s="3"/>
      <c r="F212" s="3"/>
      <c r="G212" s="4"/>
      <c r="H212" s="3"/>
      <c r="I212" s="3"/>
      <c r="J212" s="3"/>
      <c r="K212" s="3"/>
      <c r="L212" s="3"/>
      <c r="M212" s="3"/>
      <c r="N212" s="3"/>
      <c r="O212" s="3"/>
      <c r="P212" s="3"/>
      <c r="Q212" s="3"/>
      <c r="R212" s="3"/>
      <c r="S212" s="3"/>
      <c r="T212" s="3"/>
      <c r="U212" s="3"/>
      <c r="V212" s="3"/>
      <c r="W212" s="3"/>
      <c r="X212" s="3"/>
      <c r="Y212" s="3"/>
      <c r="Z212" s="3"/>
      <c r="AA212" s="3"/>
      <c r="AB212" s="3"/>
    </row>
    <row r="213" spans="1:28" s="2" customFormat="1">
      <c r="A213" s="3"/>
      <c r="B213" s="3"/>
      <c r="C213" s="3"/>
      <c r="D213" s="3"/>
      <c r="E213" s="3"/>
      <c r="F213" s="3"/>
      <c r="G213" s="4"/>
      <c r="H213" s="3"/>
      <c r="I213" s="3"/>
      <c r="J213" s="3"/>
      <c r="K213" s="3"/>
      <c r="L213" s="3"/>
      <c r="M213" s="3"/>
      <c r="N213" s="3"/>
      <c r="O213" s="3"/>
      <c r="P213" s="3"/>
      <c r="Q213" s="3"/>
      <c r="R213" s="3"/>
      <c r="S213" s="3"/>
      <c r="T213" s="3"/>
      <c r="U213" s="3"/>
      <c r="V213" s="3"/>
      <c r="W213" s="3"/>
      <c r="X213" s="3"/>
      <c r="Y213" s="3"/>
      <c r="Z213" s="3"/>
      <c r="AA213" s="3"/>
      <c r="AB213" s="3"/>
    </row>
    <row r="214" spans="1:28" s="2" customFormat="1">
      <c r="A214" s="3"/>
      <c r="B214" s="3"/>
      <c r="C214" s="3"/>
      <c r="D214" s="3"/>
      <c r="E214" s="3"/>
      <c r="F214" s="3"/>
      <c r="G214" s="4"/>
      <c r="H214" s="3"/>
      <c r="I214" s="3"/>
      <c r="J214" s="3"/>
      <c r="K214" s="3"/>
      <c r="L214" s="3"/>
      <c r="M214" s="3"/>
      <c r="N214" s="3"/>
      <c r="O214" s="3"/>
      <c r="P214" s="3"/>
      <c r="Q214" s="3"/>
      <c r="R214" s="3"/>
      <c r="S214" s="3"/>
      <c r="T214" s="3"/>
      <c r="U214" s="3"/>
      <c r="V214" s="3"/>
      <c r="W214" s="3"/>
      <c r="X214" s="3"/>
      <c r="Y214" s="3"/>
      <c r="Z214" s="3"/>
      <c r="AA214" s="3"/>
      <c r="AB214" s="3"/>
    </row>
    <row r="215" spans="1:28" s="2" customFormat="1">
      <c r="A215" s="3"/>
      <c r="B215" s="3"/>
      <c r="C215" s="3"/>
      <c r="D215" s="3"/>
      <c r="E215" s="3"/>
      <c r="F215" s="3"/>
      <c r="G215" s="4"/>
      <c r="H215" s="3"/>
      <c r="I215" s="3"/>
      <c r="J215" s="3"/>
      <c r="K215" s="3"/>
      <c r="L215" s="3"/>
      <c r="M215" s="3"/>
      <c r="N215" s="3"/>
      <c r="O215" s="3"/>
      <c r="P215" s="3"/>
      <c r="Q215" s="3"/>
      <c r="R215" s="3"/>
      <c r="S215" s="3"/>
      <c r="T215" s="3"/>
      <c r="U215" s="3"/>
      <c r="V215" s="3"/>
      <c r="W215" s="3"/>
      <c r="X215" s="3"/>
      <c r="Y215" s="3"/>
      <c r="Z215" s="3"/>
      <c r="AA215" s="3"/>
      <c r="AB215" s="3"/>
    </row>
    <row r="216" spans="1:28" s="2" customFormat="1">
      <c r="A216" s="3"/>
      <c r="B216" s="3"/>
      <c r="C216" s="3"/>
      <c r="D216" s="3"/>
      <c r="E216" s="3"/>
      <c r="F216" s="3"/>
      <c r="G216" s="4"/>
      <c r="H216" s="3"/>
      <c r="I216" s="3"/>
      <c r="J216" s="3"/>
      <c r="K216" s="3"/>
      <c r="L216" s="3"/>
      <c r="M216" s="3"/>
      <c r="N216" s="3"/>
      <c r="O216" s="3"/>
      <c r="P216" s="3"/>
      <c r="Q216" s="3"/>
      <c r="R216" s="3"/>
      <c r="S216" s="3"/>
      <c r="T216" s="3"/>
      <c r="U216" s="3"/>
      <c r="V216" s="3"/>
      <c r="W216" s="3"/>
      <c r="X216" s="3"/>
      <c r="Y216" s="3"/>
      <c r="Z216" s="3"/>
      <c r="AA216" s="3"/>
      <c r="AB216" s="3"/>
    </row>
    <row r="217" spans="1:28" s="2" customFormat="1">
      <c r="A217" s="3"/>
      <c r="B217" s="3"/>
      <c r="C217" s="3"/>
      <c r="D217" s="3"/>
      <c r="E217" s="3"/>
      <c r="F217" s="3"/>
      <c r="G217" s="4"/>
      <c r="H217" s="3"/>
      <c r="I217" s="3"/>
      <c r="J217" s="3"/>
      <c r="K217" s="3"/>
      <c r="L217" s="3"/>
      <c r="M217" s="3"/>
      <c r="N217" s="3"/>
      <c r="O217" s="3"/>
      <c r="P217" s="3"/>
      <c r="Q217" s="3"/>
      <c r="R217" s="3"/>
      <c r="S217" s="3"/>
      <c r="T217" s="3"/>
      <c r="U217" s="3"/>
      <c r="V217" s="3"/>
      <c r="W217" s="3"/>
      <c r="X217" s="3"/>
      <c r="Y217" s="3"/>
      <c r="Z217" s="3"/>
      <c r="AA217" s="3"/>
      <c r="AB217" s="3"/>
    </row>
    <row r="218" spans="1:28" s="2" customFormat="1">
      <c r="A218" s="3"/>
      <c r="B218" s="3"/>
      <c r="C218" s="3"/>
      <c r="D218" s="3"/>
      <c r="E218" s="3"/>
      <c r="F218" s="3"/>
      <c r="G218" s="4"/>
      <c r="H218" s="3"/>
      <c r="I218" s="3"/>
      <c r="J218" s="3"/>
      <c r="K218" s="3"/>
      <c r="L218" s="3"/>
      <c r="M218" s="3"/>
      <c r="N218" s="3"/>
      <c r="O218" s="3"/>
      <c r="P218" s="3"/>
      <c r="Q218" s="3"/>
      <c r="R218" s="3"/>
      <c r="S218" s="3"/>
      <c r="T218" s="3"/>
      <c r="U218" s="3"/>
      <c r="V218" s="3"/>
      <c r="W218" s="3"/>
      <c r="X218" s="3"/>
      <c r="Y218" s="3"/>
      <c r="Z218" s="3"/>
      <c r="AA218" s="3"/>
      <c r="AB218" s="3"/>
    </row>
    <row r="219" spans="1:28" s="2" customFormat="1">
      <c r="A219" s="3"/>
      <c r="B219" s="3"/>
      <c r="C219" s="3"/>
      <c r="D219" s="3"/>
      <c r="E219" s="3"/>
      <c r="F219" s="3"/>
      <c r="G219" s="4"/>
      <c r="H219" s="3"/>
      <c r="I219" s="3"/>
      <c r="J219" s="3"/>
      <c r="K219" s="3"/>
      <c r="L219" s="3"/>
      <c r="M219" s="3"/>
      <c r="N219" s="3"/>
      <c r="O219" s="3"/>
      <c r="P219" s="3"/>
      <c r="Q219" s="3"/>
      <c r="R219" s="3"/>
      <c r="S219" s="3"/>
      <c r="T219" s="3"/>
      <c r="U219" s="3"/>
      <c r="V219" s="3"/>
      <c r="W219" s="3"/>
      <c r="X219" s="3"/>
      <c r="Y219" s="3"/>
      <c r="Z219" s="3"/>
      <c r="AA219" s="3"/>
      <c r="AB219" s="3"/>
    </row>
    <row r="220" spans="1:28" s="2" customFormat="1">
      <c r="A220" s="3"/>
      <c r="B220" s="3"/>
      <c r="C220" s="3"/>
      <c r="D220" s="3"/>
      <c r="E220" s="3"/>
      <c r="F220" s="3"/>
      <c r="G220" s="4"/>
      <c r="H220" s="3"/>
      <c r="I220" s="3"/>
      <c r="J220" s="3"/>
      <c r="K220" s="3"/>
      <c r="L220" s="3"/>
      <c r="M220" s="3"/>
      <c r="N220" s="3"/>
      <c r="O220" s="3"/>
      <c r="P220" s="3"/>
      <c r="Q220" s="3"/>
      <c r="R220" s="3"/>
      <c r="S220" s="3"/>
      <c r="T220" s="3"/>
      <c r="U220" s="3"/>
      <c r="V220" s="3"/>
      <c r="W220" s="3"/>
      <c r="X220" s="3"/>
      <c r="Y220" s="3"/>
      <c r="Z220" s="3"/>
      <c r="AA220" s="3"/>
      <c r="AB220" s="3"/>
    </row>
    <row r="221" spans="1:28" s="2" customFormat="1">
      <c r="A221" s="3"/>
      <c r="B221" s="3"/>
      <c r="C221" s="3"/>
      <c r="D221" s="3"/>
      <c r="E221" s="3"/>
      <c r="F221" s="3"/>
      <c r="G221" s="4"/>
      <c r="H221" s="3"/>
      <c r="I221" s="3"/>
      <c r="J221" s="3"/>
      <c r="K221" s="3"/>
      <c r="L221" s="3"/>
      <c r="M221" s="3"/>
      <c r="N221" s="3"/>
      <c r="O221" s="3"/>
      <c r="P221" s="3"/>
      <c r="Q221" s="3"/>
      <c r="R221" s="3"/>
      <c r="S221" s="3"/>
      <c r="T221" s="3"/>
      <c r="U221" s="3"/>
      <c r="V221" s="3"/>
      <c r="W221" s="3"/>
      <c r="X221" s="3"/>
      <c r="Y221" s="3"/>
      <c r="Z221" s="3"/>
      <c r="AA221" s="3"/>
      <c r="AB221" s="3"/>
    </row>
    <row r="222" spans="1:28" s="2" customFormat="1">
      <c r="A222" s="3"/>
      <c r="B222" s="3"/>
      <c r="C222" s="3"/>
      <c r="D222" s="3"/>
      <c r="E222" s="3"/>
      <c r="F222" s="3"/>
      <c r="G222" s="4"/>
      <c r="H222" s="3"/>
      <c r="I222" s="3"/>
      <c r="J222" s="3"/>
      <c r="K222" s="3"/>
      <c r="L222" s="3"/>
      <c r="M222" s="3"/>
      <c r="N222" s="3"/>
      <c r="O222" s="3"/>
      <c r="P222" s="3"/>
      <c r="Q222" s="3"/>
      <c r="R222" s="3"/>
      <c r="S222" s="3"/>
      <c r="T222" s="3"/>
      <c r="U222" s="3"/>
      <c r="V222" s="3"/>
      <c r="W222" s="3"/>
      <c r="X222" s="3"/>
      <c r="Y222" s="3"/>
      <c r="Z222" s="3"/>
      <c r="AA222" s="3"/>
      <c r="AB222" s="3"/>
    </row>
    <row r="223" spans="1:28" s="2" customFormat="1">
      <c r="A223" s="3"/>
      <c r="B223" s="3"/>
      <c r="C223" s="3"/>
      <c r="D223" s="3"/>
      <c r="E223" s="3"/>
      <c r="F223" s="3"/>
      <c r="G223" s="4"/>
      <c r="H223" s="3"/>
      <c r="I223" s="3"/>
      <c r="J223" s="3"/>
      <c r="K223" s="3"/>
      <c r="L223" s="3"/>
      <c r="M223" s="3"/>
      <c r="N223" s="3"/>
      <c r="O223" s="3"/>
      <c r="P223" s="3"/>
      <c r="Q223" s="3"/>
      <c r="R223" s="3"/>
      <c r="S223" s="3"/>
      <c r="T223" s="3"/>
      <c r="U223" s="3"/>
      <c r="V223" s="3"/>
      <c r="W223" s="3"/>
      <c r="X223" s="3"/>
      <c r="Y223" s="3"/>
      <c r="Z223" s="3"/>
      <c r="AA223" s="3"/>
      <c r="AB223" s="3"/>
    </row>
    <row r="224" spans="1:28" s="2" customFormat="1">
      <c r="A224" s="3"/>
      <c r="B224" s="3"/>
      <c r="C224" s="3"/>
      <c r="D224" s="3"/>
      <c r="E224" s="3"/>
      <c r="F224" s="3"/>
      <c r="G224" s="4"/>
      <c r="H224" s="3"/>
      <c r="I224" s="3"/>
      <c r="J224" s="3"/>
      <c r="K224" s="3"/>
      <c r="L224" s="3"/>
      <c r="M224" s="3"/>
      <c r="N224" s="3"/>
      <c r="O224" s="3"/>
      <c r="P224" s="3"/>
      <c r="Q224" s="3"/>
      <c r="R224" s="3"/>
      <c r="S224" s="3"/>
      <c r="T224" s="3"/>
      <c r="U224" s="3"/>
      <c r="V224" s="3"/>
      <c r="W224" s="3"/>
      <c r="X224" s="3"/>
      <c r="Y224" s="3"/>
      <c r="Z224" s="3"/>
      <c r="AA224" s="3"/>
      <c r="AB224" s="3"/>
    </row>
    <row r="225" spans="1:28" s="2" customFormat="1">
      <c r="A225" s="3"/>
      <c r="B225" s="3"/>
      <c r="C225" s="3"/>
      <c r="D225" s="3"/>
      <c r="E225" s="3"/>
      <c r="F225" s="3"/>
      <c r="G225" s="4"/>
      <c r="H225" s="3"/>
      <c r="I225" s="3"/>
      <c r="J225" s="3"/>
      <c r="K225" s="3"/>
      <c r="L225" s="3"/>
      <c r="M225" s="3"/>
      <c r="N225" s="3"/>
      <c r="O225" s="3"/>
      <c r="P225" s="3"/>
      <c r="Q225" s="3"/>
      <c r="R225" s="3"/>
      <c r="S225" s="3"/>
      <c r="T225" s="3"/>
      <c r="U225" s="3"/>
      <c r="V225" s="3"/>
      <c r="W225" s="3"/>
      <c r="X225" s="3"/>
      <c r="Y225" s="3"/>
      <c r="Z225" s="3"/>
      <c r="AA225" s="3"/>
      <c r="AB225" s="3"/>
    </row>
    <row r="226" spans="1:28" s="2" customFormat="1">
      <c r="A226" s="3"/>
      <c r="B226" s="3"/>
      <c r="C226" s="3"/>
      <c r="D226" s="3"/>
      <c r="E226" s="3"/>
      <c r="F226" s="3"/>
      <c r="G226" s="4"/>
      <c r="H226" s="3"/>
      <c r="I226" s="3"/>
      <c r="J226" s="3"/>
      <c r="K226" s="3"/>
      <c r="L226" s="3"/>
      <c r="M226" s="3"/>
      <c r="N226" s="3"/>
      <c r="O226" s="3"/>
      <c r="P226" s="3"/>
      <c r="Q226" s="3"/>
      <c r="R226" s="3"/>
      <c r="S226" s="3"/>
      <c r="T226" s="3"/>
      <c r="U226" s="3"/>
      <c r="V226" s="3"/>
      <c r="W226" s="3"/>
      <c r="X226" s="3"/>
      <c r="Y226" s="3"/>
      <c r="Z226" s="3"/>
      <c r="AA226" s="3"/>
      <c r="AB226" s="3"/>
    </row>
    <row r="227" spans="1:28" s="2" customFormat="1">
      <c r="A227" s="3"/>
      <c r="B227" s="3"/>
      <c r="C227" s="3"/>
      <c r="D227" s="3"/>
      <c r="E227" s="3"/>
      <c r="F227" s="3"/>
      <c r="G227" s="4"/>
      <c r="H227" s="3"/>
      <c r="I227" s="3"/>
      <c r="J227" s="3"/>
      <c r="K227" s="3"/>
      <c r="L227" s="3"/>
      <c r="M227" s="3"/>
      <c r="N227" s="3"/>
      <c r="O227" s="3"/>
      <c r="P227" s="3"/>
      <c r="Q227" s="3"/>
      <c r="R227" s="3"/>
      <c r="S227" s="3"/>
      <c r="T227" s="3"/>
      <c r="U227" s="3"/>
      <c r="V227" s="3"/>
      <c r="W227" s="3"/>
      <c r="X227" s="3"/>
      <c r="Y227" s="3"/>
      <c r="Z227" s="3"/>
      <c r="AA227" s="3"/>
      <c r="AB227" s="3"/>
    </row>
    <row r="228" spans="1:28" s="2" customFormat="1">
      <c r="A228" s="3"/>
      <c r="B228" s="3"/>
      <c r="C228" s="3"/>
      <c r="D228" s="3"/>
      <c r="E228" s="3"/>
      <c r="F228" s="3"/>
      <c r="G228" s="4"/>
      <c r="H228" s="3"/>
      <c r="I228" s="3"/>
      <c r="J228" s="3"/>
      <c r="K228" s="3"/>
      <c r="L228" s="3"/>
      <c r="M228" s="3"/>
      <c r="N228" s="3"/>
      <c r="O228" s="3"/>
      <c r="P228" s="3"/>
      <c r="Q228" s="3"/>
      <c r="R228" s="3"/>
      <c r="S228" s="3"/>
      <c r="T228" s="3"/>
      <c r="U228" s="3"/>
      <c r="V228" s="3"/>
      <c r="W228" s="3"/>
      <c r="X228" s="3"/>
      <c r="Y228" s="3"/>
      <c r="Z228" s="3"/>
      <c r="AA228" s="3"/>
      <c r="AB228" s="3"/>
    </row>
    <row r="229" spans="1:28" s="2" customFormat="1">
      <c r="A229" s="3"/>
      <c r="B229" s="3"/>
      <c r="C229" s="3"/>
      <c r="D229" s="3"/>
      <c r="E229" s="3"/>
      <c r="F229" s="3"/>
      <c r="G229" s="4"/>
      <c r="H229" s="3"/>
      <c r="I229" s="3"/>
      <c r="J229" s="3"/>
      <c r="K229" s="3"/>
      <c r="L229" s="3"/>
      <c r="M229" s="3"/>
      <c r="N229" s="3"/>
      <c r="O229" s="3"/>
      <c r="P229" s="3"/>
      <c r="Q229" s="3"/>
      <c r="R229" s="3"/>
      <c r="S229" s="3"/>
      <c r="T229" s="3"/>
      <c r="U229" s="3"/>
      <c r="V229" s="3"/>
      <c r="W229" s="3"/>
      <c r="X229" s="3"/>
      <c r="Y229" s="3"/>
      <c r="Z229" s="3"/>
      <c r="AA229" s="3"/>
      <c r="AB229" s="3"/>
    </row>
    <row r="230" spans="1:28" s="2" customFormat="1">
      <c r="A230" s="3"/>
      <c r="B230" s="3"/>
      <c r="C230" s="3"/>
      <c r="D230" s="3"/>
      <c r="E230" s="3"/>
      <c r="F230" s="3"/>
      <c r="G230" s="4"/>
      <c r="H230" s="3"/>
      <c r="I230" s="3"/>
      <c r="J230" s="3"/>
      <c r="K230" s="3"/>
      <c r="L230" s="3"/>
      <c r="M230" s="3"/>
      <c r="N230" s="3"/>
      <c r="O230" s="3"/>
      <c r="P230" s="3"/>
      <c r="Q230" s="3"/>
      <c r="R230" s="3"/>
      <c r="S230" s="3"/>
      <c r="T230" s="3"/>
      <c r="U230" s="3"/>
      <c r="V230" s="3"/>
      <c r="W230" s="3"/>
      <c r="X230" s="3"/>
      <c r="Y230" s="3"/>
      <c r="Z230" s="3"/>
      <c r="AA230" s="3"/>
      <c r="AB230" s="3"/>
    </row>
    <row r="231" spans="1:28" s="2" customFormat="1">
      <c r="A231" s="3"/>
      <c r="B231" s="3"/>
      <c r="C231" s="3"/>
      <c r="D231" s="3"/>
      <c r="E231" s="3"/>
      <c r="F231" s="3"/>
      <c r="G231" s="4"/>
      <c r="H231" s="3"/>
      <c r="I231" s="3"/>
      <c r="J231" s="3"/>
      <c r="K231" s="3"/>
      <c r="L231" s="3"/>
      <c r="M231" s="3"/>
      <c r="N231" s="3"/>
      <c r="O231" s="3"/>
      <c r="P231" s="3"/>
      <c r="Q231" s="3"/>
      <c r="R231" s="3"/>
      <c r="S231" s="3"/>
      <c r="T231" s="3"/>
      <c r="U231" s="3"/>
      <c r="V231" s="3"/>
      <c r="W231" s="3"/>
      <c r="X231" s="3"/>
      <c r="Y231" s="3"/>
      <c r="Z231" s="3"/>
      <c r="AA231" s="3"/>
      <c r="AB231" s="3"/>
    </row>
    <row r="232" spans="1:28" s="2" customFormat="1">
      <c r="A232" s="3"/>
      <c r="B232" s="3"/>
      <c r="C232" s="3"/>
      <c r="D232" s="3"/>
      <c r="E232" s="3"/>
      <c r="F232" s="3"/>
      <c r="G232" s="4"/>
      <c r="H232" s="3"/>
      <c r="I232" s="3"/>
      <c r="J232" s="3"/>
      <c r="K232" s="3"/>
      <c r="L232" s="3"/>
      <c r="M232" s="3"/>
      <c r="N232" s="3"/>
      <c r="O232" s="3"/>
      <c r="P232" s="3"/>
      <c r="Q232" s="3"/>
      <c r="R232" s="3"/>
      <c r="S232" s="3"/>
      <c r="T232" s="3"/>
      <c r="U232" s="3"/>
      <c r="V232" s="3"/>
      <c r="W232" s="3"/>
      <c r="X232" s="3"/>
      <c r="Y232" s="3"/>
      <c r="Z232" s="3"/>
      <c r="AA232" s="3"/>
      <c r="AB232" s="3"/>
    </row>
    <row r="233" spans="1:28" s="2" customFormat="1">
      <c r="A233" s="3"/>
      <c r="B233" s="3"/>
      <c r="C233" s="3"/>
      <c r="D233" s="3"/>
      <c r="E233" s="3"/>
      <c r="F233" s="3"/>
      <c r="G233" s="4"/>
      <c r="H233" s="3"/>
      <c r="I233" s="3"/>
      <c r="J233" s="3"/>
      <c r="K233" s="3"/>
      <c r="L233" s="3"/>
      <c r="M233" s="3"/>
      <c r="N233" s="3"/>
      <c r="O233" s="3"/>
      <c r="P233" s="3"/>
      <c r="Q233" s="3"/>
      <c r="R233" s="3"/>
      <c r="S233" s="3"/>
      <c r="T233" s="3"/>
      <c r="U233" s="3"/>
      <c r="V233" s="3"/>
      <c r="W233" s="3"/>
      <c r="X233" s="3"/>
      <c r="Y233" s="3"/>
      <c r="Z233" s="3"/>
      <c r="AA233" s="3"/>
      <c r="AB233" s="3"/>
    </row>
    <row r="234" spans="1:28" s="2" customFormat="1">
      <c r="A234" s="3"/>
      <c r="B234" s="3"/>
      <c r="C234" s="3"/>
      <c r="D234" s="3"/>
      <c r="E234" s="3"/>
      <c r="F234" s="3"/>
      <c r="G234" s="4"/>
      <c r="H234" s="3"/>
      <c r="I234" s="3"/>
      <c r="J234" s="3"/>
      <c r="K234" s="3"/>
      <c r="L234" s="3"/>
      <c r="M234" s="3"/>
      <c r="N234" s="3"/>
      <c r="O234" s="3"/>
      <c r="P234" s="3"/>
      <c r="Q234" s="3"/>
      <c r="R234" s="3"/>
      <c r="S234" s="3"/>
      <c r="T234" s="3"/>
      <c r="U234" s="3"/>
      <c r="V234" s="3"/>
      <c r="W234" s="3"/>
      <c r="X234" s="3"/>
      <c r="Y234" s="3"/>
      <c r="Z234" s="3"/>
      <c r="AA234" s="3"/>
      <c r="AB234" s="3"/>
    </row>
    <row r="235" spans="1:28" s="2" customFormat="1">
      <c r="A235" s="3"/>
      <c r="B235" s="3"/>
      <c r="C235" s="3"/>
      <c r="D235" s="3"/>
      <c r="E235" s="3"/>
      <c r="F235" s="3"/>
      <c r="G235" s="4"/>
      <c r="H235" s="3"/>
      <c r="I235" s="3"/>
      <c r="J235" s="3"/>
      <c r="K235" s="3"/>
      <c r="L235" s="3"/>
      <c r="M235" s="3"/>
      <c r="N235" s="3"/>
      <c r="O235" s="3"/>
      <c r="P235" s="3"/>
      <c r="Q235" s="3"/>
      <c r="R235" s="3"/>
      <c r="S235" s="3"/>
      <c r="T235" s="3"/>
      <c r="U235" s="3"/>
      <c r="V235" s="3"/>
      <c r="W235" s="3"/>
      <c r="X235" s="3"/>
      <c r="Y235" s="3"/>
      <c r="Z235" s="3"/>
      <c r="AA235" s="3"/>
      <c r="AB235" s="3"/>
    </row>
    <row r="236" spans="1:28" s="2" customFormat="1">
      <c r="A236" s="3"/>
      <c r="B236" s="3"/>
      <c r="C236" s="3"/>
      <c r="D236" s="3"/>
      <c r="E236" s="3"/>
      <c r="F236" s="3"/>
      <c r="G236" s="4"/>
      <c r="H236" s="3"/>
      <c r="I236" s="3"/>
      <c r="J236" s="3"/>
      <c r="K236" s="3"/>
      <c r="L236" s="3"/>
      <c r="M236" s="3"/>
      <c r="N236" s="3"/>
      <c r="O236" s="3"/>
      <c r="P236" s="3"/>
      <c r="Q236" s="3"/>
      <c r="R236" s="3"/>
      <c r="S236" s="3"/>
      <c r="T236" s="3"/>
      <c r="U236" s="3"/>
      <c r="V236" s="3"/>
      <c r="W236" s="3"/>
      <c r="X236" s="3"/>
      <c r="Y236" s="3"/>
      <c r="Z236" s="3"/>
      <c r="AA236" s="3"/>
      <c r="AB236" s="3"/>
    </row>
    <row r="237" spans="1:28" s="2" customFormat="1">
      <c r="A237" s="3"/>
      <c r="B237" s="3"/>
      <c r="C237" s="3"/>
      <c r="D237" s="3"/>
      <c r="E237" s="3"/>
      <c r="F237" s="3"/>
      <c r="G237" s="4"/>
      <c r="H237" s="3"/>
      <c r="I237" s="3"/>
      <c r="J237" s="3"/>
      <c r="K237" s="3"/>
      <c r="L237" s="3"/>
      <c r="M237" s="3"/>
      <c r="N237" s="3"/>
      <c r="O237" s="3"/>
      <c r="P237" s="3"/>
      <c r="Q237" s="3"/>
      <c r="R237" s="3"/>
      <c r="S237" s="3"/>
      <c r="T237" s="3"/>
      <c r="U237" s="3"/>
      <c r="V237" s="3"/>
      <c r="W237" s="3"/>
      <c r="X237" s="3"/>
      <c r="Y237" s="3"/>
      <c r="Z237" s="3"/>
      <c r="AA237" s="3"/>
      <c r="AB237" s="3"/>
    </row>
    <row r="238" spans="1:28" s="2" customFormat="1">
      <c r="A238" s="3"/>
      <c r="B238" s="3"/>
      <c r="C238" s="3"/>
      <c r="D238" s="3"/>
      <c r="E238" s="3"/>
      <c r="F238" s="3"/>
      <c r="G238" s="4"/>
      <c r="H238" s="3"/>
      <c r="I238" s="3"/>
      <c r="J238" s="3"/>
      <c r="K238" s="3"/>
      <c r="L238" s="3"/>
      <c r="M238" s="3"/>
      <c r="N238" s="3"/>
      <c r="O238" s="3"/>
      <c r="P238" s="3"/>
      <c r="Q238" s="3"/>
      <c r="R238" s="3"/>
      <c r="S238" s="3"/>
      <c r="T238" s="3"/>
      <c r="U238" s="3"/>
      <c r="V238" s="3"/>
      <c r="W238" s="3"/>
      <c r="X238" s="3"/>
      <c r="Y238" s="3"/>
      <c r="Z238" s="3"/>
      <c r="AA238" s="3"/>
      <c r="AB238" s="3"/>
    </row>
    <row r="239" spans="1:28" s="2" customFormat="1">
      <c r="A239" s="3"/>
      <c r="B239" s="3"/>
      <c r="C239" s="3"/>
      <c r="D239" s="3"/>
      <c r="E239" s="3"/>
      <c r="F239" s="3"/>
      <c r="G239" s="4"/>
      <c r="H239" s="3"/>
      <c r="I239" s="3"/>
      <c r="J239" s="3"/>
      <c r="K239" s="3"/>
      <c r="L239" s="3"/>
      <c r="M239" s="3"/>
      <c r="N239" s="3"/>
      <c r="O239" s="3"/>
      <c r="P239" s="3"/>
      <c r="Q239" s="3"/>
      <c r="R239" s="3"/>
      <c r="S239" s="3"/>
      <c r="T239" s="3"/>
      <c r="U239" s="3"/>
      <c r="V239" s="3"/>
      <c r="W239" s="3"/>
      <c r="X239" s="3"/>
      <c r="Y239" s="3"/>
      <c r="Z239" s="3"/>
      <c r="AA239" s="3"/>
      <c r="AB239" s="3"/>
    </row>
    <row r="240" spans="1:28" s="2" customFormat="1">
      <c r="A240" s="3"/>
      <c r="B240" s="3"/>
      <c r="C240" s="3"/>
      <c r="D240" s="3"/>
      <c r="E240" s="3"/>
      <c r="F240" s="3"/>
      <c r="G240" s="4"/>
      <c r="H240" s="3"/>
      <c r="I240" s="3"/>
      <c r="J240" s="3"/>
      <c r="K240" s="3"/>
      <c r="L240" s="3"/>
      <c r="M240" s="3"/>
      <c r="N240" s="3"/>
      <c r="O240" s="3"/>
      <c r="P240" s="3"/>
      <c r="Q240" s="3"/>
      <c r="R240" s="3"/>
      <c r="S240" s="3"/>
      <c r="T240" s="3"/>
      <c r="U240" s="3"/>
      <c r="V240" s="3"/>
      <c r="W240" s="3"/>
      <c r="X240" s="3"/>
      <c r="Y240" s="3"/>
      <c r="Z240" s="3"/>
      <c r="AA240" s="3"/>
      <c r="AB240" s="3"/>
    </row>
    <row r="241" spans="1:28" s="2" customFormat="1">
      <c r="A241" s="3"/>
      <c r="B241" s="3"/>
      <c r="C241" s="3"/>
      <c r="D241" s="3"/>
      <c r="E241" s="3"/>
      <c r="F241" s="3"/>
      <c r="G241" s="4"/>
      <c r="H241" s="3"/>
      <c r="I241" s="3"/>
      <c r="J241" s="3"/>
      <c r="K241" s="3"/>
      <c r="L241" s="3"/>
      <c r="M241" s="3"/>
      <c r="N241" s="3"/>
      <c r="O241" s="3"/>
      <c r="P241" s="3"/>
      <c r="Q241" s="3"/>
      <c r="R241" s="3"/>
      <c r="S241" s="3"/>
      <c r="T241" s="3"/>
      <c r="U241" s="3"/>
      <c r="V241" s="3"/>
      <c r="W241" s="3"/>
      <c r="X241" s="3"/>
      <c r="Y241" s="3"/>
      <c r="Z241" s="3"/>
      <c r="AA241" s="3"/>
      <c r="AB241" s="3"/>
    </row>
    <row r="242" spans="1:28" s="2" customFormat="1">
      <c r="A242" s="3"/>
      <c r="B242" s="3"/>
      <c r="C242" s="3"/>
      <c r="D242" s="3"/>
      <c r="E242" s="3"/>
      <c r="F242" s="3"/>
      <c r="G242" s="4"/>
      <c r="H242" s="3"/>
      <c r="I242" s="3"/>
      <c r="J242" s="3"/>
      <c r="K242" s="3"/>
      <c r="L242" s="3"/>
      <c r="M242" s="3"/>
      <c r="N242" s="3"/>
      <c r="O242" s="3"/>
      <c r="P242" s="3"/>
      <c r="Q242" s="3"/>
      <c r="R242" s="3"/>
      <c r="S242" s="3"/>
      <c r="T242" s="3"/>
      <c r="U242" s="3"/>
      <c r="V242" s="3"/>
      <c r="W242" s="3"/>
      <c r="X242" s="3"/>
      <c r="Y242" s="3"/>
      <c r="Z242" s="3"/>
      <c r="AA242" s="3"/>
      <c r="AB242" s="3"/>
    </row>
    <row r="243" spans="1:28" s="2" customFormat="1">
      <c r="A243" s="3"/>
      <c r="B243" s="3"/>
      <c r="C243" s="3"/>
      <c r="D243" s="3"/>
      <c r="E243" s="3"/>
      <c r="F243" s="3"/>
      <c r="G243" s="4"/>
      <c r="H243" s="3"/>
      <c r="I243" s="3"/>
      <c r="J243" s="3"/>
      <c r="K243" s="3"/>
      <c r="L243" s="3"/>
      <c r="M243" s="3"/>
      <c r="N243" s="3"/>
      <c r="O243" s="3"/>
      <c r="P243" s="3"/>
      <c r="Q243" s="3"/>
      <c r="R243" s="3"/>
      <c r="S243" s="3"/>
      <c r="T243" s="3"/>
      <c r="U243" s="3"/>
      <c r="V243" s="3"/>
      <c r="W243" s="3"/>
      <c r="X243" s="3"/>
      <c r="Y243" s="3"/>
      <c r="Z243" s="3"/>
      <c r="AA243" s="3"/>
      <c r="AB243" s="3"/>
    </row>
    <row r="244" spans="1:28" s="2" customFormat="1">
      <c r="A244" s="3"/>
      <c r="B244" s="3"/>
      <c r="C244" s="3"/>
      <c r="D244" s="3"/>
      <c r="E244" s="3"/>
      <c r="F244" s="3"/>
      <c r="G244" s="4"/>
      <c r="H244" s="3"/>
      <c r="I244" s="3"/>
      <c r="J244" s="3"/>
      <c r="K244" s="3"/>
      <c r="L244" s="3"/>
      <c r="M244" s="3"/>
      <c r="N244" s="3"/>
      <c r="O244" s="3"/>
      <c r="P244" s="3"/>
      <c r="Q244" s="3"/>
      <c r="R244" s="3"/>
      <c r="S244" s="3"/>
      <c r="T244" s="3"/>
      <c r="U244" s="3"/>
      <c r="V244" s="3"/>
      <c r="W244" s="3"/>
      <c r="X244" s="3"/>
      <c r="Y244" s="3"/>
      <c r="Z244" s="3"/>
      <c r="AA244" s="3"/>
      <c r="AB244" s="3"/>
    </row>
    <row r="245" spans="1:28" s="2" customFormat="1">
      <c r="A245" s="3"/>
      <c r="B245" s="3"/>
      <c r="C245" s="3"/>
      <c r="D245" s="3"/>
      <c r="E245" s="3"/>
      <c r="F245" s="3"/>
      <c r="G245" s="4"/>
      <c r="H245" s="3"/>
      <c r="I245" s="3"/>
      <c r="J245" s="3"/>
      <c r="K245" s="3"/>
      <c r="L245" s="3"/>
      <c r="M245" s="3"/>
      <c r="N245" s="3"/>
      <c r="O245" s="3"/>
      <c r="P245" s="3"/>
      <c r="Q245" s="3"/>
      <c r="R245" s="3"/>
      <c r="S245" s="3"/>
      <c r="T245" s="3"/>
      <c r="U245" s="3"/>
      <c r="V245" s="3"/>
      <c r="W245" s="3"/>
      <c r="X245" s="3"/>
      <c r="Y245" s="3"/>
      <c r="Z245" s="3"/>
      <c r="AA245" s="3"/>
      <c r="AB245" s="3"/>
    </row>
    <row r="246" spans="1:28" s="2" customFormat="1">
      <c r="A246" s="3"/>
      <c r="B246" s="3"/>
      <c r="C246" s="3"/>
      <c r="D246" s="3"/>
      <c r="E246" s="3"/>
      <c r="F246" s="3"/>
      <c r="G246" s="4"/>
      <c r="H246" s="3"/>
      <c r="I246" s="3"/>
      <c r="J246" s="3"/>
      <c r="K246" s="3"/>
      <c r="L246" s="3"/>
      <c r="M246" s="3"/>
      <c r="N246" s="3"/>
      <c r="O246" s="3"/>
      <c r="P246" s="3"/>
      <c r="Q246" s="3"/>
      <c r="R246" s="3"/>
      <c r="S246" s="3"/>
      <c r="T246" s="3"/>
      <c r="U246" s="3"/>
      <c r="V246" s="3"/>
      <c r="W246" s="3"/>
      <c r="X246" s="3"/>
      <c r="Y246" s="3"/>
      <c r="Z246" s="3"/>
      <c r="AA246" s="3"/>
      <c r="AB246" s="3"/>
    </row>
    <row r="247" spans="1:28" s="2" customFormat="1">
      <c r="A247" s="3"/>
      <c r="B247" s="3"/>
      <c r="C247" s="3"/>
      <c r="D247" s="3"/>
      <c r="E247" s="3"/>
      <c r="F247" s="3"/>
      <c r="G247" s="4"/>
      <c r="H247" s="3"/>
      <c r="I247" s="3"/>
      <c r="J247" s="3"/>
      <c r="K247" s="3"/>
      <c r="L247" s="3"/>
      <c r="M247" s="3"/>
      <c r="N247" s="3"/>
      <c r="O247" s="3"/>
      <c r="P247" s="3"/>
      <c r="Q247" s="3"/>
      <c r="R247" s="3"/>
      <c r="S247" s="3"/>
      <c r="T247" s="3"/>
      <c r="U247" s="3"/>
      <c r="V247" s="3"/>
      <c r="W247" s="3"/>
      <c r="X247" s="3"/>
      <c r="Y247" s="3"/>
      <c r="Z247" s="3"/>
      <c r="AA247" s="3"/>
      <c r="AB247" s="3"/>
    </row>
    <row r="248" spans="1:28" s="2" customFormat="1">
      <c r="A248" s="3"/>
      <c r="B248" s="3"/>
      <c r="C248" s="3"/>
      <c r="D248" s="3"/>
      <c r="E248" s="3"/>
      <c r="F248" s="3"/>
      <c r="G248" s="4"/>
      <c r="H248" s="3"/>
      <c r="I248" s="3"/>
      <c r="J248" s="3"/>
      <c r="K248" s="3"/>
      <c r="L248" s="3"/>
      <c r="M248" s="3"/>
      <c r="N248" s="3"/>
      <c r="O248" s="3"/>
      <c r="P248" s="3"/>
      <c r="Q248" s="3"/>
      <c r="R248" s="3"/>
      <c r="S248" s="3"/>
      <c r="T248" s="3"/>
      <c r="U248" s="3"/>
      <c r="V248" s="3"/>
      <c r="W248" s="3"/>
      <c r="X248" s="3"/>
      <c r="Y248" s="3"/>
      <c r="Z248" s="3"/>
      <c r="AA248" s="3"/>
      <c r="AB248" s="3"/>
    </row>
    <row r="249" spans="1:28" s="2" customFormat="1">
      <c r="A249" s="3"/>
      <c r="B249" s="3"/>
      <c r="C249" s="3"/>
      <c r="D249" s="3"/>
      <c r="E249" s="3"/>
      <c r="F249" s="3"/>
      <c r="G249" s="4"/>
      <c r="H249" s="3"/>
      <c r="I249" s="3"/>
      <c r="J249" s="3"/>
      <c r="K249" s="3"/>
      <c r="L249" s="3"/>
      <c r="M249" s="3"/>
      <c r="N249" s="3"/>
      <c r="O249" s="3"/>
      <c r="P249" s="3"/>
      <c r="Q249" s="3"/>
      <c r="R249" s="3"/>
      <c r="S249" s="3"/>
      <c r="T249" s="3"/>
      <c r="U249" s="3"/>
      <c r="V249" s="3"/>
      <c r="W249" s="3"/>
      <c r="X249" s="3"/>
      <c r="Y249" s="3"/>
      <c r="Z249" s="3"/>
      <c r="AA249" s="3"/>
      <c r="AB249" s="3"/>
    </row>
    <row r="250" spans="1:28" s="2" customFormat="1">
      <c r="A250" s="3"/>
      <c r="B250" s="3"/>
      <c r="C250" s="3"/>
      <c r="D250" s="3"/>
      <c r="E250" s="3"/>
      <c r="F250" s="3"/>
      <c r="G250" s="4"/>
      <c r="H250" s="3"/>
      <c r="I250" s="3"/>
      <c r="J250" s="3"/>
      <c r="K250" s="3"/>
      <c r="L250" s="3"/>
      <c r="M250" s="3"/>
      <c r="N250" s="3"/>
      <c r="O250" s="3"/>
      <c r="P250" s="3"/>
      <c r="Q250" s="3"/>
      <c r="R250" s="3"/>
      <c r="S250" s="3"/>
      <c r="T250" s="3"/>
      <c r="U250" s="3"/>
      <c r="V250" s="3"/>
      <c r="W250" s="3"/>
      <c r="X250" s="3"/>
      <c r="Y250" s="3"/>
      <c r="Z250" s="3"/>
      <c r="AA250" s="3"/>
      <c r="AB250" s="3"/>
    </row>
    <row r="251" spans="1:28" s="2" customFormat="1">
      <c r="A251" s="3"/>
      <c r="B251" s="3"/>
      <c r="C251" s="3"/>
      <c r="D251" s="3"/>
      <c r="E251" s="3"/>
      <c r="F251" s="3"/>
      <c r="G251" s="4"/>
      <c r="H251" s="3"/>
      <c r="I251" s="3"/>
      <c r="J251" s="3"/>
      <c r="K251" s="3"/>
      <c r="L251" s="3"/>
      <c r="M251" s="3"/>
      <c r="N251" s="3"/>
      <c r="O251" s="3"/>
      <c r="P251" s="3"/>
      <c r="Q251" s="3"/>
      <c r="R251" s="3"/>
      <c r="S251" s="3"/>
      <c r="T251" s="3"/>
      <c r="U251" s="3"/>
      <c r="V251" s="3"/>
      <c r="W251" s="3"/>
      <c r="X251" s="3"/>
      <c r="Y251" s="3"/>
      <c r="Z251" s="3"/>
      <c r="AA251" s="3"/>
      <c r="AB251" s="3"/>
    </row>
    <row r="252" spans="1:28" s="2" customFormat="1">
      <c r="A252" s="3"/>
      <c r="B252" s="3"/>
      <c r="C252" s="3"/>
      <c r="D252" s="3"/>
      <c r="E252" s="3"/>
      <c r="F252" s="3"/>
      <c r="G252" s="4"/>
      <c r="H252" s="3"/>
      <c r="I252" s="3"/>
      <c r="J252" s="3"/>
      <c r="K252" s="3"/>
      <c r="L252" s="3"/>
      <c r="M252" s="3"/>
      <c r="N252" s="3"/>
      <c r="O252" s="3"/>
      <c r="P252" s="3"/>
      <c r="Q252" s="3"/>
      <c r="R252" s="3"/>
      <c r="S252" s="3"/>
      <c r="T252" s="3"/>
      <c r="U252" s="3"/>
      <c r="V252" s="3"/>
      <c r="W252" s="3"/>
      <c r="X252" s="3"/>
      <c r="Y252" s="3"/>
      <c r="Z252" s="3"/>
      <c r="AA252" s="3"/>
      <c r="AB252" s="3"/>
    </row>
    <row r="253" spans="1:28" s="2" customFormat="1">
      <c r="A253" s="3"/>
      <c r="B253" s="3"/>
      <c r="C253" s="3"/>
      <c r="D253" s="3"/>
      <c r="E253" s="3"/>
      <c r="F253" s="3"/>
      <c r="G253" s="4"/>
      <c r="H253" s="3"/>
      <c r="I253" s="3"/>
      <c r="J253" s="3"/>
      <c r="K253" s="3"/>
      <c r="L253" s="3"/>
      <c r="M253" s="3"/>
      <c r="N253" s="3"/>
      <c r="O253" s="3"/>
      <c r="P253" s="3"/>
      <c r="Q253" s="3"/>
      <c r="R253" s="3"/>
      <c r="S253" s="3"/>
      <c r="T253" s="3"/>
      <c r="U253" s="3"/>
      <c r="V253" s="3"/>
      <c r="W253" s="3"/>
      <c r="X253" s="3"/>
      <c r="Y253" s="3"/>
      <c r="Z253" s="3"/>
      <c r="AA253" s="3"/>
      <c r="AB253" s="3"/>
    </row>
    <row r="254" spans="1:28" s="2" customFormat="1">
      <c r="A254" s="3"/>
      <c r="B254" s="3"/>
      <c r="C254" s="3"/>
      <c r="D254" s="3"/>
      <c r="E254" s="3"/>
      <c r="F254" s="3"/>
      <c r="G254" s="4"/>
      <c r="H254" s="3"/>
      <c r="I254" s="3"/>
      <c r="J254" s="3"/>
      <c r="K254" s="3"/>
      <c r="L254" s="3"/>
      <c r="M254" s="3"/>
      <c r="N254" s="3"/>
      <c r="O254" s="3"/>
      <c r="P254" s="3"/>
      <c r="Q254" s="3"/>
      <c r="R254" s="3"/>
      <c r="S254" s="3"/>
      <c r="T254" s="3"/>
      <c r="U254" s="3"/>
      <c r="V254" s="3"/>
      <c r="W254" s="3"/>
      <c r="X254" s="3"/>
      <c r="Y254" s="3"/>
      <c r="Z254" s="3"/>
      <c r="AA254" s="3"/>
      <c r="AB254" s="3"/>
    </row>
    <row r="255" spans="1:28" s="2" customFormat="1">
      <c r="A255" s="3"/>
      <c r="B255" s="3"/>
      <c r="C255" s="3"/>
      <c r="D255" s="3"/>
      <c r="E255" s="3"/>
      <c r="F255" s="3"/>
      <c r="G255" s="4"/>
      <c r="H255" s="3"/>
      <c r="I255" s="3"/>
      <c r="J255" s="3"/>
      <c r="K255" s="3"/>
      <c r="L255" s="3"/>
      <c r="M255" s="3"/>
      <c r="N255" s="3"/>
      <c r="O255" s="3"/>
      <c r="P255" s="3"/>
      <c r="Q255" s="3"/>
      <c r="R255" s="3"/>
      <c r="S255" s="3"/>
      <c r="T255" s="3"/>
      <c r="U255" s="3"/>
      <c r="V255" s="3"/>
      <c r="W255" s="3"/>
      <c r="X255" s="3"/>
      <c r="Y255" s="3"/>
      <c r="Z255" s="3"/>
      <c r="AA255" s="3"/>
      <c r="AB255" s="3"/>
    </row>
    <row r="256" spans="1:28" s="2" customFormat="1">
      <c r="A256" s="3"/>
      <c r="B256" s="3"/>
      <c r="C256" s="3"/>
      <c r="D256" s="3"/>
      <c r="E256" s="3"/>
      <c r="F256" s="3"/>
      <c r="G256" s="4"/>
      <c r="H256" s="3"/>
      <c r="I256" s="3"/>
      <c r="J256" s="3"/>
      <c r="K256" s="3"/>
      <c r="L256" s="3"/>
      <c r="M256" s="3"/>
      <c r="N256" s="3"/>
      <c r="O256" s="3"/>
      <c r="P256" s="3"/>
      <c r="Q256" s="3"/>
      <c r="R256" s="3"/>
      <c r="S256" s="3"/>
      <c r="T256" s="3"/>
      <c r="U256" s="3"/>
      <c r="V256" s="3"/>
      <c r="W256" s="3"/>
      <c r="X256" s="3"/>
      <c r="Y256" s="3"/>
      <c r="Z256" s="3"/>
      <c r="AA256" s="3"/>
      <c r="AB256" s="3"/>
    </row>
    <row r="257" spans="1:28" s="2" customFormat="1">
      <c r="A257" s="3"/>
      <c r="B257" s="3"/>
      <c r="C257" s="3"/>
      <c r="D257" s="3"/>
      <c r="E257" s="3"/>
      <c r="F257" s="3"/>
      <c r="G257" s="4"/>
      <c r="H257" s="3"/>
      <c r="I257" s="3"/>
      <c r="J257" s="3"/>
      <c r="K257" s="3"/>
      <c r="L257" s="3"/>
      <c r="M257" s="3"/>
      <c r="N257" s="3"/>
      <c r="O257" s="3"/>
      <c r="P257" s="3"/>
      <c r="Q257" s="3"/>
      <c r="R257" s="3"/>
      <c r="S257" s="3"/>
      <c r="T257" s="3"/>
      <c r="U257" s="3"/>
      <c r="V257" s="3"/>
      <c r="W257" s="3"/>
      <c r="X257" s="3"/>
      <c r="Y257" s="3"/>
      <c r="Z257" s="3"/>
      <c r="AA257" s="3"/>
      <c r="AB257" s="3"/>
    </row>
    <row r="258" spans="1:28" s="2" customFormat="1">
      <c r="A258" s="3"/>
      <c r="B258" s="3"/>
      <c r="C258" s="3"/>
      <c r="D258" s="3"/>
      <c r="E258" s="3"/>
      <c r="F258" s="3"/>
      <c r="G258" s="4"/>
      <c r="H258" s="3"/>
      <c r="I258" s="3"/>
      <c r="J258" s="3"/>
      <c r="K258" s="3"/>
      <c r="L258" s="3"/>
      <c r="M258" s="3"/>
      <c r="N258" s="3"/>
      <c r="O258" s="3"/>
      <c r="P258" s="3"/>
      <c r="Q258" s="3"/>
      <c r="R258" s="3"/>
      <c r="S258" s="3"/>
      <c r="T258" s="3"/>
      <c r="U258" s="3"/>
      <c r="V258" s="3"/>
      <c r="W258" s="3"/>
      <c r="X258" s="3"/>
      <c r="Y258" s="3"/>
      <c r="Z258" s="3"/>
      <c r="AA258" s="3"/>
      <c r="AB258" s="3"/>
    </row>
    <row r="259" spans="1:28" s="2" customFormat="1">
      <c r="A259" s="3"/>
      <c r="B259" s="3"/>
      <c r="C259" s="3"/>
      <c r="D259" s="3"/>
      <c r="E259" s="3"/>
      <c r="F259" s="3"/>
      <c r="G259" s="4"/>
      <c r="H259" s="3"/>
      <c r="I259" s="3"/>
      <c r="J259" s="3"/>
      <c r="K259" s="3"/>
      <c r="L259" s="3"/>
      <c r="M259" s="3"/>
      <c r="N259" s="3"/>
      <c r="O259" s="3"/>
      <c r="P259" s="3"/>
      <c r="Q259" s="3"/>
      <c r="R259" s="3"/>
      <c r="S259" s="3"/>
      <c r="T259" s="3"/>
      <c r="U259" s="3"/>
      <c r="V259" s="3"/>
      <c r="W259" s="3"/>
      <c r="X259" s="3"/>
      <c r="Y259" s="3"/>
      <c r="Z259" s="3"/>
      <c r="AA259" s="3"/>
      <c r="AB259" s="3"/>
    </row>
    <row r="260" spans="1:28" s="2" customFormat="1">
      <c r="A260" s="3"/>
      <c r="B260" s="3"/>
      <c r="C260" s="3"/>
      <c r="D260" s="3"/>
      <c r="E260" s="3"/>
      <c r="F260" s="3"/>
      <c r="G260" s="4"/>
      <c r="H260" s="3"/>
      <c r="I260" s="3"/>
      <c r="J260" s="3"/>
      <c r="K260" s="3"/>
      <c r="L260" s="3"/>
      <c r="M260" s="3"/>
      <c r="N260" s="3"/>
      <c r="O260" s="3"/>
      <c r="P260" s="3"/>
      <c r="Q260" s="3"/>
      <c r="R260" s="3"/>
      <c r="S260" s="3"/>
      <c r="T260" s="3"/>
      <c r="U260" s="3"/>
      <c r="V260" s="3"/>
      <c r="W260" s="3"/>
      <c r="X260" s="3"/>
      <c r="Y260" s="3"/>
      <c r="Z260" s="3"/>
      <c r="AA260" s="3"/>
      <c r="AB260" s="3"/>
    </row>
    <row r="261" spans="1:28" s="2" customFormat="1">
      <c r="A261" s="3"/>
      <c r="B261" s="3"/>
      <c r="C261" s="3"/>
      <c r="D261" s="3"/>
      <c r="E261" s="3"/>
      <c r="F261" s="3"/>
      <c r="G261" s="4"/>
      <c r="H261" s="3"/>
      <c r="I261" s="3"/>
      <c r="J261" s="3"/>
      <c r="K261" s="3"/>
      <c r="L261" s="3"/>
      <c r="M261" s="3"/>
      <c r="N261" s="3"/>
      <c r="O261" s="3"/>
      <c r="P261" s="3"/>
      <c r="Q261" s="3"/>
      <c r="R261" s="3"/>
      <c r="S261" s="3"/>
      <c r="T261" s="3"/>
      <c r="U261" s="3"/>
      <c r="V261" s="3"/>
      <c r="W261" s="3"/>
      <c r="X261" s="3"/>
      <c r="Y261" s="3"/>
      <c r="Z261" s="3"/>
      <c r="AA261" s="3"/>
      <c r="AB261" s="3"/>
    </row>
    <row r="262" spans="1:28" s="2" customFormat="1">
      <c r="A262" s="3"/>
      <c r="B262" s="3"/>
      <c r="C262" s="3"/>
      <c r="D262" s="3"/>
      <c r="E262" s="3"/>
      <c r="F262" s="3"/>
      <c r="G262" s="4"/>
      <c r="H262" s="3"/>
      <c r="I262" s="3"/>
      <c r="J262" s="3"/>
      <c r="K262" s="3"/>
      <c r="L262" s="3"/>
      <c r="M262" s="3"/>
      <c r="N262" s="3"/>
      <c r="O262" s="3"/>
      <c r="P262" s="3"/>
      <c r="Q262" s="3"/>
      <c r="R262" s="3"/>
      <c r="S262" s="3"/>
      <c r="T262" s="3"/>
      <c r="U262" s="3"/>
      <c r="V262" s="3"/>
      <c r="W262" s="3"/>
      <c r="X262" s="3"/>
      <c r="Y262" s="3"/>
      <c r="Z262" s="3"/>
      <c r="AA262" s="3"/>
      <c r="AB262" s="3"/>
    </row>
    <row r="263" spans="1:28" s="2" customFormat="1">
      <c r="A263" s="3"/>
      <c r="B263" s="3"/>
      <c r="C263" s="3"/>
      <c r="D263" s="3"/>
      <c r="E263" s="3"/>
      <c r="F263" s="3"/>
      <c r="G263" s="4"/>
      <c r="H263" s="3"/>
      <c r="I263" s="3"/>
      <c r="J263" s="3"/>
      <c r="K263" s="3"/>
      <c r="L263" s="3"/>
      <c r="M263" s="3"/>
      <c r="N263" s="3"/>
      <c r="O263" s="3"/>
      <c r="P263" s="3"/>
      <c r="Q263" s="3"/>
      <c r="R263" s="3"/>
      <c r="S263" s="3"/>
      <c r="T263" s="3"/>
      <c r="U263" s="3"/>
      <c r="V263" s="3"/>
      <c r="W263" s="3"/>
      <c r="X263" s="3"/>
      <c r="Y263" s="3"/>
      <c r="Z263" s="3"/>
      <c r="AA263" s="3"/>
      <c r="AB263" s="3"/>
    </row>
    <row r="264" spans="1:28" s="2" customFormat="1">
      <c r="A264" s="3"/>
      <c r="B264" s="3"/>
      <c r="C264" s="3"/>
      <c r="D264" s="3"/>
      <c r="E264" s="3"/>
      <c r="F264" s="3"/>
      <c r="G264" s="4"/>
      <c r="H264" s="3"/>
      <c r="I264" s="3"/>
      <c r="J264" s="3"/>
      <c r="K264" s="3"/>
      <c r="L264" s="3"/>
      <c r="M264" s="3"/>
      <c r="N264" s="3"/>
      <c r="O264" s="3"/>
      <c r="P264" s="3"/>
      <c r="Q264" s="3"/>
      <c r="R264" s="3"/>
      <c r="S264" s="3"/>
      <c r="T264" s="3"/>
      <c r="U264" s="3"/>
      <c r="V264" s="3"/>
      <c r="W264" s="3"/>
      <c r="X264" s="3"/>
      <c r="Y264" s="3"/>
      <c r="Z264" s="3"/>
      <c r="AA264" s="3"/>
      <c r="AB264" s="3"/>
    </row>
    <row r="265" spans="1:28" s="2" customFormat="1">
      <c r="A265" s="3"/>
      <c r="B265" s="3"/>
      <c r="C265" s="3"/>
      <c r="D265" s="3"/>
      <c r="E265" s="3"/>
      <c r="F265" s="3"/>
      <c r="G265" s="4"/>
      <c r="H265" s="3"/>
      <c r="I265" s="3"/>
      <c r="J265" s="3"/>
      <c r="K265" s="3"/>
      <c r="L265" s="3"/>
      <c r="M265" s="3"/>
      <c r="N265" s="3"/>
      <c r="O265" s="3"/>
      <c r="P265" s="3"/>
      <c r="Q265" s="3"/>
      <c r="R265" s="3"/>
      <c r="S265" s="3"/>
      <c r="T265" s="3"/>
      <c r="U265" s="3"/>
      <c r="V265" s="3"/>
      <c r="W265" s="3"/>
      <c r="X265" s="3"/>
      <c r="Y265" s="3"/>
      <c r="Z265" s="3"/>
      <c r="AA265" s="3"/>
      <c r="AB265" s="3"/>
    </row>
    <row r="266" spans="1:28" s="2" customFormat="1">
      <c r="A266" s="3"/>
      <c r="B266" s="3"/>
      <c r="C266" s="3"/>
      <c r="D266" s="3"/>
      <c r="E266" s="3"/>
      <c r="F266" s="3"/>
      <c r="G266" s="4"/>
      <c r="H266" s="3"/>
      <c r="I266" s="3"/>
      <c r="J266" s="3"/>
      <c r="K266" s="3"/>
      <c r="L266" s="3"/>
      <c r="M266" s="3"/>
      <c r="N266" s="3"/>
      <c r="O266" s="3"/>
      <c r="P266" s="3"/>
      <c r="Q266" s="3"/>
      <c r="R266" s="3"/>
      <c r="S266" s="3"/>
      <c r="T266" s="3"/>
      <c r="U266" s="3"/>
      <c r="V266" s="3"/>
      <c r="W266" s="3"/>
      <c r="X266" s="3"/>
      <c r="Y266" s="3"/>
      <c r="Z266" s="3"/>
      <c r="AA266" s="3"/>
      <c r="AB266" s="3"/>
    </row>
    <row r="267" spans="1:28" s="2" customFormat="1">
      <c r="A267" s="3"/>
      <c r="B267" s="3"/>
      <c r="C267" s="3"/>
      <c r="D267" s="3"/>
      <c r="E267" s="3"/>
      <c r="F267" s="3"/>
      <c r="G267" s="4"/>
      <c r="H267" s="3"/>
      <c r="I267" s="3"/>
      <c r="J267" s="3"/>
      <c r="K267" s="3"/>
      <c r="L267" s="3"/>
      <c r="M267" s="3"/>
      <c r="N267" s="3"/>
      <c r="O267" s="3"/>
      <c r="P267" s="3"/>
      <c r="Q267" s="3"/>
      <c r="R267" s="3"/>
      <c r="S267" s="3"/>
      <c r="T267" s="3"/>
      <c r="U267" s="3"/>
      <c r="V267" s="3"/>
      <c r="W267" s="3"/>
      <c r="X267" s="3"/>
      <c r="Y267" s="3"/>
      <c r="Z267" s="3"/>
      <c r="AA267" s="3"/>
      <c r="AB267" s="3"/>
    </row>
    <row r="268" spans="1:28" s="2" customFormat="1">
      <c r="A268" s="3"/>
      <c r="B268" s="3"/>
      <c r="C268" s="3"/>
      <c r="D268" s="3"/>
      <c r="E268" s="3"/>
      <c r="F268" s="3"/>
      <c r="G268" s="4"/>
      <c r="H268" s="3"/>
      <c r="I268" s="3"/>
      <c r="J268" s="3"/>
      <c r="K268" s="3"/>
      <c r="L268" s="3"/>
      <c r="M268" s="3"/>
      <c r="N268" s="3"/>
      <c r="O268" s="3"/>
      <c r="P268" s="3"/>
      <c r="Q268" s="3"/>
      <c r="R268" s="3"/>
      <c r="S268" s="3"/>
      <c r="T268" s="3"/>
      <c r="U268" s="3"/>
      <c r="V268" s="3"/>
      <c r="W268" s="3"/>
      <c r="X268" s="3"/>
      <c r="Y268" s="3"/>
      <c r="Z268" s="3"/>
      <c r="AA268" s="3"/>
      <c r="AB268" s="3"/>
    </row>
    <row r="269" spans="1:28" s="2" customFormat="1">
      <c r="A269" s="3"/>
      <c r="B269" s="3"/>
      <c r="C269" s="3"/>
      <c r="D269" s="3"/>
      <c r="E269" s="3"/>
      <c r="F269" s="3"/>
      <c r="G269" s="4"/>
      <c r="H269" s="3"/>
      <c r="I269" s="3"/>
      <c r="J269" s="3"/>
      <c r="K269" s="3"/>
      <c r="L269" s="3"/>
      <c r="M269" s="3"/>
      <c r="N269" s="3"/>
      <c r="O269" s="3"/>
      <c r="P269" s="3"/>
      <c r="Q269" s="3"/>
      <c r="R269" s="3"/>
      <c r="S269" s="3"/>
      <c r="T269" s="3"/>
      <c r="U269" s="3"/>
      <c r="V269" s="3"/>
      <c r="W269" s="3"/>
      <c r="X269" s="3"/>
      <c r="Y269" s="3"/>
      <c r="Z269" s="3"/>
      <c r="AA269" s="3"/>
      <c r="AB269" s="3"/>
    </row>
    <row r="270" spans="1:28" s="2" customFormat="1">
      <c r="A270" s="3"/>
      <c r="B270" s="3"/>
      <c r="C270" s="3"/>
      <c r="D270" s="3"/>
      <c r="E270" s="3"/>
      <c r="F270" s="3"/>
      <c r="G270" s="4"/>
      <c r="H270" s="3"/>
      <c r="I270" s="3"/>
      <c r="J270" s="3"/>
      <c r="K270" s="3"/>
      <c r="L270" s="3"/>
      <c r="M270" s="3"/>
      <c r="N270" s="3"/>
      <c r="O270" s="3"/>
      <c r="P270" s="3"/>
      <c r="Q270" s="3"/>
      <c r="R270" s="3"/>
      <c r="S270" s="3"/>
      <c r="T270" s="3"/>
      <c r="U270" s="3"/>
      <c r="V270" s="3"/>
      <c r="W270" s="3"/>
      <c r="X270" s="3"/>
      <c r="Y270" s="3"/>
      <c r="Z270" s="3"/>
      <c r="AA270" s="3"/>
      <c r="AB270" s="3"/>
    </row>
    <row r="271" spans="1:28" s="2" customFormat="1">
      <c r="A271" s="3"/>
      <c r="B271" s="3"/>
      <c r="C271" s="3"/>
      <c r="D271" s="3"/>
      <c r="E271" s="3"/>
      <c r="F271" s="3"/>
      <c r="G271" s="4"/>
      <c r="H271" s="3"/>
      <c r="I271" s="3"/>
      <c r="J271" s="3"/>
      <c r="K271" s="3"/>
      <c r="L271" s="3"/>
      <c r="M271" s="3"/>
      <c r="N271" s="3"/>
      <c r="O271" s="3"/>
      <c r="P271" s="3"/>
      <c r="Q271" s="3"/>
      <c r="R271" s="3"/>
      <c r="S271" s="3"/>
      <c r="T271" s="3"/>
      <c r="U271" s="3"/>
      <c r="V271" s="3"/>
      <c r="W271" s="3"/>
      <c r="X271" s="3"/>
      <c r="Y271" s="3"/>
      <c r="Z271" s="3"/>
      <c r="AA271" s="3"/>
      <c r="AB271" s="3"/>
    </row>
    <row r="272" spans="1:28" s="2" customFormat="1">
      <c r="A272" s="3"/>
      <c r="B272" s="3"/>
      <c r="C272" s="3"/>
      <c r="D272" s="3"/>
      <c r="E272" s="3"/>
      <c r="F272" s="3"/>
      <c r="G272" s="4"/>
      <c r="H272" s="3"/>
      <c r="I272" s="3"/>
      <c r="J272" s="3"/>
      <c r="K272" s="3"/>
      <c r="L272" s="3"/>
      <c r="M272" s="3"/>
      <c r="N272" s="3"/>
      <c r="O272" s="3"/>
      <c r="P272" s="3"/>
      <c r="Q272" s="3"/>
      <c r="R272" s="3"/>
      <c r="S272" s="3"/>
      <c r="T272" s="3"/>
      <c r="U272" s="3"/>
      <c r="V272" s="3"/>
      <c r="W272" s="3"/>
      <c r="X272" s="3"/>
      <c r="Y272" s="3"/>
      <c r="Z272" s="3"/>
      <c r="AA272" s="3"/>
      <c r="AB272" s="3"/>
    </row>
    <row r="273" spans="1:28" s="2" customFormat="1">
      <c r="A273" s="3"/>
      <c r="B273" s="3"/>
      <c r="C273" s="3"/>
      <c r="D273" s="3"/>
      <c r="E273" s="3"/>
      <c r="F273" s="3"/>
      <c r="G273" s="4"/>
      <c r="H273" s="3"/>
      <c r="I273" s="3"/>
      <c r="J273" s="3"/>
      <c r="K273" s="3"/>
      <c r="L273" s="3"/>
      <c r="M273" s="3"/>
      <c r="N273" s="3"/>
      <c r="O273" s="3"/>
      <c r="P273" s="3"/>
      <c r="Q273" s="3"/>
      <c r="R273" s="3"/>
      <c r="S273" s="3"/>
      <c r="T273" s="3"/>
      <c r="U273" s="3"/>
      <c r="V273" s="3"/>
      <c r="W273" s="3"/>
      <c r="X273" s="3"/>
      <c r="Y273" s="3"/>
      <c r="Z273" s="3"/>
      <c r="AA273" s="3"/>
      <c r="AB273" s="3"/>
    </row>
    <row r="274" spans="1:28" s="2" customFormat="1">
      <c r="A274" s="3"/>
      <c r="B274" s="3"/>
      <c r="C274" s="3"/>
      <c r="D274" s="3"/>
      <c r="E274" s="3"/>
      <c r="F274" s="3"/>
      <c r="G274" s="4"/>
      <c r="H274" s="3"/>
      <c r="I274" s="3"/>
      <c r="J274" s="3"/>
      <c r="K274" s="3"/>
      <c r="L274" s="3"/>
      <c r="M274" s="3"/>
      <c r="N274" s="3"/>
      <c r="O274" s="3"/>
      <c r="P274" s="3"/>
      <c r="Q274" s="3"/>
      <c r="R274" s="3"/>
      <c r="S274" s="3"/>
      <c r="T274" s="3"/>
      <c r="U274" s="3"/>
      <c r="V274" s="3"/>
      <c r="W274" s="3"/>
      <c r="X274" s="3"/>
      <c r="Y274" s="3"/>
      <c r="Z274" s="3"/>
      <c r="AA274" s="3"/>
      <c r="AB274" s="3"/>
    </row>
    <row r="275" spans="1:28" s="2" customFormat="1">
      <c r="A275" s="3"/>
      <c r="B275" s="3"/>
      <c r="C275" s="3"/>
      <c r="D275" s="3"/>
      <c r="E275" s="3"/>
      <c r="F275" s="3"/>
      <c r="G275" s="4"/>
      <c r="H275" s="3"/>
      <c r="I275" s="3"/>
      <c r="J275" s="3"/>
      <c r="K275" s="3"/>
      <c r="L275" s="3"/>
      <c r="M275" s="3"/>
      <c r="N275" s="3"/>
      <c r="O275" s="3"/>
      <c r="P275" s="3"/>
      <c r="Q275" s="3"/>
      <c r="R275" s="3"/>
      <c r="S275" s="3"/>
      <c r="T275" s="3"/>
      <c r="U275" s="3"/>
      <c r="V275" s="3"/>
      <c r="W275" s="3"/>
      <c r="X275" s="3"/>
      <c r="Y275" s="3"/>
      <c r="Z275" s="3"/>
      <c r="AA275" s="3"/>
      <c r="AB275" s="3"/>
    </row>
    <row r="276" spans="1:28" s="2" customFormat="1">
      <c r="A276" s="3"/>
      <c r="B276" s="3"/>
      <c r="C276" s="3"/>
      <c r="D276" s="3"/>
      <c r="E276" s="3"/>
      <c r="F276" s="3"/>
      <c r="G276" s="4"/>
      <c r="H276" s="3"/>
      <c r="I276" s="3"/>
      <c r="J276" s="3"/>
      <c r="K276" s="3"/>
      <c r="L276" s="3"/>
      <c r="M276" s="3"/>
      <c r="N276" s="3"/>
      <c r="O276" s="3"/>
      <c r="P276" s="3"/>
      <c r="Q276" s="3"/>
      <c r="R276" s="3"/>
      <c r="S276" s="3"/>
      <c r="T276" s="3"/>
      <c r="U276" s="3"/>
      <c r="V276" s="3"/>
      <c r="W276" s="3"/>
      <c r="X276" s="3"/>
      <c r="Y276" s="3"/>
      <c r="Z276" s="3"/>
      <c r="AA276" s="3"/>
      <c r="AB276" s="3"/>
    </row>
    <row r="277" spans="1:28" s="2" customFormat="1">
      <c r="A277" s="3"/>
      <c r="B277" s="3"/>
      <c r="C277" s="3"/>
      <c r="D277" s="3"/>
      <c r="E277" s="3"/>
      <c r="F277" s="3"/>
      <c r="G277" s="4"/>
      <c r="H277" s="3"/>
      <c r="I277" s="3"/>
      <c r="J277" s="3"/>
      <c r="K277" s="3"/>
      <c r="L277" s="3"/>
      <c r="M277" s="3"/>
      <c r="N277" s="3"/>
      <c r="O277" s="3"/>
      <c r="P277" s="3"/>
      <c r="Q277" s="3"/>
      <c r="R277" s="3"/>
      <c r="S277" s="3"/>
      <c r="T277" s="3"/>
      <c r="U277" s="3"/>
      <c r="V277" s="3"/>
      <c r="W277" s="3"/>
      <c r="X277" s="3"/>
      <c r="Y277" s="3"/>
      <c r="Z277" s="3"/>
      <c r="AA277" s="3"/>
      <c r="AB277" s="3"/>
    </row>
    <row r="278" spans="1:28" s="2" customFormat="1">
      <c r="A278" s="3"/>
      <c r="B278" s="3"/>
      <c r="C278" s="3"/>
      <c r="D278" s="3"/>
      <c r="E278" s="3"/>
      <c r="F278" s="3"/>
      <c r="G278" s="4"/>
      <c r="H278" s="3"/>
      <c r="I278" s="3"/>
      <c r="J278" s="3"/>
      <c r="K278" s="3"/>
      <c r="L278" s="3"/>
      <c r="M278" s="3"/>
      <c r="N278" s="3"/>
      <c r="O278" s="3"/>
      <c r="P278" s="3"/>
      <c r="Q278" s="3"/>
      <c r="R278" s="3"/>
      <c r="S278" s="3"/>
      <c r="T278" s="3"/>
      <c r="U278" s="3"/>
      <c r="V278" s="3"/>
      <c r="W278" s="3"/>
      <c r="X278" s="3"/>
      <c r="Y278" s="3"/>
      <c r="Z278" s="3"/>
      <c r="AA278" s="3"/>
      <c r="AB278" s="3"/>
    </row>
    <row r="279" spans="1:28" s="2" customFormat="1">
      <c r="A279" s="3"/>
      <c r="B279" s="3"/>
      <c r="C279" s="3"/>
      <c r="D279" s="3"/>
      <c r="E279" s="3"/>
      <c r="F279" s="3"/>
      <c r="G279" s="4"/>
      <c r="H279" s="3"/>
      <c r="I279" s="3"/>
      <c r="J279" s="3"/>
      <c r="K279" s="3"/>
      <c r="L279" s="3"/>
      <c r="M279" s="3"/>
      <c r="N279" s="3"/>
      <c r="O279" s="3"/>
      <c r="P279" s="3"/>
      <c r="Q279" s="3"/>
      <c r="R279" s="3"/>
      <c r="S279" s="3"/>
      <c r="T279" s="3"/>
      <c r="U279" s="3"/>
      <c r="V279" s="3"/>
      <c r="W279" s="3"/>
      <c r="X279" s="3"/>
      <c r="Y279" s="3"/>
      <c r="Z279" s="3"/>
      <c r="AA279" s="3"/>
      <c r="AB279" s="3"/>
    </row>
    <row r="280" spans="1:28" s="2" customFormat="1">
      <c r="A280" s="3"/>
      <c r="B280" s="3"/>
      <c r="C280" s="3"/>
      <c r="D280" s="3"/>
      <c r="E280" s="3"/>
      <c r="F280" s="3"/>
      <c r="G280" s="4"/>
      <c r="H280" s="3"/>
      <c r="I280" s="3"/>
      <c r="J280" s="3"/>
      <c r="K280" s="3"/>
      <c r="L280" s="3"/>
      <c r="M280" s="3"/>
      <c r="N280" s="3"/>
      <c r="O280" s="3"/>
      <c r="P280" s="3"/>
      <c r="Q280" s="3"/>
      <c r="R280" s="3"/>
      <c r="S280" s="3"/>
      <c r="T280" s="3"/>
      <c r="U280" s="3"/>
      <c r="V280" s="3"/>
      <c r="W280" s="3"/>
      <c r="X280" s="3"/>
      <c r="Y280" s="3"/>
      <c r="Z280" s="3"/>
      <c r="AA280" s="3"/>
      <c r="AB280" s="3"/>
    </row>
    <row r="281" spans="1:28" s="2" customFormat="1">
      <c r="A281" s="3"/>
      <c r="B281" s="3"/>
      <c r="C281" s="3"/>
      <c r="D281" s="3"/>
      <c r="E281" s="3"/>
      <c r="F281" s="3"/>
      <c r="G281" s="4"/>
      <c r="H281" s="3"/>
      <c r="I281" s="3"/>
      <c r="J281" s="3"/>
      <c r="K281" s="3"/>
      <c r="L281" s="3"/>
      <c r="M281" s="3"/>
      <c r="N281" s="3"/>
      <c r="O281" s="3"/>
      <c r="P281" s="3"/>
      <c r="Q281" s="3"/>
      <c r="R281" s="3"/>
      <c r="S281" s="3"/>
      <c r="T281" s="3"/>
      <c r="U281" s="3"/>
      <c r="V281" s="3"/>
      <c r="W281" s="3"/>
      <c r="X281" s="3"/>
      <c r="Y281" s="3"/>
      <c r="Z281" s="3"/>
      <c r="AA281" s="3"/>
      <c r="AB281" s="3"/>
    </row>
    <row r="282" spans="1:28" s="2" customFormat="1">
      <c r="A282" s="3"/>
      <c r="B282" s="3"/>
      <c r="C282" s="3"/>
      <c r="D282" s="3"/>
      <c r="E282" s="3"/>
      <c r="F282" s="3"/>
      <c r="G282" s="4"/>
      <c r="H282" s="3"/>
      <c r="I282" s="3"/>
      <c r="J282" s="3"/>
      <c r="K282" s="3"/>
      <c r="L282" s="3"/>
      <c r="M282" s="3"/>
      <c r="N282" s="3"/>
      <c r="O282" s="3"/>
      <c r="P282" s="3"/>
      <c r="Q282" s="3"/>
      <c r="R282" s="3"/>
      <c r="S282" s="3"/>
      <c r="T282" s="3"/>
      <c r="U282" s="3"/>
      <c r="V282" s="3"/>
      <c r="W282" s="3"/>
      <c r="X282" s="3"/>
      <c r="Y282" s="3"/>
      <c r="Z282" s="3"/>
      <c r="AA282" s="3"/>
      <c r="AB282" s="3"/>
    </row>
    <row r="283" spans="1:28" s="2" customFormat="1">
      <c r="A283" s="3"/>
      <c r="B283" s="3"/>
      <c r="C283" s="3"/>
      <c r="D283" s="3"/>
      <c r="E283" s="3"/>
      <c r="F283" s="3"/>
      <c r="G283" s="4"/>
      <c r="H283" s="3"/>
      <c r="I283" s="3"/>
      <c r="J283" s="3"/>
      <c r="K283" s="3"/>
      <c r="L283" s="3"/>
      <c r="M283" s="3"/>
      <c r="N283" s="3"/>
      <c r="O283" s="3"/>
      <c r="P283" s="3"/>
      <c r="Q283" s="3"/>
      <c r="R283" s="3"/>
      <c r="S283" s="3"/>
      <c r="T283" s="3"/>
      <c r="U283" s="3"/>
      <c r="V283" s="3"/>
      <c r="W283" s="3"/>
      <c r="X283" s="3"/>
      <c r="Y283" s="3"/>
      <c r="Z283" s="3"/>
      <c r="AA283" s="3"/>
      <c r="AB283" s="3"/>
    </row>
    <row r="284" spans="1:28" s="2" customFormat="1">
      <c r="A284" s="3"/>
      <c r="B284" s="3"/>
      <c r="C284" s="3"/>
      <c r="D284" s="3"/>
      <c r="E284" s="3"/>
      <c r="F284" s="3"/>
      <c r="G284" s="4"/>
      <c r="H284" s="3"/>
      <c r="I284" s="3"/>
      <c r="J284" s="3"/>
      <c r="K284" s="3"/>
      <c r="L284" s="3"/>
      <c r="M284" s="3"/>
      <c r="N284" s="3"/>
      <c r="O284" s="3"/>
      <c r="P284" s="3"/>
      <c r="Q284" s="3"/>
      <c r="R284" s="3"/>
      <c r="S284" s="3"/>
      <c r="T284" s="3"/>
      <c r="U284" s="3"/>
      <c r="V284" s="3"/>
      <c r="W284" s="3"/>
      <c r="X284" s="3"/>
      <c r="Y284" s="3"/>
      <c r="Z284" s="3"/>
      <c r="AA284" s="3"/>
      <c r="AB284" s="3"/>
    </row>
    <row r="285" spans="1:28" s="2" customFormat="1">
      <c r="A285" s="3"/>
      <c r="B285" s="3"/>
      <c r="C285" s="3"/>
      <c r="D285" s="3"/>
      <c r="E285" s="3"/>
      <c r="F285" s="3"/>
      <c r="G285" s="4"/>
      <c r="H285" s="3"/>
      <c r="I285" s="3"/>
      <c r="J285" s="3"/>
      <c r="K285" s="3"/>
      <c r="L285" s="3"/>
      <c r="M285" s="3"/>
      <c r="N285" s="3"/>
      <c r="O285" s="3"/>
      <c r="P285" s="3"/>
      <c r="Q285" s="3"/>
      <c r="R285" s="3"/>
      <c r="S285" s="3"/>
      <c r="T285" s="3"/>
      <c r="U285" s="3"/>
      <c r="V285" s="3"/>
      <c r="W285" s="3"/>
      <c r="X285" s="3"/>
      <c r="Y285" s="3"/>
      <c r="Z285" s="3"/>
      <c r="AA285" s="3"/>
      <c r="AB285" s="3"/>
    </row>
    <row r="286" spans="1:28" s="2" customFormat="1">
      <c r="A286" s="3"/>
      <c r="B286" s="3"/>
      <c r="C286" s="3"/>
      <c r="D286" s="3"/>
      <c r="E286" s="3"/>
      <c r="F286" s="3"/>
      <c r="G286" s="4"/>
      <c r="H286" s="3"/>
      <c r="I286" s="3"/>
      <c r="J286" s="3"/>
      <c r="K286" s="3"/>
      <c r="L286" s="3"/>
      <c r="M286" s="3"/>
      <c r="N286" s="3"/>
      <c r="O286" s="3"/>
      <c r="P286" s="3"/>
      <c r="Q286" s="3"/>
      <c r="R286" s="3"/>
      <c r="S286" s="3"/>
      <c r="T286" s="3"/>
      <c r="U286" s="3"/>
      <c r="V286" s="3"/>
      <c r="W286" s="3"/>
      <c r="X286" s="3"/>
      <c r="Y286" s="3"/>
      <c r="Z286" s="3"/>
      <c r="AA286" s="3"/>
      <c r="AB286" s="3"/>
    </row>
    <row r="287" spans="1:28" s="2" customFormat="1">
      <c r="A287" s="3"/>
      <c r="B287" s="3"/>
      <c r="C287" s="3"/>
      <c r="D287" s="3"/>
      <c r="E287" s="3"/>
      <c r="F287" s="3"/>
      <c r="G287" s="4"/>
      <c r="H287" s="3"/>
      <c r="I287" s="3"/>
      <c r="J287" s="3"/>
      <c r="K287" s="3"/>
      <c r="L287" s="3"/>
      <c r="M287" s="3"/>
      <c r="N287" s="3"/>
      <c r="O287" s="3"/>
      <c r="P287" s="3"/>
      <c r="Q287" s="3"/>
      <c r="R287" s="3"/>
      <c r="S287" s="3"/>
      <c r="T287" s="3"/>
      <c r="U287" s="3"/>
      <c r="V287" s="3"/>
      <c r="W287" s="3"/>
      <c r="X287" s="3"/>
      <c r="Y287" s="3"/>
      <c r="Z287" s="3"/>
      <c r="AA287" s="3"/>
      <c r="AB287" s="3"/>
    </row>
    <row r="288" spans="1:28" s="2" customFormat="1">
      <c r="A288" s="3"/>
      <c r="B288" s="3"/>
      <c r="C288" s="3"/>
      <c r="D288" s="3"/>
      <c r="E288" s="3"/>
      <c r="F288" s="3"/>
      <c r="G288" s="4"/>
      <c r="H288" s="3"/>
      <c r="I288" s="3"/>
      <c r="J288" s="3"/>
      <c r="K288" s="3"/>
      <c r="L288" s="3"/>
      <c r="M288" s="3"/>
      <c r="N288" s="3"/>
      <c r="O288" s="3"/>
      <c r="P288" s="3"/>
      <c r="Q288" s="3"/>
      <c r="R288" s="3"/>
      <c r="S288" s="3"/>
      <c r="T288" s="3"/>
      <c r="U288" s="3"/>
      <c r="V288" s="3"/>
      <c r="W288" s="3"/>
      <c r="X288" s="3"/>
      <c r="Y288" s="3"/>
      <c r="Z288" s="3"/>
      <c r="AA288" s="3"/>
      <c r="AB288" s="3"/>
    </row>
    <row r="289" spans="1:28" s="2" customFormat="1">
      <c r="A289" s="3"/>
      <c r="B289" s="3"/>
      <c r="C289" s="3"/>
      <c r="D289" s="3"/>
      <c r="E289" s="3"/>
      <c r="F289" s="3"/>
      <c r="G289" s="4"/>
      <c r="H289" s="3"/>
      <c r="I289" s="3"/>
      <c r="J289" s="3"/>
      <c r="K289" s="3"/>
      <c r="L289" s="3"/>
      <c r="M289" s="3"/>
      <c r="N289" s="3"/>
      <c r="O289" s="3"/>
      <c r="P289" s="3"/>
      <c r="Q289" s="3"/>
      <c r="R289" s="3"/>
      <c r="S289" s="3"/>
      <c r="T289" s="3"/>
      <c r="U289" s="3"/>
      <c r="V289" s="3"/>
      <c r="W289" s="3"/>
      <c r="X289" s="3"/>
      <c r="Y289" s="3"/>
      <c r="Z289" s="3"/>
      <c r="AA289" s="3"/>
      <c r="AB289" s="3"/>
    </row>
    <row r="290" spans="1:28" s="2" customFormat="1">
      <c r="A290" s="3"/>
      <c r="B290" s="3"/>
      <c r="C290" s="3"/>
      <c r="D290" s="3"/>
      <c r="E290" s="3"/>
      <c r="F290" s="3"/>
      <c r="G290" s="4"/>
      <c r="H290" s="3"/>
      <c r="I290" s="3"/>
      <c r="J290" s="3"/>
      <c r="K290" s="3"/>
      <c r="L290" s="3"/>
      <c r="M290" s="3"/>
      <c r="N290" s="3"/>
      <c r="O290" s="3"/>
      <c r="P290" s="3"/>
      <c r="Q290" s="3"/>
      <c r="R290" s="3"/>
      <c r="S290" s="3"/>
      <c r="T290" s="3"/>
      <c r="U290" s="3"/>
      <c r="V290" s="3"/>
      <c r="W290" s="3"/>
      <c r="X290" s="3"/>
      <c r="Y290" s="3"/>
      <c r="Z290" s="3"/>
      <c r="AA290" s="3"/>
      <c r="AB290" s="3"/>
    </row>
    <row r="291" spans="1:28" s="2" customFormat="1">
      <c r="A291" s="3"/>
      <c r="B291" s="3"/>
      <c r="C291" s="3"/>
      <c r="D291" s="3"/>
      <c r="E291" s="3"/>
      <c r="F291" s="3"/>
      <c r="G291" s="4"/>
      <c r="H291" s="3"/>
      <c r="I291" s="3"/>
      <c r="J291" s="3"/>
      <c r="K291" s="3"/>
      <c r="L291" s="3"/>
      <c r="M291" s="3"/>
      <c r="N291" s="3"/>
      <c r="O291" s="3"/>
      <c r="P291" s="3"/>
      <c r="Q291" s="3"/>
      <c r="R291" s="3"/>
      <c r="S291" s="3"/>
      <c r="T291" s="3"/>
      <c r="U291" s="3"/>
      <c r="V291" s="3"/>
      <c r="W291" s="3"/>
      <c r="X291" s="3"/>
      <c r="Y291" s="3"/>
      <c r="Z291" s="3"/>
      <c r="AA291" s="3"/>
      <c r="AB291" s="3"/>
    </row>
    <row r="292" spans="1:28" s="2" customFormat="1">
      <c r="A292" s="3"/>
      <c r="B292" s="3"/>
      <c r="C292" s="3"/>
      <c r="D292" s="3"/>
      <c r="E292" s="3"/>
      <c r="F292" s="3"/>
      <c r="G292" s="4"/>
      <c r="H292" s="3"/>
      <c r="I292" s="3"/>
      <c r="J292" s="3"/>
      <c r="K292" s="3"/>
      <c r="L292" s="3"/>
      <c r="M292" s="3"/>
      <c r="N292" s="3"/>
      <c r="O292" s="3"/>
      <c r="P292" s="3"/>
      <c r="Q292" s="3"/>
      <c r="R292" s="3"/>
      <c r="S292" s="3"/>
      <c r="T292" s="3"/>
      <c r="U292" s="3"/>
      <c r="V292" s="3"/>
      <c r="W292" s="3"/>
      <c r="X292" s="3"/>
      <c r="Y292" s="3"/>
      <c r="Z292" s="3"/>
      <c r="AA292" s="3"/>
      <c r="AB292" s="3"/>
    </row>
    <row r="293" spans="1:28" s="2" customFormat="1">
      <c r="A293" s="3"/>
      <c r="B293" s="3"/>
      <c r="C293" s="3"/>
      <c r="D293" s="3"/>
      <c r="E293" s="3"/>
      <c r="F293" s="3"/>
      <c r="G293" s="4"/>
      <c r="H293" s="3"/>
      <c r="I293" s="3"/>
      <c r="J293" s="3"/>
      <c r="K293" s="3"/>
      <c r="L293" s="3"/>
      <c r="M293" s="3"/>
      <c r="N293" s="3"/>
      <c r="O293" s="3"/>
      <c r="P293" s="3"/>
      <c r="Q293" s="3"/>
      <c r="R293" s="3"/>
      <c r="S293" s="3"/>
      <c r="T293" s="3"/>
      <c r="U293" s="3"/>
      <c r="V293" s="3"/>
      <c r="W293" s="3"/>
      <c r="X293" s="3"/>
      <c r="Y293" s="3"/>
      <c r="Z293" s="3"/>
      <c r="AA293" s="3"/>
      <c r="AB293" s="3"/>
    </row>
    <row r="294" spans="1:28" s="2" customFormat="1">
      <c r="A294" s="3"/>
      <c r="B294" s="3"/>
      <c r="C294" s="3"/>
      <c r="D294" s="3"/>
      <c r="E294" s="3"/>
      <c r="F294" s="3"/>
      <c r="G294" s="4"/>
      <c r="H294" s="3"/>
      <c r="I294" s="3"/>
      <c r="J294" s="3"/>
      <c r="K294" s="3"/>
      <c r="L294" s="3"/>
      <c r="M294" s="3"/>
      <c r="N294" s="3"/>
      <c r="O294" s="3"/>
      <c r="P294" s="3"/>
      <c r="Q294" s="3"/>
      <c r="R294" s="3"/>
      <c r="S294" s="3"/>
      <c r="T294" s="3"/>
      <c r="U294" s="3"/>
      <c r="V294" s="3"/>
      <c r="W294" s="3"/>
      <c r="X294" s="3"/>
      <c r="Y294" s="3"/>
      <c r="Z294" s="3"/>
      <c r="AA294" s="3"/>
      <c r="AB294" s="3"/>
    </row>
    <row r="295" spans="1:28" s="2" customFormat="1">
      <c r="A295" s="3"/>
      <c r="B295" s="3"/>
      <c r="C295" s="3"/>
      <c r="D295" s="3"/>
      <c r="E295" s="3"/>
      <c r="F295" s="3"/>
      <c r="G295" s="4"/>
      <c r="H295" s="3"/>
      <c r="I295" s="3"/>
      <c r="J295" s="3"/>
      <c r="K295" s="3"/>
      <c r="L295" s="3"/>
      <c r="M295" s="3"/>
      <c r="N295" s="3"/>
      <c r="O295" s="3"/>
      <c r="P295" s="3"/>
      <c r="Q295" s="3"/>
      <c r="R295" s="3"/>
      <c r="S295" s="3"/>
      <c r="T295" s="3"/>
      <c r="U295" s="3"/>
      <c r="V295" s="3"/>
      <c r="W295" s="3"/>
      <c r="X295" s="3"/>
      <c r="Y295" s="3"/>
      <c r="Z295" s="3"/>
      <c r="AA295" s="3"/>
      <c r="AB295" s="3"/>
    </row>
    <row r="296" spans="1:28" s="2" customFormat="1">
      <c r="A296" s="3"/>
      <c r="B296" s="3"/>
      <c r="C296" s="3"/>
      <c r="D296" s="3"/>
      <c r="E296" s="3"/>
      <c r="F296" s="3"/>
      <c r="G296" s="4"/>
      <c r="H296" s="3"/>
      <c r="I296" s="3"/>
      <c r="J296" s="3"/>
      <c r="K296" s="3"/>
      <c r="L296" s="3"/>
      <c r="M296" s="3"/>
      <c r="N296" s="3"/>
      <c r="O296" s="3"/>
      <c r="P296" s="3"/>
      <c r="Q296" s="3"/>
      <c r="R296" s="3"/>
      <c r="S296" s="3"/>
      <c r="T296" s="3"/>
      <c r="U296" s="3"/>
      <c r="V296" s="3"/>
      <c r="W296" s="3"/>
      <c r="X296" s="3"/>
      <c r="Y296" s="3"/>
      <c r="Z296" s="3"/>
      <c r="AA296" s="3"/>
      <c r="AB296" s="3"/>
    </row>
    <row r="297" spans="1:28" s="2" customFormat="1">
      <c r="A297" s="3"/>
      <c r="B297" s="3"/>
      <c r="C297" s="3"/>
      <c r="D297" s="3"/>
      <c r="E297" s="3"/>
      <c r="F297" s="3"/>
      <c r="G297" s="4"/>
      <c r="H297" s="3"/>
      <c r="I297" s="3"/>
      <c r="J297" s="3"/>
      <c r="K297" s="3"/>
      <c r="L297" s="3"/>
      <c r="M297" s="3"/>
      <c r="N297" s="3"/>
      <c r="O297" s="3"/>
      <c r="P297" s="3"/>
      <c r="Q297" s="3"/>
      <c r="R297" s="3"/>
      <c r="S297" s="3"/>
      <c r="T297" s="3"/>
      <c r="U297" s="3"/>
      <c r="V297" s="3"/>
      <c r="W297" s="3"/>
      <c r="X297" s="3"/>
      <c r="Y297" s="3"/>
      <c r="Z297" s="3"/>
      <c r="AA297" s="3"/>
      <c r="AB297" s="3"/>
    </row>
    <row r="298" spans="1:28" s="2" customFormat="1">
      <c r="A298" s="3"/>
      <c r="B298" s="3"/>
      <c r="C298" s="3"/>
      <c r="D298" s="3"/>
      <c r="E298" s="3"/>
      <c r="F298" s="3"/>
      <c r="G298" s="4"/>
      <c r="H298" s="3"/>
      <c r="I298" s="3"/>
      <c r="J298" s="3"/>
      <c r="K298" s="3"/>
      <c r="L298" s="3"/>
      <c r="M298" s="3"/>
      <c r="N298" s="3"/>
      <c r="O298" s="3"/>
      <c r="P298" s="3"/>
      <c r="Q298" s="3"/>
      <c r="R298" s="3"/>
      <c r="S298" s="3"/>
      <c r="T298" s="3"/>
      <c r="U298" s="3"/>
      <c r="V298" s="3"/>
      <c r="W298" s="3"/>
      <c r="X298" s="3"/>
      <c r="Y298" s="3"/>
      <c r="Z298" s="3"/>
      <c r="AA298" s="3"/>
      <c r="AB298" s="3"/>
    </row>
    <row r="299" spans="1:28" s="2" customFormat="1">
      <c r="A299" s="3"/>
      <c r="B299" s="3"/>
      <c r="C299" s="3"/>
      <c r="D299" s="3"/>
      <c r="E299" s="3"/>
      <c r="F299" s="3"/>
      <c r="G299" s="4"/>
      <c r="H299" s="3"/>
      <c r="I299" s="3"/>
      <c r="J299" s="3"/>
      <c r="K299" s="3"/>
      <c r="L299" s="3"/>
      <c r="M299" s="3"/>
      <c r="N299" s="3"/>
      <c r="O299" s="3"/>
      <c r="P299" s="3"/>
      <c r="Q299" s="3"/>
      <c r="R299" s="3"/>
      <c r="S299" s="3"/>
      <c r="T299" s="3"/>
      <c r="U299" s="3"/>
      <c r="V299" s="3"/>
      <c r="W299" s="3"/>
      <c r="X299" s="3"/>
      <c r="Y299" s="3"/>
      <c r="Z299" s="3"/>
      <c r="AA299" s="3"/>
      <c r="AB299" s="3"/>
    </row>
    <row r="300" spans="1:28" s="2" customFormat="1">
      <c r="A300" s="3"/>
      <c r="B300" s="3"/>
      <c r="C300" s="3"/>
      <c r="D300" s="3"/>
      <c r="E300" s="3"/>
      <c r="F300" s="3"/>
      <c r="G300" s="4"/>
      <c r="H300" s="3"/>
      <c r="I300" s="3"/>
      <c r="J300" s="3"/>
      <c r="K300" s="3"/>
      <c r="L300" s="3"/>
      <c r="M300" s="3"/>
      <c r="N300" s="3"/>
      <c r="O300" s="3"/>
      <c r="P300" s="3"/>
      <c r="Q300" s="3"/>
      <c r="R300" s="3"/>
      <c r="S300" s="3"/>
      <c r="T300" s="3"/>
      <c r="U300" s="3"/>
      <c r="V300" s="3"/>
      <c r="W300" s="3"/>
      <c r="X300" s="3"/>
      <c r="Y300" s="3"/>
      <c r="Z300" s="3"/>
      <c r="AA300" s="3"/>
      <c r="AB300" s="3"/>
    </row>
    <row r="301" spans="1:28" s="2" customFormat="1">
      <c r="A301" s="3"/>
      <c r="B301" s="3"/>
      <c r="C301" s="3"/>
      <c r="D301" s="3"/>
      <c r="E301" s="3"/>
      <c r="F301" s="3"/>
      <c r="G301" s="4"/>
      <c r="H301" s="3"/>
      <c r="I301" s="3"/>
      <c r="J301" s="3"/>
      <c r="K301" s="3"/>
      <c r="L301" s="3"/>
      <c r="M301" s="3"/>
      <c r="N301" s="3"/>
      <c r="O301" s="3"/>
      <c r="P301" s="3"/>
      <c r="Q301" s="3"/>
      <c r="R301" s="3"/>
      <c r="S301" s="3"/>
      <c r="T301" s="3"/>
      <c r="U301" s="3"/>
      <c r="V301" s="3"/>
      <c r="W301" s="3"/>
      <c r="X301" s="3"/>
      <c r="Y301" s="3"/>
      <c r="Z301" s="3"/>
      <c r="AA301" s="3"/>
      <c r="AB301" s="3"/>
    </row>
    <row r="302" spans="1:28" s="2" customFormat="1">
      <c r="A302" s="3"/>
      <c r="B302" s="3"/>
      <c r="C302" s="3"/>
      <c r="D302" s="3"/>
      <c r="E302" s="3"/>
      <c r="F302" s="3"/>
      <c r="G302" s="4"/>
      <c r="H302" s="3"/>
      <c r="I302" s="3"/>
      <c r="J302" s="3"/>
      <c r="K302" s="3"/>
      <c r="L302" s="3"/>
      <c r="M302" s="3"/>
      <c r="N302" s="3"/>
      <c r="O302" s="3"/>
      <c r="P302" s="3"/>
      <c r="Q302" s="3"/>
      <c r="R302" s="3"/>
      <c r="S302" s="3"/>
      <c r="T302" s="3"/>
      <c r="U302" s="3"/>
      <c r="V302" s="3"/>
      <c r="W302" s="3"/>
      <c r="X302" s="3"/>
      <c r="Y302" s="3"/>
      <c r="Z302" s="3"/>
      <c r="AA302" s="3"/>
      <c r="AB302" s="3"/>
    </row>
    <row r="303" spans="1:28" s="2" customFormat="1">
      <c r="A303" s="3"/>
      <c r="B303" s="3"/>
      <c r="C303" s="3"/>
      <c r="D303" s="3"/>
      <c r="E303" s="3"/>
      <c r="F303" s="3"/>
      <c r="G303" s="4"/>
      <c r="H303" s="3"/>
      <c r="I303" s="3"/>
      <c r="J303" s="3"/>
      <c r="K303" s="3"/>
      <c r="L303" s="3"/>
      <c r="M303" s="3"/>
      <c r="N303" s="3"/>
      <c r="O303" s="3"/>
      <c r="P303" s="3"/>
      <c r="Q303" s="3"/>
      <c r="R303" s="3"/>
      <c r="S303" s="3"/>
      <c r="T303" s="3"/>
      <c r="U303" s="3"/>
      <c r="V303" s="3"/>
      <c r="W303" s="3"/>
      <c r="X303" s="3"/>
      <c r="Y303" s="3"/>
      <c r="Z303" s="3"/>
      <c r="AA303" s="3"/>
      <c r="AB303" s="3"/>
    </row>
    <row r="304" spans="1:28" s="2" customFormat="1">
      <c r="A304" s="3"/>
      <c r="B304" s="3"/>
      <c r="C304" s="3"/>
      <c r="D304" s="3"/>
      <c r="E304" s="3"/>
      <c r="F304" s="3"/>
      <c r="G304" s="4"/>
      <c r="H304" s="3"/>
      <c r="I304" s="3"/>
      <c r="J304" s="3"/>
      <c r="K304" s="3"/>
      <c r="L304" s="3"/>
      <c r="M304" s="3"/>
      <c r="N304" s="3"/>
      <c r="O304" s="3"/>
      <c r="P304" s="3"/>
      <c r="Q304" s="3"/>
      <c r="R304" s="3"/>
      <c r="S304" s="3"/>
      <c r="T304" s="3"/>
      <c r="U304" s="3"/>
      <c r="V304" s="3"/>
      <c r="W304" s="3"/>
      <c r="X304" s="3"/>
      <c r="Y304" s="3"/>
      <c r="Z304" s="3"/>
      <c r="AA304" s="3"/>
      <c r="AB304" s="3"/>
    </row>
    <row r="305" spans="1:28" s="2" customFormat="1">
      <c r="A305" s="3"/>
      <c r="B305" s="3"/>
      <c r="C305" s="3"/>
      <c r="D305" s="3"/>
      <c r="E305" s="3"/>
      <c r="F305" s="3"/>
      <c r="G305" s="4"/>
      <c r="H305" s="3"/>
      <c r="I305" s="3"/>
      <c r="J305" s="3"/>
      <c r="K305" s="3"/>
      <c r="L305" s="3"/>
      <c r="M305" s="3"/>
      <c r="N305" s="3"/>
      <c r="O305" s="3"/>
      <c r="P305" s="3"/>
      <c r="Q305" s="3"/>
      <c r="R305" s="3"/>
      <c r="S305" s="3"/>
      <c r="T305" s="3"/>
      <c r="U305" s="3"/>
      <c r="V305" s="3"/>
      <c r="W305" s="3"/>
      <c r="X305" s="3"/>
      <c r="Y305" s="3"/>
      <c r="Z305" s="3"/>
      <c r="AA305" s="3"/>
      <c r="AB305" s="3"/>
    </row>
    <row r="306" spans="1:28" s="2" customFormat="1">
      <c r="A306" s="3"/>
      <c r="B306" s="3"/>
      <c r="C306" s="3"/>
      <c r="D306" s="3"/>
      <c r="E306" s="3"/>
      <c r="F306" s="3"/>
      <c r="G306" s="4"/>
      <c r="H306" s="3"/>
      <c r="I306" s="3"/>
      <c r="J306" s="3"/>
      <c r="K306" s="3"/>
      <c r="L306" s="3"/>
      <c r="M306" s="3"/>
      <c r="N306" s="3"/>
      <c r="O306" s="3"/>
      <c r="P306" s="3"/>
      <c r="Q306" s="3"/>
      <c r="R306" s="3"/>
      <c r="S306" s="3"/>
      <c r="T306" s="3"/>
      <c r="U306" s="3"/>
      <c r="V306" s="3"/>
      <c r="W306" s="3"/>
      <c r="X306" s="3"/>
      <c r="Y306" s="3"/>
      <c r="Z306" s="3"/>
      <c r="AA306" s="3"/>
      <c r="AB306" s="3"/>
    </row>
    <row r="307" spans="1:28" s="2" customFormat="1">
      <c r="A307" s="3"/>
      <c r="B307" s="3"/>
      <c r="C307" s="3"/>
      <c r="D307" s="3"/>
      <c r="E307" s="3"/>
      <c r="F307" s="3"/>
      <c r="G307" s="4"/>
      <c r="H307" s="3"/>
      <c r="I307" s="3"/>
      <c r="J307" s="3"/>
      <c r="K307" s="3"/>
      <c r="L307" s="3"/>
      <c r="M307" s="3"/>
      <c r="N307" s="3"/>
      <c r="O307" s="3"/>
      <c r="P307" s="3"/>
      <c r="Q307" s="3"/>
      <c r="R307" s="3"/>
      <c r="S307" s="3"/>
      <c r="T307" s="3"/>
      <c r="U307" s="3"/>
      <c r="V307" s="3"/>
      <c r="W307" s="3"/>
      <c r="X307" s="3"/>
      <c r="Y307" s="3"/>
      <c r="Z307" s="3"/>
      <c r="AA307" s="3"/>
      <c r="AB307" s="3"/>
    </row>
    <row r="308" spans="1:28" s="2" customFormat="1">
      <c r="A308" s="3"/>
      <c r="B308" s="3"/>
      <c r="C308" s="3"/>
      <c r="D308" s="3"/>
      <c r="E308" s="3"/>
      <c r="F308" s="3"/>
      <c r="G308" s="4"/>
      <c r="H308" s="3"/>
      <c r="I308" s="3"/>
      <c r="J308" s="3"/>
      <c r="K308" s="3"/>
      <c r="L308" s="3"/>
      <c r="M308" s="3"/>
      <c r="N308" s="3"/>
      <c r="O308" s="3"/>
      <c r="P308" s="3"/>
      <c r="Q308" s="3"/>
      <c r="R308" s="3"/>
      <c r="S308" s="3"/>
      <c r="T308" s="3"/>
      <c r="U308" s="3"/>
      <c r="V308" s="3"/>
      <c r="W308" s="3"/>
      <c r="X308" s="3"/>
      <c r="Y308" s="3"/>
      <c r="Z308" s="3"/>
      <c r="AA308" s="3"/>
      <c r="AB308" s="3"/>
    </row>
    <row r="309" spans="1:28" s="2" customFormat="1">
      <c r="A309" s="3"/>
      <c r="B309" s="3"/>
      <c r="C309" s="3"/>
      <c r="D309" s="3"/>
      <c r="E309" s="3"/>
      <c r="F309" s="3"/>
      <c r="G309" s="4"/>
      <c r="H309" s="3"/>
      <c r="I309" s="3"/>
      <c r="J309" s="3"/>
      <c r="K309" s="3"/>
      <c r="L309" s="3"/>
      <c r="M309" s="3"/>
      <c r="N309" s="3"/>
      <c r="O309" s="3"/>
      <c r="P309" s="3"/>
      <c r="Q309" s="3"/>
      <c r="R309" s="3"/>
      <c r="S309" s="3"/>
      <c r="T309" s="3"/>
      <c r="U309" s="3"/>
      <c r="V309" s="3"/>
      <c r="W309" s="3"/>
      <c r="X309" s="3"/>
      <c r="Y309" s="3"/>
      <c r="Z309" s="3"/>
      <c r="AA309" s="3"/>
      <c r="AB309" s="3"/>
    </row>
    <row r="310" spans="1:28" s="2" customFormat="1">
      <c r="A310" s="3"/>
      <c r="B310" s="3"/>
      <c r="C310" s="3"/>
      <c r="D310" s="3"/>
      <c r="E310" s="3"/>
      <c r="F310" s="3"/>
      <c r="G310" s="4"/>
      <c r="H310" s="3"/>
      <c r="I310" s="3"/>
      <c r="J310" s="3"/>
      <c r="K310" s="3"/>
      <c r="L310" s="3"/>
      <c r="M310" s="3"/>
      <c r="N310" s="3"/>
      <c r="O310" s="3"/>
      <c r="P310" s="3"/>
      <c r="Q310" s="3"/>
      <c r="R310" s="3"/>
      <c r="S310" s="3"/>
      <c r="T310" s="3"/>
      <c r="U310" s="3"/>
      <c r="V310" s="3"/>
      <c r="W310" s="3"/>
      <c r="X310" s="3"/>
      <c r="Y310" s="3"/>
      <c r="Z310" s="3"/>
      <c r="AA310" s="3"/>
      <c r="AB310" s="3"/>
    </row>
    <row r="311" spans="1:28" s="2" customFormat="1">
      <c r="A311" s="3"/>
      <c r="B311" s="3"/>
      <c r="C311" s="3"/>
      <c r="D311" s="3"/>
      <c r="E311" s="3"/>
      <c r="F311" s="3"/>
      <c r="G311" s="4"/>
      <c r="H311" s="3"/>
      <c r="I311" s="3"/>
      <c r="J311" s="3"/>
      <c r="K311" s="3"/>
      <c r="L311" s="3"/>
      <c r="M311" s="3"/>
      <c r="N311" s="3"/>
      <c r="O311" s="3"/>
      <c r="P311" s="3"/>
      <c r="Q311" s="3"/>
      <c r="R311" s="3"/>
      <c r="S311" s="3"/>
      <c r="T311" s="3"/>
      <c r="U311" s="3"/>
      <c r="V311" s="3"/>
      <c r="W311" s="3"/>
      <c r="X311" s="3"/>
      <c r="Y311" s="3"/>
      <c r="Z311" s="3"/>
      <c r="AA311" s="3"/>
      <c r="AB311" s="3"/>
    </row>
    <row r="312" spans="1:28" s="2" customFormat="1">
      <c r="A312" s="3"/>
      <c r="B312" s="3"/>
      <c r="C312" s="3"/>
      <c r="D312" s="3"/>
      <c r="E312" s="3"/>
      <c r="F312" s="3"/>
      <c r="G312" s="4"/>
      <c r="H312" s="3"/>
      <c r="I312" s="3"/>
      <c r="J312" s="3"/>
      <c r="K312" s="3"/>
      <c r="L312" s="3"/>
      <c r="M312" s="3"/>
      <c r="N312" s="3"/>
      <c r="O312" s="3"/>
      <c r="P312" s="3"/>
      <c r="Q312" s="3"/>
      <c r="R312" s="3"/>
      <c r="S312" s="3"/>
      <c r="T312" s="3"/>
      <c r="U312" s="3"/>
      <c r="V312" s="3"/>
      <c r="W312" s="3"/>
      <c r="X312" s="3"/>
      <c r="Y312" s="3"/>
      <c r="Z312" s="3"/>
      <c r="AA312" s="3"/>
      <c r="AB312" s="3"/>
    </row>
    <row r="313" spans="1:28" s="2" customFormat="1">
      <c r="A313" s="3"/>
      <c r="B313" s="3"/>
      <c r="C313" s="3"/>
      <c r="D313" s="3"/>
      <c r="E313" s="3"/>
      <c r="F313" s="3"/>
      <c r="G313" s="4"/>
      <c r="H313" s="3"/>
      <c r="I313" s="3"/>
      <c r="J313" s="3"/>
      <c r="K313" s="3"/>
      <c r="L313" s="3"/>
      <c r="M313" s="3"/>
      <c r="N313" s="3"/>
      <c r="O313" s="3"/>
      <c r="P313" s="3"/>
      <c r="Q313" s="3"/>
      <c r="R313" s="3"/>
      <c r="S313" s="3"/>
      <c r="T313" s="3"/>
      <c r="U313" s="3"/>
      <c r="V313" s="3"/>
      <c r="W313" s="3"/>
      <c r="X313" s="3"/>
      <c r="Y313" s="3"/>
      <c r="Z313" s="3"/>
      <c r="AA313" s="3"/>
      <c r="AB313" s="3"/>
    </row>
    <row r="314" spans="1:28" s="2" customFormat="1">
      <c r="A314" s="3"/>
      <c r="B314" s="3"/>
      <c r="C314" s="3"/>
      <c r="D314" s="3"/>
      <c r="E314" s="3"/>
      <c r="F314" s="3"/>
      <c r="G314" s="4"/>
      <c r="H314" s="3"/>
      <c r="I314" s="3"/>
      <c r="J314" s="3"/>
      <c r="K314" s="3"/>
      <c r="L314" s="3"/>
      <c r="M314" s="3"/>
      <c r="N314" s="3"/>
      <c r="O314" s="3"/>
      <c r="P314" s="3"/>
      <c r="Q314" s="3"/>
      <c r="R314" s="3"/>
      <c r="S314" s="3"/>
      <c r="T314" s="3"/>
      <c r="U314" s="3"/>
      <c r="V314" s="3"/>
      <c r="W314" s="3"/>
      <c r="X314" s="3"/>
      <c r="Y314" s="3"/>
      <c r="Z314" s="3"/>
      <c r="AA314" s="3"/>
      <c r="AB314" s="3"/>
    </row>
    <row r="315" spans="1:28" s="2" customFormat="1">
      <c r="A315" s="3"/>
      <c r="B315" s="3"/>
      <c r="C315" s="3"/>
      <c r="D315" s="3"/>
      <c r="E315" s="3"/>
      <c r="F315" s="3"/>
      <c r="G315" s="4"/>
      <c r="H315" s="3"/>
      <c r="I315" s="3"/>
      <c r="J315" s="3"/>
      <c r="K315" s="3"/>
      <c r="L315" s="3"/>
      <c r="M315" s="3"/>
      <c r="N315" s="3"/>
      <c r="O315" s="3"/>
      <c r="P315" s="3"/>
      <c r="Q315" s="3"/>
      <c r="R315" s="3"/>
      <c r="S315" s="3"/>
      <c r="T315" s="3"/>
      <c r="U315" s="3"/>
      <c r="V315" s="3"/>
      <c r="W315" s="3"/>
      <c r="X315" s="3"/>
      <c r="Y315" s="3"/>
      <c r="Z315" s="3"/>
      <c r="AA315" s="3"/>
      <c r="AB315" s="3"/>
    </row>
    <row r="316" spans="1:28" s="2" customFormat="1">
      <c r="A316" s="3"/>
      <c r="B316" s="3"/>
      <c r="C316" s="3"/>
      <c r="D316" s="3"/>
      <c r="E316" s="3"/>
      <c r="F316" s="3"/>
      <c r="G316" s="4"/>
      <c r="H316" s="3"/>
      <c r="I316" s="3"/>
      <c r="J316" s="3"/>
      <c r="K316" s="3"/>
      <c r="L316" s="3"/>
      <c r="M316" s="3"/>
      <c r="N316" s="3"/>
      <c r="O316" s="3"/>
      <c r="P316" s="3"/>
      <c r="Q316" s="3"/>
      <c r="R316" s="3"/>
      <c r="S316" s="3"/>
      <c r="T316" s="3"/>
      <c r="U316" s="3"/>
      <c r="V316" s="3"/>
      <c r="W316" s="3"/>
      <c r="X316" s="3"/>
      <c r="Y316" s="3"/>
      <c r="Z316" s="3"/>
      <c r="AA316" s="3"/>
      <c r="AB316" s="3"/>
    </row>
    <row r="317" spans="1:28" s="2" customFormat="1">
      <c r="A317" s="3"/>
      <c r="B317" s="3"/>
      <c r="C317" s="3"/>
      <c r="D317" s="3"/>
      <c r="E317" s="3"/>
      <c r="F317" s="3"/>
      <c r="G317" s="4"/>
      <c r="H317" s="3"/>
      <c r="I317" s="3"/>
      <c r="J317" s="3"/>
      <c r="K317" s="3"/>
      <c r="L317" s="3"/>
      <c r="M317" s="3"/>
      <c r="N317" s="3"/>
      <c r="O317" s="3"/>
      <c r="P317" s="3"/>
      <c r="Q317" s="3"/>
      <c r="R317" s="3"/>
      <c r="S317" s="3"/>
      <c r="T317" s="3"/>
      <c r="U317" s="3"/>
      <c r="V317" s="3"/>
      <c r="W317" s="3"/>
      <c r="X317" s="3"/>
      <c r="Y317" s="3"/>
      <c r="Z317" s="3"/>
      <c r="AA317" s="3"/>
      <c r="AB317" s="3"/>
    </row>
    <row r="318" spans="1:28" s="2" customFormat="1">
      <c r="A318" s="3"/>
      <c r="B318" s="3"/>
      <c r="C318" s="3"/>
      <c r="D318" s="3"/>
      <c r="E318" s="3"/>
      <c r="F318" s="3"/>
      <c r="G318" s="4"/>
      <c r="H318" s="3"/>
      <c r="I318" s="3"/>
      <c r="J318" s="3"/>
      <c r="K318" s="3"/>
      <c r="L318" s="3"/>
      <c r="M318" s="3"/>
      <c r="N318" s="3"/>
      <c r="O318" s="3"/>
      <c r="P318" s="3"/>
      <c r="Q318" s="3"/>
      <c r="R318" s="3"/>
      <c r="S318" s="3"/>
      <c r="T318" s="3"/>
      <c r="U318" s="3"/>
      <c r="V318" s="3"/>
      <c r="W318" s="3"/>
      <c r="X318" s="3"/>
      <c r="Y318" s="3"/>
      <c r="Z318" s="3"/>
      <c r="AA318" s="3"/>
      <c r="AB318" s="3"/>
    </row>
    <row r="319" spans="1:28" s="2" customFormat="1">
      <c r="A319" s="3"/>
      <c r="B319" s="3"/>
      <c r="C319" s="3"/>
      <c r="D319" s="3"/>
      <c r="E319" s="3"/>
      <c r="F319" s="3"/>
      <c r="G319" s="4"/>
      <c r="H319" s="3"/>
      <c r="I319" s="3"/>
      <c r="J319" s="3"/>
      <c r="K319" s="3"/>
      <c r="L319" s="3"/>
      <c r="M319" s="3"/>
      <c r="N319" s="3"/>
      <c r="O319" s="3"/>
      <c r="P319" s="3"/>
      <c r="Q319" s="3"/>
      <c r="R319" s="3"/>
      <c r="S319" s="3"/>
      <c r="T319" s="3"/>
      <c r="U319" s="3"/>
      <c r="V319" s="3"/>
      <c r="W319" s="3"/>
      <c r="X319" s="3"/>
      <c r="Y319" s="3"/>
      <c r="Z319" s="3"/>
      <c r="AA319" s="3"/>
      <c r="AB319" s="3"/>
    </row>
    <row r="320" spans="1:28" s="2" customFormat="1">
      <c r="A320" s="3"/>
      <c r="B320" s="3"/>
      <c r="C320" s="3"/>
      <c r="D320" s="3"/>
      <c r="E320" s="3"/>
      <c r="F320" s="3"/>
      <c r="G320" s="4"/>
      <c r="H320" s="3"/>
      <c r="I320" s="3"/>
      <c r="J320" s="3"/>
      <c r="K320" s="3"/>
      <c r="L320" s="3"/>
      <c r="M320" s="3"/>
      <c r="N320" s="3"/>
      <c r="O320" s="3"/>
      <c r="P320" s="3"/>
      <c r="Q320" s="3"/>
      <c r="R320" s="3"/>
      <c r="S320" s="3"/>
      <c r="T320" s="3"/>
      <c r="U320" s="3"/>
      <c r="V320" s="3"/>
      <c r="W320" s="3"/>
      <c r="X320" s="3"/>
      <c r="Y320" s="3"/>
      <c r="Z320" s="3"/>
      <c r="AA320" s="3"/>
      <c r="AB320" s="3"/>
    </row>
    <row r="321" spans="1:28" s="2" customFormat="1">
      <c r="A321" s="3"/>
      <c r="B321" s="3"/>
      <c r="C321" s="3"/>
      <c r="D321" s="3"/>
      <c r="E321" s="3"/>
      <c r="F321" s="3"/>
      <c r="G321" s="4"/>
      <c r="H321" s="3"/>
      <c r="I321" s="3"/>
      <c r="J321" s="3"/>
      <c r="K321" s="3"/>
      <c r="L321" s="3"/>
      <c r="M321" s="3"/>
      <c r="N321" s="3"/>
      <c r="O321" s="3"/>
      <c r="P321" s="3"/>
      <c r="Q321" s="3"/>
      <c r="R321" s="3"/>
      <c r="S321" s="3"/>
      <c r="T321" s="3"/>
      <c r="U321" s="3"/>
      <c r="V321" s="3"/>
      <c r="W321" s="3"/>
      <c r="X321" s="3"/>
      <c r="Y321" s="3"/>
      <c r="Z321" s="3"/>
      <c r="AA321" s="3"/>
      <c r="AB321" s="3"/>
    </row>
    <row r="322" spans="1:28" s="2" customFormat="1">
      <c r="A322" s="3"/>
      <c r="B322" s="3"/>
      <c r="C322" s="3"/>
      <c r="D322" s="3"/>
      <c r="E322" s="3"/>
      <c r="F322" s="3"/>
      <c r="G322" s="4"/>
      <c r="H322" s="3"/>
      <c r="I322" s="3"/>
      <c r="J322" s="3"/>
      <c r="K322" s="3"/>
      <c r="L322" s="3"/>
      <c r="M322" s="3"/>
      <c r="N322" s="3"/>
      <c r="O322" s="3"/>
      <c r="P322" s="3"/>
      <c r="Q322" s="3"/>
      <c r="R322" s="3"/>
      <c r="S322" s="3"/>
      <c r="T322" s="3"/>
      <c r="U322" s="3"/>
      <c r="V322" s="3"/>
      <c r="W322" s="3"/>
      <c r="X322" s="3"/>
      <c r="Y322" s="3"/>
      <c r="Z322" s="3"/>
      <c r="AA322" s="3"/>
      <c r="AB322" s="3"/>
    </row>
    <row r="323" spans="1:28" s="2" customFormat="1">
      <c r="A323" s="3"/>
      <c r="B323" s="3"/>
      <c r="C323" s="3"/>
      <c r="D323" s="3"/>
      <c r="E323" s="3"/>
      <c r="F323" s="3"/>
      <c r="G323" s="4"/>
      <c r="H323" s="3"/>
      <c r="I323" s="3"/>
      <c r="J323" s="3"/>
      <c r="K323" s="3"/>
      <c r="L323" s="3"/>
      <c r="M323" s="3"/>
      <c r="N323" s="3"/>
      <c r="O323" s="3"/>
      <c r="P323" s="3"/>
      <c r="Q323" s="3"/>
      <c r="R323" s="3"/>
      <c r="S323" s="3"/>
      <c r="T323" s="3"/>
      <c r="U323" s="3"/>
      <c r="V323" s="3"/>
      <c r="W323" s="3"/>
      <c r="X323" s="3"/>
      <c r="Y323" s="3"/>
      <c r="Z323" s="3"/>
      <c r="AA323" s="3"/>
      <c r="AB323" s="3"/>
    </row>
  </sheetData>
  <customSheetViews>
    <customSheetView guid="{67590F70-5005-492E-AD47-1C13C49F2D83}" scale="70">
      <pane xSplit="9" ySplit="2" topLeftCell="T102" activePane="bottomRight" state="frozen"/>
      <selection pane="bottomRight" activeCell="V31" sqref="V31"/>
      <pageMargins left="0.69930555555555596" right="0.69930555555555596" top="0.75" bottom="0.75" header="0.3" footer="0.3"/>
      <pageSetup paperSize="9" orientation="portrait" horizontalDpi="180" verticalDpi="180" r:id="rId1"/>
    </customSheetView>
    <customSheetView guid="{A0559F95-FBE7-4275-9B44-A293A1B62940}" scale="70">
      <pane xSplit="9" ySplit="2" topLeftCell="T102" activePane="bottomRight" state="frozen"/>
      <selection pane="bottomRight" activeCell="V31" sqref="V31"/>
      <pageMargins left="0.69930555555555596" right="0.69930555555555596" top="0.75" bottom="0.75" header="0.3" footer="0.3"/>
      <pageSetup paperSize="9" orientation="portrait" horizontalDpi="180" verticalDpi="180" r:id="rId2"/>
    </customSheetView>
    <customSheetView guid="{11FB768A-9BE5-454D-8324-F7BD8513C471}" scale="70">
      <pane xSplit="9" ySplit="2" topLeftCell="T3" activePane="bottomRight" state="frozen"/>
      <selection pane="bottomRight" activeCell="V31" sqref="V31"/>
      <pageMargins left="0.69930555555555596" right="0.69930555555555596" top="0.75" bottom="0.75" header="0.3" footer="0.3"/>
      <pageSetup paperSize="9" orientation="portrait" horizontalDpi="180" verticalDpi="180" r:id="rId3"/>
    </customSheetView>
    <customSheetView guid="{656CB8E5-9B79-4056-861F-BA0520B66BDB}" scale="70">
      <pane xSplit="9" ySplit="2" topLeftCell="J12" activePane="bottomRight" state="frozen"/>
      <selection pane="bottomRight" activeCell="N113" sqref="N113"/>
      <pageMargins left="0.69930555555555596" right="0.69930555555555596" top="0.75" bottom="0.75" header="0.3" footer="0.3"/>
      <pageSetup paperSize="9" orientation="portrait" horizontalDpi="180" verticalDpi="180" r:id="rId4"/>
    </customSheetView>
    <customSheetView guid="{3A76011A-5D7E-44CA-8EBC-D2C75FB686D2}" scale="70">
      <pane xSplit="9" ySplit="2" topLeftCell="T3" activePane="bottomRight" state="frozen"/>
      <selection pane="bottomRight" activeCell="V31" sqref="V31"/>
      <pageMargins left="0.69930555555555596" right="0.69930555555555596" top="0.75" bottom="0.75" header="0.3" footer="0.3"/>
      <pageSetup paperSize="9" orientation="portrait" horizontalDpi="180" verticalDpi="180" r:id="rId5"/>
    </customSheetView>
  </customSheetViews>
  <mergeCells count="3">
    <mergeCell ref="H1:I1"/>
    <mergeCell ref="A105:A120"/>
    <mergeCell ref="T105:T120"/>
  </mergeCells>
  <phoneticPr fontId="9" type="noConversion"/>
  <pageMargins left="0.69930555555555596" right="0.69930555555555596" top="0.75" bottom="0.75" header="0.3" footer="0.3"/>
  <pageSetup paperSize="9" orientation="portrait" horizontalDpi="180" verticalDpi="18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44"/>
  <sheetViews>
    <sheetView zoomScaleNormal="100" workbookViewId="0">
      <pane xSplit="2" ySplit="3" topLeftCell="AC4" activePane="bottomRight" state="frozen"/>
      <selection pane="topRight" activeCell="C1" sqref="C1"/>
      <selection pane="bottomLeft" activeCell="A4" sqref="A4"/>
      <selection pane="bottomRight" activeCell="AE15" sqref="AE15"/>
    </sheetView>
  </sheetViews>
  <sheetFormatPr defaultColWidth="9.44140625" defaultRowHeight="15.6"/>
  <cols>
    <col min="1" max="1" width="29.44140625" style="81" customWidth="1"/>
    <col min="2" max="2" width="49.88671875" style="144" customWidth="1"/>
    <col min="3" max="3" width="27.5546875" style="128" customWidth="1"/>
    <col min="4" max="4" width="26.44140625" style="82" customWidth="1"/>
    <col min="5" max="6" width="31.44140625" style="82" customWidth="1"/>
    <col min="7" max="7" width="50.44140625" style="82" customWidth="1"/>
    <col min="8" max="9" width="31.44140625" style="82" customWidth="1"/>
    <col min="10" max="10" width="27.5546875" style="128" customWidth="1"/>
    <col min="11" max="11" width="26.44140625" style="82" customWidth="1"/>
    <col min="12" max="19" width="31.44140625" style="82" customWidth="1"/>
    <col min="20" max="20" width="31.44140625" style="337" customWidth="1"/>
    <col min="21" max="21" width="27.5546875" style="128" customWidth="1"/>
    <col min="22" max="22" width="26.44140625" style="82" customWidth="1"/>
    <col min="23" max="24" width="31.44140625" style="82" customWidth="1"/>
    <col min="25" max="25" width="21.44140625" style="187" customWidth="1"/>
    <col min="26" max="26" width="18.5546875" style="187" customWidth="1"/>
    <col min="27" max="27" width="21.44140625" style="187" customWidth="1"/>
    <col min="28" max="28" width="18.5546875" style="187" customWidth="1"/>
    <col min="29" max="29" width="31.44140625" style="82" customWidth="1"/>
    <col min="30" max="30" width="28" style="81" customWidth="1"/>
    <col min="31" max="31" width="35.5546875" style="82" customWidth="1"/>
    <col min="32" max="32" width="25.109375" style="81" customWidth="1"/>
    <col min="33" max="33" width="26.44140625" style="82" customWidth="1"/>
    <col min="34" max="34" width="31.44140625" style="82" customWidth="1"/>
    <col min="35" max="35" width="23.6640625" style="81" customWidth="1"/>
    <col min="36" max="36" width="32.88671875" style="81" customWidth="1"/>
    <col min="37" max="37" width="30.88671875" style="81" customWidth="1"/>
    <col min="38" max="16384" width="9.44140625" style="81"/>
  </cols>
  <sheetData>
    <row r="1" spans="1:37">
      <c r="A1" s="129" t="s">
        <v>61</v>
      </c>
      <c r="B1" s="145"/>
      <c r="J1" s="180"/>
      <c r="K1" s="118"/>
      <c r="L1" s="118"/>
      <c r="M1" s="118"/>
      <c r="Y1" s="121"/>
      <c r="Z1" s="121"/>
      <c r="AA1" s="121"/>
      <c r="AB1" s="121"/>
      <c r="AC1" s="118"/>
    </row>
    <row r="2" spans="1:37">
      <c r="A2" s="129" t="s">
        <v>62</v>
      </c>
      <c r="B2" s="179" t="s">
        <v>63</v>
      </c>
      <c r="C2" s="376" t="s">
        <v>5</v>
      </c>
      <c r="D2" s="377"/>
      <c r="E2" s="378"/>
      <c r="F2" s="376" t="s">
        <v>64</v>
      </c>
      <c r="G2" s="378"/>
      <c r="H2" s="88" t="s">
        <v>21</v>
      </c>
      <c r="I2" s="87" t="s">
        <v>17</v>
      </c>
      <c r="J2" s="376" t="s">
        <v>14</v>
      </c>
      <c r="K2" s="377"/>
      <c r="L2" s="377"/>
      <c r="M2" s="378"/>
      <c r="N2" s="379" t="s">
        <v>20</v>
      </c>
      <c r="O2" s="380"/>
      <c r="P2" s="109" t="s">
        <v>23</v>
      </c>
      <c r="Q2" s="379" t="s">
        <v>24</v>
      </c>
      <c r="R2" s="380"/>
      <c r="S2" s="379" t="s">
        <v>25</v>
      </c>
      <c r="T2" s="380"/>
      <c r="U2" s="376" t="s">
        <v>26</v>
      </c>
      <c r="V2" s="377"/>
      <c r="W2" s="379" t="s">
        <v>28</v>
      </c>
      <c r="X2" s="380"/>
      <c r="Y2" s="379" t="s">
        <v>32</v>
      </c>
      <c r="Z2" s="380"/>
      <c r="AA2" s="223"/>
      <c r="AB2" s="223" t="s">
        <v>673</v>
      </c>
      <c r="AC2" s="223"/>
      <c r="AD2" s="87" t="s">
        <v>36</v>
      </c>
      <c r="AE2" s="88" t="s">
        <v>40</v>
      </c>
      <c r="AF2" s="379" t="s">
        <v>65</v>
      </c>
      <c r="AG2" s="380"/>
      <c r="AH2" s="231" t="s">
        <v>30</v>
      </c>
      <c r="AI2" s="231" t="s">
        <v>846</v>
      </c>
      <c r="AJ2" s="387" t="s">
        <v>15</v>
      </c>
      <c r="AK2" s="388"/>
    </row>
    <row r="3" spans="1:37">
      <c r="A3" s="129"/>
      <c r="B3" s="179"/>
      <c r="C3" s="131" t="s">
        <v>66</v>
      </c>
      <c r="D3" s="132" t="s">
        <v>67</v>
      </c>
      <c r="E3" s="132" t="s">
        <v>68</v>
      </c>
      <c r="F3" s="131" t="s">
        <v>66</v>
      </c>
      <c r="G3" s="132" t="s">
        <v>67</v>
      </c>
      <c r="H3" s="185" t="s">
        <v>66</v>
      </c>
      <c r="I3" s="146" t="s">
        <v>66</v>
      </c>
      <c r="J3" s="131" t="s">
        <v>66</v>
      </c>
      <c r="K3" s="132" t="s">
        <v>67</v>
      </c>
      <c r="L3" s="132" t="s">
        <v>68</v>
      </c>
      <c r="M3" s="132" t="s">
        <v>69</v>
      </c>
      <c r="N3" s="185" t="s">
        <v>66</v>
      </c>
      <c r="O3" s="185" t="s">
        <v>819</v>
      </c>
      <c r="P3" s="131" t="s">
        <v>66</v>
      </c>
      <c r="Q3" s="131" t="s">
        <v>66</v>
      </c>
      <c r="R3" s="132" t="s">
        <v>67</v>
      </c>
      <c r="S3" s="146" t="s">
        <v>66</v>
      </c>
      <c r="T3" s="341" t="s">
        <v>860</v>
      </c>
      <c r="U3" s="131" t="s">
        <v>66</v>
      </c>
      <c r="V3" s="132" t="s">
        <v>67</v>
      </c>
      <c r="W3" s="131" t="s">
        <v>66</v>
      </c>
      <c r="X3" s="132" t="s">
        <v>67</v>
      </c>
      <c r="Y3" s="146" t="s">
        <v>66</v>
      </c>
      <c r="Z3" s="169" t="s">
        <v>67</v>
      </c>
      <c r="AA3" s="259" t="s">
        <v>674</v>
      </c>
      <c r="AB3" s="169" t="s">
        <v>67</v>
      </c>
      <c r="AC3" s="255" t="s">
        <v>856</v>
      </c>
      <c r="AD3" s="146" t="s">
        <v>66</v>
      </c>
      <c r="AE3" s="169" t="s">
        <v>67</v>
      </c>
      <c r="AF3" s="146" t="s">
        <v>66</v>
      </c>
      <c r="AG3" s="255" t="s">
        <v>67</v>
      </c>
      <c r="AH3" s="183" t="s">
        <v>67</v>
      </c>
      <c r="AI3" s="310" t="s">
        <v>855</v>
      </c>
      <c r="AJ3" s="131" t="s">
        <v>66</v>
      </c>
      <c r="AK3" s="132" t="s">
        <v>67</v>
      </c>
    </row>
    <row r="4" spans="1:37">
      <c r="A4" s="95" t="s">
        <v>70</v>
      </c>
      <c r="B4" s="156" t="s">
        <v>71</v>
      </c>
      <c r="C4" s="134" t="s">
        <v>72</v>
      </c>
      <c r="D4" s="134" t="s">
        <v>72</v>
      </c>
      <c r="E4" s="134" t="s">
        <v>72</v>
      </c>
      <c r="F4" s="134" t="s">
        <v>72</v>
      </c>
      <c r="G4" s="134" t="s">
        <v>72</v>
      </c>
      <c r="H4" s="134" t="s">
        <v>72</v>
      </c>
      <c r="I4" s="134" t="s">
        <v>72</v>
      </c>
      <c r="J4" s="134" t="s">
        <v>72</v>
      </c>
      <c r="K4" s="134" t="s">
        <v>72</v>
      </c>
      <c r="L4" s="134" t="s">
        <v>72</v>
      </c>
      <c r="M4" s="134" t="s">
        <v>72</v>
      </c>
      <c r="N4" s="134" t="s">
        <v>72</v>
      </c>
      <c r="O4" s="134" t="s">
        <v>72</v>
      </c>
      <c r="P4" s="134" t="s">
        <v>72</v>
      </c>
      <c r="Q4" s="134" t="s">
        <v>72</v>
      </c>
      <c r="R4" s="134" t="s">
        <v>72</v>
      </c>
      <c r="S4" s="148" t="s">
        <v>72</v>
      </c>
      <c r="T4" s="166" t="s">
        <v>72</v>
      </c>
      <c r="U4" s="134" t="s">
        <v>72</v>
      </c>
      <c r="V4" s="134" t="s">
        <v>72</v>
      </c>
      <c r="W4" s="134" t="s">
        <v>72</v>
      </c>
      <c r="X4" s="134" t="s">
        <v>72</v>
      </c>
      <c r="Y4" s="176" t="s">
        <v>72</v>
      </c>
      <c r="Z4" s="176" t="s">
        <v>72</v>
      </c>
      <c r="AA4" s="134" t="s">
        <v>72</v>
      </c>
      <c r="AB4" s="134" t="s">
        <v>72</v>
      </c>
      <c r="AC4" s="134" t="s">
        <v>72</v>
      </c>
      <c r="AD4" s="134" t="s">
        <v>72</v>
      </c>
      <c r="AE4" s="134" t="s">
        <v>72</v>
      </c>
      <c r="AF4" s="148" t="s">
        <v>72</v>
      </c>
      <c r="AG4" s="134" t="s">
        <v>72</v>
      </c>
      <c r="AH4" s="134" t="s">
        <v>72</v>
      </c>
      <c r="AI4" s="289" t="s">
        <v>72</v>
      </c>
      <c r="AJ4" s="134" t="s">
        <v>72</v>
      </c>
      <c r="AK4" s="134" t="s">
        <v>72</v>
      </c>
    </row>
    <row r="5" spans="1:37">
      <c r="A5" s="95" t="s">
        <v>73</v>
      </c>
      <c r="B5" s="156"/>
      <c r="C5" s="134" t="s">
        <v>74</v>
      </c>
      <c r="D5" s="156" t="s">
        <v>75</v>
      </c>
      <c r="E5" s="95" t="s">
        <v>74</v>
      </c>
      <c r="F5" s="134" t="s">
        <v>74</v>
      </c>
      <c r="G5" s="156" t="s">
        <v>75</v>
      </c>
      <c r="H5" s="134" t="s">
        <v>74</v>
      </c>
      <c r="I5" s="134" t="s">
        <v>74</v>
      </c>
      <c r="J5" s="134" t="s">
        <v>74</v>
      </c>
      <c r="K5" s="156" t="s">
        <v>75</v>
      </c>
      <c r="L5" s="95" t="s">
        <v>74</v>
      </c>
      <c r="M5" s="95" t="s">
        <v>75</v>
      </c>
      <c r="N5" s="95" t="s">
        <v>74</v>
      </c>
      <c r="O5" s="288" t="s">
        <v>820</v>
      </c>
      <c r="P5" s="134" t="s">
        <v>74</v>
      </c>
      <c r="Q5" s="95" t="s">
        <v>74</v>
      </c>
      <c r="R5" s="156" t="s">
        <v>75</v>
      </c>
      <c r="S5" s="148" t="s">
        <v>74</v>
      </c>
      <c r="T5" s="157" t="s">
        <v>75</v>
      </c>
      <c r="U5" s="134" t="s">
        <v>74</v>
      </c>
      <c r="V5" s="156" t="s">
        <v>75</v>
      </c>
      <c r="W5" s="134" t="s">
        <v>74</v>
      </c>
      <c r="X5" s="156" t="s">
        <v>75</v>
      </c>
      <c r="Y5" s="176" t="s">
        <v>74</v>
      </c>
      <c r="Z5" s="188" t="s">
        <v>75</v>
      </c>
      <c r="AA5" s="134" t="s">
        <v>74</v>
      </c>
      <c r="AB5" s="156" t="s">
        <v>75</v>
      </c>
      <c r="AC5" s="95" t="s">
        <v>75</v>
      </c>
      <c r="AD5" s="134" t="s">
        <v>74</v>
      </c>
      <c r="AE5" s="134" t="s">
        <v>75</v>
      </c>
      <c r="AF5" s="148" t="s">
        <v>74</v>
      </c>
      <c r="AG5" s="156" t="s">
        <v>75</v>
      </c>
      <c r="AH5" s="156" t="s">
        <v>75</v>
      </c>
      <c r="AI5" s="289" t="s">
        <v>74</v>
      </c>
      <c r="AJ5" s="134" t="s">
        <v>74</v>
      </c>
      <c r="AK5" s="156" t="s">
        <v>75</v>
      </c>
    </row>
    <row r="6" spans="1:37">
      <c r="A6" s="117" t="s">
        <v>76</v>
      </c>
      <c r="B6" s="156"/>
      <c r="C6" s="134" t="s">
        <v>72</v>
      </c>
      <c r="D6" s="134" t="s">
        <v>72</v>
      </c>
      <c r="E6" s="95" t="s">
        <v>72</v>
      </c>
      <c r="F6" s="134" t="s">
        <v>72</v>
      </c>
      <c r="G6" s="134" t="s">
        <v>72</v>
      </c>
      <c r="H6" s="134" t="s">
        <v>72</v>
      </c>
      <c r="I6" s="134" t="s">
        <v>72</v>
      </c>
      <c r="J6" s="134" t="s">
        <v>72</v>
      </c>
      <c r="K6" s="134" t="s">
        <v>72</v>
      </c>
      <c r="L6" s="95" t="s">
        <v>72</v>
      </c>
      <c r="M6" s="95" t="s">
        <v>72</v>
      </c>
      <c r="N6" s="134" t="s">
        <v>72</v>
      </c>
      <c r="O6" s="134" t="s">
        <v>72</v>
      </c>
      <c r="P6" s="134" t="s">
        <v>72</v>
      </c>
      <c r="Q6" s="134" t="s">
        <v>72</v>
      </c>
      <c r="R6" s="134" t="s">
        <v>72</v>
      </c>
      <c r="S6" s="148" t="s">
        <v>72</v>
      </c>
      <c r="T6" s="166" t="s">
        <v>72</v>
      </c>
      <c r="U6" s="134" t="s">
        <v>72</v>
      </c>
      <c r="V6" s="134" t="s">
        <v>72</v>
      </c>
      <c r="W6" s="134" t="s">
        <v>72</v>
      </c>
      <c r="X6" s="134" t="s">
        <v>72</v>
      </c>
      <c r="Y6" s="176" t="s">
        <v>72</v>
      </c>
      <c r="Z6" s="176" t="s">
        <v>72</v>
      </c>
      <c r="AA6" s="134" t="s">
        <v>72</v>
      </c>
      <c r="AB6" s="134" t="s">
        <v>72</v>
      </c>
      <c r="AC6" s="95" t="s">
        <v>72</v>
      </c>
      <c r="AD6" s="134" t="s">
        <v>72</v>
      </c>
      <c r="AE6" s="134" t="s">
        <v>72</v>
      </c>
      <c r="AF6" s="148" t="s">
        <v>72</v>
      </c>
      <c r="AG6" s="134" t="s">
        <v>72</v>
      </c>
      <c r="AH6" s="134" t="s">
        <v>72</v>
      </c>
      <c r="AI6" s="289" t="s">
        <v>72</v>
      </c>
      <c r="AJ6" s="134" t="s">
        <v>72</v>
      </c>
      <c r="AK6" s="134" t="s">
        <v>72</v>
      </c>
    </row>
    <row r="7" spans="1:37">
      <c r="A7" s="117" t="s">
        <v>77</v>
      </c>
      <c r="B7" s="156" t="s">
        <v>78</v>
      </c>
      <c r="C7" s="134" t="s">
        <v>72</v>
      </c>
      <c r="D7" s="134" t="s">
        <v>72</v>
      </c>
      <c r="E7" s="134" t="s">
        <v>72</v>
      </c>
      <c r="F7" s="134" t="s">
        <v>72</v>
      </c>
      <c r="G7" s="134" t="s">
        <v>72</v>
      </c>
      <c r="H7" s="134" t="s">
        <v>72</v>
      </c>
      <c r="I7" s="134" t="s">
        <v>72</v>
      </c>
      <c r="J7" s="134" t="s">
        <v>72</v>
      </c>
      <c r="K7" s="134" t="s">
        <v>72</v>
      </c>
      <c r="L7" s="134" t="s">
        <v>72</v>
      </c>
      <c r="M7" s="134" t="s">
        <v>72</v>
      </c>
      <c r="N7" s="134" t="s">
        <v>72</v>
      </c>
      <c r="O7" s="134" t="s">
        <v>72</v>
      </c>
      <c r="P7" s="134" t="s">
        <v>72</v>
      </c>
      <c r="Q7" s="134" t="s">
        <v>72</v>
      </c>
      <c r="R7" s="134" t="s">
        <v>72</v>
      </c>
      <c r="S7" s="148" t="s">
        <v>72</v>
      </c>
      <c r="T7" s="166" t="s">
        <v>72</v>
      </c>
      <c r="U7" s="134" t="s">
        <v>72</v>
      </c>
      <c r="V7" s="134" t="s">
        <v>72</v>
      </c>
      <c r="W7" s="134" t="s">
        <v>72</v>
      </c>
      <c r="X7" s="134" t="s">
        <v>72</v>
      </c>
      <c r="Y7" s="176" t="s">
        <v>72</v>
      </c>
      <c r="Z7" s="176" t="s">
        <v>72</v>
      </c>
      <c r="AA7" s="134" t="s">
        <v>72</v>
      </c>
      <c r="AB7" s="134" t="s">
        <v>72</v>
      </c>
      <c r="AC7" s="134" t="s">
        <v>72</v>
      </c>
      <c r="AD7" s="134" t="s">
        <v>72</v>
      </c>
      <c r="AE7" s="134" t="s">
        <v>72</v>
      </c>
      <c r="AF7" s="148" t="s">
        <v>72</v>
      </c>
      <c r="AG7" s="134" t="s">
        <v>72</v>
      </c>
      <c r="AH7" s="134" t="s">
        <v>72</v>
      </c>
      <c r="AI7" s="289" t="s">
        <v>72</v>
      </c>
      <c r="AJ7" s="134" t="s">
        <v>72</v>
      </c>
      <c r="AK7" s="134" t="s">
        <v>72</v>
      </c>
    </row>
    <row r="8" spans="1:37" ht="34.200000000000003">
      <c r="A8" s="95" t="s">
        <v>79</v>
      </c>
      <c r="B8" s="93" t="s">
        <v>80</v>
      </c>
      <c r="C8" s="134" t="s">
        <v>72</v>
      </c>
      <c r="D8" s="134" t="s">
        <v>72</v>
      </c>
      <c r="E8" s="93" t="s">
        <v>81</v>
      </c>
      <c r="F8" s="134" t="s">
        <v>72</v>
      </c>
      <c r="G8" s="134" t="s">
        <v>72</v>
      </c>
      <c r="H8" s="134" t="s">
        <v>72</v>
      </c>
      <c r="I8" s="134" t="s">
        <v>72</v>
      </c>
      <c r="J8" s="134" t="s">
        <v>72</v>
      </c>
      <c r="K8" s="134" t="s">
        <v>72</v>
      </c>
      <c r="L8" s="93" t="s">
        <v>81</v>
      </c>
      <c r="M8" s="93" t="s">
        <v>81</v>
      </c>
      <c r="N8" s="134" t="s">
        <v>72</v>
      </c>
      <c r="O8" s="134" t="s">
        <v>72</v>
      </c>
      <c r="P8" s="134" t="s">
        <v>72</v>
      </c>
      <c r="Q8" s="134" t="s">
        <v>72</v>
      </c>
      <c r="R8" s="134" t="s">
        <v>72</v>
      </c>
      <c r="S8" s="148" t="s">
        <v>72</v>
      </c>
      <c r="T8" s="166" t="s">
        <v>72</v>
      </c>
      <c r="U8" s="134" t="s">
        <v>72</v>
      </c>
      <c r="V8" s="134" t="s">
        <v>72</v>
      </c>
      <c r="W8" s="134" t="s">
        <v>72</v>
      </c>
      <c r="X8" s="134" t="s">
        <v>72</v>
      </c>
      <c r="Y8" s="176" t="s">
        <v>72</v>
      </c>
      <c r="Z8" s="176" t="s">
        <v>72</v>
      </c>
      <c r="AA8" s="134" t="s">
        <v>72</v>
      </c>
      <c r="AB8" s="134" t="s">
        <v>72</v>
      </c>
      <c r="AC8" s="93" t="s">
        <v>81</v>
      </c>
      <c r="AD8" s="134" t="s">
        <v>72</v>
      </c>
      <c r="AE8" s="134" t="s">
        <v>72</v>
      </c>
      <c r="AF8" s="148" t="s">
        <v>72</v>
      </c>
      <c r="AG8" s="134" t="s">
        <v>72</v>
      </c>
      <c r="AH8" s="166" t="s">
        <v>72</v>
      </c>
      <c r="AI8" s="289" t="s">
        <v>72</v>
      </c>
      <c r="AJ8" s="134" t="s">
        <v>72</v>
      </c>
      <c r="AK8" s="134" t="s">
        <v>72</v>
      </c>
    </row>
    <row r="9" spans="1:37" ht="22.8">
      <c r="A9" s="117" t="s">
        <v>82</v>
      </c>
      <c r="B9" s="93" t="s">
        <v>83</v>
      </c>
      <c r="C9" s="134" t="s">
        <v>84</v>
      </c>
      <c r="D9" s="134" t="s">
        <v>85</v>
      </c>
      <c r="E9" s="134" t="s">
        <v>791</v>
      </c>
      <c r="F9" s="134" t="s">
        <v>84</v>
      </c>
      <c r="G9" s="134" t="s">
        <v>84</v>
      </c>
      <c r="H9" s="134" t="s">
        <v>84</v>
      </c>
      <c r="I9" s="134" t="s">
        <v>84</v>
      </c>
      <c r="J9" s="134" t="s">
        <v>84</v>
      </c>
      <c r="K9" s="134" t="s">
        <v>86</v>
      </c>
      <c r="L9" s="134" t="s">
        <v>791</v>
      </c>
      <c r="M9" s="134" t="s">
        <v>791</v>
      </c>
      <c r="N9" s="134" t="s">
        <v>84</v>
      </c>
      <c r="O9" s="134" t="s">
        <v>84</v>
      </c>
      <c r="P9" s="134" t="s">
        <v>84</v>
      </c>
      <c r="Q9" s="134" t="s">
        <v>84</v>
      </c>
      <c r="R9" s="134" t="s">
        <v>84</v>
      </c>
      <c r="S9" s="149" t="s">
        <v>84</v>
      </c>
      <c r="T9" s="166" t="s">
        <v>857</v>
      </c>
      <c r="U9" s="134" t="s">
        <v>84</v>
      </c>
      <c r="V9" s="134" t="s">
        <v>87</v>
      </c>
      <c r="W9" s="134" t="s">
        <v>84</v>
      </c>
      <c r="X9" s="134" t="s">
        <v>84</v>
      </c>
      <c r="Y9" s="176" t="s">
        <v>84</v>
      </c>
      <c r="Z9" s="176" t="s">
        <v>87</v>
      </c>
      <c r="AA9" s="134" t="s">
        <v>84</v>
      </c>
      <c r="AB9" s="134" t="s">
        <v>87</v>
      </c>
      <c r="AC9" s="134" t="s">
        <v>84</v>
      </c>
      <c r="AD9" s="134" t="s">
        <v>84</v>
      </c>
      <c r="AE9" s="134" t="s">
        <v>88</v>
      </c>
      <c r="AF9" s="149" t="s">
        <v>84</v>
      </c>
      <c r="AG9" s="134" t="s">
        <v>857</v>
      </c>
      <c r="AH9" s="134" t="s">
        <v>291</v>
      </c>
      <c r="AI9" s="289" t="s">
        <v>84</v>
      </c>
      <c r="AJ9" s="134" t="s">
        <v>84</v>
      </c>
      <c r="AK9" s="134" t="s">
        <v>85</v>
      </c>
    </row>
    <row r="10" spans="1:37" ht="34.200000000000003">
      <c r="A10" s="94" t="s">
        <v>89</v>
      </c>
      <c r="B10" s="136" t="s">
        <v>90</v>
      </c>
      <c r="C10" s="134" t="s">
        <v>72</v>
      </c>
      <c r="D10" s="134" t="s">
        <v>72</v>
      </c>
      <c r="E10" s="137">
        <v>0.1</v>
      </c>
      <c r="F10" s="134" t="s">
        <v>72</v>
      </c>
      <c r="G10" s="134" t="s">
        <v>72</v>
      </c>
      <c r="H10" s="134" t="s">
        <v>72</v>
      </c>
      <c r="I10" s="134" t="s">
        <v>72</v>
      </c>
      <c r="J10" s="134" t="s">
        <v>72</v>
      </c>
      <c r="K10" s="134" t="s">
        <v>72</v>
      </c>
      <c r="L10" s="137">
        <v>0.1</v>
      </c>
      <c r="M10" s="137">
        <v>0.1</v>
      </c>
      <c r="N10" s="134" t="s">
        <v>72</v>
      </c>
      <c r="O10" s="134" t="s">
        <v>72</v>
      </c>
      <c r="P10" s="134" t="s">
        <v>72</v>
      </c>
      <c r="Q10" s="134" t="s">
        <v>72</v>
      </c>
      <c r="R10" s="134" t="s">
        <v>72</v>
      </c>
      <c r="S10" s="148" t="s">
        <v>72</v>
      </c>
      <c r="T10" s="166" t="s">
        <v>72</v>
      </c>
      <c r="U10" s="134" t="s">
        <v>72</v>
      </c>
      <c r="V10" s="134" t="s">
        <v>72</v>
      </c>
      <c r="W10" s="134" t="s">
        <v>72</v>
      </c>
      <c r="X10" s="134" t="s">
        <v>72</v>
      </c>
      <c r="Y10" s="176" t="s">
        <v>72</v>
      </c>
      <c r="Z10" s="176" t="s">
        <v>72</v>
      </c>
      <c r="AA10" s="134" t="s">
        <v>72</v>
      </c>
      <c r="AB10" s="134" t="s">
        <v>72</v>
      </c>
      <c r="AC10" s="137">
        <v>0.1</v>
      </c>
      <c r="AD10" s="134" t="s">
        <v>72</v>
      </c>
      <c r="AE10" s="134" t="s">
        <v>91</v>
      </c>
      <c r="AF10" s="148" t="s">
        <v>72</v>
      </c>
      <c r="AG10" s="134" t="s">
        <v>72</v>
      </c>
      <c r="AH10" s="134" t="s">
        <v>698</v>
      </c>
      <c r="AI10" s="289" t="s">
        <v>72</v>
      </c>
      <c r="AJ10" s="134" t="s">
        <v>72</v>
      </c>
      <c r="AK10" s="134" t="s">
        <v>72</v>
      </c>
    </row>
    <row r="11" spans="1:37" ht="22.8">
      <c r="A11" s="117" t="s">
        <v>92</v>
      </c>
      <c r="B11" s="134" t="s">
        <v>93</v>
      </c>
      <c r="C11" s="134" t="s">
        <v>72</v>
      </c>
      <c r="D11" s="134" t="s">
        <v>72</v>
      </c>
      <c r="E11" s="134" t="s">
        <v>72</v>
      </c>
      <c r="F11" s="134" t="s">
        <v>72</v>
      </c>
      <c r="G11" s="134" t="s">
        <v>72</v>
      </c>
      <c r="H11" s="134" t="s">
        <v>72</v>
      </c>
      <c r="I11" s="134" t="s">
        <v>72</v>
      </c>
      <c r="J11" s="134" t="s">
        <v>72</v>
      </c>
      <c r="K11" s="134" t="s">
        <v>72</v>
      </c>
      <c r="L11" s="134" t="s">
        <v>72</v>
      </c>
      <c r="M11" s="134" t="s">
        <v>72</v>
      </c>
      <c r="N11" s="134" t="s">
        <v>72</v>
      </c>
      <c r="O11" s="134" t="s">
        <v>72</v>
      </c>
      <c r="P11" s="134" t="s">
        <v>72</v>
      </c>
      <c r="Q11" s="134" t="s">
        <v>72</v>
      </c>
      <c r="R11" s="134" t="s">
        <v>72</v>
      </c>
      <c r="S11" s="148" t="s">
        <v>72</v>
      </c>
      <c r="T11" s="166" t="s">
        <v>72</v>
      </c>
      <c r="U11" s="134" t="s">
        <v>72</v>
      </c>
      <c r="V11" s="134" t="s">
        <v>72</v>
      </c>
      <c r="W11" s="134" t="s">
        <v>72</v>
      </c>
      <c r="X11" s="134" t="s">
        <v>72</v>
      </c>
      <c r="Y11" s="176" t="s">
        <v>72</v>
      </c>
      <c r="Z11" s="176" t="s">
        <v>72</v>
      </c>
      <c r="AA11" s="134" t="s">
        <v>72</v>
      </c>
      <c r="AB11" s="134" t="s">
        <v>72</v>
      </c>
      <c r="AC11" s="134" t="s">
        <v>72</v>
      </c>
      <c r="AD11" s="134" t="s">
        <v>72</v>
      </c>
      <c r="AE11" s="134" t="s">
        <v>94</v>
      </c>
      <c r="AF11" s="148" t="s">
        <v>72</v>
      </c>
      <c r="AG11" s="134" t="s">
        <v>72</v>
      </c>
      <c r="AH11" s="134" t="s">
        <v>297</v>
      </c>
      <c r="AI11" s="289" t="s">
        <v>72</v>
      </c>
      <c r="AJ11" s="134" t="s">
        <v>72</v>
      </c>
      <c r="AK11" s="134" t="s">
        <v>72</v>
      </c>
    </row>
    <row r="12" spans="1:37" ht="45.6">
      <c r="A12" s="117" t="s">
        <v>95</v>
      </c>
      <c r="B12" s="156"/>
      <c r="C12" s="134" t="s">
        <v>96</v>
      </c>
      <c r="D12" s="156" t="s">
        <v>97</v>
      </c>
      <c r="E12" s="134" t="s">
        <v>96</v>
      </c>
      <c r="F12" s="134" t="s">
        <v>96</v>
      </c>
      <c r="G12" s="156" t="s">
        <v>98</v>
      </c>
      <c r="H12" s="134" t="s">
        <v>96</v>
      </c>
      <c r="I12" s="134" t="s">
        <v>96</v>
      </c>
      <c r="J12" s="134" t="s">
        <v>96</v>
      </c>
      <c r="K12" s="156" t="s">
        <v>98</v>
      </c>
      <c r="L12" s="134" t="s">
        <v>96</v>
      </c>
      <c r="M12" s="134" t="s">
        <v>98</v>
      </c>
      <c r="N12" s="134" t="s">
        <v>96</v>
      </c>
      <c r="O12" s="289" t="s">
        <v>821</v>
      </c>
      <c r="P12" s="134" t="s">
        <v>96</v>
      </c>
      <c r="Q12" s="95" t="s">
        <v>96</v>
      </c>
      <c r="R12" s="156" t="s">
        <v>98</v>
      </c>
      <c r="S12" s="148" t="s">
        <v>96</v>
      </c>
      <c r="T12" s="157" t="s">
        <v>97</v>
      </c>
      <c r="U12" s="134" t="s">
        <v>96</v>
      </c>
      <c r="V12" s="156" t="s">
        <v>97</v>
      </c>
      <c r="W12" s="134" t="s">
        <v>96</v>
      </c>
      <c r="X12" s="156" t="s">
        <v>98</v>
      </c>
      <c r="Y12" s="176" t="s">
        <v>96</v>
      </c>
      <c r="Z12" s="139" t="s">
        <v>687</v>
      </c>
      <c r="AA12" s="134" t="s">
        <v>96</v>
      </c>
      <c r="AB12" s="156" t="s">
        <v>699</v>
      </c>
      <c r="AC12" s="134" t="s">
        <v>738</v>
      </c>
      <c r="AD12" s="134" t="s">
        <v>96</v>
      </c>
      <c r="AE12" s="134" t="s">
        <v>100</v>
      </c>
      <c r="AF12" s="148" t="s">
        <v>96</v>
      </c>
      <c r="AG12" s="156" t="s">
        <v>97</v>
      </c>
      <c r="AH12" s="134" t="s">
        <v>97</v>
      </c>
      <c r="AI12" s="289" t="s">
        <v>96</v>
      </c>
      <c r="AJ12" s="134" t="s">
        <v>96</v>
      </c>
      <c r="AK12" s="156" t="s">
        <v>97</v>
      </c>
    </row>
    <row r="13" spans="1:37" ht="22.8">
      <c r="A13" s="117" t="s">
        <v>101</v>
      </c>
      <c r="B13" s="163" t="s">
        <v>102</v>
      </c>
      <c r="C13" s="163" t="s">
        <v>103</v>
      </c>
      <c r="D13" s="163" t="s">
        <v>103</v>
      </c>
      <c r="E13" s="163" t="s">
        <v>103</v>
      </c>
      <c r="F13" s="163" t="s">
        <v>103</v>
      </c>
      <c r="G13" s="163" t="s">
        <v>103</v>
      </c>
      <c r="H13" s="163" t="s">
        <v>103</v>
      </c>
      <c r="I13" s="163" t="s">
        <v>103</v>
      </c>
      <c r="J13" s="163" t="s">
        <v>103</v>
      </c>
      <c r="K13" s="163" t="s">
        <v>103</v>
      </c>
      <c r="L13" s="163" t="s">
        <v>103</v>
      </c>
      <c r="M13" s="163" t="s">
        <v>103</v>
      </c>
      <c r="N13" s="163" t="s">
        <v>103</v>
      </c>
      <c r="O13" s="163" t="s">
        <v>103</v>
      </c>
      <c r="P13" s="163" t="s">
        <v>103</v>
      </c>
      <c r="Q13" s="163" t="s">
        <v>103</v>
      </c>
      <c r="R13" s="163" t="s">
        <v>103</v>
      </c>
      <c r="S13" s="148" t="s">
        <v>104</v>
      </c>
      <c r="T13" s="338" t="s">
        <v>858</v>
      </c>
      <c r="U13" s="163" t="s">
        <v>103</v>
      </c>
      <c r="V13" s="163" t="s">
        <v>103</v>
      </c>
      <c r="W13" s="163" t="s">
        <v>103</v>
      </c>
      <c r="X13" s="163" t="s">
        <v>103</v>
      </c>
      <c r="Y13" s="189" t="s">
        <v>103</v>
      </c>
      <c r="Z13" s="189" t="s">
        <v>103</v>
      </c>
      <c r="AA13" s="163" t="s">
        <v>103</v>
      </c>
      <c r="AB13" s="163" t="s">
        <v>103</v>
      </c>
      <c r="AC13" s="163" t="s">
        <v>103</v>
      </c>
      <c r="AD13" s="163" t="s">
        <v>103</v>
      </c>
      <c r="AE13" s="134" t="s">
        <v>105</v>
      </c>
      <c r="AF13" s="148" t="s">
        <v>104</v>
      </c>
      <c r="AG13" s="163" t="s">
        <v>103</v>
      </c>
      <c r="AH13" s="134" t="s">
        <v>72</v>
      </c>
      <c r="AI13" s="311" t="s">
        <v>103</v>
      </c>
      <c r="AJ13" s="134" t="s">
        <v>72</v>
      </c>
      <c r="AK13" s="134" t="s">
        <v>72</v>
      </c>
    </row>
    <row r="14" spans="1:37" ht="24.75" customHeight="1">
      <c r="A14" s="117" t="s">
        <v>106</v>
      </c>
      <c r="B14" s="156"/>
      <c r="C14" s="138" t="s">
        <v>107</v>
      </c>
      <c r="D14" s="138" t="s">
        <v>107</v>
      </c>
      <c r="E14" s="138" t="s">
        <v>107</v>
      </c>
      <c r="F14" s="138" t="s">
        <v>107</v>
      </c>
      <c r="G14" s="138" t="s">
        <v>107</v>
      </c>
      <c r="H14" s="138" t="s">
        <v>107</v>
      </c>
      <c r="I14" s="138" t="s">
        <v>107</v>
      </c>
      <c r="J14" s="138" t="s">
        <v>107</v>
      </c>
      <c r="K14" s="134" t="s">
        <v>108</v>
      </c>
      <c r="L14" s="138" t="s">
        <v>107</v>
      </c>
      <c r="M14" s="134" t="s">
        <v>108</v>
      </c>
      <c r="N14" s="138" t="s">
        <v>107</v>
      </c>
      <c r="O14" s="138" t="s">
        <v>107</v>
      </c>
      <c r="P14" s="138" t="s">
        <v>107</v>
      </c>
      <c r="Q14" s="138" t="s">
        <v>107</v>
      </c>
      <c r="R14" s="134" t="s">
        <v>109</v>
      </c>
      <c r="S14" s="149" t="s">
        <v>107</v>
      </c>
      <c r="T14" s="166" t="s">
        <v>109</v>
      </c>
      <c r="U14" s="138" t="s">
        <v>107</v>
      </c>
      <c r="V14" s="134" t="s">
        <v>109</v>
      </c>
      <c r="W14" s="138" t="s">
        <v>107</v>
      </c>
      <c r="X14" s="134" t="s">
        <v>109</v>
      </c>
      <c r="Y14" s="173" t="s">
        <v>110</v>
      </c>
      <c r="Z14" s="172" t="s">
        <v>107</v>
      </c>
      <c r="AA14" s="138" t="s">
        <v>107</v>
      </c>
      <c r="AB14" s="280" t="s">
        <v>801</v>
      </c>
      <c r="AC14" s="279" t="s">
        <v>801</v>
      </c>
      <c r="AD14" s="138" t="s">
        <v>739</v>
      </c>
      <c r="AE14" s="134" t="s">
        <v>111</v>
      </c>
      <c r="AF14" s="149" t="s">
        <v>107</v>
      </c>
      <c r="AG14" s="138" t="s">
        <v>107</v>
      </c>
      <c r="AH14" s="134" t="s">
        <v>302</v>
      </c>
      <c r="AI14" s="308" t="s">
        <v>107</v>
      </c>
      <c r="AJ14" s="138" t="s">
        <v>107</v>
      </c>
      <c r="AK14" s="134" t="s">
        <v>109</v>
      </c>
    </row>
    <row r="15" spans="1:37" ht="57">
      <c r="A15" s="117" t="s">
        <v>112</v>
      </c>
      <c r="B15" s="156"/>
      <c r="C15" s="138" t="s">
        <v>113</v>
      </c>
      <c r="D15" s="138" t="s">
        <v>113</v>
      </c>
      <c r="E15" s="134" t="s">
        <v>114</v>
      </c>
      <c r="F15" s="138" t="s">
        <v>113</v>
      </c>
      <c r="G15" s="138" t="s">
        <v>113</v>
      </c>
      <c r="H15" s="138" t="s">
        <v>115</v>
      </c>
      <c r="I15" s="138" t="s">
        <v>115</v>
      </c>
      <c r="J15" s="138" t="s">
        <v>116</v>
      </c>
      <c r="K15" s="134" t="s">
        <v>117</v>
      </c>
      <c r="L15" s="134" t="s">
        <v>118</v>
      </c>
      <c r="M15" s="134" t="s">
        <v>119</v>
      </c>
      <c r="N15" s="95" t="s">
        <v>120</v>
      </c>
      <c r="O15" s="308" t="s">
        <v>123</v>
      </c>
      <c r="P15" s="138" t="s">
        <v>121</v>
      </c>
      <c r="Q15" s="95" t="s">
        <v>122</v>
      </c>
      <c r="R15" s="156" t="s">
        <v>123</v>
      </c>
      <c r="S15" s="148" t="s">
        <v>124</v>
      </c>
      <c r="T15" s="157" t="s">
        <v>123</v>
      </c>
      <c r="U15" s="138" t="s">
        <v>113</v>
      </c>
      <c r="V15" s="156" t="s">
        <v>123</v>
      </c>
      <c r="W15" s="138" t="s">
        <v>113</v>
      </c>
      <c r="X15" s="156" t="s">
        <v>123</v>
      </c>
      <c r="Y15" s="189" t="s">
        <v>125</v>
      </c>
      <c r="Z15" s="188" t="s">
        <v>123</v>
      </c>
      <c r="AA15" s="138" t="s">
        <v>113</v>
      </c>
      <c r="AB15" s="156" t="s">
        <v>123</v>
      </c>
      <c r="AC15" s="134" t="s">
        <v>802</v>
      </c>
      <c r="AD15" s="138" t="s">
        <v>113</v>
      </c>
      <c r="AE15" s="134" t="s">
        <v>123</v>
      </c>
      <c r="AF15" s="148" t="s">
        <v>124</v>
      </c>
      <c r="AG15" s="157" t="s">
        <v>123</v>
      </c>
      <c r="AH15" s="157" t="s">
        <v>123</v>
      </c>
      <c r="AI15" s="308" t="s">
        <v>113</v>
      </c>
      <c r="AJ15" s="138" t="s">
        <v>113</v>
      </c>
      <c r="AK15" s="188" t="s">
        <v>123</v>
      </c>
    </row>
    <row r="16" spans="1:37">
      <c r="A16" s="117" t="s">
        <v>126</v>
      </c>
      <c r="B16" s="156"/>
      <c r="C16" s="138" t="s">
        <v>127</v>
      </c>
      <c r="D16" s="138" t="s">
        <v>127</v>
      </c>
      <c r="E16" s="95" t="s">
        <v>128</v>
      </c>
      <c r="F16" s="138" t="s">
        <v>127</v>
      </c>
      <c r="G16" s="138" t="s">
        <v>127</v>
      </c>
      <c r="H16" s="138" t="s">
        <v>127</v>
      </c>
      <c r="I16" s="138" t="s">
        <v>127</v>
      </c>
      <c r="J16" s="138" t="s">
        <v>127</v>
      </c>
      <c r="K16" s="138" t="s">
        <v>127</v>
      </c>
      <c r="L16" s="95" t="s">
        <v>128</v>
      </c>
      <c r="M16" s="95" t="s">
        <v>129</v>
      </c>
      <c r="N16" s="138" t="s">
        <v>127</v>
      </c>
      <c r="O16" s="138" t="s">
        <v>127</v>
      </c>
      <c r="P16" s="138" t="s">
        <v>127</v>
      </c>
      <c r="Q16" s="138" t="s">
        <v>127</v>
      </c>
      <c r="R16" s="138" t="s">
        <v>127</v>
      </c>
      <c r="S16" s="148" t="s">
        <v>127</v>
      </c>
      <c r="T16" s="160" t="s">
        <v>127</v>
      </c>
      <c r="U16" s="138" t="s">
        <v>127</v>
      </c>
      <c r="V16" s="138" t="s">
        <v>127</v>
      </c>
      <c r="W16" s="138" t="s">
        <v>127</v>
      </c>
      <c r="X16" s="138" t="s">
        <v>127</v>
      </c>
      <c r="Y16" s="189" t="s">
        <v>127</v>
      </c>
      <c r="Z16" s="189" t="s">
        <v>127</v>
      </c>
      <c r="AA16" s="138" t="s">
        <v>127</v>
      </c>
      <c r="AB16" s="138" t="s">
        <v>127</v>
      </c>
      <c r="AC16" s="95" t="s">
        <v>129</v>
      </c>
      <c r="AD16" s="138" t="s">
        <v>127</v>
      </c>
      <c r="AE16" s="134"/>
      <c r="AF16" s="148" t="s">
        <v>127</v>
      </c>
      <c r="AG16" s="138" t="s">
        <v>127</v>
      </c>
      <c r="AH16" s="160" t="s">
        <v>127</v>
      </c>
      <c r="AI16" s="308" t="s">
        <v>127</v>
      </c>
      <c r="AJ16" s="138" t="s">
        <v>127</v>
      </c>
      <c r="AK16" s="138" t="s">
        <v>127</v>
      </c>
    </row>
    <row r="17" spans="1:37" ht="22.8">
      <c r="A17" s="95" t="s">
        <v>130</v>
      </c>
      <c r="B17" s="156"/>
      <c r="C17" s="163" t="s">
        <v>131</v>
      </c>
      <c r="D17" s="163" t="s">
        <v>131</v>
      </c>
      <c r="E17" s="163" t="s">
        <v>132</v>
      </c>
      <c r="F17" s="163" t="s">
        <v>133</v>
      </c>
      <c r="G17" s="163" t="s">
        <v>133</v>
      </c>
      <c r="H17" s="163" t="s">
        <v>134</v>
      </c>
      <c r="I17" s="163" t="s">
        <v>134</v>
      </c>
      <c r="J17" s="163" t="s">
        <v>134</v>
      </c>
      <c r="K17" s="163" t="s">
        <v>134</v>
      </c>
      <c r="L17" s="163" t="s">
        <v>134</v>
      </c>
      <c r="M17" s="163" t="s">
        <v>134</v>
      </c>
      <c r="N17" s="163" t="s">
        <v>133</v>
      </c>
      <c r="O17" s="163" t="s">
        <v>133</v>
      </c>
      <c r="P17" s="163" t="s">
        <v>134</v>
      </c>
      <c r="Q17" s="163" t="s">
        <v>134</v>
      </c>
      <c r="R17" s="163" t="s">
        <v>134</v>
      </c>
      <c r="S17" s="148" t="s">
        <v>859</v>
      </c>
      <c r="T17" s="338" t="s">
        <v>859</v>
      </c>
      <c r="U17" s="163" t="s">
        <v>134</v>
      </c>
      <c r="V17" s="163" t="s">
        <v>134</v>
      </c>
      <c r="W17" s="163" t="s">
        <v>134</v>
      </c>
      <c r="X17" s="163" t="s">
        <v>134</v>
      </c>
      <c r="Y17" s="189" t="s">
        <v>134</v>
      </c>
      <c r="Z17" s="189" t="s">
        <v>134</v>
      </c>
      <c r="AA17" s="163" t="s">
        <v>792</v>
      </c>
      <c r="AB17" s="163" t="s">
        <v>134</v>
      </c>
      <c r="AC17" s="163" t="s">
        <v>743</v>
      </c>
      <c r="AD17" s="163" t="s">
        <v>134</v>
      </c>
      <c r="AE17" s="134" t="s">
        <v>793</v>
      </c>
      <c r="AF17" s="148" t="s">
        <v>123</v>
      </c>
      <c r="AG17" s="163" t="s">
        <v>925</v>
      </c>
      <c r="AH17" s="138" t="s">
        <v>700</v>
      </c>
      <c r="AI17" s="311" t="s">
        <v>848</v>
      </c>
      <c r="AJ17" s="163" t="s">
        <v>134</v>
      </c>
      <c r="AK17" s="163" t="s">
        <v>134</v>
      </c>
    </row>
    <row r="18" spans="1:37" ht="22.8">
      <c r="A18" s="95" t="s">
        <v>136</v>
      </c>
      <c r="B18" s="156"/>
      <c r="C18" s="138" t="s">
        <v>137</v>
      </c>
      <c r="D18" s="138" t="s">
        <v>137</v>
      </c>
      <c r="E18" s="138" t="s">
        <v>138</v>
      </c>
      <c r="F18" s="138" t="s">
        <v>139</v>
      </c>
      <c r="G18" s="138" t="s">
        <v>139</v>
      </c>
      <c r="H18" s="138" t="s">
        <v>137</v>
      </c>
      <c r="I18" s="138" t="s">
        <v>137</v>
      </c>
      <c r="J18" s="138" t="s">
        <v>137</v>
      </c>
      <c r="K18" s="138" t="s">
        <v>137</v>
      </c>
      <c r="L18" s="138" t="s">
        <v>138</v>
      </c>
      <c r="M18" s="138" t="s">
        <v>138</v>
      </c>
      <c r="N18" s="138" t="s">
        <v>138</v>
      </c>
      <c r="O18" s="138" t="s">
        <v>138</v>
      </c>
      <c r="P18" s="138" t="s">
        <v>140</v>
      </c>
      <c r="Q18" s="138" t="s">
        <v>137</v>
      </c>
      <c r="R18" s="138" t="s">
        <v>137</v>
      </c>
      <c r="S18" s="148" t="s">
        <v>137</v>
      </c>
      <c r="T18" s="160" t="s">
        <v>137</v>
      </c>
      <c r="U18" s="138" t="s">
        <v>137</v>
      </c>
      <c r="V18" s="138" t="s">
        <v>137</v>
      </c>
      <c r="W18" s="138" t="s">
        <v>137</v>
      </c>
      <c r="X18" s="138" t="s">
        <v>137</v>
      </c>
      <c r="Y18" s="189" t="s">
        <v>137</v>
      </c>
      <c r="Z18" s="189" t="s">
        <v>137</v>
      </c>
      <c r="AA18" s="138" t="s">
        <v>137</v>
      </c>
      <c r="AB18" s="138" t="s">
        <v>137</v>
      </c>
      <c r="AC18" s="138" t="s">
        <v>138</v>
      </c>
      <c r="AD18" s="138" t="s">
        <v>137</v>
      </c>
      <c r="AE18" s="134"/>
      <c r="AF18" s="148" t="s">
        <v>137</v>
      </c>
      <c r="AG18" s="138" t="s">
        <v>137</v>
      </c>
      <c r="AH18" s="138" t="s">
        <v>706</v>
      </c>
      <c r="AI18" s="308" t="s">
        <v>137</v>
      </c>
      <c r="AJ18" s="138" t="s">
        <v>137</v>
      </c>
      <c r="AK18" s="138" t="s">
        <v>137</v>
      </c>
    </row>
    <row r="19" spans="1:37" ht="22.8">
      <c r="A19" s="95" t="s">
        <v>141</v>
      </c>
      <c r="B19" s="93" t="s">
        <v>142</v>
      </c>
      <c r="C19" s="134" t="s">
        <v>72</v>
      </c>
      <c r="D19" s="134" t="s">
        <v>72</v>
      </c>
      <c r="E19" s="134" t="s">
        <v>143</v>
      </c>
      <c r="F19" s="134" t="s">
        <v>72</v>
      </c>
      <c r="G19" s="134" t="s">
        <v>72</v>
      </c>
      <c r="H19" s="134" t="s">
        <v>72</v>
      </c>
      <c r="I19" s="134" t="s">
        <v>72</v>
      </c>
      <c r="J19" s="134" t="s">
        <v>72</v>
      </c>
      <c r="K19" s="134" t="s">
        <v>72</v>
      </c>
      <c r="L19" s="134" t="s">
        <v>143</v>
      </c>
      <c r="M19" s="134" t="s">
        <v>143</v>
      </c>
      <c r="N19" s="134" t="s">
        <v>72</v>
      </c>
      <c r="O19" s="134" t="s">
        <v>72</v>
      </c>
      <c r="P19" s="134" t="s">
        <v>72</v>
      </c>
      <c r="Q19" s="134" t="s">
        <v>72</v>
      </c>
      <c r="R19" s="134" t="s">
        <v>72</v>
      </c>
      <c r="S19" s="148" t="s">
        <v>72</v>
      </c>
      <c r="T19" s="166" t="s">
        <v>72</v>
      </c>
      <c r="U19" s="134" t="s">
        <v>72</v>
      </c>
      <c r="V19" s="134" t="s">
        <v>72</v>
      </c>
      <c r="W19" s="134" t="s">
        <v>72</v>
      </c>
      <c r="X19" s="134" t="s">
        <v>72</v>
      </c>
      <c r="Y19" s="176" t="s">
        <v>72</v>
      </c>
      <c r="Z19" s="176" t="s">
        <v>72</v>
      </c>
      <c r="AA19" s="134" t="s">
        <v>72</v>
      </c>
      <c r="AB19" s="134" t="s">
        <v>72</v>
      </c>
      <c r="AC19" s="134" t="s">
        <v>143</v>
      </c>
      <c r="AD19" s="134" t="s">
        <v>72</v>
      </c>
      <c r="AE19" s="134" t="s">
        <v>72</v>
      </c>
      <c r="AF19" s="148" t="s">
        <v>72</v>
      </c>
      <c r="AG19" s="134" t="s">
        <v>72</v>
      </c>
      <c r="AH19" s="166" t="s">
        <v>72</v>
      </c>
      <c r="AI19" s="289" t="s">
        <v>72</v>
      </c>
      <c r="AJ19" s="134" t="s">
        <v>72</v>
      </c>
      <c r="AK19" s="134" t="s">
        <v>72</v>
      </c>
    </row>
    <row r="20" spans="1:37" ht="156" customHeight="1">
      <c r="A20" s="95" t="s">
        <v>144</v>
      </c>
      <c r="B20" s="134" t="s">
        <v>145</v>
      </c>
      <c r="C20" s="138" t="s">
        <v>123</v>
      </c>
      <c r="D20" s="134" t="s">
        <v>868</v>
      </c>
      <c r="E20" s="138" t="s">
        <v>123</v>
      </c>
      <c r="F20" s="138" t="s">
        <v>123</v>
      </c>
      <c r="G20" s="139" t="s">
        <v>123</v>
      </c>
      <c r="H20" s="138" t="s">
        <v>123</v>
      </c>
      <c r="I20" s="138" t="s">
        <v>123</v>
      </c>
      <c r="J20" s="138" t="s">
        <v>123</v>
      </c>
      <c r="K20" s="134" t="s">
        <v>146</v>
      </c>
      <c r="L20" s="138" t="s">
        <v>123</v>
      </c>
      <c r="M20" s="134" t="s">
        <v>146</v>
      </c>
      <c r="N20" s="138" t="s">
        <v>123</v>
      </c>
      <c r="O20" s="138" t="s">
        <v>123</v>
      </c>
      <c r="P20" s="138" t="s">
        <v>123</v>
      </c>
      <c r="Q20" s="95" t="s">
        <v>123</v>
      </c>
      <c r="R20" s="134" t="s">
        <v>146</v>
      </c>
      <c r="S20" s="148" t="s">
        <v>123</v>
      </c>
      <c r="T20" s="166" t="s">
        <v>869</v>
      </c>
      <c r="U20" s="138" t="s">
        <v>123</v>
      </c>
      <c r="V20" s="134" t="s">
        <v>147</v>
      </c>
      <c r="W20" s="138" t="s">
        <v>123</v>
      </c>
      <c r="X20" s="134" t="s">
        <v>148</v>
      </c>
      <c r="Y20" s="189" t="s">
        <v>123</v>
      </c>
      <c r="Z20" s="176" t="s">
        <v>149</v>
      </c>
      <c r="AA20" s="138" t="s">
        <v>123</v>
      </c>
      <c r="AB20" s="134" t="s">
        <v>147</v>
      </c>
      <c r="AC20" s="134" t="s">
        <v>741</v>
      </c>
      <c r="AD20" s="138" t="s">
        <v>711</v>
      </c>
      <c r="AE20" s="134" t="s">
        <v>150</v>
      </c>
      <c r="AF20" s="148" t="s">
        <v>123</v>
      </c>
      <c r="AG20" s="134" t="s">
        <v>868</v>
      </c>
      <c r="AH20" s="166" t="s">
        <v>701</v>
      </c>
      <c r="AI20" s="308" t="s">
        <v>123</v>
      </c>
      <c r="AJ20" s="138" t="s">
        <v>123</v>
      </c>
      <c r="AK20" s="134" t="s">
        <v>741</v>
      </c>
    </row>
    <row r="21" spans="1:37" ht="45.6">
      <c r="A21" s="95" t="s">
        <v>151</v>
      </c>
      <c r="B21" s="156"/>
      <c r="C21" s="138" t="s">
        <v>152</v>
      </c>
      <c r="D21" s="134" t="s">
        <v>153</v>
      </c>
      <c r="E21" s="138" t="s">
        <v>152</v>
      </c>
      <c r="F21" s="138" t="s">
        <v>152</v>
      </c>
      <c r="G21" s="138" t="s">
        <v>152</v>
      </c>
      <c r="H21" s="138" t="s">
        <v>152</v>
      </c>
      <c r="I21" s="138" t="s">
        <v>152</v>
      </c>
      <c r="J21" s="138" t="s">
        <v>154</v>
      </c>
      <c r="K21" s="134" t="s">
        <v>155</v>
      </c>
      <c r="L21" s="138" t="s">
        <v>156</v>
      </c>
      <c r="M21" s="134" t="s">
        <v>157</v>
      </c>
      <c r="N21" s="138" t="s">
        <v>152</v>
      </c>
      <c r="O21" s="138" t="s">
        <v>152</v>
      </c>
      <c r="P21" s="138" t="s">
        <v>152</v>
      </c>
      <c r="Q21" s="138" t="s">
        <v>152</v>
      </c>
      <c r="R21" s="134" t="s">
        <v>153</v>
      </c>
      <c r="S21" s="149" t="s">
        <v>152</v>
      </c>
      <c r="T21" s="166" t="s">
        <v>870</v>
      </c>
      <c r="U21" s="138" t="s">
        <v>152</v>
      </c>
      <c r="V21" s="134" t="s">
        <v>153</v>
      </c>
      <c r="W21" s="138" t="s">
        <v>152</v>
      </c>
      <c r="X21" s="134" t="s">
        <v>153</v>
      </c>
      <c r="Y21" s="189" t="s">
        <v>152</v>
      </c>
      <c r="Z21" s="176" t="s">
        <v>153</v>
      </c>
      <c r="AA21" s="138" t="s">
        <v>152</v>
      </c>
      <c r="AB21" s="134" t="s">
        <v>153</v>
      </c>
      <c r="AC21" s="134" t="s">
        <v>740</v>
      </c>
      <c r="AD21" s="138" t="s">
        <v>152</v>
      </c>
      <c r="AE21" s="134" t="s">
        <v>158</v>
      </c>
      <c r="AF21" s="149" t="s">
        <v>152</v>
      </c>
      <c r="AG21" s="134" t="s">
        <v>153</v>
      </c>
      <c r="AH21" s="166" t="s">
        <v>313</v>
      </c>
      <c r="AI21" s="308" t="s">
        <v>152</v>
      </c>
      <c r="AJ21" s="138" t="s">
        <v>152</v>
      </c>
      <c r="AK21" s="134" t="s">
        <v>153</v>
      </c>
    </row>
    <row r="22" spans="1:37" ht="34.200000000000003">
      <c r="A22" s="95" t="s">
        <v>159</v>
      </c>
      <c r="B22" s="156"/>
      <c r="C22" s="138" t="s">
        <v>160</v>
      </c>
      <c r="D22" s="138" t="s">
        <v>160</v>
      </c>
      <c r="E22" s="138" t="s">
        <v>160</v>
      </c>
      <c r="F22" s="138" t="s">
        <v>160</v>
      </c>
      <c r="G22" s="138" t="s">
        <v>160</v>
      </c>
      <c r="H22" s="138" t="s">
        <v>160</v>
      </c>
      <c r="I22" s="138" t="s">
        <v>160</v>
      </c>
      <c r="J22" s="138" t="s">
        <v>160</v>
      </c>
      <c r="K22" s="138" t="s">
        <v>160</v>
      </c>
      <c r="L22" s="138" t="s">
        <v>161</v>
      </c>
      <c r="M22" s="138" t="s">
        <v>161</v>
      </c>
      <c r="N22" s="138" t="s">
        <v>160</v>
      </c>
      <c r="O22" s="138" t="s">
        <v>160</v>
      </c>
      <c r="P22" s="138" t="s">
        <v>160</v>
      </c>
      <c r="Q22" s="138" t="s">
        <v>160</v>
      </c>
      <c r="R22" s="138" t="s">
        <v>160</v>
      </c>
      <c r="S22" s="149" t="s">
        <v>160</v>
      </c>
      <c r="T22" s="160" t="s">
        <v>160</v>
      </c>
      <c r="U22" s="138" t="s">
        <v>160</v>
      </c>
      <c r="V22" s="138" t="s">
        <v>160</v>
      </c>
      <c r="W22" s="138" t="s">
        <v>160</v>
      </c>
      <c r="X22" s="138" t="s">
        <v>160</v>
      </c>
      <c r="Y22" s="189" t="s">
        <v>160</v>
      </c>
      <c r="Z22" s="189" t="s">
        <v>160</v>
      </c>
      <c r="AA22" s="138" t="s">
        <v>752</v>
      </c>
      <c r="AB22" s="138" t="s">
        <v>160</v>
      </c>
      <c r="AC22" s="138" t="s">
        <v>752</v>
      </c>
      <c r="AD22" s="138" t="s">
        <v>160</v>
      </c>
      <c r="AE22" s="134" t="s">
        <v>162</v>
      </c>
      <c r="AF22" s="149" t="s">
        <v>163</v>
      </c>
      <c r="AG22" s="138" t="s">
        <v>160</v>
      </c>
      <c r="AH22" s="160" t="s">
        <v>160</v>
      </c>
      <c r="AI22" s="308" t="s">
        <v>160</v>
      </c>
      <c r="AJ22" s="138" t="s">
        <v>160</v>
      </c>
      <c r="AK22" s="138" t="s">
        <v>160</v>
      </c>
    </row>
    <row r="23" spans="1:37">
      <c r="A23" s="95" t="s">
        <v>164</v>
      </c>
      <c r="B23" s="156">
        <v>1</v>
      </c>
      <c r="C23" s="134" t="s">
        <v>72</v>
      </c>
      <c r="D23" s="134" t="s">
        <v>72</v>
      </c>
      <c r="E23" s="134" t="s">
        <v>72</v>
      </c>
      <c r="F23" s="134" t="s">
        <v>72</v>
      </c>
      <c r="G23" s="134" t="s">
        <v>72</v>
      </c>
      <c r="H23" s="134" t="s">
        <v>72</v>
      </c>
      <c r="I23" s="134" t="s">
        <v>72</v>
      </c>
      <c r="J23" s="134" t="s">
        <v>72</v>
      </c>
      <c r="K23" s="134" t="s">
        <v>72</v>
      </c>
      <c r="L23" s="134" t="s">
        <v>72</v>
      </c>
      <c r="M23" s="134" t="s">
        <v>72</v>
      </c>
      <c r="N23" s="134" t="s">
        <v>72</v>
      </c>
      <c r="O23" s="134" t="s">
        <v>72</v>
      </c>
      <c r="P23" s="134" t="s">
        <v>72</v>
      </c>
      <c r="Q23" s="134" t="s">
        <v>72</v>
      </c>
      <c r="R23" s="134" t="s">
        <v>72</v>
      </c>
      <c r="S23" s="148" t="s">
        <v>72</v>
      </c>
      <c r="T23" s="166" t="s">
        <v>72</v>
      </c>
      <c r="U23" s="134" t="s">
        <v>72</v>
      </c>
      <c r="V23" s="134" t="s">
        <v>72</v>
      </c>
      <c r="W23" s="134" t="s">
        <v>72</v>
      </c>
      <c r="X23" s="134" t="s">
        <v>72</v>
      </c>
      <c r="Y23" s="176" t="s">
        <v>72</v>
      </c>
      <c r="Z23" s="176" t="s">
        <v>72</v>
      </c>
      <c r="AA23" s="134" t="s">
        <v>72</v>
      </c>
      <c r="AB23" s="134" t="s">
        <v>72</v>
      </c>
      <c r="AC23" s="134" t="s">
        <v>72</v>
      </c>
      <c r="AD23" s="134" t="s">
        <v>72</v>
      </c>
      <c r="AE23" s="134" t="s">
        <v>72</v>
      </c>
      <c r="AF23" s="148" t="s">
        <v>72</v>
      </c>
      <c r="AG23" s="134" t="s">
        <v>72</v>
      </c>
      <c r="AH23" s="134" t="s">
        <v>72</v>
      </c>
      <c r="AI23" s="289" t="s">
        <v>72</v>
      </c>
      <c r="AJ23" s="134" t="s">
        <v>72</v>
      </c>
      <c r="AK23" s="134" t="s">
        <v>72</v>
      </c>
    </row>
    <row r="24" spans="1:37" ht="22.8">
      <c r="A24" s="95" t="s">
        <v>165</v>
      </c>
      <c r="B24" s="156"/>
      <c r="C24" s="138" t="s">
        <v>166</v>
      </c>
      <c r="D24" s="138" t="s">
        <v>166</v>
      </c>
      <c r="E24" s="95" t="s">
        <v>167</v>
      </c>
      <c r="F24" s="138" t="s">
        <v>166</v>
      </c>
      <c r="G24" s="138" t="s">
        <v>166</v>
      </c>
      <c r="H24" s="138" t="s">
        <v>166</v>
      </c>
      <c r="I24" s="138" t="s">
        <v>166</v>
      </c>
      <c r="J24" s="138" t="s">
        <v>166</v>
      </c>
      <c r="K24" s="138" t="s">
        <v>166</v>
      </c>
      <c r="L24" s="95" t="s">
        <v>167</v>
      </c>
      <c r="M24" s="95" t="s">
        <v>168</v>
      </c>
      <c r="N24" s="95" t="s">
        <v>167</v>
      </c>
      <c r="O24" s="95" t="s">
        <v>167</v>
      </c>
      <c r="P24" s="138" t="s">
        <v>166</v>
      </c>
      <c r="Q24" s="138" t="s">
        <v>166</v>
      </c>
      <c r="R24" s="138" t="s">
        <v>166</v>
      </c>
      <c r="S24" s="148" t="s">
        <v>166</v>
      </c>
      <c r="T24" s="160" t="s">
        <v>166</v>
      </c>
      <c r="U24" s="138" t="s">
        <v>166</v>
      </c>
      <c r="V24" s="138" t="s">
        <v>166</v>
      </c>
      <c r="W24" s="138" t="s">
        <v>166</v>
      </c>
      <c r="X24" s="138" t="s">
        <v>166</v>
      </c>
      <c r="Y24" s="189" t="s">
        <v>166</v>
      </c>
      <c r="Z24" s="189" t="s">
        <v>166</v>
      </c>
      <c r="AA24" s="138" t="s">
        <v>166</v>
      </c>
      <c r="AB24" s="138" t="s">
        <v>166</v>
      </c>
      <c r="AC24" s="95" t="s">
        <v>794</v>
      </c>
      <c r="AD24" s="138" t="s">
        <v>166</v>
      </c>
      <c r="AE24" s="134" t="s">
        <v>169</v>
      </c>
      <c r="AF24" s="148" t="s">
        <v>167</v>
      </c>
      <c r="AG24" s="138" t="s">
        <v>166</v>
      </c>
      <c r="AH24" s="160" t="s">
        <v>166</v>
      </c>
      <c r="AI24" s="308" t="s">
        <v>166</v>
      </c>
      <c r="AJ24" s="138" t="s">
        <v>166</v>
      </c>
      <c r="AK24" s="138" t="s">
        <v>166</v>
      </c>
    </row>
    <row r="25" spans="1:37" ht="22.8">
      <c r="A25" s="95" t="s">
        <v>170</v>
      </c>
      <c r="B25" s="156"/>
      <c r="C25" s="93" t="s">
        <v>171</v>
      </c>
      <c r="D25" s="93" t="s">
        <v>171</v>
      </c>
      <c r="E25" s="95" t="s">
        <v>172</v>
      </c>
      <c r="F25" s="93"/>
      <c r="G25" s="93"/>
      <c r="H25" s="93" t="s">
        <v>171</v>
      </c>
      <c r="I25" s="93" t="s">
        <v>171</v>
      </c>
      <c r="J25" s="93" t="s">
        <v>171</v>
      </c>
      <c r="K25" s="93" t="s">
        <v>171</v>
      </c>
      <c r="L25" s="95" t="s">
        <v>172</v>
      </c>
      <c r="M25" s="95" t="s">
        <v>172</v>
      </c>
      <c r="N25" s="95" t="s">
        <v>172</v>
      </c>
      <c r="O25" s="95" t="s">
        <v>172</v>
      </c>
      <c r="P25" s="93" t="s">
        <v>171</v>
      </c>
      <c r="Q25" s="93" t="s">
        <v>171</v>
      </c>
      <c r="R25" s="93" t="s">
        <v>171</v>
      </c>
      <c r="S25" s="149" t="s">
        <v>171</v>
      </c>
      <c r="T25" s="149" t="s">
        <v>171</v>
      </c>
      <c r="U25" s="93" t="s">
        <v>171</v>
      </c>
      <c r="V25" s="93" t="s">
        <v>171</v>
      </c>
      <c r="W25" s="93" t="s">
        <v>171</v>
      </c>
      <c r="X25" s="93" t="s">
        <v>171</v>
      </c>
      <c r="Y25" s="176" t="s">
        <v>171</v>
      </c>
      <c r="Z25" s="176" t="s">
        <v>171</v>
      </c>
      <c r="AA25" s="93" t="s">
        <v>171</v>
      </c>
      <c r="AB25" s="93" t="s">
        <v>171</v>
      </c>
      <c r="AC25" s="95" t="s">
        <v>172</v>
      </c>
      <c r="AD25" s="93" t="s">
        <v>171</v>
      </c>
      <c r="AE25" s="134" t="s">
        <v>173</v>
      </c>
      <c r="AF25" s="149" t="s">
        <v>171</v>
      </c>
      <c r="AG25" s="93" t="s">
        <v>171</v>
      </c>
      <c r="AH25" s="166" t="s">
        <v>318</v>
      </c>
      <c r="AI25" s="312" t="s">
        <v>171</v>
      </c>
      <c r="AJ25" s="93" t="s">
        <v>318</v>
      </c>
      <c r="AK25" s="93" t="s">
        <v>318</v>
      </c>
    </row>
    <row r="26" spans="1:37" ht="64.349999999999994" customHeight="1">
      <c r="A26" s="98" t="s">
        <v>174</v>
      </c>
      <c r="B26" s="141" t="s">
        <v>175</v>
      </c>
      <c r="C26" s="139" t="s">
        <v>176</v>
      </c>
      <c r="D26" s="139" t="s">
        <v>176</v>
      </c>
      <c r="E26" s="139" t="s">
        <v>177</v>
      </c>
      <c r="F26" s="139" t="s">
        <v>178</v>
      </c>
      <c r="G26" s="139" t="s">
        <v>178</v>
      </c>
      <c r="H26" s="139" t="s">
        <v>179</v>
      </c>
      <c r="I26" s="139" t="s">
        <v>180</v>
      </c>
      <c r="J26" s="139" t="s">
        <v>181</v>
      </c>
      <c r="K26" s="139" t="s">
        <v>179</v>
      </c>
      <c r="L26" s="139" t="s">
        <v>178</v>
      </c>
      <c r="M26" s="139" t="s">
        <v>178</v>
      </c>
      <c r="N26" s="139" t="s">
        <v>179</v>
      </c>
      <c r="O26" s="139" t="s">
        <v>179</v>
      </c>
      <c r="P26" s="139" t="s">
        <v>181</v>
      </c>
      <c r="Q26" s="139" t="s">
        <v>182</v>
      </c>
      <c r="R26" s="139" t="s">
        <v>179</v>
      </c>
      <c r="S26" s="149" t="s">
        <v>179</v>
      </c>
      <c r="T26" s="166" t="s">
        <v>179</v>
      </c>
      <c r="U26" s="139" t="s">
        <v>179</v>
      </c>
      <c r="V26" s="139" t="s">
        <v>179</v>
      </c>
      <c r="W26" s="139" t="s">
        <v>179</v>
      </c>
      <c r="X26" s="139" t="s">
        <v>179</v>
      </c>
      <c r="Y26" s="122" t="s">
        <v>183</v>
      </c>
      <c r="Z26" s="122" t="s">
        <v>179</v>
      </c>
      <c r="AA26" s="139" t="s">
        <v>675</v>
      </c>
      <c r="AB26" s="139" t="s">
        <v>179</v>
      </c>
      <c r="AC26" s="139" t="s">
        <v>742</v>
      </c>
      <c r="AD26" s="139" t="s">
        <v>179</v>
      </c>
      <c r="AE26" s="134" t="s">
        <v>184</v>
      </c>
      <c r="AF26" s="149" t="s">
        <v>179</v>
      </c>
      <c r="AG26" s="139" t="s">
        <v>926</v>
      </c>
      <c r="AH26" s="139" t="s">
        <v>703</v>
      </c>
      <c r="AI26" s="313" t="s">
        <v>849</v>
      </c>
      <c r="AJ26" s="139" t="s">
        <v>911</v>
      </c>
      <c r="AK26" s="139" t="s">
        <v>911</v>
      </c>
    </row>
    <row r="27" spans="1:37" ht="71.25" customHeight="1">
      <c r="A27" s="98" t="s">
        <v>185</v>
      </c>
      <c r="B27" s="141" t="s">
        <v>186</v>
      </c>
      <c r="C27" s="93" t="s">
        <v>187</v>
      </c>
      <c r="D27" s="93" t="s">
        <v>187</v>
      </c>
      <c r="E27" s="93" t="s">
        <v>188</v>
      </c>
      <c r="F27" s="93" t="s">
        <v>189</v>
      </c>
      <c r="G27" s="93" t="s">
        <v>189</v>
      </c>
      <c r="H27" s="93" t="s">
        <v>187</v>
      </c>
      <c r="I27" s="93" t="s">
        <v>190</v>
      </c>
      <c r="J27" s="93" t="s">
        <v>187</v>
      </c>
      <c r="K27" s="93" t="s">
        <v>187</v>
      </c>
      <c r="L27" s="93" t="s">
        <v>188</v>
      </c>
      <c r="M27" s="93" t="s">
        <v>188</v>
      </c>
      <c r="N27" s="93" t="s">
        <v>187</v>
      </c>
      <c r="O27" s="93" t="s">
        <v>187</v>
      </c>
      <c r="P27" s="93" t="s">
        <v>191</v>
      </c>
      <c r="Q27" s="93" t="s">
        <v>192</v>
      </c>
      <c r="R27" s="93" t="s">
        <v>187</v>
      </c>
      <c r="S27" s="149" t="s">
        <v>187</v>
      </c>
      <c r="T27" s="149" t="s">
        <v>187</v>
      </c>
      <c r="U27" s="93" t="s">
        <v>187</v>
      </c>
      <c r="V27" s="93" t="s">
        <v>187</v>
      </c>
      <c r="W27" s="93" t="s">
        <v>187</v>
      </c>
      <c r="X27" s="93" t="s">
        <v>187</v>
      </c>
      <c r="Y27" s="176" t="s">
        <v>187</v>
      </c>
      <c r="Z27" s="176" t="s">
        <v>187</v>
      </c>
      <c r="AA27" s="93" t="s">
        <v>187</v>
      </c>
      <c r="AB27" s="93" t="s">
        <v>187</v>
      </c>
      <c r="AC27" s="93" t="s">
        <v>188</v>
      </c>
      <c r="AD27" s="93" t="s">
        <v>187</v>
      </c>
      <c r="AE27" s="134" t="s">
        <v>193</v>
      </c>
      <c r="AF27" s="149" t="s">
        <v>187</v>
      </c>
      <c r="AG27" s="93" t="s">
        <v>187</v>
      </c>
      <c r="AH27" s="134" t="s">
        <v>702</v>
      </c>
      <c r="AI27" s="312" t="s">
        <v>187</v>
      </c>
      <c r="AJ27" s="93" t="s">
        <v>187</v>
      </c>
      <c r="AK27" s="93" t="s">
        <v>187</v>
      </c>
    </row>
    <row r="28" spans="1:37">
      <c r="A28" s="95" t="s">
        <v>194</v>
      </c>
      <c r="B28" s="156" t="s">
        <v>195</v>
      </c>
      <c r="C28" s="134" t="s">
        <v>72</v>
      </c>
      <c r="D28" s="134" t="s">
        <v>72</v>
      </c>
      <c r="E28" s="134" t="s">
        <v>72</v>
      </c>
      <c r="F28" s="134" t="s">
        <v>72</v>
      </c>
      <c r="G28" s="134" t="s">
        <v>72</v>
      </c>
      <c r="H28" s="134" t="s">
        <v>72</v>
      </c>
      <c r="I28" s="134" t="s">
        <v>72</v>
      </c>
      <c r="J28" s="134" t="s">
        <v>72</v>
      </c>
      <c r="K28" s="134" t="s">
        <v>72</v>
      </c>
      <c r="L28" s="134" t="s">
        <v>72</v>
      </c>
      <c r="M28" s="134" t="s">
        <v>72</v>
      </c>
      <c r="N28" s="134" t="s">
        <v>72</v>
      </c>
      <c r="O28" s="134" t="s">
        <v>72</v>
      </c>
      <c r="P28" s="134" t="s">
        <v>72</v>
      </c>
      <c r="Q28" s="134" t="s">
        <v>72</v>
      </c>
      <c r="R28" s="134" t="s">
        <v>72</v>
      </c>
      <c r="S28" s="148" t="s">
        <v>72</v>
      </c>
      <c r="T28" s="166" t="s">
        <v>72</v>
      </c>
      <c r="U28" s="134" t="s">
        <v>72</v>
      </c>
      <c r="V28" s="134" t="s">
        <v>72</v>
      </c>
      <c r="W28" s="134" t="s">
        <v>72</v>
      </c>
      <c r="X28" s="134" t="s">
        <v>72</v>
      </c>
      <c r="Y28" s="176" t="s">
        <v>72</v>
      </c>
      <c r="Z28" s="176" t="s">
        <v>72</v>
      </c>
      <c r="AA28" s="134" t="s">
        <v>72</v>
      </c>
      <c r="AB28" s="134" t="s">
        <v>72</v>
      </c>
      <c r="AC28" s="134" t="s">
        <v>72</v>
      </c>
      <c r="AD28" s="134" t="s">
        <v>72</v>
      </c>
      <c r="AE28" s="134" t="s">
        <v>72</v>
      </c>
      <c r="AF28" s="148" t="s">
        <v>72</v>
      </c>
      <c r="AG28" s="134" t="s">
        <v>72</v>
      </c>
      <c r="AH28" s="134" t="s">
        <v>72</v>
      </c>
      <c r="AI28" s="289" t="s">
        <v>72</v>
      </c>
      <c r="AJ28" s="134" t="s">
        <v>72</v>
      </c>
      <c r="AK28" s="134" t="s">
        <v>72</v>
      </c>
    </row>
    <row r="29" spans="1:37">
      <c r="A29" s="95" t="s">
        <v>196</v>
      </c>
      <c r="B29" s="156" t="s">
        <v>197</v>
      </c>
      <c r="C29" s="134" t="s">
        <v>72</v>
      </c>
      <c r="D29" s="134" t="s">
        <v>72</v>
      </c>
      <c r="E29" s="134" t="s">
        <v>72</v>
      </c>
      <c r="F29" s="134" t="s">
        <v>72</v>
      </c>
      <c r="G29" s="134" t="s">
        <v>72</v>
      </c>
      <c r="H29" s="134" t="s">
        <v>72</v>
      </c>
      <c r="I29" s="134" t="s">
        <v>72</v>
      </c>
      <c r="J29" s="134" t="s">
        <v>72</v>
      </c>
      <c r="K29" s="134" t="s">
        <v>72</v>
      </c>
      <c r="L29" s="134" t="s">
        <v>72</v>
      </c>
      <c r="M29" s="134" t="s">
        <v>72</v>
      </c>
      <c r="N29" s="134" t="s">
        <v>72</v>
      </c>
      <c r="O29" s="134" t="s">
        <v>72</v>
      </c>
      <c r="P29" s="134" t="s">
        <v>72</v>
      </c>
      <c r="Q29" s="134" t="s">
        <v>72</v>
      </c>
      <c r="R29" s="134" t="s">
        <v>72</v>
      </c>
      <c r="S29" s="148" t="s">
        <v>72</v>
      </c>
      <c r="T29" s="166" t="s">
        <v>72</v>
      </c>
      <c r="U29" s="134" t="s">
        <v>72</v>
      </c>
      <c r="V29" s="134" t="s">
        <v>72</v>
      </c>
      <c r="W29" s="134" t="s">
        <v>72</v>
      </c>
      <c r="X29" s="134" t="s">
        <v>72</v>
      </c>
      <c r="Y29" s="176" t="s">
        <v>72</v>
      </c>
      <c r="Z29" s="176" t="s">
        <v>72</v>
      </c>
      <c r="AA29" s="134" t="s">
        <v>72</v>
      </c>
      <c r="AB29" s="134" t="s">
        <v>72</v>
      </c>
      <c r="AC29" s="134" t="s">
        <v>72</v>
      </c>
      <c r="AD29" s="134" t="s">
        <v>72</v>
      </c>
      <c r="AE29" s="134" t="s">
        <v>72</v>
      </c>
      <c r="AF29" s="148" t="s">
        <v>72</v>
      </c>
      <c r="AG29" s="134" t="s">
        <v>72</v>
      </c>
      <c r="AH29" s="134" t="s">
        <v>72</v>
      </c>
      <c r="AI29" s="289" t="s">
        <v>72</v>
      </c>
      <c r="AJ29" s="134" t="s">
        <v>72</v>
      </c>
      <c r="AK29" s="134" t="s">
        <v>72</v>
      </c>
    </row>
    <row r="30" spans="1:37" ht="22.8">
      <c r="A30" s="95" t="s">
        <v>198</v>
      </c>
      <c r="B30" s="156"/>
      <c r="C30" s="134" t="s">
        <v>199</v>
      </c>
      <c r="D30" s="134" t="s">
        <v>199</v>
      </c>
      <c r="E30" s="134" t="s">
        <v>199</v>
      </c>
      <c r="F30" s="134" t="s">
        <v>199</v>
      </c>
      <c r="G30" s="134" t="s">
        <v>199</v>
      </c>
      <c r="H30" s="134" t="s">
        <v>199</v>
      </c>
      <c r="I30" s="134" t="s">
        <v>199</v>
      </c>
      <c r="J30" s="134" t="s">
        <v>199</v>
      </c>
      <c r="K30" s="134" t="s">
        <v>199</v>
      </c>
      <c r="L30" s="134" t="s">
        <v>199</v>
      </c>
      <c r="M30" s="134" t="s">
        <v>199</v>
      </c>
      <c r="N30" s="95" t="s">
        <v>200</v>
      </c>
      <c r="O30" s="288" t="s">
        <v>822</v>
      </c>
      <c r="P30" s="134" t="s">
        <v>199</v>
      </c>
      <c r="Q30" s="134" t="s">
        <v>199</v>
      </c>
      <c r="R30" s="134" t="s">
        <v>199</v>
      </c>
      <c r="S30" s="148" t="s">
        <v>199</v>
      </c>
      <c r="T30" s="166" t="s">
        <v>199</v>
      </c>
      <c r="U30" s="134" t="s">
        <v>199</v>
      </c>
      <c r="V30" s="134" t="s">
        <v>199</v>
      </c>
      <c r="W30" s="134" t="s">
        <v>199</v>
      </c>
      <c r="X30" s="134" t="s">
        <v>199</v>
      </c>
      <c r="Y30" s="176" t="s">
        <v>199</v>
      </c>
      <c r="Z30" s="176" t="s">
        <v>199</v>
      </c>
      <c r="AA30" s="134" t="s">
        <v>199</v>
      </c>
      <c r="AB30" s="216" t="s">
        <v>668</v>
      </c>
      <c r="AC30" s="134" t="s">
        <v>199</v>
      </c>
      <c r="AD30" s="134" t="s">
        <v>199</v>
      </c>
      <c r="AE30" s="134" t="s">
        <v>199</v>
      </c>
      <c r="AF30" s="215" t="s">
        <v>667</v>
      </c>
      <c r="AG30" s="134" t="s">
        <v>199</v>
      </c>
      <c r="AH30" s="134" t="s">
        <v>199</v>
      </c>
      <c r="AI30" s="289" t="s">
        <v>199</v>
      </c>
      <c r="AJ30" s="134" t="s">
        <v>199</v>
      </c>
      <c r="AK30" s="134" t="s">
        <v>199</v>
      </c>
    </row>
    <row r="31" spans="1:37">
      <c r="C31" s="165"/>
      <c r="D31" s="95"/>
      <c r="E31" s="95"/>
      <c r="F31" s="165"/>
      <c r="G31" s="95"/>
      <c r="H31" s="165"/>
      <c r="I31" s="165"/>
      <c r="J31" s="165"/>
      <c r="K31" s="95"/>
      <c r="L31" s="95"/>
      <c r="M31" s="95"/>
      <c r="N31" s="95"/>
      <c r="O31" s="95"/>
      <c r="P31" s="165"/>
      <c r="Q31" s="95"/>
      <c r="R31" s="95"/>
      <c r="S31" s="148"/>
      <c r="T31" s="148"/>
      <c r="U31" s="165"/>
      <c r="V31" s="95"/>
      <c r="W31" s="95"/>
      <c r="X31" s="95"/>
      <c r="Y31" s="188"/>
      <c r="Z31" s="188"/>
      <c r="AA31" s="165"/>
      <c r="AB31" s="95"/>
      <c r="AC31" s="95"/>
      <c r="AD31" s="165"/>
      <c r="AE31" s="134"/>
      <c r="AF31" s="148"/>
      <c r="AG31" s="95"/>
      <c r="AH31" s="156"/>
      <c r="AI31" s="314"/>
      <c r="AJ31" s="165"/>
      <c r="AK31" s="95"/>
    </row>
    <row r="32" spans="1:37">
      <c r="A32" s="129" t="s">
        <v>202</v>
      </c>
      <c r="B32" s="179" t="s">
        <v>203</v>
      </c>
      <c r="C32" s="134"/>
      <c r="D32" s="95"/>
      <c r="E32" s="95"/>
      <c r="F32" s="134"/>
      <c r="G32" s="95"/>
      <c r="H32" s="134"/>
      <c r="I32" s="134"/>
      <c r="J32" s="134"/>
      <c r="K32" s="95"/>
      <c r="L32" s="95"/>
      <c r="M32" s="95"/>
      <c r="N32" s="95"/>
      <c r="O32" s="95"/>
      <c r="P32" s="134"/>
      <c r="Q32" s="95"/>
      <c r="R32" s="95"/>
      <c r="S32" s="148"/>
      <c r="T32" s="148"/>
      <c r="U32" s="134"/>
      <c r="V32" s="95"/>
      <c r="W32" s="95"/>
      <c r="X32" s="95"/>
      <c r="Y32" s="188"/>
      <c r="Z32" s="188"/>
      <c r="AA32" s="134"/>
      <c r="AB32" s="95"/>
      <c r="AC32" s="95"/>
      <c r="AD32" s="134"/>
      <c r="AE32" s="134"/>
      <c r="AF32" s="148"/>
      <c r="AG32" s="95"/>
      <c r="AH32" s="156"/>
      <c r="AI32" s="289"/>
      <c r="AJ32" s="134"/>
      <c r="AK32" s="95"/>
    </row>
    <row r="33" spans="1:37">
      <c r="A33" s="98" t="s">
        <v>204</v>
      </c>
      <c r="B33" s="141" t="s">
        <v>205</v>
      </c>
      <c r="C33" s="142" t="s">
        <v>72</v>
      </c>
      <c r="D33" s="142" t="s">
        <v>72</v>
      </c>
      <c r="E33" s="142" t="s">
        <v>72</v>
      </c>
      <c r="F33" s="142" t="s">
        <v>72</v>
      </c>
      <c r="G33" s="142" t="s">
        <v>72</v>
      </c>
      <c r="H33" s="142" t="s">
        <v>72</v>
      </c>
      <c r="I33" s="142" t="s">
        <v>72</v>
      </c>
      <c r="J33" s="142" t="s">
        <v>72</v>
      </c>
      <c r="K33" s="142" t="s">
        <v>72</v>
      </c>
      <c r="L33" s="142" t="s">
        <v>72</v>
      </c>
      <c r="M33" s="142" t="s">
        <v>72</v>
      </c>
      <c r="N33" s="142" t="s">
        <v>72</v>
      </c>
      <c r="O33" s="142" t="s">
        <v>72</v>
      </c>
      <c r="P33" s="142" t="s">
        <v>72</v>
      </c>
      <c r="Q33" s="142" t="s">
        <v>72</v>
      </c>
      <c r="R33" s="142" t="s">
        <v>72</v>
      </c>
      <c r="S33" s="148" t="s">
        <v>72</v>
      </c>
      <c r="T33" s="158" t="s">
        <v>72</v>
      </c>
      <c r="U33" s="142" t="s">
        <v>72</v>
      </c>
      <c r="V33" s="142" t="s">
        <v>72</v>
      </c>
      <c r="W33" s="142" t="s">
        <v>72</v>
      </c>
      <c r="X33" s="142" t="s">
        <v>72</v>
      </c>
      <c r="Y33" s="177" t="s">
        <v>72</v>
      </c>
      <c r="Z33" s="177" t="s">
        <v>72</v>
      </c>
      <c r="AA33" s="142" t="s">
        <v>72</v>
      </c>
      <c r="AB33" s="142" t="s">
        <v>72</v>
      </c>
      <c r="AC33" s="142" t="s">
        <v>72</v>
      </c>
      <c r="AD33" s="142" t="s">
        <v>72</v>
      </c>
      <c r="AE33" s="134" t="s">
        <v>72</v>
      </c>
      <c r="AF33" s="148" t="s">
        <v>72</v>
      </c>
      <c r="AG33" s="142" t="s">
        <v>72</v>
      </c>
      <c r="AH33" s="142" t="s">
        <v>72</v>
      </c>
      <c r="AI33" s="315" t="s">
        <v>72</v>
      </c>
      <c r="AJ33" s="142" t="s">
        <v>72</v>
      </c>
      <c r="AK33" s="142" t="s">
        <v>72</v>
      </c>
    </row>
    <row r="34" spans="1:37">
      <c r="A34" s="98" t="s">
        <v>206</v>
      </c>
      <c r="B34" s="141" t="s">
        <v>207</v>
      </c>
      <c r="C34" s="139" t="s">
        <v>208</v>
      </c>
      <c r="D34" s="139" t="s">
        <v>208</v>
      </c>
      <c r="E34" s="139" t="s">
        <v>208</v>
      </c>
      <c r="F34" s="139" t="s">
        <v>208</v>
      </c>
      <c r="G34" s="139" t="s">
        <v>208</v>
      </c>
      <c r="H34" s="142" t="s">
        <v>72</v>
      </c>
      <c r="I34" s="142" t="s">
        <v>72</v>
      </c>
      <c r="J34" s="139" t="s">
        <v>208</v>
      </c>
      <c r="K34" s="139" t="s">
        <v>208</v>
      </c>
      <c r="L34" s="139" t="s">
        <v>208</v>
      </c>
      <c r="M34" s="139" t="s">
        <v>208</v>
      </c>
      <c r="N34" s="139" t="s">
        <v>208</v>
      </c>
      <c r="O34" s="139" t="s">
        <v>208</v>
      </c>
      <c r="P34" s="139" t="s">
        <v>208</v>
      </c>
      <c r="Q34" s="139" t="s">
        <v>208</v>
      </c>
      <c r="R34" s="139" t="s">
        <v>208</v>
      </c>
      <c r="S34" s="148" t="s">
        <v>208</v>
      </c>
      <c r="T34" s="166" t="s">
        <v>208</v>
      </c>
      <c r="U34" s="139" t="s">
        <v>208</v>
      </c>
      <c r="V34" s="139" t="s">
        <v>208</v>
      </c>
      <c r="W34" s="139" t="s">
        <v>208</v>
      </c>
      <c r="X34" s="139" t="s">
        <v>208</v>
      </c>
      <c r="Y34" s="122" t="s">
        <v>208</v>
      </c>
      <c r="Z34" s="122" t="s">
        <v>208</v>
      </c>
      <c r="AA34" s="139" t="s">
        <v>208</v>
      </c>
      <c r="AB34" s="139" t="s">
        <v>208</v>
      </c>
      <c r="AC34" s="139" t="s">
        <v>208</v>
      </c>
      <c r="AD34" s="139" t="s">
        <v>208</v>
      </c>
      <c r="AE34" s="134" t="s">
        <v>209</v>
      </c>
      <c r="AF34" s="148" t="s">
        <v>72</v>
      </c>
      <c r="AG34" s="142" t="s">
        <v>72</v>
      </c>
      <c r="AH34" s="142" t="s">
        <v>72</v>
      </c>
      <c r="AI34" s="313" t="s">
        <v>208</v>
      </c>
      <c r="AJ34" s="139" t="s">
        <v>208</v>
      </c>
      <c r="AK34" s="139" t="s">
        <v>208</v>
      </c>
    </row>
    <row r="35" spans="1:37">
      <c r="A35" s="98" t="s">
        <v>210</v>
      </c>
      <c r="B35" s="143"/>
      <c r="C35" s="141">
        <v>1</v>
      </c>
      <c r="D35" s="141">
        <v>1</v>
      </c>
      <c r="E35" s="141">
        <v>1</v>
      </c>
      <c r="F35" s="141">
        <v>1</v>
      </c>
      <c r="G35" s="141">
        <v>1</v>
      </c>
      <c r="H35" s="141">
        <v>1</v>
      </c>
      <c r="I35" s="141">
        <v>1</v>
      </c>
      <c r="J35" s="141">
        <v>1</v>
      </c>
      <c r="K35" s="141">
        <v>1</v>
      </c>
      <c r="L35" s="141">
        <v>1</v>
      </c>
      <c r="M35" s="141">
        <v>1</v>
      </c>
      <c r="N35" s="156">
        <v>0</v>
      </c>
      <c r="O35" s="156">
        <v>0</v>
      </c>
      <c r="P35" s="141">
        <v>1</v>
      </c>
      <c r="Q35" s="156">
        <v>1</v>
      </c>
      <c r="R35" s="141">
        <v>1</v>
      </c>
      <c r="S35" s="157">
        <v>1</v>
      </c>
      <c r="T35" s="158">
        <v>1</v>
      </c>
      <c r="U35" s="141">
        <v>1</v>
      </c>
      <c r="V35" s="141">
        <v>1</v>
      </c>
      <c r="W35" s="141">
        <v>1</v>
      </c>
      <c r="X35" s="141">
        <v>1</v>
      </c>
      <c r="Y35" s="102">
        <v>1</v>
      </c>
      <c r="Z35" s="102">
        <v>1</v>
      </c>
      <c r="AA35" s="222">
        <v>1</v>
      </c>
      <c r="AB35" s="222">
        <v>1</v>
      </c>
      <c r="AC35" s="222">
        <v>1</v>
      </c>
      <c r="AD35" s="141">
        <v>1</v>
      </c>
      <c r="AE35" s="134"/>
      <c r="AF35" s="157">
        <v>0</v>
      </c>
      <c r="AG35" s="347">
        <v>1</v>
      </c>
      <c r="AH35" s="158">
        <v>1</v>
      </c>
      <c r="AI35" s="316">
        <v>1</v>
      </c>
      <c r="AJ35" s="346">
        <v>0</v>
      </c>
      <c r="AK35" s="346">
        <v>0</v>
      </c>
    </row>
    <row r="36" spans="1:37" ht="14.25" customHeight="1">
      <c r="A36" s="374" t="s">
        <v>211</v>
      </c>
      <c r="B36" s="372" t="s">
        <v>212</v>
      </c>
      <c r="C36" s="372" t="s">
        <v>72</v>
      </c>
      <c r="D36" s="372" t="s">
        <v>72</v>
      </c>
      <c r="E36" s="372" t="s">
        <v>72</v>
      </c>
      <c r="F36" s="372" t="s">
        <v>72</v>
      </c>
      <c r="G36" s="372" t="s">
        <v>72</v>
      </c>
      <c r="H36" s="372" t="s">
        <v>72</v>
      </c>
      <c r="I36" s="372" t="s">
        <v>72</v>
      </c>
      <c r="J36" s="372" t="s">
        <v>72</v>
      </c>
      <c r="K36" s="372" t="s">
        <v>72</v>
      </c>
      <c r="L36" s="372" t="s">
        <v>72</v>
      </c>
      <c r="M36" s="372" t="s">
        <v>72</v>
      </c>
      <c r="N36" s="372" t="s">
        <v>72</v>
      </c>
      <c r="O36" s="372" t="s">
        <v>72</v>
      </c>
      <c r="P36" s="372" t="s">
        <v>72</v>
      </c>
      <c r="Q36" s="372" t="s">
        <v>72</v>
      </c>
      <c r="R36" s="372" t="s">
        <v>72</v>
      </c>
      <c r="S36" s="381" t="s">
        <v>72</v>
      </c>
      <c r="T36" s="339" t="s">
        <v>72</v>
      </c>
      <c r="U36" s="372" t="s">
        <v>72</v>
      </c>
      <c r="V36" s="372" t="s">
        <v>72</v>
      </c>
      <c r="W36" s="372" t="s">
        <v>72</v>
      </c>
      <c r="X36" s="372" t="s">
        <v>72</v>
      </c>
      <c r="Y36" s="383" t="s">
        <v>72</v>
      </c>
      <c r="Z36" s="385" t="s">
        <v>72</v>
      </c>
      <c r="AA36" s="228"/>
      <c r="AB36" s="257"/>
      <c r="AC36" s="258"/>
      <c r="AD36" s="372" t="s">
        <v>72</v>
      </c>
      <c r="AE36" s="134"/>
      <c r="AF36" s="381" t="s">
        <v>72</v>
      </c>
      <c r="AG36" s="372" t="s">
        <v>72</v>
      </c>
      <c r="AH36" s="222" t="s">
        <v>72</v>
      </c>
      <c r="AI36" s="317" t="s">
        <v>72</v>
      </c>
      <c r="AJ36" s="372" t="s">
        <v>72</v>
      </c>
      <c r="AK36" s="372" t="s">
        <v>72</v>
      </c>
    </row>
    <row r="37" spans="1:37">
      <c r="A37" s="375"/>
      <c r="B37" s="373"/>
      <c r="C37" s="373"/>
      <c r="D37" s="373"/>
      <c r="E37" s="373"/>
      <c r="F37" s="373"/>
      <c r="G37" s="373"/>
      <c r="H37" s="373"/>
      <c r="I37" s="373"/>
      <c r="J37" s="373"/>
      <c r="K37" s="373"/>
      <c r="L37" s="373"/>
      <c r="M37" s="373"/>
      <c r="N37" s="373"/>
      <c r="O37" s="373"/>
      <c r="P37" s="373"/>
      <c r="Q37" s="373"/>
      <c r="R37" s="373"/>
      <c r="S37" s="382"/>
      <c r="T37" s="340"/>
      <c r="U37" s="373"/>
      <c r="V37" s="373"/>
      <c r="W37" s="373"/>
      <c r="X37" s="373"/>
      <c r="Y37" s="384"/>
      <c r="Z37" s="386"/>
      <c r="AA37" s="256" t="s">
        <v>72</v>
      </c>
      <c r="AB37" s="222" t="s">
        <v>72</v>
      </c>
      <c r="AC37" s="222" t="s">
        <v>72</v>
      </c>
      <c r="AD37" s="373"/>
      <c r="AE37" s="134" t="s">
        <v>72</v>
      </c>
      <c r="AF37" s="382"/>
      <c r="AG37" s="373"/>
      <c r="AH37" s="222" t="s">
        <v>72</v>
      </c>
      <c r="AI37" s="318"/>
      <c r="AJ37" s="373"/>
      <c r="AK37" s="373"/>
    </row>
    <row r="38" spans="1:37">
      <c r="A38" s="98" t="s">
        <v>213</v>
      </c>
      <c r="B38" s="142" t="s">
        <v>214</v>
      </c>
      <c r="C38" s="141" t="s">
        <v>72</v>
      </c>
      <c r="D38" s="141" t="s">
        <v>72</v>
      </c>
      <c r="E38" s="141" t="s">
        <v>72</v>
      </c>
      <c r="F38" s="141" t="s">
        <v>72</v>
      </c>
      <c r="G38" s="141" t="s">
        <v>72</v>
      </c>
      <c r="H38" s="141" t="s">
        <v>72</v>
      </c>
      <c r="I38" s="141" t="s">
        <v>72</v>
      </c>
      <c r="J38" s="141" t="s">
        <v>72</v>
      </c>
      <c r="K38" s="141" t="s">
        <v>72</v>
      </c>
      <c r="L38" s="141" t="s">
        <v>72</v>
      </c>
      <c r="M38" s="141" t="s">
        <v>72</v>
      </c>
      <c r="N38" s="282" t="s">
        <v>72</v>
      </c>
      <c r="O38" s="141" t="s">
        <v>72</v>
      </c>
      <c r="P38" s="141" t="s">
        <v>72</v>
      </c>
      <c r="Q38" s="141" t="s">
        <v>72</v>
      </c>
      <c r="R38" s="141" t="s">
        <v>72</v>
      </c>
      <c r="S38" s="148" t="s">
        <v>72</v>
      </c>
      <c r="T38" s="158" t="s">
        <v>72</v>
      </c>
      <c r="U38" s="141" t="s">
        <v>72</v>
      </c>
      <c r="V38" s="141" t="s">
        <v>72</v>
      </c>
      <c r="W38" s="141" t="s">
        <v>72</v>
      </c>
      <c r="X38" s="141" t="s">
        <v>72</v>
      </c>
      <c r="Y38" s="102" t="s">
        <v>72</v>
      </c>
      <c r="Z38" s="102" t="s">
        <v>72</v>
      </c>
      <c r="AA38" s="222" t="s">
        <v>72</v>
      </c>
      <c r="AB38" s="222" t="s">
        <v>72</v>
      </c>
      <c r="AC38" s="222" t="s">
        <v>72</v>
      </c>
      <c r="AD38" s="141" t="s">
        <v>72</v>
      </c>
      <c r="AE38" s="134" t="s">
        <v>72</v>
      </c>
      <c r="AF38" s="148" t="s">
        <v>72</v>
      </c>
      <c r="AG38" s="347" t="s">
        <v>72</v>
      </c>
      <c r="AH38" s="222" t="s">
        <v>216</v>
      </c>
      <c r="AI38" s="316" t="s">
        <v>72</v>
      </c>
      <c r="AJ38" s="158" t="s">
        <v>912</v>
      </c>
      <c r="AK38" s="158" t="s">
        <v>912</v>
      </c>
    </row>
    <row r="39" spans="1:37" ht="34.200000000000003">
      <c r="A39" s="98" t="s">
        <v>215</v>
      </c>
      <c r="B39" s="141" t="s">
        <v>216</v>
      </c>
      <c r="C39" s="141" t="s">
        <v>216</v>
      </c>
      <c r="D39" s="141" t="s">
        <v>216</v>
      </c>
      <c r="E39" s="141" t="s">
        <v>216</v>
      </c>
      <c r="F39" s="141" t="s">
        <v>216</v>
      </c>
      <c r="G39" s="141" t="s">
        <v>216</v>
      </c>
      <c r="H39" s="141" t="s">
        <v>216</v>
      </c>
      <c r="I39" s="141" t="s">
        <v>216</v>
      </c>
      <c r="J39" s="141" t="s">
        <v>216</v>
      </c>
      <c r="K39" s="141" t="s">
        <v>216</v>
      </c>
      <c r="L39" s="141" t="s">
        <v>216</v>
      </c>
      <c r="M39" s="141" t="s">
        <v>216</v>
      </c>
      <c r="N39" s="282" t="s">
        <v>216</v>
      </c>
      <c r="O39" s="141" t="s">
        <v>216</v>
      </c>
      <c r="P39" s="141" t="s">
        <v>216</v>
      </c>
      <c r="Q39" s="95"/>
      <c r="R39" s="141" t="s">
        <v>216</v>
      </c>
      <c r="S39" s="182" t="s">
        <v>216</v>
      </c>
      <c r="T39" s="158" t="s">
        <v>216</v>
      </c>
      <c r="U39" s="141" t="s">
        <v>216</v>
      </c>
      <c r="V39" s="141" t="s">
        <v>216</v>
      </c>
      <c r="W39" s="141" t="s">
        <v>216</v>
      </c>
      <c r="X39" s="141" t="s">
        <v>216</v>
      </c>
      <c r="Y39" s="102" t="s">
        <v>216</v>
      </c>
      <c r="Z39" s="102" t="s">
        <v>216</v>
      </c>
      <c r="AA39" s="222" t="s">
        <v>216</v>
      </c>
      <c r="AB39" s="222" t="s">
        <v>216</v>
      </c>
      <c r="AC39" s="222" t="s">
        <v>216</v>
      </c>
      <c r="AD39" s="141" t="s">
        <v>216</v>
      </c>
      <c r="AE39" s="134"/>
      <c r="AF39" s="182" t="s">
        <v>216</v>
      </c>
      <c r="AG39" s="347" t="s">
        <v>216</v>
      </c>
      <c r="AH39" s="222" t="s">
        <v>216</v>
      </c>
      <c r="AI39" s="316" t="s">
        <v>216</v>
      </c>
      <c r="AJ39" s="346" t="s">
        <v>216</v>
      </c>
      <c r="AK39" s="346" t="s">
        <v>216</v>
      </c>
    </row>
    <row r="40" spans="1:37" ht="34.200000000000003">
      <c r="A40" s="98" t="s">
        <v>217</v>
      </c>
      <c r="B40" s="141" t="s">
        <v>216</v>
      </c>
      <c r="C40" s="141" t="s">
        <v>216</v>
      </c>
      <c r="D40" s="141" t="s">
        <v>216</v>
      </c>
      <c r="E40" s="141" t="s">
        <v>216</v>
      </c>
      <c r="F40" s="141" t="s">
        <v>216</v>
      </c>
      <c r="G40" s="141" t="s">
        <v>216</v>
      </c>
      <c r="H40" s="141" t="s">
        <v>216</v>
      </c>
      <c r="I40" s="141" t="s">
        <v>216</v>
      </c>
      <c r="J40" s="141" t="s">
        <v>216</v>
      </c>
      <c r="K40" s="141" t="s">
        <v>216</v>
      </c>
      <c r="L40" s="141" t="s">
        <v>216</v>
      </c>
      <c r="M40" s="141" t="s">
        <v>216</v>
      </c>
      <c r="N40" s="282" t="s">
        <v>216</v>
      </c>
      <c r="O40" s="141" t="s">
        <v>216</v>
      </c>
      <c r="P40" s="141" t="s">
        <v>216</v>
      </c>
      <c r="Q40" s="95"/>
      <c r="R40" s="141" t="s">
        <v>216</v>
      </c>
      <c r="S40" s="182" t="s">
        <v>216</v>
      </c>
      <c r="T40" s="158" t="s">
        <v>216</v>
      </c>
      <c r="U40" s="141" t="s">
        <v>216</v>
      </c>
      <c r="V40" s="141" t="s">
        <v>216</v>
      </c>
      <c r="W40" s="141" t="s">
        <v>216</v>
      </c>
      <c r="X40" s="141" t="s">
        <v>216</v>
      </c>
      <c r="Y40" s="102" t="s">
        <v>216</v>
      </c>
      <c r="Z40" s="102" t="s">
        <v>216</v>
      </c>
      <c r="AA40" s="222" t="s">
        <v>216</v>
      </c>
      <c r="AB40" s="222" t="s">
        <v>216</v>
      </c>
      <c r="AC40" s="222" t="s">
        <v>216</v>
      </c>
      <c r="AD40" s="141" t="s">
        <v>216</v>
      </c>
      <c r="AE40" s="134"/>
      <c r="AF40" s="182" t="s">
        <v>216</v>
      </c>
      <c r="AG40" s="347" t="s">
        <v>216</v>
      </c>
      <c r="AH40" s="222" t="s">
        <v>72</v>
      </c>
      <c r="AI40" s="316" t="s">
        <v>216</v>
      </c>
      <c r="AJ40" s="346" t="s">
        <v>216</v>
      </c>
      <c r="AK40" s="346" t="s">
        <v>216</v>
      </c>
    </row>
    <row r="41" spans="1:37">
      <c r="A41" s="98" t="s">
        <v>218</v>
      </c>
      <c r="B41" s="141" t="s">
        <v>219</v>
      </c>
      <c r="C41" s="141" t="s">
        <v>72</v>
      </c>
      <c r="D41" s="141" t="s">
        <v>72</v>
      </c>
      <c r="E41" s="141" t="s">
        <v>72</v>
      </c>
      <c r="F41" s="141" t="s">
        <v>72</v>
      </c>
      <c r="G41" s="141" t="s">
        <v>72</v>
      </c>
      <c r="H41" s="141" t="s">
        <v>72</v>
      </c>
      <c r="I41" s="141" t="s">
        <v>72</v>
      </c>
      <c r="J41" s="141" t="s">
        <v>72</v>
      </c>
      <c r="K41" s="141" t="s">
        <v>72</v>
      </c>
      <c r="L41" s="141" t="s">
        <v>72</v>
      </c>
      <c r="M41" s="141" t="s">
        <v>72</v>
      </c>
      <c r="N41" s="282" t="s">
        <v>72</v>
      </c>
      <c r="O41" s="141" t="s">
        <v>72</v>
      </c>
      <c r="P41" s="141" t="s">
        <v>72</v>
      </c>
      <c r="Q41" s="141" t="s">
        <v>72</v>
      </c>
      <c r="R41" s="141" t="s">
        <v>72</v>
      </c>
      <c r="S41" s="182" t="s">
        <v>72</v>
      </c>
      <c r="T41" s="158" t="s">
        <v>72</v>
      </c>
      <c r="U41" s="141" t="s">
        <v>72</v>
      </c>
      <c r="V41" s="141" t="s">
        <v>72</v>
      </c>
      <c r="W41" s="141" t="s">
        <v>72</v>
      </c>
      <c r="X41" s="141" t="s">
        <v>72</v>
      </c>
      <c r="Y41" s="102" t="s">
        <v>72</v>
      </c>
      <c r="Z41" s="102" t="s">
        <v>72</v>
      </c>
      <c r="AA41" s="222" t="s">
        <v>72</v>
      </c>
      <c r="AB41" s="222" t="s">
        <v>72</v>
      </c>
      <c r="AC41" s="222" t="s">
        <v>72</v>
      </c>
      <c r="AD41" s="141" t="s">
        <v>72</v>
      </c>
      <c r="AE41" s="252" t="s">
        <v>72</v>
      </c>
      <c r="AF41" s="182" t="s">
        <v>72</v>
      </c>
      <c r="AG41" s="347" t="s">
        <v>72</v>
      </c>
      <c r="AH41" s="222" t="s">
        <v>216</v>
      </c>
      <c r="AI41" s="316" t="s">
        <v>72</v>
      </c>
      <c r="AJ41" s="346" t="s">
        <v>72</v>
      </c>
      <c r="AK41" s="346" t="s">
        <v>72</v>
      </c>
    </row>
    <row r="42" spans="1:37" ht="22.8">
      <c r="A42" s="98" t="s">
        <v>220</v>
      </c>
      <c r="B42" s="141" t="s">
        <v>216</v>
      </c>
      <c r="C42" s="141" t="s">
        <v>216</v>
      </c>
      <c r="D42" s="141" t="s">
        <v>216</v>
      </c>
      <c r="E42" s="141" t="s">
        <v>216</v>
      </c>
      <c r="F42" s="141" t="s">
        <v>216</v>
      </c>
      <c r="G42" s="141" t="s">
        <v>216</v>
      </c>
      <c r="H42" s="141" t="s">
        <v>216</v>
      </c>
      <c r="I42" s="141" t="s">
        <v>216</v>
      </c>
      <c r="J42" s="141" t="s">
        <v>216</v>
      </c>
      <c r="K42" s="141" t="s">
        <v>216</v>
      </c>
      <c r="L42" s="141" t="s">
        <v>216</v>
      </c>
      <c r="M42" s="141" t="s">
        <v>216</v>
      </c>
      <c r="N42" s="282" t="s">
        <v>216</v>
      </c>
      <c r="O42" s="141" t="s">
        <v>216</v>
      </c>
      <c r="P42" s="141" t="s">
        <v>216</v>
      </c>
      <c r="Q42" s="95"/>
      <c r="R42" s="141" t="s">
        <v>216</v>
      </c>
      <c r="S42" s="182" t="s">
        <v>216</v>
      </c>
      <c r="T42" s="158" t="s">
        <v>216</v>
      </c>
      <c r="U42" s="141" t="s">
        <v>216</v>
      </c>
      <c r="V42" s="141" t="s">
        <v>216</v>
      </c>
      <c r="W42" s="141" t="s">
        <v>216</v>
      </c>
      <c r="X42" s="141" t="s">
        <v>216</v>
      </c>
      <c r="Y42" s="102" t="s">
        <v>216</v>
      </c>
      <c r="Z42" s="102" t="s">
        <v>216</v>
      </c>
      <c r="AA42" s="222" t="s">
        <v>216</v>
      </c>
      <c r="AB42" s="222" t="s">
        <v>216</v>
      </c>
      <c r="AC42" s="222" t="s">
        <v>216</v>
      </c>
      <c r="AD42" s="141" t="s">
        <v>216</v>
      </c>
      <c r="AE42" s="134"/>
      <c r="AF42" s="182" t="s">
        <v>216</v>
      </c>
      <c r="AG42" s="347" t="s">
        <v>216</v>
      </c>
      <c r="AH42" s="222" t="s">
        <v>216</v>
      </c>
      <c r="AI42" s="316" t="s">
        <v>216</v>
      </c>
      <c r="AJ42" s="346" t="s">
        <v>216</v>
      </c>
      <c r="AK42" s="346" t="s">
        <v>216</v>
      </c>
    </row>
    <row r="43" spans="1:37" ht="22.8">
      <c r="A43" s="98" t="s">
        <v>221</v>
      </c>
      <c r="B43" s="141" t="s">
        <v>216</v>
      </c>
      <c r="C43" s="141" t="s">
        <v>216</v>
      </c>
      <c r="D43" s="141" t="s">
        <v>216</v>
      </c>
      <c r="E43" s="141" t="s">
        <v>216</v>
      </c>
      <c r="F43" s="141" t="s">
        <v>216</v>
      </c>
      <c r="G43" s="141" t="s">
        <v>216</v>
      </c>
      <c r="H43" s="141" t="s">
        <v>216</v>
      </c>
      <c r="I43" s="141" t="s">
        <v>216</v>
      </c>
      <c r="J43" s="141" t="s">
        <v>216</v>
      </c>
      <c r="K43" s="141" t="s">
        <v>216</v>
      </c>
      <c r="L43" s="141" t="s">
        <v>216</v>
      </c>
      <c r="M43" s="141" t="s">
        <v>216</v>
      </c>
      <c r="N43" s="282" t="s">
        <v>216</v>
      </c>
      <c r="O43" s="141" t="s">
        <v>216</v>
      </c>
      <c r="P43" s="141" t="s">
        <v>216</v>
      </c>
      <c r="Q43" s="95"/>
      <c r="R43" s="141" t="s">
        <v>216</v>
      </c>
      <c r="S43" s="182" t="s">
        <v>216</v>
      </c>
      <c r="T43" s="158" t="s">
        <v>216</v>
      </c>
      <c r="U43" s="141" t="s">
        <v>216</v>
      </c>
      <c r="V43" s="141" t="s">
        <v>216</v>
      </c>
      <c r="W43" s="141" t="s">
        <v>216</v>
      </c>
      <c r="X43" s="141" t="s">
        <v>216</v>
      </c>
      <c r="Y43" s="102" t="s">
        <v>216</v>
      </c>
      <c r="Z43" s="102" t="s">
        <v>216</v>
      </c>
      <c r="AA43" s="222" t="s">
        <v>216</v>
      </c>
      <c r="AB43" s="222" t="s">
        <v>216</v>
      </c>
      <c r="AC43" s="222" t="s">
        <v>216</v>
      </c>
      <c r="AD43" s="141" t="s">
        <v>216</v>
      </c>
      <c r="AE43" s="134"/>
      <c r="AF43" s="182" t="s">
        <v>216</v>
      </c>
      <c r="AG43" s="347" t="s">
        <v>216</v>
      </c>
      <c r="AH43" s="222" t="s">
        <v>216</v>
      </c>
      <c r="AI43" s="316" t="s">
        <v>216</v>
      </c>
      <c r="AJ43" s="346" t="s">
        <v>216</v>
      </c>
      <c r="AK43" s="346" t="s">
        <v>216</v>
      </c>
    </row>
    <row r="44" spans="1:37">
      <c r="A44" s="127" t="s">
        <v>222</v>
      </c>
      <c r="D44" s="145"/>
      <c r="K44" s="145"/>
      <c r="V44" s="145"/>
      <c r="Y44" s="121"/>
      <c r="Z44" s="121"/>
      <c r="AA44" s="121"/>
      <c r="AB44" s="121"/>
      <c r="AG44" s="145"/>
    </row>
  </sheetData>
  <customSheetViews>
    <customSheetView guid="{67590F70-5005-492E-AD47-1C13C49F2D83}" scale="85">
      <pane xSplit="2" ySplit="3" topLeftCell="V4" activePane="bottomRight" state="frozen"/>
      <selection pane="bottomRight" activeCell="AA15" sqref="AA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cale="85">
      <pane xSplit="2" ySplit="3" topLeftCell="V4" activePane="bottomRight" state="frozen"/>
      <selection pane="bottomRight" activeCell="AA15" sqref="AA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85">
      <pane xSplit="2" ySplit="3" topLeftCell="V4" activePane="bottomRight" state="frozen"/>
      <selection pane="bottomRight" activeCell="AA15" sqref="AA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scale="85">
      <pane xSplit="2" ySplit="3" topLeftCell="Y22" activePane="bottomRight" state="frozen"/>
      <selection pane="bottomRight" activeCell="Y30" sqref="Y3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85">
      <pane xSplit="2" ySplit="3" topLeftCell="V16" activePane="bottomRight" state="frozen"/>
      <selection pane="bottomRight" activeCell="AA22" sqref="AA22"/>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41">
    <mergeCell ref="AJ2:AK2"/>
    <mergeCell ref="AJ36:AJ37"/>
    <mergeCell ref="AK36:AK37"/>
    <mergeCell ref="AD36:AD37"/>
    <mergeCell ref="AF36:AF37"/>
    <mergeCell ref="AF2:AG2"/>
    <mergeCell ref="AG36:AG37"/>
    <mergeCell ref="W2:X2"/>
    <mergeCell ref="Y2:Z2"/>
    <mergeCell ref="P36:P37"/>
    <mergeCell ref="Q36:Q37"/>
    <mergeCell ref="R36:R37"/>
    <mergeCell ref="S36:S37"/>
    <mergeCell ref="U36:U37"/>
    <mergeCell ref="S2:T2"/>
    <mergeCell ref="V36:V37"/>
    <mergeCell ref="W36:W37"/>
    <mergeCell ref="X36:X37"/>
    <mergeCell ref="Y36:Y37"/>
    <mergeCell ref="Z36:Z37"/>
    <mergeCell ref="C2:E2"/>
    <mergeCell ref="F2:G2"/>
    <mergeCell ref="J2:M2"/>
    <mergeCell ref="Q2:R2"/>
    <mergeCell ref="U2:V2"/>
    <mergeCell ref="N2:O2"/>
    <mergeCell ref="O36:O37"/>
    <mergeCell ref="M36:M37"/>
    <mergeCell ref="L36:L37"/>
    <mergeCell ref="K36:K37"/>
    <mergeCell ref="J36:J37"/>
    <mergeCell ref="N36:N37"/>
    <mergeCell ref="D36:D37"/>
    <mergeCell ref="C36:C37"/>
    <mergeCell ref="B36:B37"/>
    <mergeCell ref="A36:A37"/>
    <mergeCell ref="I36:I37"/>
    <mergeCell ref="H36:H37"/>
    <mergeCell ref="G36:G37"/>
    <mergeCell ref="F36:F37"/>
    <mergeCell ref="E36:E37"/>
  </mergeCells>
  <phoneticPr fontId="9"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1"/>
  <sheetViews>
    <sheetView zoomScale="90" zoomScaleNormal="90" workbookViewId="0">
      <pane xSplit="2" ySplit="3" topLeftCell="C16" activePane="bottomRight" state="frozen"/>
      <selection pane="topRight" activeCell="C1" sqref="C1"/>
      <selection pane="bottomLeft" activeCell="A4" sqref="A4"/>
      <selection pane="bottomRight" activeCell="G26" activeCellId="1" sqref="F26 G26"/>
    </sheetView>
  </sheetViews>
  <sheetFormatPr defaultColWidth="9.44140625" defaultRowHeight="15.6"/>
  <cols>
    <col min="1" max="1" width="29.44140625" style="81" customWidth="1"/>
    <col min="2" max="2" width="44.44140625" style="144" customWidth="1"/>
    <col min="3" max="3" width="31.44140625" style="128" customWidth="1"/>
    <col min="4" max="8" width="31.44140625" style="82" customWidth="1"/>
    <col min="9" max="9" width="31.44140625" style="128" customWidth="1"/>
    <col min="10" max="23" width="31.44140625" style="82" customWidth="1"/>
    <col min="24" max="24" width="32.33203125" style="81" customWidth="1"/>
    <col min="25" max="16384" width="9.44140625" style="81"/>
  </cols>
  <sheetData>
    <row r="1" spans="1:24">
      <c r="A1" s="129" t="s">
        <v>61</v>
      </c>
      <c r="B1" s="145"/>
    </row>
    <row r="2" spans="1:24">
      <c r="A2" s="129" t="s">
        <v>62</v>
      </c>
      <c r="B2" s="179" t="s">
        <v>63</v>
      </c>
      <c r="C2" s="376" t="s">
        <v>5</v>
      </c>
      <c r="D2" s="377"/>
      <c r="E2" s="378"/>
      <c r="F2" s="376" t="s">
        <v>64</v>
      </c>
      <c r="G2" s="378"/>
      <c r="H2" s="88" t="s">
        <v>21</v>
      </c>
      <c r="I2" s="376" t="s">
        <v>14</v>
      </c>
      <c r="J2" s="377"/>
      <c r="K2" s="377"/>
      <c r="L2" s="378"/>
      <c r="M2" s="379" t="s">
        <v>20</v>
      </c>
      <c r="N2" s="380"/>
      <c r="O2" s="109" t="s">
        <v>23</v>
      </c>
      <c r="P2" s="379" t="s">
        <v>25</v>
      </c>
      <c r="Q2" s="380"/>
      <c r="R2" s="87" t="s">
        <v>32</v>
      </c>
      <c r="S2" s="88" t="s">
        <v>40</v>
      </c>
      <c r="T2" s="87" t="s">
        <v>65</v>
      </c>
      <c r="U2" s="88" t="s">
        <v>709</v>
      </c>
      <c r="V2" s="319" t="s">
        <v>846</v>
      </c>
      <c r="W2" s="387" t="s">
        <v>15</v>
      </c>
      <c r="X2" s="388"/>
    </row>
    <row r="3" spans="1:24">
      <c r="A3" s="129"/>
      <c r="B3" s="179"/>
      <c r="C3" s="131" t="s">
        <v>66</v>
      </c>
      <c r="D3" s="132" t="s">
        <v>67</v>
      </c>
      <c r="E3" s="131" t="s">
        <v>68</v>
      </c>
      <c r="F3" s="131" t="s">
        <v>66</v>
      </c>
      <c r="G3" s="132" t="s">
        <v>67</v>
      </c>
      <c r="H3" s="185" t="s">
        <v>66</v>
      </c>
      <c r="I3" s="131" t="s">
        <v>66</v>
      </c>
      <c r="J3" s="132" t="s">
        <v>67</v>
      </c>
      <c r="K3" s="131" t="s">
        <v>68</v>
      </c>
      <c r="L3" s="132" t="s">
        <v>69</v>
      </c>
      <c r="M3" s="185" t="s">
        <v>66</v>
      </c>
      <c r="N3" s="185" t="s">
        <v>819</v>
      </c>
      <c r="O3" s="131" t="s">
        <v>66</v>
      </c>
      <c r="P3" s="146" t="s">
        <v>66</v>
      </c>
      <c r="Q3" s="341" t="s">
        <v>854</v>
      </c>
      <c r="R3" s="146" t="s">
        <v>67</v>
      </c>
      <c r="S3" s="169" t="s">
        <v>67</v>
      </c>
      <c r="T3" s="146" t="s">
        <v>66</v>
      </c>
      <c r="U3" s="169" t="s">
        <v>67</v>
      </c>
      <c r="V3" s="319" t="s">
        <v>67</v>
      </c>
      <c r="W3" s="131" t="s">
        <v>66</v>
      </c>
      <c r="X3" s="132" t="s">
        <v>67</v>
      </c>
    </row>
    <row r="4" spans="1:24">
      <c r="A4" s="95" t="s">
        <v>70</v>
      </c>
      <c r="B4" s="156" t="s">
        <v>71</v>
      </c>
      <c r="C4" s="134" t="s">
        <v>72</v>
      </c>
      <c r="D4" s="134" t="s">
        <v>72</v>
      </c>
      <c r="E4" s="135" t="s">
        <v>223</v>
      </c>
      <c r="F4" s="134" t="s">
        <v>72</v>
      </c>
      <c r="G4" s="134" t="s">
        <v>72</v>
      </c>
      <c r="H4" s="134" t="s">
        <v>72</v>
      </c>
      <c r="I4" s="134" t="s">
        <v>72</v>
      </c>
      <c r="J4" s="134" t="s">
        <v>72</v>
      </c>
      <c r="K4" s="135" t="s">
        <v>223</v>
      </c>
      <c r="L4" s="135" t="s">
        <v>223</v>
      </c>
      <c r="M4" s="134" t="s">
        <v>72</v>
      </c>
      <c r="N4" s="134" t="s">
        <v>72</v>
      </c>
      <c r="O4" s="134" t="s">
        <v>72</v>
      </c>
      <c r="P4" s="148" t="s">
        <v>72</v>
      </c>
      <c r="Q4" s="148" t="s">
        <v>72</v>
      </c>
      <c r="R4" s="148" t="s">
        <v>72</v>
      </c>
      <c r="S4" s="148" t="s">
        <v>72</v>
      </c>
      <c r="T4" s="148" t="s">
        <v>72</v>
      </c>
      <c r="U4" s="134" t="s">
        <v>72</v>
      </c>
      <c r="V4" s="289" t="s">
        <v>72</v>
      </c>
      <c r="W4" s="134" t="s">
        <v>72</v>
      </c>
      <c r="X4" s="134" t="s">
        <v>72</v>
      </c>
    </row>
    <row r="5" spans="1:24">
      <c r="A5" s="95" t="s">
        <v>73</v>
      </c>
      <c r="B5" s="156"/>
      <c r="C5" s="134" t="s">
        <v>74</v>
      </c>
      <c r="D5" s="95" t="s">
        <v>75</v>
      </c>
      <c r="E5" s="134" t="s">
        <v>74</v>
      </c>
      <c r="F5" s="134" t="s">
        <v>74</v>
      </c>
      <c r="G5" s="95" t="s">
        <v>75</v>
      </c>
      <c r="H5" s="134" t="s">
        <v>74</v>
      </c>
      <c r="I5" s="134" t="s">
        <v>74</v>
      </c>
      <c r="J5" s="95" t="s">
        <v>75</v>
      </c>
      <c r="K5" s="134" t="s">
        <v>74</v>
      </c>
      <c r="L5" s="95" t="s">
        <v>75</v>
      </c>
      <c r="M5" s="134" t="s">
        <v>74</v>
      </c>
      <c r="N5" s="289" t="s">
        <v>820</v>
      </c>
      <c r="O5" s="134" t="s">
        <v>74</v>
      </c>
      <c r="P5" s="148" t="s">
        <v>74</v>
      </c>
      <c r="Q5" s="148" t="s">
        <v>75</v>
      </c>
      <c r="R5" s="148" t="s">
        <v>75</v>
      </c>
      <c r="S5" s="148" t="s">
        <v>75</v>
      </c>
      <c r="T5" s="148" t="s">
        <v>74</v>
      </c>
      <c r="U5" s="95" t="s">
        <v>75</v>
      </c>
      <c r="V5" s="289" t="s">
        <v>74</v>
      </c>
      <c r="W5" s="134" t="s">
        <v>74</v>
      </c>
      <c r="X5" s="95" t="s">
        <v>75</v>
      </c>
    </row>
    <row r="6" spans="1:24">
      <c r="A6" s="117" t="s">
        <v>76</v>
      </c>
      <c r="B6" s="156"/>
      <c r="C6" s="134" t="s">
        <v>72</v>
      </c>
      <c r="D6" s="134" t="s">
        <v>72</v>
      </c>
      <c r="E6" s="134" t="s">
        <v>72</v>
      </c>
      <c r="F6" s="134" t="s">
        <v>72</v>
      </c>
      <c r="G6" s="134" t="s">
        <v>72</v>
      </c>
      <c r="H6" s="134" t="s">
        <v>72</v>
      </c>
      <c r="I6" s="134" t="s">
        <v>72</v>
      </c>
      <c r="J6" s="134" t="s">
        <v>72</v>
      </c>
      <c r="K6" s="134" t="s">
        <v>72</v>
      </c>
      <c r="L6" s="134" t="s">
        <v>72</v>
      </c>
      <c r="M6" s="134" t="s">
        <v>72</v>
      </c>
      <c r="N6" s="134" t="s">
        <v>72</v>
      </c>
      <c r="O6" s="134" t="s">
        <v>72</v>
      </c>
      <c r="P6" s="148" t="s">
        <v>72</v>
      </c>
      <c r="Q6" s="148" t="s">
        <v>72</v>
      </c>
      <c r="R6" s="148" t="s">
        <v>72</v>
      </c>
      <c r="S6" s="148" t="s">
        <v>72</v>
      </c>
      <c r="T6" s="148" t="s">
        <v>72</v>
      </c>
      <c r="U6" s="134" t="s">
        <v>72</v>
      </c>
      <c r="V6" s="289" t="s">
        <v>72</v>
      </c>
      <c r="W6" s="134" t="s">
        <v>72</v>
      </c>
      <c r="X6" s="134" t="s">
        <v>72</v>
      </c>
    </row>
    <row r="7" spans="1:24">
      <c r="A7" s="117" t="s">
        <v>77</v>
      </c>
      <c r="B7" s="156" t="s">
        <v>224</v>
      </c>
      <c r="C7" s="134" t="s">
        <v>72</v>
      </c>
      <c r="D7" s="134" t="s">
        <v>72</v>
      </c>
      <c r="E7" s="134" t="s">
        <v>72</v>
      </c>
      <c r="F7" s="134" t="s">
        <v>72</v>
      </c>
      <c r="G7" s="134" t="s">
        <v>72</v>
      </c>
      <c r="H7" s="134" t="s">
        <v>72</v>
      </c>
      <c r="I7" s="134" t="s">
        <v>72</v>
      </c>
      <c r="J7" s="134" t="s">
        <v>72</v>
      </c>
      <c r="K7" s="134" t="s">
        <v>72</v>
      </c>
      <c r="L7" s="134" t="s">
        <v>72</v>
      </c>
      <c r="M7" s="134" t="s">
        <v>72</v>
      </c>
      <c r="N7" s="134" t="s">
        <v>72</v>
      </c>
      <c r="O7" s="134" t="s">
        <v>72</v>
      </c>
      <c r="P7" s="148" t="s">
        <v>72</v>
      </c>
      <c r="Q7" s="148" t="s">
        <v>72</v>
      </c>
      <c r="R7" s="148" t="s">
        <v>72</v>
      </c>
      <c r="S7" s="148" t="s">
        <v>72</v>
      </c>
      <c r="T7" s="148" t="s">
        <v>72</v>
      </c>
      <c r="U7" s="134" t="s">
        <v>72</v>
      </c>
      <c r="V7" s="289" t="s">
        <v>72</v>
      </c>
      <c r="W7" s="134" t="s">
        <v>72</v>
      </c>
      <c r="X7" s="134" t="s">
        <v>72</v>
      </c>
    </row>
    <row r="8" spans="1:24" ht="34.200000000000003">
      <c r="A8" s="95" t="s">
        <v>225</v>
      </c>
      <c r="B8" s="93" t="s">
        <v>80</v>
      </c>
      <c r="C8" s="134" t="s">
        <v>72</v>
      </c>
      <c r="D8" s="134" t="s">
        <v>72</v>
      </c>
      <c r="E8" s="93" t="s">
        <v>81</v>
      </c>
      <c r="F8" s="134" t="s">
        <v>72</v>
      </c>
      <c r="G8" s="134" t="s">
        <v>72</v>
      </c>
      <c r="H8" s="134" t="s">
        <v>72</v>
      </c>
      <c r="I8" s="134" t="s">
        <v>72</v>
      </c>
      <c r="J8" s="134" t="s">
        <v>72</v>
      </c>
      <c r="K8" s="93" t="s">
        <v>81</v>
      </c>
      <c r="L8" s="93" t="s">
        <v>81</v>
      </c>
      <c r="M8" s="134" t="s">
        <v>72</v>
      </c>
      <c r="N8" s="134" t="s">
        <v>72</v>
      </c>
      <c r="O8" s="134" t="s">
        <v>72</v>
      </c>
      <c r="P8" s="148" t="s">
        <v>72</v>
      </c>
      <c r="Q8" s="148" t="s">
        <v>72</v>
      </c>
      <c r="R8" s="148" t="s">
        <v>72</v>
      </c>
      <c r="S8" s="148" t="s">
        <v>72</v>
      </c>
      <c r="T8" s="148" t="s">
        <v>72</v>
      </c>
      <c r="U8" s="134" t="s">
        <v>72</v>
      </c>
      <c r="V8" s="289" t="s">
        <v>72</v>
      </c>
      <c r="W8" s="134" t="s">
        <v>72</v>
      </c>
      <c r="X8" s="134" t="s">
        <v>72</v>
      </c>
    </row>
    <row r="9" spans="1:24" ht="22.8">
      <c r="A9" s="117" t="s">
        <v>82</v>
      </c>
      <c r="B9" s="93" t="s">
        <v>83</v>
      </c>
      <c r="C9" s="134" t="s">
        <v>84</v>
      </c>
      <c r="D9" s="134" t="s">
        <v>85</v>
      </c>
      <c r="E9" s="134" t="s">
        <v>84</v>
      </c>
      <c r="F9" s="134" t="s">
        <v>84</v>
      </c>
      <c r="G9" s="134" t="s">
        <v>84</v>
      </c>
      <c r="H9" s="134" t="s">
        <v>84</v>
      </c>
      <c r="I9" s="134" t="s">
        <v>84</v>
      </c>
      <c r="J9" s="134" t="s">
        <v>86</v>
      </c>
      <c r="K9" s="134" t="s">
        <v>84</v>
      </c>
      <c r="L9" s="134" t="s">
        <v>84</v>
      </c>
      <c r="M9" s="134" t="s">
        <v>84</v>
      </c>
      <c r="N9" s="134" t="s">
        <v>84</v>
      </c>
      <c r="O9" s="134" t="s">
        <v>84</v>
      </c>
      <c r="P9" s="149" t="s">
        <v>84</v>
      </c>
      <c r="Q9" s="149" t="s">
        <v>861</v>
      </c>
      <c r="R9" s="149" t="s">
        <v>87</v>
      </c>
      <c r="S9" s="95" t="s">
        <v>226</v>
      </c>
      <c r="T9" s="149" t="s">
        <v>84</v>
      </c>
      <c r="U9" s="134" t="s">
        <v>710</v>
      </c>
      <c r="V9" s="289" t="s">
        <v>84</v>
      </c>
      <c r="W9" s="134" t="s">
        <v>84</v>
      </c>
      <c r="X9" s="134" t="s">
        <v>85</v>
      </c>
    </row>
    <row r="10" spans="1:24" ht="34.200000000000003">
      <c r="A10" s="94" t="s">
        <v>89</v>
      </c>
      <c r="B10" s="136" t="s">
        <v>90</v>
      </c>
      <c r="C10" s="134" t="s">
        <v>72</v>
      </c>
      <c r="D10" s="134" t="s">
        <v>72</v>
      </c>
      <c r="E10" s="137">
        <v>0.1</v>
      </c>
      <c r="F10" s="134" t="s">
        <v>72</v>
      </c>
      <c r="G10" s="134" t="s">
        <v>72</v>
      </c>
      <c r="H10" s="134" t="s">
        <v>72</v>
      </c>
      <c r="I10" s="134" t="s">
        <v>72</v>
      </c>
      <c r="J10" s="134" t="s">
        <v>72</v>
      </c>
      <c r="K10" s="137">
        <v>0.1</v>
      </c>
      <c r="L10" s="137">
        <v>0.1</v>
      </c>
      <c r="M10" s="134" t="s">
        <v>72</v>
      </c>
      <c r="N10" s="134" t="s">
        <v>72</v>
      </c>
      <c r="O10" s="134" t="s">
        <v>72</v>
      </c>
      <c r="P10" s="148" t="s">
        <v>72</v>
      </c>
      <c r="Q10" s="148" t="s">
        <v>72</v>
      </c>
      <c r="R10" s="148" t="s">
        <v>72</v>
      </c>
      <c r="S10" s="134" t="s">
        <v>91</v>
      </c>
      <c r="T10" s="148" t="s">
        <v>72</v>
      </c>
      <c r="U10" s="134" t="s">
        <v>72</v>
      </c>
      <c r="V10" s="289" t="s">
        <v>72</v>
      </c>
      <c r="W10" s="134" t="s">
        <v>72</v>
      </c>
      <c r="X10" s="134" t="s">
        <v>72</v>
      </c>
    </row>
    <row r="11" spans="1:24" ht="22.8">
      <c r="A11" s="117" t="s">
        <v>92</v>
      </c>
      <c r="B11" s="134" t="s">
        <v>93</v>
      </c>
      <c r="C11" s="134" t="s">
        <v>72</v>
      </c>
      <c r="D11" s="134" t="s">
        <v>72</v>
      </c>
      <c r="E11" s="134" t="s">
        <v>72</v>
      </c>
      <c r="F11" s="134" t="s">
        <v>72</v>
      </c>
      <c r="G11" s="134" t="s">
        <v>72</v>
      </c>
      <c r="H11" s="134" t="s">
        <v>72</v>
      </c>
      <c r="I11" s="134" t="s">
        <v>72</v>
      </c>
      <c r="J11" s="134" t="s">
        <v>72</v>
      </c>
      <c r="K11" s="134" t="s">
        <v>72</v>
      </c>
      <c r="L11" s="134" t="s">
        <v>72</v>
      </c>
      <c r="M11" s="134" t="s">
        <v>72</v>
      </c>
      <c r="N11" s="134" t="s">
        <v>72</v>
      </c>
      <c r="O11" s="134" t="s">
        <v>72</v>
      </c>
      <c r="P11" s="148" t="s">
        <v>72</v>
      </c>
      <c r="Q11" s="148" t="s">
        <v>72</v>
      </c>
      <c r="R11" s="148" t="s">
        <v>72</v>
      </c>
      <c r="S11" s="148" t="s">
        <v>227</v>
      </c>
      <c r="T11" s="148" t="s">
        <v>72</v>
      </c>
      <c r="U11" s="134" t="s">
        <v>72</v>
      </c>
      <c r="V11" s="289" t="s">
        <v>72</v>
      </c>
      <c r="W11" s="134" t="s">
        <v>72</v>
      </c>
      <c r="X11" s="134" t="s">
        <v>72</v>
      </c>
    </row>
    <row r="12" spans="1:24" ht="45.6">
      <c r="A12" s="117" t="s">
        <v>95</v>
      </c>
      <c r="B12" s="156"/>
      <c r="C12" s="134" t="s">
        <v>228</v>
      </c>
      <c r="D12" s="95" t="s">
        <v>97</v>
      </c>
      <c r="E12" s="134" t="s">
        <v>228</v>
      </c>
      <c r="F12" s="134" t="s">
        <v>228</v>
      </c>
      <c r="G12" s="95" t="s">
        <v>97</v>
      </c>
      <c r="H12" s="134" t="s">
        <v>228</v>
      </c>
      <c r="I12" s="134" t="s">
        <v>228</v>
      </c>
      <c r="J12" s="95" t="s">
        <v>98</v>
      </c>
      <c r="K12" s="134" t="s">
        <v>228</v>
      </c>
      <c r="L12" s="95" t="s">
        <v>98</v>
      </c>
      <c r="M12" s="134" t="s">
        <v>228</v>
      </c>
      <c r="N12" s="289" t="s">
        <v>821</v>
      </c>
      <c r="O12" s="134" t="s">
        <v>228</v>
      </c>
      <c r="P12" s="148" t="s">
        <v>228</v>
      </c>
      <c r="Q12" s="166" t="s">
        <v>862</v>
      </c>
      <c r="R12" s="139" t="s">
        <v>687</v>
      </c>
      <c r="S12" s="95" t="s">
        <v>100</v>
      </c>
      <c r="T12" s="148" t="s">
        <v>228</v>
      </c>
      <c r="U12" s="285" t="s">
        <v>812</v>
      </c>
      <c r="V12" s="289" t="s">
        <v>228</v>
      </c>
      <c r="W12" s="134" t="s">
        <v>228</v>
      </c>
      <c r="X12" s="95" t="s">
        <v>97</v>
      </c>
    </row>
    <row r="13" spans="1:24" ht="26.4">
      <c r="A13" s="117" t="s">
        <v>101</v>
      </c>
      <c r="B13" s="156"/>
      <c r="C13" s="95" t="s">
        <v>666</v>
      </c>
      <c r="D13" s="95" t="s">
        <v>230</v>
      </c>
      <c r="E13" s="153" t="s">
        <v>229</v>
      </c>
      <c r="F13" s="153" t="s">
        <v>231</v>
      </c>
      <c r="G13" s="153" t="s">
        <v>231</v>
      </c>
      <c r="H13" s="95" t="s">
        <v>230</v>
      </c>
      <c r="I13" s="151" t="s">
        <v>230</v>
      </c>
      <c r="J13" s="151" t="s">
        <v>230</v>
      </c>
      <c r="K13" s="151" t="s">
        <v>230</v>
      </c>
      <c r="L13" s="151" t="s">
        <v>230</v>
      </c>
      <c r="M13" s="95" t="s">
        <v>230</v>
      </c>
      <c r="N13" s="95" t="s">
        <v>230</v>
      </c>
      <c r="O13" s="151" t="s">
        <v>230</v>
      </c>
      <c r="P13" s="148" t="s">
        <v>230</v>
      </c>
      <c r="Q13" s="148" t="s">
        <v>230</v>
      </c>
      <c r="R13" s="148" t="s">
        <v>230</v>
      </c>
      <c r="S13" s="95" t="s">
        <v>232</v>
      </c>
      <c r="T13" s="148" t="s">
        <v>230</v>
      </c>
      <c r="U13" s="285" t="s">
        <v>816</v>
      </c>
      <c r="V13" s="288" t="s">
        <v>850</v>
      </c>
      <c r="W13" s="148" t="s">
        <v>230</v>
      </c>
      <c r="X13" s="148" t="s">
        <v>230</v>
      </c>
    </row>
    <row r="14" spans="1:24">
      <c r="A14" s="117" t="s">
        <v>233</v>
      </c>
      <c r="B14" s="156"/>
      <c r="C14" s="152" t="s">
        <v>234</v>
      </c>
      <c r="D14" s="95" t="s">
        <v>235</v>
      </c>
      <c r="E14" s="152" t="s">
        <v>234</v>
      </c>
      <c r="F14" s="152" t="s">
        <v>236</v>
      </c>
      <c r="G14" s="95" t="s">
        <v>236</v>
      </c>
      <c r="H14" s="152" t="s">
        <v>234</v>
      </c>
      <c r="I14" s="138" t="s">
        <v>237</v>
      </c>
      <c r="J14" s="95" t="s">
        <v>235</v>
      </c>
      <c r="K14" s="138" t="s">
        <v>238</v>
      </c>
      <c r="L14" s="138" t="s">
        <v>238</v>
      </c>
      <c r="M14" s="95" t="s">
        <v>201</v>
      </c>
      <c r="N14" s="308" t="s">
        <v>123</v>
      </c>
      <c r="O14" s="138" t="s">
        <v>237</v>
      </c>
      <c r="P14" s="148" t="s">
        <v>239</v>
      </c>
      <c r="Q14" s="148" t="s">
        <v>239</v>
      </c>
      <c r="R14" s="148" t="s">
        <v>239</v>
      </c>
      <c r="S14" s="95" t="s">
        <v>240</v>
      </c>
      <c r="T14" s="148" t="s">
        <v>239</v>
      </c>
      <c r="U14" s="286" t="s">
        <v>239</v>
      </c>
      <c r="V14" s="320" t="s">
        <v>123</v>
      </c>
      <c r="W14" s="148" t="s">
        <v>239</v>
      </c>
      <c r="X14" s="148" t="s">
        <v>239</v>
      </c>
    </row>
    <row r="15" spans="1:24">
      <c r="A15" s="117" t="s">
        <v>130</v>
      </c>
      <c r="B15" s="156"/>
      <c r="C15" s="152" t="s">
        <v>234</v>
      </c>
      <c r="D15" s="152" t="s">
        <v>234</v>
      </c>
      <c r="E15" s="152" t="s">
        <v>234</v>
      </c>
      <c r="F15" s="152" t="s">
        <v>241</v>
      </c>
      <c r="G15" s="152" t="s">
        <v>241</v>
      </c>
      <c r="H15" s="138" t="s">
        <v>123</v>
      </c>
      <c r="I15" s="152" t="s">
        <v>234</v>
      </c>
      <c r="J15" s="152" t="s">
        <v>234</v>
      </c>
      <c r="K15" s="152" t="s">
        <v>234</v>
      </c>
      <c r="L15" s="152" t="s">
        <v>234</v>
      </c>
      <c r="M15" s="95" t="s">
        <v>123</v>
      </c>
      <c r="N15" s="95" t="s">
        <v>123</v>
      </c>
      <c r="O15" s="152" t="s">
        <v>234</v>
      </c>
      <c r="P15" s="148" t="s">
        <v>123</v>
      </c>
      <c r="Q15" s="148" t="s">
        <v>123</v>
      </c>
      <c r="R15" s="148" t="s">
        <v>123</v>
      </c>
      <c r="S15" s="95" t="s">
        <v>241</v>
      </c>
      <c r="T15" s="148" t="s">
        <v>123</v>
      </c>
      <c r="U15" s="152" t="s">
        <v>234</v>
      </c>
      <c r="V15" s="320" t="s">
        <v>123</v>
      </c>
      <c r="W15" s="152" t="s">
        <v>234</v>
      </c>
      <c r="X15" s="152" t="s">
        <v>234</v>
      </c>
    </row>
    <row r="16" spans="1:24" ht="26.4">
      <c r="A16" s="117" t="s">
        <v>136</v>
      </c>
      <c r="B16" s="156"/>
      <c r="C16" s="152" t="s">
        <v>242</v>
      </c>
      <c r="D16" s="95" t="s">
        <v>243</v>
      </c>
      <c r="E16" s="152" t="s">
        <v>244</v>
      </c>
      <c r="F16" s="152" t="s">
        <v>245</v>
      </c>
      <c r="G16" s="152" t="s">
        <v>245</v>
      </c>
      <c r="H16" s="152" t="s">
        <v>244</v>
      </c>
      <c r="I16" s="153" t="s">
        <v>243</v>
      </c>
      <c r="J16" s="95" t="s">
        <v>243</v>
      </c>
      <c r="K16" s="153" t="s">
        <v>243</v>
      </c>
      <c r="L16" s="95" t="s">
        <v>243</v>
      </c>
      <c r="M16" s="152" t="s">
        <v>243</v>
      </c>
      <c r="N16" s="152" t="s">
        <v>243</v>
      </c>
      <c r="O16" s="153" t="s">
        <v>243</v>
      </c>
      <c r="P16" s="148" t="s">
        <v>243</v>
      </c>
      <c r="Q16" s="148" t="s">
        <v>243</v>
      </c>
      <c r="R16" s="148" t="s">
        <v>243</v>
      </c>
      <c r="S16" s="95" t="s">
        <v>246</v>
      </c>
      <c r="T16" s="148" t="s">
        <v>243</v>
      </c>
      <c r="U16" s="285" t="s">
        <v>309</v>
      </c>
      <c r="V16" s="320" t="s">
        <v>242</v>
      </c>
      <c r="W16" s="148" t="s">
        <v>243</v>
      </c>
      <c r="X16" s="148" t="s">
        <v>243</v>
      </c>
    </row>
    <row r="17" spans="1:24" ht="22.8">
      <c r="A17" s="95" t="s">
        <v>141</v>
      </c>
      <c r="B17" s="93" t="s">
        <v>142</v>
      </c>
      <c r="C17" s="134" t="s">
        <v>72</v>
      </c>
      <c r="D17" s="134" t="s">
        <v>72</v>
      </c>
      <c r="E17" s="134" t="s">
        <v>247</v>
      </c>
      <c r="F17" s="134" t="s">
        <v>72</v>
      </c>
      <c r="G17" s="134" t="s">
        <v>72</v>
      </c>
      <c r="H17" s="134" t="s">
        <v>72</v>
      </c>
      <c r="I17" s="134" t="s">
        <v>72</v>
      </c>
      <c r="J17" s="134" t="s">
        <v>72</v>
      </c>
      <c r="K17" s="134" t="s">
        <v>247</v>
      </c>
      <c r="L17" s="134" t="s">
        <v>247</v>
      </c>
      <c r="M17" s="134" t="s">
        <v>72</v>
      </c>
      <c r="N17" s="134" t="s">
        <v>72</v>
      </c>
      <c r="O17" s="134" t="s">
        <v>72</v>
      </c>
      <c r="P17" s="148" t="s">
        <v>72</v>
      </c>
      <c r="Q17" s="148" t="s">
        <v>72</v>
      </c>
      <c r="R17" s="148" t="s">
        <v>72</v>
      </c>
      <c r="S17" s="148" t="s">
        <v>72</v>
      </c>
      <c r="T17" s="148" t="s">
        <v>72</v>
      </c>
      <c r="U17" s="134" t="s">
        <v>72</v>
      </c>
      <c r="V17" s="289" t="s">
        <v>72</v>
      </c>
      <c r="W17" s="134" t="s">
        <v>72</v>
      </c>
      <c r="X17" s="134" t="s">
        <v>72</v>
      </c>
    </row>
    <row r="18" spans="1:24" ht="68.400000000000006">
      <c r="A18" s="117" t="s">
        <v>144</v>
      </c>
      <c r="B18" s="93" t="s">
        <v>145</v>
      </c>
      <c r="C18" s="134" t="s">
        <v>248</v>
      </c>
      <c r="D18" s="134" t="s">
        <v>249</v>
      </c>
      <c r="E18" s="134" t="s">
        <v>250</v>
      </c>
      <c r="F18" s="139" t="s">
        <v>251</v>
      </c>
      <c r="G18" s="139" t="s">
        <v>252</v>
      </c>
      <c r="H18" s="134" t="s">
        <v>253</v>
      </c>
      <c r="I18" s="134" t="s">
        <v>254</v>
      </c>
      <c r="J18" s="134" t="s">
        <v>254</v>
      </c>
      <c r="K18" s="134" t="s">
        <v>254</v>
      </c>
      <c r="L18" s="134" t="s">
        <v>254</v>
      </c>
      <c r="M18" s="139" t="s">
        <v>255</v>
      </c>
      <c r="N18" s="139" t="s">
        <v>255</v>
      </c>
      <c r="O18" s="134" t="s">
        <v>254</v>
      </c>
      <c r="P18" s="149" t="s">
        <v>255</v>
      </c>
      <c r="Q18" s="149" t="s">
        <v>863</v>
      </c>
      <c r="R18" s="149" t="s">
        <v>256</v>
      </c>
      <c r="S18" s="134" t="s">
        <v>257</v>
      </c>
      <c r="T18" s="149" t="s">
        <v>258</v>
      </c>
      <c r="U18" s="134" t="s">
        <v>815</v>
      </c>
      <c r="V18" s="289" t="s">
        <v>248</v>
      </c>
      <c r="W18" s="134" t="s">
        <v>913</v>
      </c>
      <c r="X18" s="134" t="s">
        <v>913</v>
      </c>
    </row>
    <row r="19" spans="1:24" ht="60" customHeight="1">
      <c r="A19" s="98" t="s">
        <v>174</v>
      </c>
      <c r="B19" s="141" t="s">
        <v>175</v>
      </c>
      <c r="C19" s="139" t="s">
        <v>259</v>
      </c>
      <c r="D19" s="139" t="s">
        <v>259</v>
      </c>
      <c r="E19" s="139" t="s">
        <v>259</v>
      </c>
      <c r="F19" s="139" t="s">
        <v>260</v>
      </c>
      <c r="G19" s="139" t="s">
        <v>260</v>
      </c>
      <c r="H19" s="139" t="s">
        <v>259</v>
      </c>
      <c r="I19" s="139" t="s">
        <v>259</v>
      </c>
      <c r="J19" s="139" t="s">
        <v>259</v>
      </c>
      <c r="K19" s="139" t="s">
        <v>259</v>
      </c>
      <c r="L19" s="139" t="s">
        <v>259</v>
      </c>
      <c r="M19" s="139" t="s">
        <v>259</v>
      </c>
      <c r="N19" s="139" t="s">
        <v>259</v>
      </c>
      <c r="O19" s="139" t="s">
        <v>259</v>
      </c>
      <c r="P19" s="149" t="s">
        <v>259</v>
      </c>
      <c r="Q19" s="149" t="s">
        <v>259</v>
      </c>
      <c r="R19" s="149" t="s">
        <v>261</v>
      </c>
      <c r="S19" s="134" t="s">
        <v>262</v>
      </c>
      <c r="T19" s="149" t="s">
        <v>259</v>
      </c>
      <c r="U19" s="139" t="s">
        <v>259</v>
      </c>
      <c r="V19" s="313" t="s">
        <v>259</v>
      </c>
      <c r="W19" s="139" t="s">
        <v>259</v>
      </c>
      <c r="X19" s="139" t="s">
        <v>259</v>
      </c>
    </row>
    <row r="20" spans="1:24" ht="71.25" customHeight="1">
      <c r="A20" s="98" t="s">
        <v>185</v>
      </c>
      <c r="B20" s="141" t="s">
        <v>186</v>
      </c>
      <c r="C20" s="254" t="s">
        <v>716</v>
      </c>
      <c r="D20" s="93" t="s">
        <v>715</v>
      </c>
      <c r="E20" s="140" t="s">
        <v>264</v>
      </c>
      <c r="F20" s="93" t="s">
        <v>265</v>
      </c>
      <c r="G20" s="93" t="s">
        <v>265</v>
      </c>
      <c r="H20" s="140" t="s">
        <v>264</v>
      </c>
      <c r="I20" s="93" t="s">
        <v>266</v>
      </c>
      <c r="J20" s="93" t="s">
        <v>266</v>
      </c>
      <c r="K20" s="93" t="s">
        <v>266</v>
      </c>
      <c r="L20" s="93" t="s">
        <v>266</v>
      </c>
      <c r="M20" s="93" t="s">
        <v>267</v>
      </c>
      <c r="N20" s="93" t="s">
        <v>267</v>
      </c>
      <c r="O20" s="93" t="s">
        <v>266</v>
      </c>
      <c r="P20" s="149" t="s">
        <v>268</v>
      </c>
      <c r="Q20" s="149" t="s">
        <v>268</v>
      </c>
      <c r="R20" s="149" t="s">
        <v>269</v>
      </c>
      <c r="S20" s="134" t="s">
        <v>270</v>
      </c>
      <c r="T20" s="149" t="s">
        <v>268</v>
      </c>
      <c r="U20" s="93" t="s">
        <v>266</v>
      </c>
      <c r="V20" s="321" t="s">
        <v>851</v>
      </c>
      <c r="W20" s="93" t="s">
        <v>715</v>
      </c>
      <c r="X20" s="93" t="s">
        <v>715</v>
      </c>
    </row>
    <row r="21" spans="1:24" ht="22.5" customHeight="1">
      <c r="A21" s="98" t="s">
        <v>271</v>
      </c>
      <c r="B21" s="141">
        <v>1</v>
      </c>
      <c r="C21" s="134" t="s">
        <v>72</v>
      </c>
      <c r="D21" s="134" t="s">
        <v>72</v>
      </c>
      <c r="E21" s="134" t="s">
        <v>72</v>
      </c>
      <c r="F21" s="134" t="s">
        <v>72</v>
      </c>
      <c r="G21" s="134" t="s">
        <v>72</v>
      </c>
      <c r="H21" s="134" t="s">
        <v>72</v>
      </c>
      <c r="I21" s="134" t="s">
        <v>72</v>
      </c>
      <c r="J21" s="134" t="s">
        <v>72</v>
      </c>
      <c r="K21" s="134" t="s">
        <v>72</v>
      </c>
      <c r="L21" s="134" t="s">
        <v>72</v>
      </c>
      <c r="M21" s="134" t="s">
        <v>72</v>
      </c>
      <c r="N21" s="134" t="s">
        <v>72</v>
      </c>
      <c r="O21" s="134" t="s">
        <v>72</v>
      </c>
      <c r="P21" s="148" t="s">
        <v>72</v>
      </c>
      <c r="Q21" s="148" t="s">
        <v>72</v>
      </c>
      <c r="R21" s="148" t="s">
        <v>72</v>
      </c>
      <c r="S21" s="148" t="s">
        <v>72</v>
      </c>
      <c r="T21" s="148" t="s">
        <v>72</v>
      </c>
      <c r="U21" s="134" t="s">
        <v>72</v>
      </c>
      <c r="V21" s="289" t="s">
        <v>72</v>
      </c>
      <c r="W21" s="134" t="s">
        <v>72</v>
      </c>
      <c r="X21" s="134" t="s">
        <v>72</v>
      </c>
    </row>
    <row r="22" spans="1:24" ht="25.5" customHeight="1">
      <c r="A22" s="98" t="s">
        <v>272</v>
      </c>
      <c r="B22" s="141"/>
      <c r="C22" s="140" t="s">
        <v>273</v>
      </c>
      <c r="D22" s="140" t="s">
        <v>273</v>
      </c>
      <c r="E22" s="95" t="s">
        <v>172</v>
      </c>
      <c r="F22" s="140" t="s">
        <v>273</v>
      </c>
      <c r="G22" s="140" t="s">
        <v>273</v>
      </c>
      <c r="H22" s="140" t="s">
        <v>273</v>
      </c>
      <c r="I22" s="140" t="s">
        <v>273</v>
      </c>
      <c r="J22" s="140" t="s">
        <v>273</v>
      </c>
      <c r="K22" s="95" t="s">
        <v>172</v>
      </c>
      <c r="L22" s="95" t="s">
        <v>274</v>
      </c>
      <c r="M22" s="95" t="s">
        <v>172</v>
      </c>
      <c r="N22" s="95" t="s">
        <v>172</v>
      </c>
      <c r="O22" s="140" t="s">
        <v>273</v>
      </c>
      <c r="P22" s="149" t="s">
        <v>273</v>
      </c>
      <c r="Q22" s="149" t="s">
        <v>273</v>
      </c>
      <c r="R22" s="149" t="s">
        <v>273</v>
      </c>
      <c r="S22" s="93" t="s">
        <v>275</v>
      </c>
      <c r="T22" s="149" t="s">
        <v>273</v>
      </c>
      <c r="U22" s="140" t="s">
        <v>273</v>
      </c>
      <c r="V22" s="321" t="s">
        <v>273</v>
      </c>
      <c r="W22" s="140" t="s">
        <v>273</v>
      </c>
      <c r="X22" s="140" t="s">
        <v>273</v>
      </c>
    </row>
    <row r="23" spans="1:24">
      <c r="A23" s="117" t="s">
        <v>194</v>
      </c>
      <c r="B23" s="156" t="s">
        <v>195</v>
      </c>
      <c r="C23" s="134" t="s">
        <v>72</v>
      </c>
      <c r="D23" s="134" t="s">
        <v>72</v>
      </c>
      <c r="E23" s="134" t="s">
        <v>72</v>
      </c>
      <c r="F23" s="134" t="s">
        <v>72</v>
      </c>
      <c r="G23" s="134" t="s">
        <v>72</v>
      </c>
      <c r="H23" s="134" t="s">
        <v>72</v>
      </c>
      <c r="I23" s="134" t="s">
        <v>72</v>
      </c>
      <c r="J23" s="134" t="s">
        <v>72</v>
      </c>
      <c r="K23" s="134" t="s">
        <v>72</v>
      </c>
      <c r="L23" s="134" t="s">
        <v>72</v>
      </c>
      <c r="M23" s="134" t="s">
        <v>72</v>
      </c>
      <c r="N23" s="134" t="s">
        <v>72</v>
      </c>
      <c r="O23" s="134" t="s">
        <v>72</v>
      </c>
      <c r="P23" s="148" t="s">
        <v>72</v>
      </c>
      <c r="Q23" s="148" t="s">
        <v>72</v>
      </c>
      <c r="R23" s="148" t="s">
        <v>72</v>
      </c>
      <c r="S23" s="148" t="s">
        <v>72</v>
      </c>
      <c r="T23" s="148" t="s">
        <v>72</v>
      </c>
      <c r="U23" s="134" t="s">
        <v>72</v>
      </c>
      <c r="V23" s="289" t="s">
        <v>72</v>
      </c>
      <c r="W23" s="134" t="s">
        <v>72</v>
      </c>
      <c r="X23" s="134" t="s">
        <v>72</v>
      </c>
    </row>
    <row r="24" spans="1:24">
      <c r="A24" s="95" t="s">
        <v>196</v>
      </c>
      <c r="B24" s="156" t="s">
        <v>197</v>
      </c>
      <c r="C24" s="134" t="s">
        <v>72</v>
      </c>
      <c r="D24" s="134" t="s">
        <v>72</v>
      </c>
      <c r="E24" s="134" t="s">
        <v>72</v>
      </c>
      <c r="F24" s="134" t="s">
        <v>72</v>
      </c>
      <c r="G24" s="134" t="s">
        <v>72</v>
      </c>
      <c r="H24" s="134" t="s">
        <v>72</v>
      </c>
      <c r="I24" s="134" t="s">
        <v>72</v>
      </c>
      <c r="J24" s="134" t="s">
        <v>72</v>
      </c>
      <c r="K24" s="134" t="s">
        <v>72</v>
      </c>
      <c r="L24" s="134" t="s">
        <v>72</v>
      </c>
      <c r="M24" s="134" t="s">
        <v>72</v>
      </c>
      <c r="N24" s="134" t="s">
        <v>72</v>
      </c>
      <c r="O24" s="134" t="s">
        <v>72</v>
      </c>
      <c r="P24" s="148" t="s">
        <v>72</v>
      </c>
      <c r="Q24" s="148" t="s">
        <v>72</v>
      </c>
      <c r="R24" s="148" t="s">
        <v>72</v>
      </c>
      <c r="S24" s="148" t="s">
        <v>72</v>
      </c>
      <c r="T24" s="148" t="s">
        <v>72</v>
      </c>
      <c r="U24" s="134" t="s">
        <v>72</v>
      </c>
      <c r="V24" s="289" t="s">
        <v>72</v>
      </c>
      <c r="W24" s="134" t="s">
        <v>72</v>
      </c>
      <c r="X24" s="134" t="s">
        <v>72</v>
      </c>
    </row>
    <row r="25" spans="1:24">
      <c r="A25" s="95" t="s">
        <v>198</v>
      </c>
      <c r="B25" s="156"/>
      <c r="C25" s="134" t="s">
        <v>199</v>
      </c>
      <c r="D25" s="134" t="s">
        <v>199</v>
      </c>
      <c r="E25" s="134" t="s">
        <v>199</v>
      </c>
      <c r="F25" s="134" t="s">
        <v>199</v>
      </c>
      <c r="G25" s="134" t="s">
        <v>199</v>
      </c>
      <c r="H25" s="134" t="s">
        <v>199</v>
      </c>
      <c r="I25" s="134" t="s">
        <v>199</v>
      </c>
      <c r="J25" s="134" t="s">
        <v>199</v>
      </c>
      <c r="K25" s="134" t="s">
        <v>199</v>
      </c>
      <c r="L25" s="134" t="s">
        <v>199</v>
      </c>
      <c r="M25" s="95" t="s">
        <v>200</v>
      </c>
      <c r="N25" s="288" t="s">
        <v>822</v>
      </c>
      <c r="O25" s="134" t="s">
        <v>199</v>
      </c>
      <c r="P25" s="148" t="s">
        <v>199</v>
      </c>
      <c r="Q25" s="148" t="s">
        <v>199</v>
      </c>
      <c r="R25" s="148" t="s">
        <v>199</v>
      </c>
      <c r="S25" s="148" t="s">
        <v>199</v>
      </c>
      <c r="T25" s="148" t="s">
        <v>199</v>
      </c>
      <c r="U25" s="134" t="s">
        <v>199</v>
      </c>
      <c r="V25" s="289" t="s">
        <v>199</v>
      </c>
      <c r="W25" s="134" t="s">
        <v>199</v>
      </c>
      <c r="X25" s="134" t="s">
        <v>199</v>
      </c>
    </row>
    <row r="26" spans="1:24">
      <c r="A26" s="95" t="s">
        <v>276</v>
      </c>
      <c r="B26" s="156"/>
      <c r="C26" s="139" t="s">
        <v>277</v>
      </c>
      <c r="D26" s="139" t="s">
        <v>277</v>
      </c>
      <c r="E26" s="139" t="s">
        <v>277</v>
      </c>
      <c r="F26" s="363" t="s">
        <v>281</v>
      </c>
      <c r="G26" s="363" t="s">
        <v>281</v>
      </c>
      <c r="H26" s="139" t="s">
        <v>277</v>
      </c>
      <c r="I26" s="155" t="s">
        <v>278</v>
      </c>
      <c r="J26" s="155" t="s">
        <v>279</v>
      </c>
      <c r="K26" s="155" t="s">
        <v>278</v>
      </c>
      <c r="L26" s="155" t="s">
        <v>279</v>
      </c>
      <c r="M26" s="139" t="s">
        <v>280</v>
      </c>
      <c r="N26" s="139" t="s">
        <v>280</v>
      </c>
      <c r="O26" s="155" t="s">
        <v>281</v>
      </c>
      <c r="P26" s="166" t="s">
        <v>277</v>
      </c>
      <c r="Q26" s="166" t="s">
        <v>277</v>
      </c>
      <c r="R26" s="139" t="s">
        <v>278</v>
      </c>
      <c r="S26" s="139" t="s">
        <v>282</v>
      </c>
      <c r="T26" s="166" t="s">
        <v>277</v>
      </c>
      <c r="U26" s="139" t="s">
        <v>711</v>
      </c>
      <c r="V26" s="313" t="s">
        <v>277</v>
      </c>
      <c r="W26" s="139" t="s">
        <v>277</v>
      </c>
      <c r="X26" s="139" t="s">
        <v>277</v>
      </c>
    </row>
    <row r="27" spans="1:24" ht="45.6">
      <c r="A27" s="95" t="s">
        <v>283</v>
      </c>
      <c r="B27" s="95"/>
      <c r="C27" s="93" t="s">
        <v>284</v>
      </c>
      <c r="D27" s="93" t="s">
        <v>284</v>
      </c>
      <c r="E27" s="93" t="s">
        <v>285</v>
      </c>
      <c r="F27" s="362" t="s">
        <v>944</v>
      </c>
      <c r="G27" s="362" t="s">
        <v>945</v>
      </c>
      <c r="H27" s="93" t="s">
        <v>284</v>
      </c>
      <c r="I27" s="116" t="s">
        <v>286</v>
      </c>
      <c r="J27" s="116" t="s">
        <v>286</v>
      </c>
      <c r="K27" s="116" t="s">
        <v>287</v>
      </c>
      <c r="L27" s="116" t="s">
        <v>287</v>
      </c>
      <c r="M27" s="93" t="s">
        <v>288</v>
      </c>
      <c r="N27" s="93" t="s">
        <v>288</v>
      </c>
      <c r="O27" s="116" t="s">
        <v>286</v>
      </c>
      <c r="P27" s="148" t="s">
        <v>123</v>
      </c>
      <c r="Q27" s="148" t="s">
        <v>123</v>
      </c>
      <c r="R27" s="148" t="s">
        <v>123</v>
      </c>
      <c r="S27" s="95" t="s">
        <v>216</v>
      </c>
      <c r="T27" s="148" t="s">
        <v>123</v>
      </c>
      <c r="U27" s="93" t="s">
        <v>711</v>
      </c>
      <c r="V27" s="312" t="s">
        <v>284</v>
      </c>
      <c r="W27" s="95" t="s">
        <v>216</v>
      </c>
      <c r="X27" s="95" t="s">
        <v>216</v>
      </c>
    </row>
    <row r="28" spans="1:24">
      <c r="A28" s="96"/>
      <c r="B28" s="186"/>
      <c r="C28" s="134"/>
      <c r="D28" s="95"/>
      <c r="E28" s="95"/>
      <c r="F28" s="134"/>
      <c r="G28" s="95"/>
      <c r="H28" s="95"/>
      <c r="I28" s="134"/>
      <c r="J28" s="95"/>
      <c r="K28" s="95"/>
      <c r="L28" s="95"/>
      <c r="M28" s="95"/>
      <c r="N28" s="95"/>
      <c r="O28" s="134"/>
      <c r="P28" s="148"/>
      <c r="Q28" s="148"/>
      <c r="R28" s="148"/>
      <c r="S28" s="95"/>
      <c r="T28" s="148"/>
      <c r="U28" s="95"/>
      <c r="V28" s="289"/>
      <c r="W28" s="134"/>
      <c r="X28" s="95"/>
    </row>
    <row r="29" spans="1:24">
      <c r="A29" s="129" t="s">
        <v>202</v>
      </c>
      <c r="B29" s="179" t="s">
        <v>203</v>
      </c>
      <c r="C29" s="134"/>
      <c r="D29" s="95"/>
      <c r="E29" s="95"/>
      <c r="F29" s="134"/>
      <c r="G29" s="95"/>
      <c r="H29" s="95"/>
      <c r="I29" s="134"/>
      <c r="J29" s="95"/>
      <c r="K29" s="95"/>
      <c r="L29" s="95"/>
      <c r="M29" s="95"/>
      <c r="N29" s="95"/>
      <c r="O29" s="134"/>
      <c r="P29" s="148"/>
      <c r="Q29" s="148"/>
      <c r="R29" s="148"/>
      <c r="S29" s="95"/>
      <c r="T29" s="148"/>
      <c r="U29" s="95"/>
      <c r="V29" s="289"/>
      <c r="W29" s="134"/>
      <c r="X29" s="95"/>
    </row>
    <row r="30" spans="1:24">
      <c r="A30" s="98" t="s">
        <v>204</v>
      </c>
      <c r="B30" s="141" t="s">
        <v>205</v>
      </c>
      <c r="C30" s="142" t="s">
        <v>72</v>
      </c>
      <c r="D30" s="142" t="s">
        <v>72</v>
      </c>
      <c r="E30" s="142" t="s">
        <v>72</v>
      </c>
      <c r="F30" s="142" t="s">
        <v>72</v>
      </c>
      <c r="G30" s="142" t="s">
        <v>72</v>
      </c>
      <c r="H30" s="142" t="s">
        <v>72</v>
      </c>
      <c r="I30" s="142" t="s">
        <v>72</v>
      </c>
      <c r="J30" s="142" t="s">
        <v>72</v>
      </c>
      <c r="K30" s="142" t="s">
        <v>72</v>
      </c>
      <c r="L30" s="142" t="s">
        <v>72</v>
      </c>
      <c r="M30" s="142" t="s">
        <v>72</v>
      </c>
      <c r="N30" s="142" t="s">
        <v>72</v>
      </c>
      <c r="O30" s="142" t="s">
        <v>72</v>
      </c>
      <c r="P30" s="148" t="s">
        <v>72</v>
      </c>
      <c r="Q30" s="148" t="s">
        <v>72</v>
      </c>
      <c r="R30" s="148" t="s">
        <v>72</v>
      </c>
      <c r="S30" s="148" t="s">
        <v>72</v>
      </c>
      <c r="T30" s="148" t="s">
        <v>72</v>
      </c>
      <c r="U30" s="142" t="s">
        <v>72</v>
      </c>
      <c r="V30" s="315" t="s">
        <v>72</v>
      </c>
      <c r="W30" s="142" t="s">
        <v>72</v>
      </c>
      <c r="X30" s="142" t="s">
        <v>72</v>
      </c>
    </row>
    <row r="31" spans="1:24">
      <c r="A31" s="98" t="s">
        <v>206</v>
      </c>
      <c r="B31" s="141" t="s">
        <v>207</v>
      </c>
      <c r="C31" s="139" t="s">
        <v>208</v>
      </c>
      <c r="D31" s="139" t="s">
        <v>208</v>
      </c>
      <c r="E31" s="139" t="s">
        <v>208</v>
      </c>
      <c r="F31" s="139" t="s">
        <v>208</v>
      </c>
      <c r="G31" s="139" t="s">
        <v>208</v>
      </c>
      <c r="H31" s="142" t="s">
        <v>72</v>
      </c>
      <c r="I31" s="139" t="s">
        <v>208</v>
      </c>
      <c r="J31" s="139" t="s">
        <v>208</v>
      </c>
      <c r="K31" s="139" t="s">
        <v>208</v>
      </c>
      <c r="L31" s="139" t="s">
        <v>208</v>
      </c>
      <c r="M31" s="139" t="s">
        <v>208</v>
      </c>
      <c r="N31" s="139" t="s">
        <v>208</v>
      </c>
      <c r="O31" s="139" t="s">
        <v>208</v>
      </c>
      <c r="P31" s="148" t="s">
        <v>208</v>
      </c>
      <c r="Q31" s="148" t="s">
        <v>208</v>
      </c>
      <c r="R31" s="148" t="s">
        <v>208</v>
      </c>
      <c r="S31" s="148" t="s">
        <v>72</v>
      </c>
      <c r="T31" s="148" t="s">
        <v>72</v>
      </c>
      <c r="U31" s="139" t="s">
        <v>208</v>
      </c>
      <c r="V31" s="313" t="s">
        <v>208</v>
      </c>
      <c r="W31" s="142" t="s">
        <v>72</v>
      </c>
      <c r="X31" s="142" t="s">
        <v>72</v>
      </c>
    </row>
    <row r="32" spans="1:24">
      <c r="A32" s="98" t="s">
        <v>210</v>
      </c>
      <c r="B32" s="143"/>
      <c r="C32" s="141">
        <v>1</v>
      </c>
      <c r="D32" s="141">
        <v>1</v>
      </c>
      <c r="E32" s="141">
        <v>1</v>
      </c>
      <c r="F32" s="141">
        <v>1</v>
      </c>
      <c r="G32" s="141">
        <v>1</v>
      </c>
      <c r="H32" s="141">
        <v>1</v>
      </c>
      <c r="I32" s="141">
        <v>1</v>
      </c>
      <c r="J32" s="141">
        <v>1</v>
      </c>
      <c r="K32" s="141">
        <v>1</v>
      </c>
      <c r="L32" s="141">
        <v>1</v>
      </c>
      <c r="M32" s="156">
        <v>0</v>
      </c>
      <c r="N32" s="156">
        <v>0</v>
      </c>
      <c r="O32" s="141">
        <v>1</v>
      </c>
      <c r="P32" s="157">
        <v>1</v>
      </c>
      <c r="Q32" s="157">
        <v>1</v>
      </c>
      <c r="R32" s="157">
        <v>1</v>
      </c>
      <c r="S32" s="95"/>
      <c r="T32" s="157">
        <v>0</v>
      </c>
      <c r="U32" s="222">
        <v>0</v>
      </c>
      <c r="V32" s="316">
        <v>1</v>
      </c>
      <c r="W32" s="346">
        <v>0</v>
      </c>
      <c r="X32" s="346">
        <v>0</v>
      </c>
    </row>
    <row r="33" spans="1:24" ht="14.25" customHeight="1">
      <c r="A33" s="389" t="s">
        <v>211</v>
      </c>
      <c r="B33" s="372" t="s">
        <v>212</v>
      </c>
      <c r="C33" s="390" t="s">
        <v>72</v>
      </c>
      <c r="D33" s="390" t="s">
        <v>72</v>
      </c>
      <c r="E33" s="390" t="s">
        <v>72</v>
      </c>
      <c r="F33" s="390" t="s">
        <v>72</v>
      </c>
      <c r="G33" s="390" t="s">
        <v>72</v>
      </c>
      <c r="H33" s="391" t="s">
        <v>72</v>
      </c>
      <c r="I33" s="390" t="s">
        <v>72</v>
      </c>
      <c r="J33" s="390" t="s">
        <v>72</v>
      </c>
      <c r="K33" s="390" t="s">
        <v>72</v>
      </c>
      <c r="L33" s="390" t="s">
        <v>72</v>
      </c>
      <c r="M33" s="391" t="s">
        <v>72</v>
      </c>
      <c r="N33" s="391" t="s">
        <v>72</v>
      </c>
      <c r="O33" s="390" t="s">
        <v>72</v>
      </c>
      <c r="P33" s="381" t="s">
        <v>72</v>
      </c>
      <c r="Q33" s="331" t="s">
        <v>72</v>
      </c>
      <c r="R33" s="381" t="s">
        <v>72</v>
      </c>
      <c r="S33" s="381" t="s">
        <v>72</v>
      </c>
      <c r="T33" s="381" t="s">
        <v>72</v>
      </c>
      <c r="U33" s="222" t="s">
        <v>72</v>
      </c>
      <c r="V33" s="316" t="s">
        <v>72</v>
      </c>
      <c r="W33" s="390" t="s">
        <v>72</v>
      </c>
      <c r="X33" s="390" t="s">
        <v>72</v>
      </c>
    </row>
    <row r="34" spans="1:24">
      <c r="A34" s="389"/>
      <c r="B34" s="373"/>
      <c r="C34" s="390"/>
      <c r="D34" s="390"/>
      <c r="E34" s="390"/>
      <c r="F34" s="390"/>
      <c r="G34" s="390"/>
      <c r="H34" s="392"/>
      <c r="I34" s="390"/>
      <c r="J34" s="390"/>
      <c r="K34" s="390"/>
      <c r="L34" s="390"/>
      <c r="M34" s="392"/>
      <c r="N34" s="392"/>
      <c r="O34" s="390"/>
      <c r="P34" s="382"/>
      <c r="Q34" s="332"/>
      <c r="R34" s="382"/>
      <c r="S34" s="382"/>
      <c r="T34" s="382"/>
      <c r="U34" s="95"/>
      <c r="V34" s="316"/>
      <c r="W34" s="390"/>
      <c r="X34" s="390"/>
    </row>
    <row r="35" spans="1:24">
      <c r="A35" s="98" t="s">
        <v>213</v>
      </c>
      <c r="B35" s="142" t="s">
        <v>214</v>
      </c>
      <c r="C35" s="141" t="s">
        <v>72</v>
      </c>
      <c r="D35" s="141" t="s">
        <v>72</v>
      </c>
      <c r="E35" s="141" t="s">
        <v>72</v>
      </c>
      <c r="F35" s="141" t="s">
        <v>72</v>
      </c>
      <c r="G35" s="141" t="s">
        <v>72</v>
      </c>
      <c r="H35" s="142" t="s">
        <v>72</v>
      </c>
      <c r="I35" s="141" t="s">
        <v>72</v>
      </c>
      <c r="J35" s="141" t="s">
        <v>72</v>
      </c>
      <c r="K35" s="141" t="s">
        <v>72</v>
      </c>
      <c r="L35" s="141" t="s">
        <v>72</v>
      </c>
      <c r="M35" s="142" t="s">
        <v>72</v>
      </c>
      <c r="N35" s="142" t="s">
        <v>72</v>
      </c>
      <c r="O35" s="141" t="s">
        <v>72</v>
      </c>
      <c r="P35" s="148" t="s">
        <v>72</v>
      </c>
      <c r="Q35" s="148" t="s">
        <v>72</v>
      </c>
      <c r="R35" s="148" t="s">
        <v>72</v>
      </c>
      <c r="S35" s="148" t="s">
        <v>72</v>
      </c>
      <c r="T35" s="148" t="s">
        <v>72</v>
      </c>
      <c r="U35" s="222" t="s">
        <v>72</v>
      </c>
      <c r="V35" s="316" t="s">
        <v>72</v>
      </c>
      <c r="W35" s="346" t="s">
        <v>72</v>
      </c>
      <c r="X35" s="346" t="s">
        <v>72</v>
      </c>
    </row>
    <row r="36" spans="1:24" ht="34.200000000000003">
      <c r="A36" s="98" t="s">
        <v>215</v>
      </c>
      <c r="B36" s="141" t="s">
        <v>216</v>
      </c>
      <c r="C36" s="141" t="s">
        <v>216</v>
      </c>
      <c r="D36" s="141" t="s">
        <v>216</v>
      </c>
      <c r="E36" s="141" t="s">
        <v>216</v>
      </c>
      <c r="F36" s="141" t="s">
        <v>216</v>
      </c>
      <c r="G36" s="141" t="s">
        <v>216</v>
      </c>
      <c r="H36" s="141" t="s">
        <v>216</v>
      </c>
      <c r="I36" s="141" t="s">
        <v>216</v>
      </c>
      <c r="J36" s="141" t="s">
        <v>216</v>
      </c>
      <c r="K36" s="141" t="s">
        <v>216</v>
      </c>
      <c r="L36" s="141" t="s">
        <v>216</v>
      </c>
      <c r="M36" s="282" t="s">
        <v>216</v>
      </c>
      <c r="N36" s="141" t="s">
        <v>216</v>
      </c>
      <c r="O36" s="141" t="s">
        <v>216</v>
      </c>
      <c r="P36" s="148" t="s">
        <v>216</v>
      </c>
      <c r="Q36" s="148" t="s">
        <v>216</v>
      </c>
      <c r="R36" s="148" t="s">
        <v>216</v>
      </c>
      <c r="S36" s="159" t="s">
        <v>216</v>
      </c>
      <c r="T36" s="148" t="s">
        <v>216</v>
      </c>
      <c r="U36" s="222" t="s">
        <v>216</v>
      </c>
      <c r="V36" s="316" t="s">
        <v>216</v>
      </c>
      <c r="W36" s="346" t="s">
        <v>216</v>
      </c>
      <c r="X36" s="346" t="s">
        <v>216</v>
      </c>
    </row>
    <row r="37" spans="1:24" ht="34.200000000000003">
      <c r="A37" s="98" t="s">
        <v>217</v>
      </c>
      <c r="B37" s="141" t="s">
        <v>216</v>
      </c>
      <c r="C37" s="141" t="s">
        <v>216</v>
      </c>
      <c r="D37" s="141" t="s">
        <v>216</v>
      </c>
      <c r="E37" s="141" t="s">
        <v>216</v>
      </c>
      <c r="F37" s="141" t="s">
        <v>216</v>
      </c>
      <c r="G37" s="141" t="s">
        <v>216</v>
      </c>
      <c r="H37" s="141" t="s">
        <v>216</v>
      </c>
      <c r="I37" s="141" t="s">
        <v>216</v>
      </c>
      <c r="J37" s="141" t="s">
        <v>216</v>
      </c>
      <c r="K37" s="141" t="s">
        <v>216</v>
      </c>
      <c r="L37" s="141" t="s">
        <v>216</v>
      </c>
      <c r="M37" s="282" t="s">
        <v>216</v>
      </c>
      <c r="N37" s="141" t="s">
        <v>216</v>
      </c>
      <c r="O37" s="141" t="s">
        <v>216</v>
      </c>
      <c r="P37" s="148" t="s">
        <v>216</v>
      </c>
      <c r="Q37" s="148" t="s">
        <v>216</v>
      </c>
      <c r="R37" s="148" t="s">
        <v>216</v>
      </c>
      <c r="S37" s="159" t="s">
        <v>216</v>
      </c>
      <c r="T37" s="148" t="s">
        <v>216</v>
      </c>
      <c r="U37" s="222" t="s">
        <v>216</v>
      </c>
      <c r="V37" s="316" t="s">
        <v>216</v>
      </c>
      <c r="W37" s="346" t="s">
        <v>216</v>
      </c>
      <c r="X37" s="346" t="s">
        <v>216</v>
      </c>
    </row>
    <row r="38" spans="1:24" ht="22.8">
      <c r="A38" s="98" t="s">
        <v>218</v>
      </c>
      <c r="B38" s="141" t="s">
        <v>219</v>
      </c>
      <c r="C38" s="141" t="s">
        <v>72</v>
      </c>
      <c r="D38" s="141" t="s">
        <v>72</v>
      </c>
      <c r="E38" s="141" t="s">
        <v>72</v>
      </c>
      <c r="F38" s="141" t="s">
        <v>72</v>
      </c>
      <c r="G38" s="141" t="s">
        <v>72</v>
      </c>
      <c r="H38" s="142" t="s">
        <v>72</v>
      </c>
      <c r="I38" s="141" t="s">
        <v>72</v>
      </c>
      <c r="J38" s="141" t="s">
        <v>72</v>
      </c>
      <c r="K38" s="141" t="s">
        <v>72</v>
      </c>
      <c r="L38" s="141" t="s">
        <v>72</v>
      </c>
      <c r="M38" s="142" t="s">
        <v>72</v>
      </c>
      <c r="N38" s="142" t="s">
        <v>72</v>
      </c>
      <c r="O38" s="141" t="s">
        <v>72</v>
      </c>
      <c r="P38" s="148" t="s">
        <v>72</v>
      </c>
      <c r="Q38" s="148" t="s">
        <v>72</v>
      </c>
      <c r="R38" s="148" t="s">
        <v>72</v>
      </c>
      <c r="S38" s="160" t="s">
        <v>72</v>
      </c>
      <c r="T38" s="148" t="s">
        <v>72</v>
      </c>
      <c r="U38" s="222" t="s">
        <v>72</v>
      </c>
      <c r="V38" s="316" t="s">
        <v>72</v>
      </c>
      <c r="W38" s="346" t="s">
        <v>72</v>
      </c>
      <c r="X38" s="346" t="s">
        <v>72</v>
      </c>
    </row>
    <row r="39" spans="1:24" ht="22.8">
      <c r="A39" s="98" t="s">
        <v>220</v>
      </c>
      <c r="B39" s="141" t="s">
        <v>216</v>
      </c>
      <c r="C39" s="141" t="s">
        <v>216</v>
      </c>
      <c r="D39" s="141" t="s">
        <v>216</v>
      </c>
      <c r="E39" s="141" t="s">
        <v>216</v>
      </c>
      <c r="F39" s="141" t="s">
        <v>216</v>
      </c>
      <c r="G39" s="141" t="s">
        <v>216</v>
      </c>
      <c r="H39" s="141" t="s">
        <v>216</v>
      </c>
      <c r="I39" s="141" t="s">
        <v>216</v>
      </c>
      <c r="J39" s="141" t="s">
        <v>216</v>
      </c>
      <c r="K39" s="141" t="s">
        <v>216</v>
      </c>
      <c r="L39" s="141" t="s">
        <v>216</v>
      </c>
      <c r="M39" s="282" t="s">
        <v>216</v>
      </c>
      <c r="N39" s="141" t="s">
        <v>216</v>
      </c>
      <c r="O39" s="141" t="s">
        <v>216</v>
      </c>
      <c r="P39" s="148" t="s">
        <v>216</v>
      </c>
      <c r="Q39" s="148" t="s">
        <v>216</v>
      </c>
      <c r="R39" s="148" t="s">
        <v>216</v>
      </c>
      <c r="S39" s="159" t="s">
        <v>216</v>
      </c>
      <c r="T39" s="148" t="s">
        <v>216</v>
      </c>
      <c r="U39" s="222" t="s">
        <v>216</v>
      </c>
      <c r="V39" s="316" t="s">
        <v>216</v>
      </c>
      <c r="W39" s="346" t="s">
        <v>216</v>
      </c>
      <c r="X39" s="346" t="s">
        <v>216</v>
      </c>
    </row>
    <row r="40" spans="1:24" ht="22.8">
      <c r="A40" s="98" t="s">
        <v>221</v>
      </c>
      <c r="B40" s="141" t="s">
        <v>216</v>
      </c>
      <c r="C40" s="141" t="s">
        <v>216</v>
      </c>
      <c r="D40" s="141" t="s">
        <v>216</v>
      </c>
      <c r="E40" s="141" t="s">
        <v>216</v>
      </c>
      <c r="F40" s="141" t="s">
        <v>216</v>
      </c>
      <c r="G40" s="141" t="s">
        <v>216</v>
      </c>
      <c r="H40" s="141" t="s">
        <v>216</v>
      </c>
      <c r="I40" s="141" t="s">
        <v>216</v>
      </c>
      <c r="J40" s="141" t="s">
        <v>216</v>
      </c>
      <c r="K40" s="141" t="s">
        <v>216</v>
      </c>
      <c r="L40" s="141" t="s">
        <v>216</v>
      </c>
      <c r="M40" s="282" t="s">
        <v>216</v>
      </c>
      <c r="N40" s="141" t="s">
        <v>216</v>
      </c>
      <c r="O40" s="141" t="s">
        <v>216</v>
      </c>
      <c r="P40" s="148" t="s">
        <v>216</v>
      </c>
      <c r="Q40" s="148" t="s">
        <v>216</v>
      </c>
      <c r="R40" s="148" t="s">
        <v>216</v>
      </c>
      <c r="S40" s="159" t="s">
        <v>216</v>
      </c>
      <c r="T40" s="148" t="s">
        <v>216</v>
      </c>
      <c r="U40" s="222" t="s">
        <v>216</v>
      </c>
      <c r="V40" s="316" t="s">
        <v>216</v>
      </c>
      <c r="W40" s="346" t="s">
        <v>216</v>
      </c>
      <c r="X40" s="346" t="s">
        <v>216</v>
      </c>
    </row>
    <row r="41" spans="1:24">
      <c r="A41" s="127" t="s">
        <v>222</v>
      </c>
      <c r="D41" s="145"/>
      <c r="J41" s="145"/>
      <c r="L41" s="145"/>
      <c r="U41" s="145"/>
    </row>
  </sheetData>
  <customSheetViews>
    <customSheetView guid="{67590F70-5005-492E-AD47-1C13C49F2D83}" scale="90">
      <pane xSplit="2" ySplit="3" topLeftCell="Q4" activePane="bottomRight" state="frozen"/>
      <selection pane="bottomRight" activeCell="Q12" sqref="Q12"/>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customSheetView>
    <customSheetView guid="{A0559F95-FBE7-4275-9B44-A293A1B62940}" scale="90">
      <pane xSplit="2" ySplit="3" topLeftCell="Q4" activePane="bottomRight" state="frozen"/>
      <selection pane="bottomRight" activeCell="S18" sqref="S1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90">
      <pane xSplit="2" ySplit="3" topLeftCell="H4" activePane="bottomRight" state="frozen"/>
      <selection pane="bottomRight" activeCell="K11" sqref="K11"/>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scale="90">
      <pane xSplit="2" ySplit="3" topLeftCell="P4" activePane="bottomRight" state="frozen"/>
      <selection pane="bottomRight" activeCell="P11" sqref="P11"/>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90">
      <pane xSplit="2" ySplit="3" topLeftCell="H4" activePane="bottomRight" state="frozen"/>
      <selection pane="bottomRight" activeCell="K11" sqref="K11"/>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27">
    <mergeCell ref="W2:X2"/>
    <mergeCell ref="W33:W34"/>
    <mergeCell ref="X33:X34"/>
    <mergeCell ref="M33:M34"/>
    <mergeCell ref="M2:N2"/>
    <mergeCell ref="T33:T34"/>
    <mergeCell ref="N33:N34"/>
    <mergeCell ref="O33:O34"/>
    <mergeCell ref="P33:P34"/>
    <mergeCell ref="R33:R34"/>
    <mergeCell ref="S33:S34"/>
    <mergeCell ref="P2:Q2"/>
    <mergeCell ref="C2:E2"/>
    <mergeCell ref="F2:G2"/>
    <mergeCell ref="I2:L2"/>
    <mergeCell ref="A33:A34"/>
    <mergeCell ref="B33:B34"/>
    <mergeCell ref="C33:C34"/>
    <mergeCell ref="D33:D34"/>
    <mergeCell ref="E33:E34"/>
    <mergeCell ref="F33:F34"/>
    <mergeCell ref="G33:G34"/>
    <mergeCell ref="H33:H34"/>
    <mergeCell ref="I33:I34"/>
    <mergeCell ref="J33:J34"/>
    <mergeCell ref="K33:K34"/>
    <mergeCell ref="L33:L34"/>
  </mergeCells>
  <phoneticPr fontId="9" type="noConversion"/>
  <pageMargins left="0.74791666666666701" right="0.74791666666666701" top="0.98402777777777795" bottom="0.98402777777777795" header="0.51180555555555596" footer="0.51180555555555596"/>
  <pageSetup paperSize="9" orientation="portrait" r:id="rId2"/>
  <headerFooter alignWithMargins="0">
    <oddHeader>&amp;L&amp;G&amp;C&amp;F&amp;R文档密级</oddHeader>
    <oddFooter>&amp;L&amp;D&amp;C华为保密信息,未经授权禁止扩散&amp;R第&amp;P页，共&amp;N页</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44"/>
  <sheetViews>
    <sheetView zoomScaleNormal="100" workbookViewId="0">
      <pane xSplit="2" ySplit="3" topLeftCell="AC22" activePane="bottomRight" state="frozen"/>
      <selection pane="topRight" activeCell="C1" sqref="C1"/>
      <selection pane="bottomLeft" activeCell="A4" sqref="A4"/>
      <selection pane="bottomRight" activeCell="AD29" sqref="AD29"/>
    </sheetView>
  </sheetViews>
  <sheetFormatPr defaultColWidth="9.44140625" defaultRowHeight="15.6"/>
  <cols>
    <col min="1" max="1" width="29.44140625" style="81" customWidth="1"/>
    <col min="2" max="2" width="38.44140625" style="144" customWidth="1"/>
    <col min="3" max="3" width="28.44140625" style="128" customWidth="1"/>
    <col min="4" max="4" width="26.44140625" style="82" customWidth="1"/>
    <col min="5" max="8" width="31.44140625" style="82" customWidth="1"/>
    <col min="9" max="9" width="27.5546875" style="128" customWidth="1"/>
    <col min="10" max="10" width="26.44140625" style="82" customWidth="1"/>
    <col min="11" max="17" width="31.44140625" style="82" customWidth="1"/>
    <col min="18" max="18" width="28.44140625" style="128" customWidth="1"/>
    <col min="19" max="19" width="26.44140625" style="82" customWidth="1"/>
    <col min="20" max="22" width="31.44140625" style="82" customWidth="1"/>
    <col min="23" max="23" width="28.44140625" style="81" customWidth="1"/>
    <col min="24" max="24" width="25.5546875" style="81" customWidth="1"/>
    <col min="25" max="26" width="28.44140625" style="81" customWidth="1"/>
    <col min="27" max="27" width="25.5546875" style="81" customWidth="1"/>
    <col min="28" max="28" width="31.5546875" style="82" customWidth="1"/>
    <col min="29" max="30" width="31.44140625" style="82" customWidth="1"/>
    <col min="31" max="31" width="35.5546875" style="82" customWidth="1"/>
    <col min="32" max="32" width="28.109375" style="81" customWidth="1"/>
    <col min="33" max="33" width="26.44140625" style="82" customWidth="1"/>
    <col min="34" max="34" width="24.109375" style="81" customWidth="1"/>
    <col min="35" max="35" width="27.44140625" style="81" customWidth="1"/>
    <col min="36" max="36" width="28.109375" style="81" customWidth="1"/>
    <col min="37" max="16384" width="9.44140625" style="81"/>
  </cols>
  <sheetData>
    <row r="1" spans="1:36">
      <c r="A1" s="129" t="s">
        <v>61</v>
      </c>
      <c r="B1" s="145"/>
      <c r="I1" s="180"/>
      <c r="J1" s="118"/>
      <c r="K1" s="118"/>
      <c r="L1" s="118"/>
      <c r="W1" s="121"/>
      <c r="X1" s="121"/>
      <c r="Y1" s="121"/>
      <c r="Z1" s="121"/>
      <c r="AA1" s="121"/>
    </row>
    <row r="2" spans="1:36">
      <c r="A2" s="129" t="s">
        <v>62</v>
      </c>
      <c r="B2" s="179" t="s">
        <v>63</v>
      </c>
      <c r="C2" s="376" t="s">
        <v>5</v>
      </c>
      <c r="D2" s="378"/>
      <c r="E2" s="376" t="s">
        <v>64</v>
      </c>
      <c r="F2" s="378"/>
      <c r="G2" s="88" t="s">
        <v>21</v>
      </c>
      <c r="H2" s="88" t="s">
        <v>45</v>
      </c>
      <c r="I2" s="376" t="s">
        <v>14</v>
      </c>
      <c r="J2" s="377"/>
      <c r="K2" s="377"/>
      <c r="L2" s="378"/>
      <c r="M2" s="379" t="s">
        <v>20</v>
      </c>
      <c r="N2" s="380"/>
      <c r="O2" s="109" t="s">
        <v>23</v>
      </c>
      <c r="P2" s="379" t="s">
        <v>25</v>
      </c>
      <c r="Q2" s="380"/>
      <c r="R2" s="376" t="s">
        <v>26</v>
      </c>
      <c r="S2" s="378"/>
      <c r="T2" s="379" t="s">
        <v>28</v>
      </c>
      <c r="U2" s="380"/>
      <c r="V2" s="88" t="s">
        <v>30</v>
      </c>
      <c r="W2" s="393" t="s">
        <v>32</v>
      </c>
      <c r="X2" s="394"/>
      <c r="Y2" s="217"/>
      <c r="Z2" s="218" t="s">
        <v>673</v>
      </c>
      <c r="AA2" s="219"/>
      <c r="AB2" s="88" t="s">
        <v>36</v>
      </c>
      <c r="AC2" s="376" t="s">
        <v>38</v>
      </c>
      <c r="AD2" s="378"/>
      <c r="AE2" s="88" t="s">
        <v>40</v>
      </c>
      <c r="AF2" s="379" t="s">
        <v>65</v>
      </c>
      <c r="AG2" s="380"/>
      <c r="AH2" s="322" t="s">
        <v>846</v>
      </c>
      <c r="AI2" s="387" t="s">
        <v>15</v>
      </c>
      <c r="AJ2" s="388"/>
    </row>
    <row r="3" spans="1:36">
      <c r="A3" s="129"/>
      <c r="B3" s="179"/>
      <c r="C3" s="131" t="s">
        <v>66</v>
      </c>
      <c r="D3" s="132" t="s">
        <v>67</v>
      </c>
      <c r="E3" s="131" t="s">
        <v>66</v>
      </c>
      <c r="F3" s="132" t="s">
        <v>67</v>
      </c>
      <c r="G3" s="146" t="s">
        <v>66</v>
      </c>
      <c r="H3" s="147" t="s">
        <v>66</v>
      </c>
      <c r="I3" s="131" t="s">
        <v>66</v>
      </c>
      <c r="J3" s="132" t="s">
        <v>67</v>
      </c>
      <c r="K3" s="132" t="s">
        <v>68</v>
      </c>
      <c r="L3" s="132" t="s">
        <v>69</v>
      </c>
      <c r="M3" s="146" t="s">
        <v>66</v>
      </c>
      <c r="N3" s="146" t="s">
        <v>819</v>
      </c>
      <c r="O3" s="131" t="s">
        <v>66</v>
      </c>
      <c r="P3" s="146" t="s">
        <v>66</v>
      </c>
      <c r="Q3" s="343" t="s">
        <v>854</v>
      </c>
      <c r="R3" s="131" t="s">
        <v>66</v>
      </c>
      <c r="S3" s="132" t="s">
        <v>67</v>
      </c>
      <c r="T3" s="132" t="s">
        <v>68</v>
      </c>
      <c r="U3" s="132" t="s">
        <v>69</v>
      </c>
      <c r="V3" s="183" t="s">
        <v>67</v>
      </c>
      <c r="W3" s="110" t="s">
        <v>67</v>
      </c>
      <c r="X3" s="110" t="s">
        <v>66</v>
      </c>
      <c r="Y3" s="232" t="s">
        <v>66</v>
      </c>
      <c r="Z3" s="132" t="s">
        <v>67</v>
      </c>
      <c r="AA3" s="232" t="s">
        <v>748</v>
      </c>
      <c r="AB3" s="169" t="s">
        <v>66</v>
      </c>
      <c r="AC3" s="263" t="s">
        <v>66</v>
      </c>
      <c r="AD3" s="263" t="s">
        <v>67</v>
      </c>
      <c r="AE3" s="169" t="s">
        <v>67</v>
      </c>
      <c r="AF3" s="146" t="s">
        <v>66</v>
      </c>
      <c r="AG3" s="255" t="s">
        <v>67</v>
      </c>
      <c r="AH3" s="322" t="s">
        <v>66</v>
      </c>
      <c r="AI3" s="131" t="s">
        <v>66</v>
      </c>
      <c r="AJ3" s="132" t="s">
        <v>67</v>
      </c>
    </row>
    <row r="4" spans="1:36">
      <c r="A4" s="95" t="s">
        <v>70</v>
      </c>
      <c r="B4" s="156" t="s">
        <v>71</v>
      </c>
      <c r="C4" s="134" t="s">
        <v>72</v>
      </c>
      <c r="D4" s="134" t="s">
        <v>72</v>
      </c>
      <c r="E4" s="134" t="s">
        <v>72</v>
      </c>
      <c r="F4" s="134" t="s">
        <v>72</v>
      </c>
      <c r="G4" s="134" t="s">
        <v>72</v>
      </c>
      <c r="H4" s="134" t="s">
        <v>72</v>
      </c>
      <c r="I4" s="134" t="s">
        <v>72</v>
      </c>
      <c r="J4" s="134" t="s">
        <v>72</v>
      </c>
      <c r="K4" s="134" t="s">
        <v>72</v>
      </c>
      <c r="L4" s="134" t="s">
        <v>72</v>
      </c>
      <c r="M4" s="134" t="s">
        <v>72</v>
      </c>
      <c r="N4" s="134" t="s">
        <v>72</v>
      </c>
      <c r="O4" s="134" t="s">
        <v>72</v>
      </c>
      <c r="P4" s="148" t="s">
        <v>72</v>
      </c>
      <c r="Q4" s="166" t="s">
        <v>72</v>
      </c>
      <c r="R4" s="134" t="s">
        <v>72</v>
      </c>
      <c r="S4" s="134" t="s">
        <v>72</v>
      </c>
      <c r="T4" s="134" t="s">
        <v>72</v>
      </c>
      <c r="U4" s="134" t="s">
        <v>72</v>
      </c>
      <c r="V4" s="134" t="s">
        <v>72</v>
      </c>
      <c r="W4" s="122" t="s">
        <v>72</v>
      </c>
      <c r="X4" s="122" t="s">
        <v>72</v>
      </c>
      <c r="Y4" s="134" t="s">
        <v>72</v>
      </c>
      <c r="Z4" s="134" t="s">
        <v>72</v>
      </c>
      <c r="AA4" s="134" t="s">
        <v>72</v>
      </c>
      <c r="AB4" s="134" t="s">
        <v>72</v>
      </c>
      <c r="AC4" s="134" t="s">
        <v>72</v>
      </c>
      <c r="AD4" s="134" t="s">
        <v>72</v>
      </c>
      <c r="AE4" s="134" t="s">
        <v>72</v>
      </c>
      <c r="AF4" s="148" t="s">
        <v>72</v>
      </c>
      <c r="AG4" s="134" t="s">
        <v>72</v>
      </c>
      <c r="AH4" s="289" t="s">
        <v>72</v>
      </c>
      <c r="AI4" s="134" t="s">
        <v>72</v>
      </c>
      <c r="AJ4" s="134" t="s">
        <v>72</v>
      </c>
    </row>
    <row r="5" spans="1:36">
      <c r="A5" s="117" t="s">
        <v>73</v>
      </c>
      <c r="B5" s="156"/>
      <c r="C5" s="134" t="s">
        <v>74</v>
      </c>
      <c r="D5" s="156" t="s">
        <v>75</v>
      </c>
      <c r="E5" s="134" t="s">
        <v>74</v>
      </c>
      <c r="F5" s="156" t="s">
        <v>75</v>
      </c>
      <c r="G5" s="134" t="s">
        <v>74</v>
      </c>
      <c r="H5" s="95" t="s">
        <v>74</v>
      </c>
      <c r="I5" s="134" t="s">
        <v>74</v>
      </c>
      <c r="J5" s="156" t="s">
        <v>75</v>
      </c>
      <c r="K5" s="95" t="s">
        <v>74</v>
      </c>
      <c r="L5" s="95" t="s">
        <v>75</v>
      </c>
      <c r="M5" s="134" t="s">
        <v>74</v>
      </c>
      <c r="N5" s="134" t="s">
        <v>820</v>
      </c>
      <c r="O5" s="134" t="s">
        <v>74</v>
      </c>
      <c r="P5" s="166" t="s">
        <v>74</v>
      </c>
      <c r="Q5" s="157" t="s">
        <v>75</v>
      </c>
      <c r="R5" s="134" t="s">
        <v>74</v>
      </c>
      <c r="S5" s="156" t="s">
        <v>75</v>
      </c>
      <c r="T5" s="95" t="s">
        <v>74</v>
      </c>
      <c r="U5" s="95" t="s">
        <v>75</v>
      </c>
      <c r="V5" s="156" t="s">
        <v>75</v>
      </c>
      <c r="W5" s="124" t="s">
        <v>75</v>
      </c>
      <c r="X5" s="122" t="s">
        <v>74</v>
      </c>
      <c r="Y5" s="134" t="s">
        <v>74</v>
      </c>
      <c r="Z5" s="156" t="s">
        <v>75</v>
      </c>
      <c r="AA5" s="95" t="s">
        <v>75</v>
      </c>
      <c r="AB5" s="134" t="s">
        <v>74</v>
      </c>
      <c r="AC5" s="134" t="s">
        <v>74</v>
      </c>
      <c r="AD5" s="156" t="s">
        <v>75</v>
      </c>
      <c r="AE5" s="134" t="s">
        <v>75</v>
      </c>
      <c r="AF5" s="166" t="s">
        <v>74</v>
      </c>
      <c r="AG5" s="156" t="s">
        <v>75</v>
      </c>
      <c r="AH5" s="289" t="s">
        <v>74</v>
      </c>
      <c r="AI5" s="134" t="s">
        <v>74</v>
      </c>
      <c r="AJ5" s="156" t="s">
        <v>75</v>
      </c>
    </row>
    <row r="6" spans="1:36">
      <c r="A6" s="117" t="s">
        <v>76</v>
      </c>
      <c r="B6" s="156" t="s">
        <v>289</v>
      </c>
      <c r="C6" s="134" t="s">
        <v>72</v>
      </c>
      <c r="D6" s="134" t="s">
        <v>72</v>
      </c>
      <c r="E6" s="134" t="s">
        <v>72</v>
      </c>
      <c r="F6" s="134" t="s">
        <v>72</v>
      </c>
      <c r="G6" s="134" t="s">
        <v>72</v>
      </c>
      <c r="H6" s="134" t="s">
        <v>72</v>
      </c>
      <c r="I6" s="134" t="s">
        <v>72</v>
      </c>
      <c r="J6" s="134" t="s">
        <v>72</v>
      </c>
      <c r="K6" s="95" t="s">
        <v>72</v>
      </c>
      <c r="L6" s="95" t="s">
        <v>72</v>
      </c>
      <c r="M6" s="134" t="s">
        <v>72</v>
      </c>
      <c r="N6" s="134" t="s">
        <v>72</v>
      </c>
      <c r="O6" s="134" t="s">
        <v>72</v>
      </c>
      <c r="P6" s="148" t="s">
        <v>72</v>
      </c>
      <c r="Q6" s="166" t="s">
        <v>72</v>
      </c>
      <c r="R6" s="134" t="s">
        <v>72</v>
      </c>
      <c r="S6" s="134" t="s">
        <v>72</v>
      </c>
      <c r="T6" s="95" t="s">
        <v>72</v>
      </c>
      <c r="U6" s="95" t="s">
        <v>72</v>
      </c>
      <c r="V6" s="134" t="s">
        <v>72</v>
      </c>
      <c r="W6" s="122" t="s">
        <v>72</v>
      </c>
      <c r="X6" s="122" t="s">
        <v>72</v>
      </c>
      <c r="Y6" s="134" t="s">
        <v>72</v>
      </c>
      <c r="Z6" s="134" t="s">
        <v>72</v>
      </c>
      <c r="AA6" s="95" t="s">
        <v>72</v>
      </c>
      <c r="AB6" s="134" t="s">
        <v>72</v>
      </c>
      <c r="AC6" s="134" t="s">
        <v>72</v>
      </c>
      <c r="AD6" s="134" t="s">
        <v>72</v>
      </c>
      <c r="AE6" s="134" t="s">
        <v>72</v>
      </c>
      <c r="AF6" s="148" t="s">
        <v>72</v>
      </c>
      <c r="AG6" s="134" t="s">
        <v>72</v>
      </c>
      <c r="AH6" s="289" t="s">
        <v>72</v>
      </c>
      <c r="AI6" s="134" t="s">
        <v>72</v>
      </c>
      <c r="AJ6" s="134" t="s">
        <v>72</v>
      </c>
    </row>
    <row r="7" spans="1:36">
      <c r="A7" s="117" t="s">
        <v>77</v>
      </c>
      <c r="B7" s="156" t="s">
        <v>78</v>
      </c>
      <c r="C7" s="134" t="s">
        <v>72</v>
      </c>
      <c r="D7" s="134" t="s">
        <v>72</v>
      </c>
      <c r="E7" s="134" t="s">
        <v>72</v>
      </c>
      <c r="F7" s="134" t="s">
        <v>72</v>
      </c>
      <c r="G7" s="134" t="s">
        <v>72</v>
      </c>
      <c r="H7" s="134" t="s">
        <v>72</v>
      </c>
      <c r="I7" s="134" t="s">
        <v>72</v>
      </c>
      <c r="J7" s="134" t="s">
        <v>72</v>
      </c>
      <c r="K7" s="134" t="s">
        <v>72</v>
      </c>
      <c r="L7" s="134" t="s">
        <v>72</v>
      </c>
      <c r="M7" s="134" t="s">
        <v>72</v>
      </c>
      <c r="N7" s="134" t="s">
        <v>72</v>
      </c>
      <c r="O7" s="134" t="s">
        <v>72</v>
      </c>
      <c r="P7" s="148" t="s">
        <v>72</v>
      </c>
      <c r="Q7" s="166" t="s">
        <v>72</v>
      </c>
      <c r="R7" s="134" t="s">
        <v>72</v>
      </c>
      <c r="S7" s="134" t="s">
        <v>72</v>
      </c>
      <c r="T7" s="134" t="s">
        <v>72</v>
      </c>
      <c r="U7" s="134" t="s">
        <v>72</v>
      </c>
      <c r="V7" s="134" t="s">
        <v>72</v>
      </c>
      <c r="W7" s="122" t="s">
        <v>72</v>
      </c>
      <c r="X7" s="122" t="s">
        <v>72</v>
      </c>
      <c r="Y7" s="134" t="s">
        <v>72</v>
      </c>
      <c r="Z7" s="134" t="s">
        <v>72</v>
      </c>
      <c r="AA7" s="134" t="s">
        <v>72</v>
      </c>
      <c r="AB7" s="134" t="s">
        <v>72</v>
      </c>
      <c r="AC7" s="134" t="s">
        <v>72</v>
      </c>
      <c r="AD7" s="134" t="s">
        <v>72</v>
      </c>
      <c r="AE7" s="134" t="s">
        <v>72</v>
      </c>
      <c r="AF7" s="148" t="s">
        <v>72</v>
      </c>
      <c r="AG7" s="134" t="s">
        <v>72</v>
      </c>
      <c r="AH7" s="289" t="s">
        <v>72</v>
      </c>
      <c r="AI7" s="134" t="s">
        <v>72</v>
      </c>
      <c r="AJ7" s="134" t="s">
        <v>72</v>
      </c>
    </row>
    <row r="8" spans="1:36" ht="34.200000000000003">
      <c r="A8" s="95" t="s">
        <v>79</v>
      </c>
      <c r="B8" s="93" t="s">
        <v>80</v>
      </c>
      <c r="C8" s="134" t="s">
        <v>72</v>
      </c>
      <c r="D8" s="134" t="s">
        <v>72</v>
      </c>
      <c r="E8" s="134" t="s">
        <v>72</v>
      </c>
      <c r="F8" s="134" t="s">
        <v>72</v>
      </c>
      <c r="G8" s="134" t="s">
        <v>72</v>
      </c>
      <c r="H8" s="134" t="s">
        <v>72</v>
      </c>
      <c r="I8" s="134" t="s">
        <v>72</v>
      </c>
      <c r="J8" s="134" t="s">
        <v>72</v>
      </c>
      <c r="K8" s="93" t="s">
        <v>81</v>
      </c>
      <c r="L8" s="93" t="s">
        <v>81</v>
      </c>
      <c r="M8" s="134" t="s">
        <v>72</v>
      </c>
      <c r="N8" s="134" t="s">
        <v>72</v>
      </c>
      <c r="O8" s="134" t="s">
        <v>72</v>
      </c>
      <c r="P8" s="148" t="s">
        <v>72</v>
      </c>
      <c r="Q8" s="166" t="s">
        <v>72</v>
      </c>
      <c r="R8" s="134" t="s">
        <v>72</v>
      </c>
      <c r="S8" s="134" t="s">
        <v>72</v>
      </c>
      <c r="T8" s="134" t="s">
        <v>72</v>
      </c>
      <c r="U8" s="134" t="s">
        <v>72</v>
      </c>
      <c r="V8" s="166" t="s">
        <v>72</v>
      </c>
      <c r="W8" s="122" t="s">
        <v>72</v>
      </c>
      <c r="X8" s="122" t="s">
        <v>72</v>
      </c>
      <c r="Y8" s="134" t="s">
        <v>72</v>
      </c>
      <c r="Z8" s="134" t="s">
        <v>72</v>
      </c>
      <c r="AA8" s="93" t="s">
        <v>81</v>
      </c>
      <c r="AB8" s="134" t="s">
        <v>72</v>
      </c>
      <c r="AC8" s="139" t="s">
        <v>72</v>
      </c>
      <c r="AD8" s="139" t="s">
        <v>72</v>
      </c>
      <c r="AE8" s="134" t="s">
        <v>72</v>
      </c>
      <c r="AF8" s="148" t="s">
        <v>72</v>
      </c>
      <c r="AG8" s="134" t="s">
        <v>72</v>
      </c>
      <c r="AH8" s="289" t="s">
        <v>72</v>
      </c>
      <c r="AI8" s="134" t="s">
        <v>72</v>
      </c>
      <c r="AJ8" s="134" t="s">
        <v>72</v>
      </c>
    </row>
    <row r="9" spans="1:36" ht="22.8">
      <c r="A9" s="117" t="s">
        <v>82</v>
      </c>
      <c r="B9" s="93" t="s">
        <v>83</v>
      </c>
      <c r="C9" s="134" t="s">
        <v>84</v>
      </c>
      <c r="D9" s="134" t="s">
        <v>85</v>
      </c>
      <c r="E9" s="134" t="s">
        <v>84</v>
      </c>
      <c r="F9" s="134" t="s">
        <v>84</v>
      </c>
      <c r="G9" s="134" t="s">
        <v>84</v>
      </c>
      <c r="H9" s="134" t="s">
        <v>290</v>
      </c>
      <c r="I9" s="134" t="s">
        <v>84</v>
      </c>
      <c r="J9" s="134" t="s">
        <v>86</v>
      </c>
      <c r="K9" s="134" t="s">
        <v>84</v>
      </c>
      <c r="L9" s="134" t="s">
        <v>791</v>
      </c>
      <c r="M9" s="134" t="s">
        <v>84</v>
      </c>
      <c r="N9" s="134" t="s">
        <v>84</v>
      </c>
      <c r="O9" s="134" t="s">
        <v>84</v>
      </c>
      <c r="P9" s="149" t="s">
        <v>84</v>
      </c>
      <c r="Q9" s="166" t="s">
        <v>864</v>
      </c>
      <c r="R9" s="134" t="s">
        <v>84</v>
      </c>
      <c r="S9" s="134" t="s">
        <v>87</v>
      </c>
      <c r="T9" s="134" t="s">
        <v>84</v>
      </c>
      <c r="U9" s="134" t="s">
        <v>84</v>
      </c>
      <c r="V9" s="134" t="s">
        <v>291</v>
      </c>
      <c r="W9" s="122" t="s">
        <v>87</v>
      </c>
      <c r="X9" s="122" t="s">
        <v>84</v>
      </c>
      <c r="Y9" s="134" t="s">
        <v>84</v>
      </c>
      <c r="Z9" s="134" t="s">
        <v>87</v>
      </c>
      <c r="AA9" s="134" t="s">
        <v>791</v>
      </c>
      <c r="AB9" s="134" t="s">
        <v>84</v>
      </c>
      <c r="AC9" s="134" t="s">
        <v>290</v>
      </c>
      <c r="AD9" s="134" t="s">
        <v>290</v>
      </c>
      <c r="AE9" s="134" t="s">
        <v>292</v>
      </c>
      <c r="AF9" s="149" t="s">
        <v>84</v>
      </c>
      <c r="AG9" s="134" t="s">
        <v>857</v>
      </c>
      <c r="AH9" s="289" t="s">
        <v>84</v>
      </c>
      <c r="AI9" s="134" t="s">
        <v>84</v>
      </c>
      <c r="AJ9" s="134" t="s">
        <v>85</v>
      </c>
    </row>
    <row r="10" spans="1:36" ht="57">
      <c r="A10" s="94" t="s">
        <v>89</v>
      </c>
      <c r="B10" s="136" t="s">
        <v>90</v>
      </c>
      <c r="C10" s="134" t="s">
        <v>72</v>
      </c>
      <c r="D10" s="134" t="s">
        <v>72</v>
      </c>
      <c r="E10" s="134" t="s">
        <v>72</v>
      </c>
      <c r="F10" s="134" t="s">
        <v>72</v>
      </c>
      <c r="G10" s="134" t="s">
        <v>72</v>
      </c>
      <c r="H10" s="134" t="s">
        <v>72</v>
      </c>
      <c r="I10" s="134" t="s">
        <v>72</v>
      </c>
      <c r="J10" s="134" t="s">
        <v>72</v>
      </c>
      <c r="K10" s="137">
        <v>0.1</v>
      </c>
      <c r="L10" s="137">
        <v>0.1</v>
      </c>
      <c r="M10" s="134" t="s">
        <v>72</v>
      </c>
      <c r="N10" s="134" t="s">
        <v>72</v>
      </c>
      <c r="O10" s="134" t="s">
        <v>72</v>
      </c>
      <c r="P10" s="148" t="s">
        <v>72</v>
      </c>
      <c r="Q10" s="166" t="s">
        <v>72</v>
      </c>
      <c r="R10" s="134" t="s">
        <v>72</v>
      </c>
      <c r="S10" s="134" t="s">
        <v>72</v>
      </c>
      <c r="T10" s="134" t="s">
        <v>72</v>
      </c>
      <c r="U10" s="134" t="s">
        <v>72</v>
      </c>
      <c r="V10" s="134" t="s">
        <v>293</v>
      </c>
      <c r="W10" s="122" t="s">
        <v>72</v>
      </c>
      <c r="X10" s="122" t="s">
        <v>72</v>
      </c>
      <c r="Y10" s="134" t="s">
        <v>72</v>
      </c>
      <c r="Z10" s="134" t="s">
        <v>72</v>
      </c>
      <c r="AA10" s="137">
        <v>0.1</v>
      </c>
      <c r="AB10" s="134" t="s">
        <v>72</v>
      </c>
      <c r="AC10" s="139" t="s">
        <v>72</v>
      </c>
      <c r="AD10" s="139" t="s">
        <v>72</v>
      </c>
      <c r="AE10" s="134" t="s">
        <v>294</v>
      </c>
      <c r="AF10" s="148" t="s">
        <v>72</v>
      </c>
      <c r="AG10" s="134" t="s">
        <v>72</v>
      </c>
      <c r="AH10" s="289" t="s">
        <v>72</v>
      </c>
      <c r="AI10" s="134" t="s">
        <v>72</v>
      </c>
      <c r="AJ10" s="134" t="s">
        <v>72</v>
      </c>
    </row>
    <row r="11" spans="1:36" ht="22.8">
      <c r="A11" s="117" t="s">
        <v>92</v>
      </c>
      <c r="B11" s="134" t="s">
        <v>93</v>
      </c>
      <c r="C11" s="134" t="s">
        <v>295</v>
      </c>
      <c r="D11" s="134" t="s">
        <v>296</v>
      </c>
      <c r="E11" s="134" t="s">
        <v>295</v>
      </c>
      <c r="F11" s="134" t="s">
        <v>296</v>
      </c>
      <c r="G11" s="134" t="s">
        <v>72</v>
      </c>
      <c r="H11" s="134" t="s">
        <v>72</v>
      </c>
      <c r="I11" s="134" t="s">
        <v>72</v>
      </c>
      <c r="J11" s="134" t="s">
        <v>72</v>
      </c>
      <c r="K11" s="134" t="s">
        <v>72</v>
      </c>
      <c r="L11" s="134" t="s">
        <v>72</v>
      </c>
      <c r="M11" s="134" t="s">
        <v>72</v>
      </c>
      <c r="N11" s="134" t="s">
        <v>72</v>
      </c>
      <c r="O11" s="134" t="s">
        <v>295</v>
      </c>
      <c r="P11" s="148" t="s">
        <v>295</v>
      </c>
      <c r="Q11" s="166" t="s">
        <v>296</v>
      </c>
      <c r="R11" s="134" t="s">
        <v>295</v>
      </c>
      <c r="S11" s="134" t="s">
        <v>296</v>
      </c>
      <c r="T11" s="134" t="s">
        <v>295</v>
      </c>
      <c r="U11" s="134" t="s">
        <v>296</v>
      </c>
      <c r="V11" s="134" t="s">
        <v>297</v>
      </c>
      <c r="W11" s="124" t="s">
        <v>297</v>
      </c>
      <c r="X11" s="122" t="s">
        <v>295</v>
      </c>
      <c r="Y11" s="134" t="s">
        <v>295</v>
      </c>
      <c r="Z11" s="134" t="s">
        <v>296</v>
      </c>
      <c r="AA11" s="134" t="s">
        <v>72</v>
      </c>
      <c r="AB11" s="134" t="s">
        <v>295</v>
      </c>
      <c r="AC11" s="134" t="s">
        <v>72</v>
      </c>
      <c r="AD11" s="139" t="s">
        <v>72</v>
      </c>
      <c r="AE11" s="134" t="s">
        <v>296</v>
      </c>
      <c r="AF11" s="148" t="s">
        <v>295</v>
      </c>
      <c r="AG11" s="134" t="s">
        <v>296</v>
      </c>
      <c r="AH11" s="289" t="s">
        <v>295</v>
      </c>
      <c r="AI11" s="134" t="s">
        <v>295</v>
      </c>
      <c r="AJ11" s="134" t="s">
        <v>296</v>
      </c>
    </row>
    <row r="12" spans="1:36" ht="45.6">
      <c r="A12" s="117" t="s">
        <v>95</v>
      </c>
      <c r="B12" s="156"/>
      <c r="C12" s="134" t="s">
        <v>96</v>
      </c>
      <c r="D12" s="156" t="s">
        <v>97</v>
      </c>
      <c r="E12" s="134" t="s">
        <v>96</v>
      </c>
      <c r="F12" s="156" t="s">
        <v>98</v>
      </c>
      <c r="G12" s="134" t="s">
        <v>96</v>
      </c>
      <c r="H12" s="134" t="s">
        <v>96</v>
      </c>
      <c r="I12" s="134" t="s">
        <v>96</v>
      </c>
      <c r="J12" s="156" t="s">
        <v>98</v>
      </c>
      <c r="K12" s="134" t="s">
        <v>96</v>
      </c>
      <c r="L12" s="134" t="s">
        <v>98</v>
      </c>
      <c r="M12" s="134" t="s">
        <v>96</v>
      </c>
      <c r="N12" s="289" t="s">
        <v>821</v>
      </c>
      <c r="O12" s="134" t="s">
        <v>96</v>
      </c>
      <c r="P12" s="148" t="s">
        <v>96</v>
      </c>
      <c r="Q12" s="157" t="s">
        <v>97</v>
      </c>
      <c r="R12" s="134" t="s">
        <v>96</v>
      </c>
      <c r="S12" s="156" t="s">
        <v>97</v>
      </c>
      <c r="T12" s="134" t="s">
        <v>96</v>
      </c>
      <c r="U12" s="134" t="s">
        <v>98</v>
      </c>
      <c r="V12" s="134" t="s">
        <v>298</v>
      </c>
      <c r="W12" s="139" t="s">
        <v>687</v>
      </c>
      <c r="X12" s="122" t="s">
        <v>300</v>
      </c>
      <c r="Y12" s="134" t="s">
        <v>96</v>
      </c>
      <c r="Z12" s="156" t="s">
        <v>97</v>
      </c>
      <c r="AA12" s="134" t="s">
        <v>738</v>
      </c>
      <c r="AB12" s="134" t="s">
        <v>96</v>
      </c>
      <c r="AC12" s="134" t="s">
        <v>96</v>
      </c>
      <c r="AD12" s="156" t="s">
        <v>98</v>
      </c>
      <c r="AE12" s="134" t="s">
        <v>100</v>
      </c>
      <c r="AF12" s="148" t="s">
        <v>96</v>
      </c>
      <c r="AG12" s="156" t="s">
        <v>97</v>
      </c>
      <c r="AH12" s="289" t="s">
        <v>96</v>
      </c>
      <c r="AI12" s="134" t="s">
        <v>96</v>
      </c>
      <c r="AJ12" s="156" t="s">
        <v>97</v>
      </c>
    </row>
    <row r="13" spans="1:36" ht="26.4">
      <c r="A13" s="117" t="s">
        <v>101</v>
      </c>
      <c r="B13" s="161" t="s">
        <v>103</v>
      </c>
      <c r="C13" s="161" t="s">
        <v>103</v>
      </c>
      <c r="D13" s="161" t="s">
        <v>103</v>
      </c>
      <c r="E13" s="161" t="s">
        <v>103</v>
      </c>
      <c r="F13" s="161" t="s">
        <v>103</v>
      </c>
      <c r="G13" s="163" t="s">
        <v>103</v>
      </c>
      <c r="H13" s="134" t="s">
        <v>72</v>
      </c>
      <c r="I13" s="163" t="s">
        <v>103</v>
      </c>
      <c r="J13" s="163" t="s">
        <v>103</v>
      </c>
      <c r="K13" s="163" t="s">
        <v>103</v>
      </c>
      <c r="L13" s="163" t="s">
        <v>103</v>
      </c>
      <c r="M13" s="163" t="s">
        <v>103</v>
      </c>
      <c r="N13" s="163" t="s">
        <v>103</v>
      </c>
      <c r="O13" s="161" t="s">
        <v>103</v>
      </c>
      <c r="P13" s="148" t="s">
        <v>104</v>
      </c>
      <c r="Q13" s="342" t="s">
        <v>865</v>
      </c>
      <c r="R13" s="161" t="s">
        <v>103</v>
      </c>
      <c r="S13" s="161" t="s">
        <v>103</v>
      </c>
      <c r="T13" s="163" t="s">
        <v>103</v>
      </c>
      <c r="U13" s="163" t="s">
        <v>103</v>
      </c>
      <c r="V13" s="134" t="s">
        <v>72</v>
      </c>
      <c r="W13" s="172" t="s">
        <v>103</v>
      </c>
      <c r="X13" s="172" t="s">
        <v>103</v>
      </c>
      <c r="Y13" s="161" t="s">
        <v>103</v>
      </c>
      <c r="Z13" s="161" t="s">
        <v>103</v>
      </c>
      <c r="AA13" s="163" t="s">
        <v>103</v>
      </c>
      <c r="AB13" s="161" t="s">
        <v>103</v>
      </c>
      <c r="AC13" s="139" t="s">
        <v>72</v>
      </c>
      <c r="AD13" s="139" t="s">
        <v>72</v>
      </c>
      <c r="AE13" s="134" t="s">
        <v>105</v>
      </c>
      <c r="AF13" s="148" t="s">
        <v>104</v>
      </c>
      <c r="AG13" s="161" t="s">
        <v>103</v>
      </c>
      <c r="AH13" s="323" t="s">
        <v>103</v>
      </c>
      <c r="AI13" s="139" t="s">
        <v>72</v>
      </c>
      <c r="AJ13" s="139" t="s">
        <v>72</v>
      </c>
    </row>
    <row r="14" spans="1:36" ht="26.4">
      <c r="A14" s="117" t="s">
        <v>106</v>
      </c>
      <c r="B14" s="156"/>
      <c r="C14" s="153" t="s">
        <v>107</v>
      </c>
      <c r="D14" s="153" t="s">
        <v>107</v>
      </c>
      <c r="E14" s="153" t="s">
        <v>107</v>
      </c>
      <c r="F14" s="153" t="s">
        <v>107</v>
      </c>
      <c r="G14" s="138" t="s">
        <v>107</v>
      </c>
      <c r="H14" s="138" t="s">
        <v>107</v>
      </c>
      <c r="I14" s="138" t="s">
        <v>107</v>
      </c>
      <c r="J14" s="134" t="s">
        <v>108</v>
      </c>
      <c r="K14" s="138" t="s">
        <v>107</v>
      </c>
      <c r="L14" s="134" t="s">
        <v>108</v>
      </c>
      <c r="M14" s="138" t="s">
        <v>107</v>
      </c>
      <c r="N14" s="138" t="s">
        <v>107</v>
      </c>
      <c r="O14" s="153" t="s">
        <v>107</v>
      </c>
      <c r="P14" s="148" t="s">
        <v>107</v>
      </c>
      <c r="Q14" s="166" t="s">
        <v>109</v>
      </c>
      <c r="R14" s="153" t="s">
        <v>107</v>
      </c>
      <c r="S14" s="134" t="s">
        <v>109</v>
      </c>
      <c r="T14" s="138" t="s">
        <v>107</v>
      </c>
      <c r="U14" s="134" t="s">
        <v>301</v>
      </c>
      <c r="V14" s="134" t="s">
        <v>302</v>
      </c>
      <c r="W14" s="173" t="s">
        <v>110</v>
      </c>
      <c r="X14" s="172" t="s">
        <v>107</v>
      </c>
      <c r="Y14" s="153" t="s">
        <v>107</v>
      </c>
      <c r="Z14" s="280" t="s">
        <v>107</v>
      </c>
      <c r="AA14" s="153" t="s">
        <v>107</v>
      </c>
      <c r="AB14" s="153" t="s">
        <v>107</v>
      </c>
      <c r="AC14" s="174" t="s">
        <v>107</v>
      </c>
      <c r="AD14" s="139" t="s">
        <v>303</v>
      </c>
      <c r="AE14" s="134" t="s">
        <v>304</v>
      </c>
      <c r="AF14" s="148" t="s">
        <v>107</v>
      </c>
      <c r="AG14" s="153" t="s">
        <v>107</v>
      </c>
      <c r="AH14" s="320" t="s">
        <v>107</v>
      </c>
      <c r="AI14" s="153" t="s">
        <v>107</v>
      </c>
      <c r="AJ14" s="134" t="s">
        <v>109</v>
      </c>
    </row>
    <row r="15" spans="1:36" ht="57">
      <c r="A15" s="117" t="s">
        <v>112</v>
      </c>
      <c r="B15" s="156"/>
      <c r="C15" s="138" t="s">
        <v>115</v>
      </c>
      <c r="D15" s="138" t="s">
        <v>115</v>
      </c>
      <c r="E15" s="138" t="s">
        <v>115</v>
      </c>
      <c r="F15" s="138" t="s">
        <v>115</v>
      </c>
      <c r="G15" s="138" t="s">
        <v>115</v>
      </c>
      <c r="H15" s="152" t="s">
        <v>115</v>
      </c>
      <c r="I15" s="138" t="s">
        <v>116</v>
      </c>
      <c r="J15" s="134" t="s">
        <v>117</v>
      </c>
      <c r="K15" s="134" t="s">
        <v>118</v>
      </c>
      <c r="L15" s="134" t="s">
        <v>119</v>
      </c>
      <c r="M15" s="95" t="s">
        <v>201</v>
      </c>
      <c r="N15" s="308" t="s">
        <v>123</v>
      </c>
      <c r="O15" s="138" t="s">
        <v>305</v>
      </c>
      <c r="P15" s="148" t="s">
        <v>124</v>
      </c>
      <c r="Q15" s="157" t="s">
        <v>123</v>
      </c>
      <c r="R15" s="138" t="s">
        <v>115</v>
      </c>
      <c r="S15" s="156" t="s">
        <v>123</v>
      </c>
      <c r="T15" s="138" t="s">
        <v>115</v>
      </c>
      <c r="U15" s="156" t="s">
        <v>123</v>
      </c>
      <c r="V15" s="157" t="s">
        <v>123</v>
      </c>
      <c r="W15" s="126" t="s">
        <v>123</v>
      </c>
      <c r="X15" s="126" t="s">
        <v>306</v>
      </c>
      <c r="Y15" s="138" t="s">
        <v>115</v>
      </c>
      <c r="Z15" s="156" t="s">
        <v>123</v>
      </c>
      <c r="AA15" s="134" t="s">
        <v>803</v>
      </c>
      <c r="AB15" s="138" t="s">
        <v>115</v>
      </c>
      <c r="AC15" s="174" t="s">
        <v>113</v>
      </c>
      <c r="AD15" s="175" t="s">
        <v>123</v>
      </c>
      <c r="AE15" s="134" t="s">
        <v>123</v>
      </c>
      <c r="AF15" s="148" t="s">
        <v>124</v>
      </c>
      <c r="AG15" s="134" t="s">
        <v>123</v>
      </c>
      <c r="AH15" s="308" t="s">
        <v>115</v>
      </c>
      <c r="AI15" s="138" t="s">
        <v>115</v>
      </c>
      <c r="AJ15" s="188" t="s">
        <v>123</v>
      </c>
    </row>
    <row r="16" spans="1:36">
      <c r="A16" s="117" t="s">
        <v>126</v>
      </c>
      <c r="B16" s="156"/>
      <c r="C16" s="138" t="s">
        <v>127</v>
      </c>
      <c r="D16" s="138" t="s">
        <v>127</v>
      </c>
      <c r="E16" s="138" t="s">
        <v>127</v>
      </c>
      <c r="F16" s="138" t="s">
        <v>127</v>
      </c>
      <c r="G16" s="138" t="s">
        <v>127</v>
      </c>
      <c r="H16" s="138" t="s">
        <v>127</v>
      </c>
      <c r="I16" s="138" t="s">
        <v>127</v>
      </c>
      <c r="J16" s="138" t="s">
        <v>127</v>
      </c>
      <c r="K16" s="95" t="s">
        <v>128</v>
      </c>
      <c r="L16" s="95" t="s">
        <v>129</v>
      </c>
      <c r="M16" s="138" t="s">
        <v>127</v>
      </c>
      <c r="N16" s="138" t="s">
        <v>127</v>
      </c>
      <c r="O16" s="138" t="s">
        <v>127</v>
      </c>
      <c r="P16" s="148" t="s">
        <v>127</v>
      </c>
      <c r="Q16" s="160" t="s">
        <v>127</v>
      </c>
      <c r="R16" s="138" t="s">
        <v>127</v>
      </c>
      <c r="S16" s="138" t="s">
        <v>127</v>
      </c>
      <c r="T16" s="138" t="s">
        <v>127</v>
      </c>
      <c r="U16" s="138" t="s">
        <v>127</v>
      </c>
      <c r="V16" s="160" t="s">
        <v>127</v>
      </c>
      <c r="W16" s="172" t="s">
        <v>127</v>
      </c>
      <c r="X16" s="172" t="s">
        <v>127</v>
      </c>
      <c r="Y16" s="138" t="s">
        <v>127</v>
      </c>
      <c r="Z16" s="138" t="s">
        <v>127</v>
      </c>
      <c r="AA16" s="95" t="s">
        <v>129</v>
      </c>
      <c r="AB16" s="138" t="s">
        <v>127</v>
      </c>
      <c r="AC16" s="174" t="s">
        <v>127</v>
      </c>
      <c r="AD16" s="174" t="s">
        <v>127</v>
      </c>
      <c r="AE16" s="134"/>
      <c r="AF16" s="148" t="s">
        <v>127</v>
      </c>
      <c r="AG16" s="138" t="s">
        <v>127</v>
      </c>
      <c r="AH16" s="308" t="s">
        <v>127</v>
      </c>
      <c r="AI16" s="138" t="s">
        <v>127</v>
      </c>
      <c r="AJ16" s="138" t="s">
        <v>127</v>
      </c>
    </row>
    <row r="17" spans="1:36">
      <c r="A17" s="117" t="s">
        <v>130</v>
      </c>
      <c r="B17" s="156"/>
      <c r="C17" s="162" t="s">
        <v>133</v>
      </c>
      <c r="D17" s="162" t="s">
        <v>133</v>
      </c>
      <c r="E17" s="162" t="s">
        <v>133</v>
      </c>
      <c r="F17" s="162" t="s">
        <v>133</v>
      </c>
      <c r="G17" s="162" t="s">
        <v>133</v>
      </c>
      <c r="H17" s="138" t="s">
        <v>133</v>
      </c>
      <c r="I17" s="163" t="s">
        <v>134</v>
      </c>
      <c r="J17" s="163" t="s">
        <v>134</v>
      </c>
      <c r="K17" s="163" t="s">
        <v>134</v>
      </c>
      <c r="L17" s="163" t="s">
        <v>134</v>
      </c>
      <c r="M17" s="162" t="s">
        <v>133</v>
      </c>
      <c r="N17" s="162" t="s">
        <v>133</v>
      </c>
      <c r="O17" s="162" t="s">
        <v>134</v>
      </c>
      <c r="P17" s="148" t="s">
        <v>123</v>
      </c>
      <c r="Q17" s="148" t="s">
        <v>123</v>
      </c>
      <c r="R17" s="162" t="s">
        <v>133</v>
      </c>
      <c r="S17" s="162" t="s">
        <v>133</v>
      </c>
      <c r="T17" s="162" t="s">
        <v>133</v>
      </c>
      <c r="U17" s="162" t="s">
        <v>133</v>
      </c>
      <c r="V17" s="138" t="s">
        <v>133</v>
      </c>
      <c r="W17" s="172" t="s">
        <v>133</v>
      </c>
      <c r="X17" s="172" t="s">
        <v>133</v>
      </c>
      <c r="Y17" s="162" t="s">
        <v>133</v>
      </c>
      <c r="Z17" s="162" t="s">
        <v>133</v>
      </c>
      <c r="AA17" s="163" t="s">
        <v>700</v>
      </c>
      <c r="AB17" s="162" t="s">
        <v>133</v>
      </c>
      <c r="AC17" s="174" t="s">
        <v>133</v>
      </c>
      <c r="AD17" s="174" t="s">
        <v>134</v>
      </c>
      <c r="AE17" s="134" t="s">
        <v>135</v>
      </c>
      <c r="AF17" s="148" t="s">
        <v>123</v>
      </c>
      <c r="AG17" s="359" t="s">
        <v>793</v>
      </c>
      <c r="AH17" s="323" t="s">
        <v>133</v>
      </c>
      <c r="AI17" s="162" t="s">
        <v>133</v>
      </c>
      <c r="AJ17" s="162" t="s">
        <v>133</v>
      </c>
    </row>
    <row r="18" spans="1:36">
      <c r="A18" s="117" t="s">
        <v>136</v>
      </c>
      <c r="B18" s="156"/>
      <c r="C18" s="138" t="s">
        <v>139</v>
      </c>
      <c r="D18" s="138" t="s">
        <v>139</v>
      </c>
      <c r="E18" s="138" t="s">
        <v>139</v>
      </c>
      <c r="F18" s="138" t="s">
        <v>139</v>
      </c>
      <c r="G18" s="138" t="s">
        <v>139</v>
      </c>
      <c r="H18" s="138" t="s">
        <v>139</v>
      </c>
      <c r="I18" s="138" t="s">
        <v>137</v>
      </c>
      <c r="J18" s="138" t="s">
        <v>137</v>
      </c>
      <c r="K18" s="138" t="s">
        <v>138</v>
      </c>
      <c r="L18" s="138" t="s">
        <v>138</v>
      </c>
      <c r="M18" s="138" t="s">
        <v>139</v>
      </c>
      <c r="N18" s="138" t="s">
        <v>139</v>
      </c>
      <c r="O18" s="138" t="s">
        <v>307</v>
      </c>
      <c r="P18" s="148" t="s">
        <v>139</v>
      </c>
      <c r="Q18" s="160" t="s">
        <v>139</v>
      </c>
      <c r="R18" s="138" t="s">
        <v>308</v>
      </c>
      <c r="S18" s="138" t="s">
        <v>139</v>
      </c>
      <c r="T18" s="138" t="s">
        <v>138</v>
      </c>
      <c r="U18" s="138" t="s">
        <v>138</v>
      </c>
      <c r="V18" s="138" t="s">
        <v>139</v>
      </c>
      <c r="W18" s="172" t="s">
        <v>139</v>
      </c>
      <c r="X18" s="172" t="s">
        <v>139</v>
      </c>
      <c r="Y18" s="138" t="s">
        <v>139</v>
      </c>
      <c r="Z18" s="138" t="s">
        <v>139</v>
      </c>
      <c r="AA18" s="138" t="s">
        <v>139</v>
      </c>
      <c r="AB18" s="138" t="s">
        <v>139</v>
      </c>
      <c r="AC18" s="174" t="s">
        <v>309</v>
      </c>
      <c r="AD18" s="174" t="s">
        <v>309</v>
      </c>
      <c r="AE18" s="134"/>
      <c r="AF18" s="148" t="s">
        <v>139</v>
      </c>
      <c r="AG18" s="138" t="s">
        <v>139</v>
      </c>
      <c r="AH18" s="308" t="s">
        <v>308</v>
      </c>
      <c r="AI18" s="138" t="s">
        <v>308</v>
      </c>
      <c r="AJ18" s="138" t="s">
        <v>139</v>
      </c>
    </row>
    <row r="19" spans="1:36" ht="22.8">
      <c r="A19" s="95" t="s">
        <v>141</v>
      </c>
      <c r="B19" s="93" t="s">
        <v>142</v>
      </c>
      <c r="C19" s="134" t="s">
        <v>72</v>
      </c>
      <c r="D19" s="134" t="s">
        <v>72</v>
      </c>
      <c r="E19" s="134" t="s">
        <v>72</v>
      </c>
      <c r="F19" s="134" t="s">
        <v>72</v>
      </c>
      <c r="G19" s="134" t="s">
        <v>72</v>
      </c>
      <c r="H19" s="134" t="s">
        <v>72</v>
      </c>
      <c r="I19" s="134" t="s">
        <v>72</v>
      </c>
      <c r="J19" s="134" t="s">
        <v>72</v>
      </c>
      <c r="K19" s="134" t="s">
        <v>143</v>
      </c>
      <c r="L19" s="134" t="s">
        <v>143</v>
      </c>
      <c r="M19" s="134" t="s">
        <v>72</v>
      </c>
      <c r="N19" s="134" t="s">
        <v>72</v>
      </c>
      <c r="O19" s="134" t="s">
        <v>72</v>
      </c>
      <c r="P19" s="148" t="s">
        <v>72</v>
      </c>
      <c r="Q19" s="166" t="s">
        <v>72</v>
      </c>
      <c r="R19" s="134" t="s">
        <v>72</v>
      </c>
      <c r="S19" s="134" t="s">
        <v>72</v>
      </c>
      <c r="T19" s="134" t="s">
        <v>72</v>
      </c>
      <c r="U19" s="134" t="s">
        <v>72</v>
      </c>
      <c r="V19" s="166" t="s">
        <v>72</v>
      </c>
      <c r="W19" s="122" t="s">
        <v>72</v>
      </c>
      <c r="X19" s="122" t="s">
        <v>72</v>
      </c>
      <c r="Y19" s="134" t="s">
        <v>72</v>
      </c>
      <c r="Z19" s="134" t="s">
        <v>72</v>
      </c>
      <c r="AA19" s="134" t="s">
        <v>143</v>
      </c>
      <c r="AB19" s="134" t="s">
        <v>72</v>
      </c>
      <c r="AC19" s="139" t="s">
        <v>72</v>
      </c>
      <c r="AD19" s="139" t="s">
        <v>72</v>
      </c>
      <c r="AE19" s="134" t="s">
        <v>72</v>
      </c>
      <c r="AF19" s="148" t="s">
        <v>72</v>
      </c>
      <c r="AG19" s="134" t="s">
        <v>72</v>
      </c>
      <c r="AH19" s="289" t="s">
        <v>72</v>
      </c>
      <c r="AI19" s="134" t="s">
        <v>72</v>
      </c>
      <c r="AJ19" s="134" t="s">
        <v>72</v>
      </c>
    </row>
    <row r="20" spans="1:36" ht="68.400000000000006">
      <c r="A20" s="95" t="s">
        <v>144</v>
      </c>
      <c r="B20" s="134" t="s">
        <v>145</v>
      </c>
      <c r="C20" s="153" t="s">
        <v>123</v>
      </c>
      <c r="D20" s="134" t="s">
        <v>866</v>
      </c>
      <c r="E20" s="153" t="s">
        <v>123</v>
      </c>
      <c r="F20" s="139" t="s">
        <v>123</v>
      </c>
      <c r="G20" s="138" t="s">
        <v>123</v>
      </c>
      <c r="H20" s="138" t="s">
        <v>123</v>
      </c>
      <c r="I20" s="138" t="s">
        <v>123</v>
      </c>
      <c r="J20" s="134" t="s">
        <v>146</v>
      </c>
      <c r="K20" s="138" t="s">
        <v>123</v>
      </c>
      <c r="L20" s="134" t="s">
        <v>146</v>
      </c>
      <c r="M20" s="138" t="s">
        <v>123</v>
      </c>
      <c r="N20" s="138" t="s">
        <v>123</v>
      </c>
      <c r="O20" s="153" t="s">
        <v>123</v>
      </c>
      <c r="P20" s="167" t="s">
        <v>123</v>
      </c>
      <c r="Q20" s="166" t="s">
        <v>866</v>
      </c>
      <c r="R20" s="153" t="s">
        <v>123</v>
      </c>
      <c r="S20" s="134" t="s">
        <v>310</v>
      </c>
      <c r="T20" s="138" t="s">
        <v>123</v>
      </c>
      <c r="U20" s="134" t="s">
        <v>148</v>
      </c>
      <c r="V20" s="166" t="s">
        <v>311</v>
      </c>
      <c r="W20" s="172" t="s">
        <v>149</v>
      </c>
      <c r="X20" s="172" t="s">
        <v>123</v>
      </c>
      <c r="Y20" s="153" t="s">
        <v>123</v>
      </c>
      <c r="Z20" s="134" t="s">
        <v>744</v>
      </c>
      <c r="AA20" s="134" t="s">
        <v>745</v>
      </c>
      <c r="AB20" s="153" t="s">
        <v>123</v>
      </c>
      <c r="AC20" s="174" t="s">
        <v>123</v>
      </c>
      <c r="AD20" s="313" t="s">
        <v>933</v>
      </c>
      <c r="AE20" s="134" t="s">
        <v>312</v>
      </c>
      <c r="AF20" s="167" t="s">
        <v>123</v>
      </c>
      <c r="AG20" s="134" t="s">
        <v>866</v>
      </c>
      <c r="AH20" s="320" t="s">
        <v>123</v>
      </c>
      <c r="AI20" s="153" t="s">
        <v>123</v>
      </c>
      <c r="AJ20" s="134" t="s">
        <v>914</v>
      </c>
    </row>
    <row r="21" spans="1:36" ht="57">
      <c r="A21" s="95" t="s">
        <v>151</v>
      </c>
      <c r="B21" s="156"/>
      <c r="C21" s="153" t="s">
        <v>152</v>
      </c>
      <c r="D21" s="134" t="s">
        <v>153</v>
      </c>
      <c r="E21" s="153" t="s">
        <v>152</v>
      </c>
      <c r="F21" s="153" t="s">
        <v>152</v>
      </c>
      <c r="G21" s="138" t="s">
        <v>152</v>
      </c>
      <c r="H21" s="138" t="s">
        <v>152</v>
      </c>
      <c r="I21" s="138" t="s">
        <v>154</v>
      </c>
      <c r="J21" s="134" t="s">
        <v>155</v>
      </c>
      <c r="K21" s="138" t="s">
        <v>156</v>
      </c>
      <c r="L21" s="134" t="s">
        <v>157</v>
      </c>
      <c r="M21" s="138" t="s">
        <v>152</v>
      </c>
      <c r="N21" s="138" t="s">
        <v>152</v>
      </c>
      <c r="O21" s="153" t="s">
        <v>152</v>
      </c>
      <c r="P21" s="168" t="s">
        <v>152</v>
      </c>
      <c r="Q21" s="166" t="s">
        <v>867</v>
      </c>
      <c r="R21" s="153" t="s">
        <v>152</v>
      </c>
      <c r="S21" s="134" t="s">
        <v>153</v>
      </c>
      <c r="T21" s="153" t="s">
        <v>152</v>
      </c>
      <c r="U21" s="134" t="s">
        <v>153</v>
      </c>
      <c r="V21" s="166" t="s">
        <v>313</v>
      </c>
      <c r="W21" s="172" t="s">
        <v>152</v>
      </c>
      <c r="X21" s="172" t="s">
        <v>152</v>
      </c>
      <c r="Y21" s="153" t="s">
        <v>152</v>
      </c>
      <c r="Z21" s="134" t="s">
        <v>153</v>
      </c>
      <c r="AA21" s="134" t="s">
        <v>740</v>
      </c>
      <c r="AB21" s="153" t="s">
        <v>152</v>
      </c>
      <c r="AC21" s="174" t="s">
        <v>314</v>
      </c>
      <c r="AD21" s="139" t="s">
        <v>315</v>
      </c>
      <c r="AE21" s="134" t="s">
        <v>316</v>
      </c>
      <c r="AF21" s="168" t="s">
        <v>152</v>
      </c>
      <c r="AG21" s="134" t="s">
        <v>153</v>
      </c>
      <c r="AH21" s="320" t="s">
        <v>152</v>
      </c>
      <c r="AI21" s="153" t="s">
        <v>152</v>
      </c>
      <c r="AJ21" s="134" t="s">
        <v>153</v>
      </c>
    </row>
    <row r="22" spans="1:36" ht="22.8">
      <c r="A22" s="95" t="s">
        <v>159</v>
      </c>
      <c r="B22" s="156"/>
      <c r="C22" s="138" t="s">
        <v>160</v>
      </c>
      <c r="D22" s="138" t="s">
        <v>160</v>
      </c>
      <c r="E22" s="138" t="s">
        <v>160</v>
      </c>
      <c r="F22" s="138" t="s">
        <v>160</v>
      </c>
      <c r="G22" s="138" t="s">
        <v>160</v>
      </c>
      <c r="H22" s="116" t="s">
        <v>160</v>
      </c>
      <c r="I22" s="138" t="s">
        <v>160</v>
      </c>
      <c r="J22" s="138" t="s">
        <v>160</v>
      </c>
      <c r="K22" s="138" t="s">
        <v>161</v>
      </c>
      <c r="L22" s="138" t="s">
        <v>161</v>
      </c>
      <c r="M22" s="138" t="s">
        <v>160</v>
      </c>
      <c r="N22" s="138" t="s">
        <v>160</v>
      </c>
      <c r="O22" s="138" t="s">
        <v>160</v>
      </c>
      <c r="P22" s="181" t="s">
        <v>160</v>
      </c>
      <c r="Q22" s="160" t="s">
        <v>160</v>
      </c>
      <c r="R22" s="138" t="s">
        <v>160</v>
      </c>
      <c r="S22" s="138" t="s">
        <v>160</v>
      </c>
      <c r="T22" s="138" t="s">
        <v>160</v>
      </c>
      <c r="U22" s="138" t="s">
        <v>160</v>
      </c>
      <c r="V22" s="160" t="s">
        <v>160</v>
      </c>
      <c r="W22" s="172" t="s">
        <v>160</v>
      </c>
      <c r="X22" s="172" t="s">
        <v>160</v>
      </c>
      <c r="Y22" s="138" t="s">
        <v>160</v>
      </c>
      <c r="Z22" s="138" t="s">
        <v>160</v>
      </c>
      <c r="AA22" s="138" t="s">
        <v>752</v>
      </c>
      <c r="AB22" s="138" t="s">
        <v>160</v>
      </c>
      <c r="AC22" s="174" t="s">
        <v>160</v>
      </c>
      <c r="AD22" s="174" t="s">
        <v>160</v>
      </c>
      <c r="AE22" s="134" t="s">
        <v>317</v>
      </c>
      <c r="AF22" s="181" t="s">
        <v>163</v>
      </c>
      <c r="AG22" s="138" t="s">
        <v>160</v>
      </c>
      <c r="AH22" s="308" t="s">
        <v>160</v>
      </c>
      <c r="AI22" s="138" t="s">
        <v>160</v>
      </c>
      <c r="AJ22" s="138" t="s">
        <v>160</v>
      </c>
    </row>
    <row r="23" spans="1:36">
      <c r="A23" s="95" t="s">
        <v>164</v>
      </c>
      <c r="B23" s="156">
        <v>1</v>
      </c>
      <c r="C23" s="134" t="s">
        <v>72</v>
      </c>
      <c r="D23" s="134" t="s">
        <v>72</v>
      </c>
      <c r="E23" s="134" t="s">
        <v>72</v>
      </c>
      <c r="F23" s="134" t="s">
        <v>72</v>
      </c>
      <c r="G23" s="134" t="s">
        <v>72</v>
      </c>
      <c r="H23" s="134" t="s">
        <v>72</v>
      </c>
      <c r="I23" s="134" t="s">
        <v>72</v>
      </c>
      <c r="J23" s="134" t="s">
        <v>72</v>
      </c>
      <c r="K23" s="134" t="s">
        <v>72</v>
      </c>
      <c r="L23" s="134" t="s">
        <v>72</v>
      </c>
      <c r="M23" s="134" t="s">
        <v>72</v>
      </c>
      <c r="N23" s="134" t="s">
        <v>72</v>
      </c>
      <c r="O23" s="134" t="s">
        <v>72</v>
      </c>
      <c r="P23" s="148" t="s">
        <v>72</v>
      </c>
      <c r="Q23" s="166" t="s">
        <v>72</v>
      </c>
      <c r="R23" s="134" t="s">
        <v>72</v>
      </c>
      <c r="S23" s="134" t="s">
        <v>72</v>
      </c>
      <c r="T23" s="134" t="s">
        <v>72</v>
      </c>
      <c r="U23" s="134" t="s">
        <v>72</v>
      </c>
      <c r="V23" s="134" t="s">
        <v>72</v>
      </c>
      <c r="W23" s="122" t="s">
        <v>72</v>
      </c>
      <c r="X23" s="122" t="s">
        <v>72</v>
      </c>
      <c r="Y23" s="134" t="s">
        <v>72</v>
      </c>
      <c r="Z23" s="134" t="s">
        <v>72</v>
      </c>
      <c r="AA23" s="134" t="s">
        <v>72</v>
      </c>
      <c r="AB23" s="134" t="s">
        <v>72</v>
      </c>
      <c r="AC23" s="139" t="s">
        <v>72</v>
      </c>
      <c r="AD23" s="139" t="s">
        <v>72</v>
      </c>
      <c r="AE23" s="134" t="s">
        <v>72</v>
      </c>
      <c r="AF23" s="148" t="s">
        <v>72</v>
      </c>
      <c r="AG23" s="134" t="s">
        <v>72</v>
      </c>
      <c r="AH23" s="289" t="s">
        <v>72</v>
      </c>
      <c r="AI23" s="134" t="s">
        <v>72</v>
      </c>
      <c r="AJ23" s="134" t="s">
        <v>72</v>
      </c>
    </row>
    <row r="24" spans="1:36">
      <c r="A24" s="95" t="s">
        <v>165</v>
      </c>
      <c r="B24" s="156"/>
      <c r="C24" s="138" t="s">
        <v>166</v>
      </c>
      <c r="D24" s="138" t="s">
        <v>166</v>
      </c>
      <c r="E24" s="138" t="s">
        <v>166</v>
      </c>
      <c r="F24" s="138" t="s">
        <v>166</v>
      </c>
      <c r="G24" s="138" t="s">
        <v>166</v>
      </c>
      <c r="H24" s="138" t="s">
        <v>166</v>
      </c>
      <c r="I24" s="138" t="s">
        <v>166</v>
      </c>
      <c r="J24" s="138" t="s">
        <v>166</v>
      </c>
      <c r="K24" s="95" t="s">
        <v>167</v>
      </c>
      <c r="L24" s="95" t="s">
        <v>168</v>
      </c>
      <c r="M24" s="138" t="s">
        <v>166</v>
      </c>
      <c r="N24" s="138" t="s">
        <v>166</v>
      </c>
      <c r="O24" s="138" t="s">
        <v>166</v>
      </c>
      <c r="P24" s="148" t="s">
        <v>166</v>
      </c>
      <c r="Q24" s="160" t="s">
        <v>166</v>
      </c>
      <c r="R24" s="138" t="s">
        <v>166</v>
      </c>
      <c r="S24" s="138" t="s">
        <v>166</v>
      </c>
      <c r="T24" s="138" t="s">
        <v>166</v>
      </c>
      <c r="U24" s="138" t="s">
        <v>166</v>
      </c>
      <c r="V24" s="160" t="s">
        <v>166</v>
      </c>
      <c r="W24" s="172" t="s">
        <v>166</v>
      </c>
      <c r="X24" s="172" t="s">
        <v>166</v>
      </c>
      <c r="Y24" s="138" t="s">
        <v>166</v>
      </c>
      <c r="Z24" s="138" t="s">
        <v>166</v>
      </c>
      <c r="AA24" s="95" t="s">
        <v>168</v>
      </c>
      <c r="AB24" s="138" t="s">
        <v>166</v>
      </c>
      <c r="AC24" s="174" t="s">
        <v>166</v>
      </c>
      <c r="AD24" s="174" t="s">
        <v>166</v>
      </c>
      <c r="AE24" s="134" t="s">
        <v>169</v>
      </c>
      <c r="AF24" s="148" t="s">
        <v>167</v>
      </c>
      <c r="AG24" s="138" t="s">
        <v>166</v>
      </c>
      <c r="AH24" s="308" t="s">
        <v>166</v>
      </c>
      <c r="AI24" s="138" t="s">
        <v>166</v>
      </c>
      <c r="AJ24" s="138" t="s">
        <v>166</v>
      </c>
    </row>
    <row r="25" spans="1:36" ht="26.4">
      <c r="A25" s="95" t="s">
        <v>170</v>
      </c>
      <c r="B25" s="156"/>
      <c r="C25" s="178" t="s">
        <v>171</v>
      </c>
      <c r="D25" s="178" t="s">
        <v>171</v>
      </c>
      <c r="E25" s="178"/>
      <c r="F25" s="178"/>
      <c r="G25" s="93" t="s">
        <v>171</v>
      </c>
      <c r="H25" s="134" t="s">
        <v>318</v>
      </c>
      <c r="I25" s="93" t="s">
        <v>171</v>
      </c>
      <c r="J25" s="93" t="s">
        <v>171</v>
      </c>
      <c r="K25" s="95" t="s">
        <v>172</v>
      </c>
      <c r="L25" s="95" t="s">
        <v>172</v>
      </c>
      <c r="M25" s="93" t="s">
        <v>171</v>
      </c>
      <c r="N25" s="93" t="s">
        <v>171</v>
      </c>
      <c r="O25" s="178" t="s">
        <v>171</v>
      </c>
      <c r="P25" s="149" t="s">
        <v>171</v>
      </c>
      <c r="Q25" s="168" t="s">
        <v>171</v>
      </c>
      <c r="R25" s="178" t="s">
        <v>171</v>
      </c>
      <c r="S25" s="178" t="s">
        <v>171</v>
      </c>
      <c r="T25" s="178" t="s">
        <v>171</v>
      </c>
      <c r="U25" s="178" t="s">
        <v>171</v>
      </c>
      <c r="V25" s="166" t="s">
        <v>318</v>
      </c>
      <c r="W25" s="122" t="s">
        <v>216</v>
      </c>
      <c r="X25" s="122" t="s">
        <v>216</v>
      </c>
      <c r="Y25" s="178" t="s">
        <v>171</v>
      </c>
      <c r="Z25" s="178" t="s">
        <v>171</v>
      </c>
      <c r="AA25" s="95" t="s">
        <v>172</v>
      </c>
      <c r="AB25" s="178" t="s">
        <v>171</v>
      </c>
      <c r="AC25" s="139" t="s">
        <v>318</v>
      </c>
      <c r="AD25" s="139" t="s">
        <v>318</v>
      </c>
      <c r="AE25" s="134" t="s">
        <v>173</v>
      </c>
      <c r="AF25" s="149" t="s">
        <v>171</v>
      </c>
      <c r="AG25" s="178" t="s">
        <v>171</v>
      </c>
      <c r="AH25" s="324" t="s">
        <v>171</v>
      </c>
      <c r="AI25" s="349" t="s">
        <v>318</v>
      </c>
      <c r="AJ25" s="349" t="s">
        <v>318</v>
      </c>
    </row>
    <row r="26" spans="1:36" ht="60" customHeight="1">
      <c r="A26" s="98" t="s">
        <v>174</v>
      </c>
      <c r="B26" s="141" t="s">
        <v>175</v>
      </c>
      <c r="C26" s="139" t="s">
        <v>319</v>
      </c>
      <c r="D26" s="139" t="s">
        <v>319</v>
      </c>
      <c r="E26" s="139" t="s">
        <v>320</v>
      </c>
      <c r="F26" s="139" t="s">
        <v>320</v>
      </c>
      <c r="G26" s="139" t="s">
        <v>319</v>
      </c>
      <c r="H26" s="139" t="s">
        <v>321</v>
      </c>
      <c r="I26" s="139" t="s">
        <v>322</v>
      </c>
      <c r="J26" s="139" t="s">
        <v>323</v>
      </c>
      <c r="K26" s="139" t="s">
        <v>319</v>
      </c>
      <c r="L26" s="139" t="s">
        <v>319</v>
      </c>
      <c r="M26" s="139" t="s">
        <v>324</v>
      </c>
      <c r="N26" s="139" t="s">
        <v>324</v>
      </c>
      <c r="O26" s="139" t="s">
        <v>324</v>
      </c>
      <c r="P26" s="149" t="s">
        <v>324</v>
      </c>
      <c r="Q26" s="166" t="s">
        <v>319</v>
      </c>
      <c r="R26" s="139" t="s">
        <v>324</v>
      </c>
      <c r="S26" s="139" t="s">
        <v>319</v>
      </c>
      <c r="T26" s="139" t="s">
        <v>319</v>
      </c>
      <c r="U26" s="139" t="s">
        <v>319</v>
      </c>
      <c r="V26" s="139" t="s">
        <v>325</v>
      </c>
      <c r="W26" s="139" t="s">
        <v>682</v>
      </c>
      <c r="X26" s="139" t="s">
        <v>326</v>
      </c>
      <c r="Y26" s="139" t="s">
        <v>319</v>
      </c>
      <c r="Z26" s="139" t="s">
        <v>672</v>
      </c>
      <c r="AA26" s="139" t="s">
        <v>746</v>
      </c>
      <c r="AB26" s="139" t="s">
        <v>319</v>
      </c>
      <c r="AC26" s="139" t="s">
        <v>320</v>
      </c>
      <c r="AD26" s="139" t="s">
        <v>320</v>
      </c>
      <c r="AE26" s="134" t="s">
        <v>327</v>
      </c>
      <c r="AF26" s="149" t="s">
        <v>319</v>
      </c>
      <c r="AG26" s="139" t="s">
        <v>319</v>
      </c>
      <c r="AH26" s="313" t="s">
        <v>319</v>
      </c>
      <c r="AI26" s="139" t="s">
        <v>319</v>
      </c>
      <c r="AJ26" s="139" t="s">
        <v>319</v>
      </c>
    </row>
    <row r="27" spans="1:36" ht="71.25" customHeight="1">
      <c r="A27" s="98" t="s">
        <v>185</v>
      </c>
      <c r="B27" s="141" t="s">
        <v>186</v>
      </c>
      <c r="C27" s="178" t="s">
        <v>328</v>
      </c>
      <c r="D27" s="178" t="s">
        <v>328</v>
      </c>
      <c r="E27" s="178" t="s">
        <v>328</v>
      </c>
      <c r="F27" s="178" t="s">
        <v>328</v>
      </c>
      <c r="G27" s="178" t="s">
        <v>328</v>
      </c>
      <c r="H27" s="134" t="s">
        <v>329</v>
      </c>
      <c r="I27" s="93" t="s">
        <v>330</v>
      </c>
      <c r="J27" s="93" t="s">
        <v>330</v>
      </c>
      <c r="K27" s="93" t="s">
        <v>330</v>
      </c>
      <c r="L27" s="93" t="s">
        <v>330</v>
      </c>
      <c r="M27" s="178" t="s">
        <v>328</v>
      </c>
      <c r="N27" s="178" t="s">
        <v>328</v>
      </c>
      <c r="O27" s="178" t="s">
        <v>328</v>
      </c>
      <c r="P27" s="149" t="s">
        <v>328</v>
      </c>
      <c r="Q27" s="168" t="s">
        <v>328</v>
      </c>
      <c r="R27" s="178" t="s">
        <v>328</v>
      </c>
      <c r="S27" s="178" t="s">
        <v>328</v>
      </c>
      <c r="T27" s="93" t="s">
        <v>330</v>
      </c>
      <c r="U27" s="93" t="s">
        <v>330</v>
      </c>
      <c r="V27" s="134" t="s">
        <v>331</v>
      </c>
      <c r="W27" s="134" t="s">
        <v>332</v>
      </c>
      <c r="X27" s="134" t="s">
        <v>332</v>
      </c>
      <c r="Y27" s="178" t="s">
        <v>328</v>
      </c>
      <c r="Z27" s="93" t="s">
        <v>189</v>
      </c>
      <c r="AA27" s="93" t="s">
        <v>189</v>
      </c>
      <c r="AB27" s="178" t="s">
        <v>328</v>
      </c>
      <c r="AC27" s="139" t="s">
        <v>333</v>
      </c>
      <c r="AD27" s="139" t="s">
        <v>333</v>
      </c>
      <c r="AE27" s="134" t="s">
        <v>334</v>
      </c>
      <c r="AF27" s="149" t="s">
        <v>328</v>
      </c>
      <c r="AG27" s="178" t="s">
        <v>328</v>
      </c>
      <c r="AH27" s="324" t="s">
        <v>328</v>
      </c>
      <c r="AI27" s="178" t="s">
        <v>328</v>
      </c>
      <c r="AJ27" s="178" t="s">
        <v>328</v>
      </c>
    </row>
    <row r="28" spans="1:36">
      <c r="A28" s="95" t="s">
        <v>194</v>
      </c>
      <c r="B28" s="156" t="s">
        <v>195</v>
      </c>
      <c r="C28" s="134" t="s">
        <v>72</v>
      </c>
      <c r="D28" s="134" t="s">
        <v>72</v>
      </c>
      <c r="E28" s="134" t="s">
        <v>72</v>
      </c>
      <c r="F28" s="134" t="s">
        <v>72</v>
      </c>
      <c r="G28" s="134" t="s">
        <v>72</v>
      </c>
      <c r="H28" s="134" t="s">
        <v>72</v>
      </c>
      <c r="I28" s="134" t="s">
        <v>72</v>
      </c>
      <c r="J28" s="134" t="s">
        <v>72</v>
      </c>
      <c r="K28" s="134" t="s">
        <v>72</v>
      </c>
      <c r="L28" s="134" t="s">
        <v>72</v>
      </c>
      <c r="M28" s="134" t="s">
        <v>72</v>
      </c>
      <c r="N28" s="134" t="s">
        <v>72</v>
      </c>
      <c r="O28" s="134" t="s">
        <v>72</v>
      </c>
      <c r="P28" s="148" t="s">
        <v>72</v>
      </c>
      <c r="Q28" s="166" t="s">
        <v>72</v>
      </c>
      <c r="R28" s="134" t="s">
        <v>72</v>
      </c>
      <c r="S28" s="134" t="s">
        <v>72</v>
      </c>
      <c r="T28" s="134" t="s">
        <v>72</v>
      </c>
      <c r="U28" s="134" t="s">
        <v>72</v>
      </c>
      <c r="V28" s="134" t="s">
        <v>72</v>
      </c>
      <c r="W28" s="122" t="s">
        <v>72</v>
      </c>
      <c r="X28" s="122" t="s">
        <v>72</v>
      </c>
      <c r="Y28" s="134" t="s">
        <v>72</v>
      </c>
      <c r="Z28" s="134" t="s">
        <v>72</v>
      </c>
      <c r="AA28" s="134" t="s">
        <v>72</v>
      </c>
      <c r="AB28" s="134" t="s">
        <v>72</v>
      </c>
      <c r="AC28" s="139" t="s">
        <v>72</v>
      </c>
      <c r="AD28" s="139" t="s">
        <v>72</v>
      </c>
      <c r="AE28" s="134" t="s">
        <v>72</v>
      </c>
      <c r="AF28" s="148" t="s">
        <v>72</v>
      </c>
      <c r="AG28" s="134" t="s">
        <v>72</v>
      </c>
      <c r="AH28" s="289" t="s">
        <v>72</v>
      </c>
      <c r="AI28" s="134" t="s">
        <v>72</v>
      </c>
      <c r="AJ28" s="134" t="s">
        <v>72</v>
      </c>
    </row>
    <row r="29" spans="1:36">
      <c r="A29" s="95" t="s">
        <v>196</v>
      </c>
      <c r="B29" s="156" t="s">
        <v>197</v>
      </c>
      <c r="C29" s="134" t="s">
        <v>72</v>
      </c>
      <c r="D29" s="134" t="s">
        <v>72</v>
      </c>
      <c r="E29" s="134" t="s">
        <v>72</v>
      </c>
      <c r="F29" s="134" t="s">
        <v>72</v>
      </c>
      <c r="G29" s="134" t="s">
        <v>72</v>
      </c>
      <c r="H29" s="134" t="s">
        <v>72</v>
      </c>
      <c r="I29" s="134" t="s">
        <v>72</v>
      </c>
      <c r="J29" s="134" t="s">
        <v>72</v>
      </c>
      <c r="K29" s="134" t="s">
        <v>72</v>
      </c>
      <c r="L29" s="134" t="s">
        <v>72</v>
      </c>
      <c r="M29" s="134" t="s">
        <v>72</v>
      </c>
      <c r="N29" s="134" t="s">
        <v>72</v>
      </c>
      <c r="O29" s="134" t="s">
        <v>72</v>
      </c>
      <c r="P29" s="148" t="s">
        <v>72</v>
      </c>
      <c r="Q29" s="166" t="s">
        <v>72</v>
      </c>
      <c r="R29" s="134" t="s">
        <v>72</v>
      </c>
      <c r="S29" s="134" t="s">
        <v>72</v>
      </c>
      <c r="T29" s="134" t="s">
        <v>72</v>
      </c>
      <c r="U29" s="134" t="s">
        <v>72</v>
      </c>
      <c r="V29" s="134" t="s">
        <v>72</v>
      </c>
      <c r="W29" s="176" t="s">
        <v>72</v>
      </c>
      <c r="X29" s="176" t="s">
        <v>72</v>
      </c>
      <c r="Y29" s="134" t="s">
        <v>72</v>
      </c>
      <c r="Z29" s="134" t="s">
        <v>72</v>
      </c>
      <c r="AA29" s="134" t="s">
        <v>72</v>
      </c>
      <c r="AB29" s="134" t="s">
        <v>72</v>
      </c>
      <c r="AC29" s="313" t="s">
        <v>72</v>
      </c>
      <c r="AD29" s="313" t="s">
        <v>72</v>
      </c>
      <c r="AE29" s="134" t="s">
        <v>72</v>
      </c>
      <c r="AF29" s="148" t="s">
        <v>72</v>
      </c>
      <c r="AG29" s="134" t="s">
        <v>72</v>
      </c>
      <c r="AH29" s="289" t="s">
        <v>72</v>
      </c>
      <c r="AI29" s="134" t="s">
        <v>72</v>
      </c>
      <c r="AJ29" s="134" t="s">
        <v>72</v>
      </c>
    </row>
    <row r="30" spans="1:36" ht="22.8">
      <c r="A30" s="95" t="s">
        <v>198</v>
      </c>
      <c r="B30" s="156"/>
      <c r="C30" s="134" t="s">
        <v>199</v>
      </c>
      <c r="D30" s="134" t="s">
        <v>199</v>
      </c>
      <c r="E30" s="134" t="s">
        <v>199</v>
      </c>
      <c r="F30" s="134" t="s">
        <v>199</v>
      </c>
      <c r="G30" s="134" t="s">
        <v>199</v>
      </c>
      <c r="H30" s="134" t="s">
        <v>199</v>
      </c>
      <c r="I30" s="134" t="s">
        <v>199</v>
      </c>
      <c r="J30" s="134" t="s">
        <v>199</v>
      </c>
      <c r="K30" s="134" t="s">
        <v>199</v>
      </c>
      <c r="L30" s="134" t="s">
        <v>199</v>
      </c>
      <c r="M30" s="95" t="s">
        <v>200</v>
      </c>
      <c r="N30" s="288" t="s">
        <v>822</v>
      </c>
      <c r="O30" s="134" t="s">
        <v>199</v>
      </c>
      <c r="P30" s="148" t="s">
        <v>199</v>
      </c>
      <c r="Q30" s="166" t="s">
        <v>199</v>
      </c>
      <c r="R30" s="134" t="s">
        <v>199</v>
      </c>
      <c r="S30" s="134" t="s">
        <v>199</v>
      </c>
      <c r="T30" s="134" t="s">
        <v>199</v>
      </c>
      <c r="U30" s="134" t="s">
        <v>199</v>
      </c>
      <c r="V30" s="134" t="s">
        <v>199</v>
      </c>
      <c r="W30" s="122" t="s">
        <v>199</v>
      </c>
      <c r="X30" s="122" t="s">
        <v>199</v>
      </c>
      <c r="Y30" s="134" t="s">
        <v>199</v>
      </c>
      <c r="Z30" s="216" t="s">
        <v>668</v>
      </c>
      <c r="AA30" s="134" t="s">
        <v>199</v>
      </c>
      <c r="AB30" s="134" t="s">
        <v>199</v>
      </c>
      <c r="AC30" s="134" t="s">
        <v>199</v>
      </c>
      <c r="AD30" s="134" t="s">
        <v>199</v>
      </c>
      <c r="AE30" s="134" t="s">
        <v>199</v>
      </c>
      <c r="AF30" s="148" t="s">
        <v>199</v>
      </c>
      <c r="AG30" s="134" t="s">
        <v>199</v>
      </c>
      <c r="AH30" s="289" t="s">
        <v>199</v>
      </c>
      <c r="AI30" s="134" t="s">
        <v>199</v>
      </c>
      <c r="AJ30" s="134" t="s">
        <v>199</v>
      </c>
    </row>
    <row r="31" spans="1:36">
      <c r="C31" s="165"/>
      <c r="D31" s="95"/>
      <c r="E31" s="165"/>
      <c r="F31" s="95"/>
      <c r="G31" s="165"/>
      <c r="H31" s="95"/>
      <c r="I31" s="165"/>
      <c r="J31" s="95"/>
      <c r="K31" s="95"/>
      <c r="L31" s="95"/>
      <c r="M31" s="95"/>
      <c r="N31" s="95"/>
      <c r="O31" s="165"/>
      <c r="P31" s="148"/>
      <c r="Q31" s="148"/>
      <c r="R31" s="165"/>
      <c r="S31" s="95"/>
      <c r="T31" s="95"/>
      <c r="U31" s="95"/>
      <c r="V31" s="156"/>
      <c r="W31" s="124"/>
      <c r="X31" s="124"/>
      <c r="Y31" s="124"/>
      <c r="Z31" s="95"/>
      <c r="AA31" s="95"/>
      <c r="AB31" s="165"/>
      <c r="AC31" s="95"/>
      <c r="AD31" s="95"/>
      <c r="AE31" s="134"/>
      <c r="AF31" s="148"/>
      <c r="AG31" s="95"/>
      <c r="AH31" s="314"/>
      <c r="AI31" s="165"/>
      <c r="AJ31" s="95"/>
    </row>
    <row r="32" spans="1:36" ht="27" customHeight="1">
      <c r="A32" s="129" t="s">
        <v>202</v>
      </c>
      <c r="B32" s="86" t="s">
        <v>203</v>
      </c>
      <c r="C32" s="134"/>
      <c r="D32" s="95"/>
      <c r="E32" s="134"/>
      <c r="F32" s="95"/>
      <c r="G32" s="134"/>
      <c r="H32" s="95"/>
      <c r="I32" s="134"/>
      <c r="J32" s="95"/>
      <c r="K32" s="95"/>
      <c r="L32" s="95"/>
      <c r="M32" s="95"/>
      <c r="N32" s="95"/>
      <c r="O32" s="134"/>
      <c r="P32" s="148"/>
      <c r="Q32" s="148"/>
      <c r="R32" s="134"/>
      <c r="S32" s="95"/>
      <c r="T32" s="95"/>
      <c r="U32" s="95"/>
      <c r="V32" s="156"/>
      <c r="W32" s="124"/>
      <c r="X32" s="124"/>
      <c r="Y32" s="124"/>
      <c r="Z32" s="95"/>
      <c r="AA32" s="95"/>
      <c r="AB32" s="134"/>
      <c r="AC32" s="95"/>
      <c r="AD32" s="95"/>
      <c r="AE32" s="134"/>
      <c r="AF32" s="148"/>
      <c r="AG32" s="95"/>
      <c r="AH32" s="289"/>
      <c r="AI32" s="134"/>
      <c r="AJ32" s="95"/>
    </row>
    <row r="33" spans="1:36">
      <c r="A33" s="98" t="s">
        <v>204</v>
      </c>
      <c r="B33" s="141" t="s">
        <v>205</v>
      </c>
      <c r="C33" s="142" t="s">
        <v>72</v>
      </c>
      <c r="D33" s="142" t="s">
        <v>72</v>
      </c>
      <c r="E33" s="142" t="s">
        <v>72</v>
      </c>
      <c r="F33" s="142" t="s">
        <v>72</v>
      </c>
      <c r="G33" s="142" t="s">
        <v>72</v>
      </c>
      <c r="H33" s="142" t="s">
        <v>72</v>
      </c>
      <c r="I33" s="142" t="s">
        <v>72</v>
      </c>
      <c r="J33" s="142" t="s">
        <v>72</v>
      </c>
      <c r="K33" s="142" t="s">
        <v>72</v>
      </c>
      <c r="L33" s="142" t="s">
        <v>72</v>
      </c>
      <c r="M33" s="142" t="s">
        <v>72</v>
      </c>
      <c r="N33" s="142" t="s">
        <v>72</v>
      </c>
      <c r="O33" s="142" t="s">
        <v>72</v>
      </c>
      <c r="P33" s="148" t="s">
        <v>72</v>
      </c>
      <c r="Q33" s="158" t="s">
        <v>72</v>
      </c>
      <c r="R33" s="142" t="s">
        <v>72</v>
      </c>
      <c r="S33" s="142" t="s">
        <v>72</v>
      </c>
      <c r="T33" s="142" t="s">
        <v>72</v>
      </c>
      <c r="U33" s="142" t="s">
        <v>72</v>
      </c>
      <c r="V33" s="142" t="s">
        <v>72</v>
      </c>
      <c r="W33" s="177" t="s">
        <v>72</v>
      </c>
      <c r="X33" s="177" t="s">
        <v>72</v>
      </c>
      <c r="Y33" s="142" t="s">
        <v>72</v>
      </c>
      <c r="Z33" s="142" t="s">
        <v>72</v>
      </c>
      <c r="AA33" s="142" t="s">
        <v>72</v>
      </c>
      <c r="AB33" s="142" t="s">
        <v>72</v>
      </c>
      <c r="AC33" s="141" t="s">
        <v>72</v>
      </c>
      <c r="AD33" s="141" t="s">
        <v>72</v>
      </c>
      <c r="AE33" s="134" t="s">
        <v>72</v>
      </c>
      <c r="AF33" s="148" t="s">
        <v>72</v>
      </c>
      <c r="AG33" s="142" t="s">
        <v>72</v>
      </c>
      <c r="AH33" s="315" t="s">
        <v>72</v>
      </c>
      <c r="AI33" s="142" t="s">
        <v>72</v>
      </c>
      <c r="AJ33" s="142" t="s">
        <v>72</v>
      </c>
    </row>
    <row r="34" spans="1:36">
      <c r="A34" s="98" t="s">
        <v>206</v>
      </c>
      <c r="B34" s="141" t="s">
        <v>207</v>
      </c>
      <c r="C34" s="139" t="s">
        <v>208</v>
      </c>
      <c r="D34" s="139" t="s">
        <v>208</v>
      </c>
      <c r="E34" s="139" t="s">
        <v>208</v>
      </c>
      <c r="F34" s="139" t="s">
        <v>208</v>
      </c>
      <c r="G34" s="139" t="s">
        <v>208</v>
      </c>
      <c r="H34" s="142" t="s">
        <v>72</v>
      </c>
      <c r="I34" s="139" t="s">
        <v>208</v>
      </c>
      <c r="J34" s="139" t="s">
        <v>208</v>
      </c>
      <c r="K34" s="139" t="s">
        <v>208</v>
      </c>
      <c r="L34" s="139" t="s">
        <v>208</v>
      </c>
      <c r="M34" s="139" t="s">
        <v>208</v>
      </c>
      <c r="N34" s="139" t="s">
        <v>208</v>
      </c>
      <c r="O34" s="139" t="s">
        <v>208</v>
      </c>
      <c r="P34" s="148" t="s">
        <v>208</v>
      </c>
      <c r="Q34" s="166" t="s">
        <v>208</v>
      </c>
      <c r="R34" s="139" t="s">
        <v>208</v>
      </c>
      <c r="S34" s="139" t="s">
        <v>208</v>
      </c>
      <c r="T34" s="139" t="s">
        <v>208</v>
      </c>
      <c r="U34" s="139" t="s">
        <v>208</v>
      </c>
      <c r="V34" s="142" t="s">
        <v>72</v>
      </c>
      <c r="W34" s="102" t="s">
        <v>72</v>
      </c>
      <c r="X34" s="102" t="s">
        <v>72</v>
      </c>
      <c r="Y34" s="139" t="s">
        <v>208</v>
      </c>
      <c r="Z34" s="139" t="s">
        <v>208</v>
      </c>
      <c r="AA34" s="139" t="s">
        <v>208</v>
      </c>
      <c r="AB34" s="142" t="s">
        <v>72</v>
      </c>
      <c r="AC34" s="141" t="s">
        <v>336</v>
      </c>
      <c r="AD34" s="141" t="s">
        <v>336</v>
      </c>
      <c r="AE34" s="134" t="s">
        <v>209</v>
      </c>
      <c r="AF34" s="148" t="s">
        <v>208</v>
      </c>
      <c r="AG34" s="142" t="s">
        <v>72</v>
      </c>
      <c r="AH34" s="313" t="s">
        <v>208</v>
      </c>
      <c r="AI34" s="139" t="s">
        <v>208</v>
      </c>
      <c r="AJ34" s="139" t="s">
        <v>208</v>
      </c>
    </row>
    <row r="35" spans="1:36">
      <c r="A35" s="98" t="s">
        <v>210</v>
      </c>
      <c r="B35" s="143"/>
      <c r="C35" s="141">
        <v>1</v>
      </c>
      <c r="D35" s="141">
        <v>1</v>
      </c>
      <c r="E35" s="141">
        <v>1</v>
      </c>
      <c r="F35" s="141">
        <v>1</v>
      </c>
      <c r="G35" s="141">
        <v>1</v>
      </c>
      <c r="H35" s="156">
        <v>1</v>
      </c>
      <c r="I35" s="141">
        <v>1</v>
      </c>
      <c r="J35" s="141">
        <v>1</v>
      </c>
      <c r="K35" s="141">
        <v>1</v>
      </c>
      <c r="L35" s="141">
        <v>1</v>
      </c>
      <c r="M35" s="156">
        <v>0</v>
      </c>
      <c r="N35" s="156">
        <v>0</v>
      </c>
      <c r="O35" s="141">
        <v>1</v>
      </c>
      <c r="P35" s="157">
        <v>1</v>
      </c>
      <c r="Q35" s="158">
        <v>1</v>
      </c>
      <c r="R35" s="141">
        <v>1</v>
      </c>
      <c r="S35" s="141">
        <v>1</v>
      </c>
      <c r="T35" s="141">
        <v>1</v>
      </c>
      <c r="U35" s="141">
        <v>1</v>
      </c>
      <c r="V35" s="158">
        <v>1</v>
      </c>
      <c r="W35" s="102">
        <v>1</v>
      </c>
      <c r="X35" s="102">
        <v>1</v>
      </c>
      <c r="Y35" s="220">
        <v>1</v>
      </c>
      <c r="Z35" s="220">
        <v>1</v>
      </c>
      <c r="AA35" s="220">
        <v>1</v>
      </c>
      <c r="AB35" s="141">
        <v>1</v>
      </c>
      <c r="AC35" s="141"/>
      <c r="AD35" s="141"/>
      <c r="AE35" s="134"/>
      <c r="AF35" s="157">
        <v>0</v>
      </c>
      <c r="AG35" s="347">
        <v>1</v>
      </c>
      <c r="AH35" s="316">
        <v>1</v>
      </c>
      <c r="AI35" s="346">
        <v>0</v>
      </c>
      <c r="AJ35" s="346">
        <v>0</v>
      </c>
    </row>
    <row r="36" spans="1:36" ht="14.25" customHeight="1">
      <c r="A36" s="389" t="s">
        <v>211</v>
      </c>
      <c r="B36" s="372" t="s">
        <v>212</v>
      </c>
      <c r="C36" s="390" t="s">
        <v>72</v>
      </c>
      <c r="D36" s="390" t="s">
        <v>72</v>
      </c>
      <c r="E36" s="390" t="s">
        <v>72</v>
      </c>
      <c r="F36" s="390" t="s">
        <v>72</v>
      </c>
      <c r="G36" s="390" t="s">
        <v>72</v>
      </c>
      <c r="H36" s="141" t="s">
        <v>72</v>
      </c>
      <c r="I36" s="390" t="s">
        <v>72</v>
      </c>
      <c r="J36" s="390" t="s">
        <v>72</v>
      </c>
      <c r="K36" s="390" t="s">
        <v>72</v>
      </c>
      <c r="L36" s="390" t="s">
        <v>72</v>
      </c>
      <c r="M36" s="390" t="s">
        <v>72</v>
      </c>
      <c r="N36" s="390" t="s">
        <v>72</v>
      </c>
      <c r="O36" s="390" t="s">
        <v>72</v>
      </c>
      <c r="P36" s="381" t="s">
        <v>72</v>
      </c>
      <c r="Q36" s="158" t="s">
        <v>72</v>
      </c>
      <c r="R36" s="390" t="s">
        <v>72</v>
      </c>
      <c r="S36" s="390" t="s">
        <v>72</v>
      </c>
      <c r="T36" s="390" t="s">
        <v>72</v>
      </c>
      <c r="U36" s="390" t="s">
        <v>72</v>
      </c>
      <c r="V36" s="141" t="s">
        <v>72</v>
      </c>
      <c r="W36" s="102" t="s">
        <v>72</v>
      </c>
      <c r="X36" s="234" t="s">
        <v>72</v>
      </c>
      <c r="Y36" s="260"/>
      <c r="Z36" s="261"/>
      <c r="AA36" s="262"/>
      <c r="AB36" s="390" t="s">
        <v>72</v>
      </c>
      <c r="AC36" s="372" t="s">
        <v>72</v>
      </c>
      <c r="AD36" s="372" t="s">
        <v>72</v>
      </c>
      <c r="AE36" s="220"/>
      <c r="AF36" s="381" t="s">
        <v>72</v>
      </c>
      <c r="AG36" s="390" t="s">
        <v>72</v>
      </c>
      <c r="AH36" s="316" t="s">
        <v>72</v>
      </c>
      <c r="AI36" s="390" t="s">
        <v>72</v>
      </c>
      <c r="AJ36" s="390" t="s">
        <v>72</v>
      </c>
    </row>
    <row r="37" spans="1:36">
      <c r="A37" s="389"/>
      <c r="B37" s="373"/>
      <c r="C37" s="390"/>
      <c r="D37" s="390"/>
      <c r="E37" s="390"/>
      <c r="F37" s="390"/>
      <c r="G37" s="390"/>
      <c r="H37" s="141" t="s">
        <v>72</v>
      </c>
      <c r="I37" s="390"/>
      <c r="J37" s="390"/>
      <c r="K37" s="390"/>
      <c r="L37" s="390"/>
      <c r="M37" s="390"/>
      <c r="N37" s="390"/>
      <c r="O37" s="390"/>
      <c r="P37" s="382"/>
      <c r="Q37" s="158"/>
      <c r="R37" s="390"/>
      <c r="S37" s="390"/>
      <c r="T37" s="390"/>
      <c r="U37" s="390"/>
      <c r="V37" s="141" t="s">
        <v>72</v>
      </c>
      <c r="W37" s="184" t="s">
        <v>72</v>
      </c>
      <c r="X37" s="184" t="s">
        <v>72</v>
      </c>
      <c r="Y37" s="221" t="s">
        <v>72</v>
      </c>
      <c r="Z37" s="221" t="s">
        <v>72</v>
      </c>
      <c r="AA37" s="256" t="s">
        <v>72</v>
      </c>
      <c r="AB37" s="390"/>
      <c r="AC37" s="373"/>
      <c r="AD37" s="373"/>
      <c r="AE37" s="221" t="s">
        <v>72</v>
      </c>
      <c r="AF37" s="382"/>
      <c r="AG37" s="390"/>
      <c r="AH37" s="316"/>
      <c r="AI37" s="390"/>
      <c r="AJ37" s="390"/>
    </row>
    <row r="38" spans="1:36">
      <c r="A38" s="98" t="s">
        <v>213</v>
      </c>
      <c r="B38" s="142" t="s">
        <v>214</v>
      </c>
      <c r="C38" s="141" t="s">
        <v>72</v>
      </c>
      <c r="D38" s="141" t="s">
        <v>72</v>
      </c>
      <c r="E38" s="141" t="s">
        <v>72</v>
      </c>
      <c r="F38" s="141" t="s">
        <v>72</v>
      </c>
      <c r="G38" s="141" t="s">
        <v>72</v>
      </c>
      <c r="H38" s="141" t="s">
        <v>216</v>
      </c>
      <c r="I38" s="141" t="s">
        <v>72</v>
      </c>
      <c r="J38" s="141" t="s">
        <v>72</v>
      </c>
      <c r="K38" s="141" t="s">
        <v>72</v>
      </c>
      <c r="L38" s="141" t="s">
        <v>72</v>
      </c>
      <c r="M38" s="282" t="s">
        <v>72</v>
      </c>
      <c r="N38" s="141" t="s">
        <v>72</v>
      </c>
      <c r="O38" s="141" t="s">
        <v>72</v>
      </c>
      <c r="P38" s="148" t="s">
        <v>72</v>
      </c>
      <c r="Q38" s="158" t="s">
        <v>72</v>
      </c>
      <c r="R38" s="141" t="s">
        <v>72</v>
      </c>
      <c r="S38" s="141" t="s">
        <v>72</v>
      </c>
      <c r="T38" s="141" t="s">
        <v>72</v>
      </c>
      <c r="U38" s="141" t="s">
        <v>72</v>
      </c>
      <c r="V38" s="141" t="s">
        <v>216</v>
      </c>
      <c r="W38" s="102" t="s">
        <v>216</v>
      </c>
      <c r="X38" s="102" t="s">
        <v>216</v>
      </c>
      <c r="Y38" s="222" t="s">
        <v>72</v>
      </c>
      <c r="Z38" s="222" t="s">
        <v>72</v>
      </c>
      <c r="AA38" s="222" t="s">
        <v>72</v>
      </c>
      <c r="AB38" s="141" t="s">
        <v>72</v>
      </c>
      <c r="AC38" s="141" t="s">
        <v>72</v>
      </c>
      <c r="AD38" s="141" t="s">
        <v>72</v>
      </c>
      <c r="AE38" s="134" t="s">
        <v>72</v>
      </c>
      <c r="AF38" s="148" t="s">
        <v>72</v>
      </c>
      <c r="AG38" s="347" t="s">
        <v>72</v>
      </c>
      <c r="AH38" s="316" t="s">
        <v>72</v>
      </c>
      <c r="AI38" s="158" t="s">
        <v>912</v>
      </c>
      <c r="AJ38" s="158" t="s">
        <v>912</v>
      </c>
    </row>
    <row r="39" spans="1:36" ht="34.200000000000003">
      <c r="A39" s="98" t="s">
        <v>215</v>
      </c>
      <c r="B39" s="141" t="s">
        <v>216</v>
      </c>
      <c r="C39" s="141" t="s">
        <v>216</v>
      </c>
      <c r="D39" s="141" t="s">
        <v>216</v>
      </c>
      <c r="E39" s="141" t="s">
        <v>216</v>
      </c>
      <c r="F39" s="141" t="s">
        <v>216</v>
      </c>
      <c r="G39" s="141" t="s">
        <v>216</v>
      </c>
      <c r="H39" s="141" t="s">
        <v>216</v>
      </c>
      <c r="I39" s="141" t="s">
        <v>216</v>
      </c>
      <c r="J39" s="141" t="s">
        <v>216</v>
      </c>
      <c r="K39" s="141" t="s">
        <v>216</v>
      </c>
      <c r="L39" s="141" t="s">
        <v>216</v>
      </c>
      <c r="M39" s="282" t="s">
        <v>216</v>
      </c>
      <c r="N39" s="141" t="s">
        <v>216</v>
      </c>
      <c r="O39" s="141" t="s">
        <v>216</v>
      </c>
      <c r="P39" s="182" t="s">
        <v>216</v>
      </c>
      <c r="Q39" s="158" t="s">
        <v>216</v>
      </c>
      <c r="R39" s="141" t="s">
        <v>216</v>
      </c>
      <c r="S39" s="141" t="s">
        <v>216</v>
      </c>
      <c r="T39" s="141" t="s">
        <v>216</v>
      </c>
      <c r="U39" s="141" t="s">
        <v>216</v>
      </c>
      <c r="V39" s="141" t="s">
        <v>216</v>
      </c>
      <c r="W39" s="102" t="s">
        <v>216</v>
      </c>
      <c r="X39" s="102" t="s">
        <v>216</v>
      </c>
      <c r="Y39" s="222" t="s">
        <v>216</v>
      </c>
      <c r="Z39" s="222" t="s">
        <v>216</v>
      </c>
      <c r="AA39" s="222" t="s">
        <v>216</v>
      </c>
      <c r="AB39" s="141" t="s">
        <v>216</v>
      </c>
      <c r="AC39" s="141" t="s">
        <v>216</v>
      </c>
      <c r="AD39" s="141" t="s">
        <v>216</v>
      </c>
      <c r="AE39" s="134"/>
      <c r="AF39" s="182" t="s">
        <v>216</v>
      </c>
      <c r="AG39" s="347" t="s">
        <v>216</v>
      </c>
      <c r="AH39" s="316" t="s">
        <v>216</v>
      </c>
      <c r="AI39" s="346" t="s">
        <v>216</v>
      </c>
      <c r="AJ39" s="346" t="s">
        <v>216</v>
      </c>
    </row>
    <row r="40" spans="1:36" ht="34.200000000000003">
      <c r="A40" s="98" t="s">
        <v>217</v>
      </c>
      <c r="B40" s="141" t="s">
        <v>216</v>
      </c>
      <c r="C40" s="141" t="s">
        <v>216</v>
      </c>
      <c r="D40" s="141" t="s">
        <v>216</v>
      </c>
      <c r="E40" s="141" t="s">
        <v>216</v>
      </c>
      <c r="F40" s="141" t="s">
        <v>216</v>
      </c>
      <c r="G40" s="141" t="s">
        <v>216</v>
      </c>
      <c r="H40" s="141" t="s">
        <v>72</v>
      </c>
      <c r="I40" s="141" t="s">
        <v>216</v>
      </c>
      <c r="J40" s="141" t="s">
        <v>216</v>
      </c>
      <c r="K40" s="141" t="s">
        <v>216</v>
      </c>
      <c r="L40" s="141" t="s">
        <v>216</v>
      </c>
      <c r="M40" s="282" t="s">
        <v>216</v>
      </c>
      <c r="N40" s="141" t="s">
        <v>216</v>
      </c>
      <c r="O40" s="141" t="s">
        <v>216</v>
      </c>
      <c r="P40" s="182" t="s">
        <v>216</v>
      </c>
      <c r="Q40" s="158" t="s">
        <v>216</v>
      </c>
      <c r="R40" s="141" t="s">
        <v>216</v>
      </c>
      <c r="S40" s="141" t="s">
        <v>216</v>
      </c>
      <c r="T40" s="141" t="s">
        <v>216</v>
      </c>
      <c r="U40" s="141" t="s">
        <v>216</v>
      </c>
      <c r="V40" s="141" t="s">
        <v>72</v>
      </c>
      <c r="W40" s="102" t="s">
        <v>72</v>
      </c>
      <c r="X40" s="102" t="s">
        <v>72</v>
      </c>
      <c r="Y40" s="222" t="s">
        <v>216</v>
      </c>
      <c r="Z40" s="222" t="s">
        <v>216</v>
      </c>
      <c r="AA40" s="222" t="s">
        <v>216</v>
      </c>
      <c r="AB40" s="141" t="s">
        <v>216</v>
      </c>
      <c r="AC40" s="141" t="s">
        <v>216</v>
      </c>
      <c r="AD40" s="141" t="s">
        <v>216</v>
      </c>
      <c r="AE40" s="134"/>
      <c r="AF40" s="182" t="s">
        <v>216</v>
      </c>
      <c r="AG40" s="347" t="s">
        <v>216</v>
      </c>
      <c r="AH40" s="316" t="s">
        <v>216</v>
      </c>
      <c r="AI40" s="346" t="s">
        <v>216</v>
      </c>
      <c r="AJ40" s="346" t="s">
        <v>216</v>
      </c>
    </row>
    <row r="41" spans="1:36" ht="22.8">
      <c r="A41" s="98" t="s">
        <v>218</v>
      </c>
      <c r="B41" s="141" t="s">
        <v>219</v>
      </c>
      <c r="C41" s="141" t="s">
        <v>72</v>
      </c>
      <c r="D41" s="141" t="s">
        <v>72</v>
      </c>
      <c r="E41" s="141" t="s">
        <v>72</v>
      </c>
      <c r="F41" s="141" t="s">
        <v>72</v>
      </c>
      <c r="G41" s="141" t="s">
        <v>72</v>
      </c>
      <c r="H41" s="141" t="s">
        <v>72</v>
      </c>
      <c r="I41" s="141" t="s">
        <v>72</v>
      </c>
      <c r="J41" s="141" t="s">
        <v>72</v>
      </c>
      <c r="K41" s="141" t="s">
        <v>72</v>
      </c>
      <c r="L41" s="141" t="s">
        <v>72</v>
      </c>
      <c r="M41" s="282" t="s">
        <v>72</v>
      </c>
      <c r="N41" s="141" t="s">
        <v>72</v>
      </c>
      <c r="O41" s="141" t="s">
        <v>72</v>
      </c>
      <c r="P41" s="182" t="s">
        <v>72</v>
      </c>
      <c r="Q41" s="158" t="s">
        <v>72</v>
      </c>
      <c r="R41" s="141" t="s">
        <v>72</v>
      </c>
      <c r="S41" s="141" t="s">
        <v>72</v>
      </c>
      <c r="T41" s="141" t="s">
        <v>72</v>
      </c>
      <c r="U41" s="141" t="s">
        <v>72</v>
      </c>
      <c r="V41" s="141" t="s">
        <v>216</v>
      </c>
      <c r="W41" s="102" t="s">
        <v>216</v>
      </c>
      <c r="X41" s="102" t="s">
        <v>216</v>
      </c>
      <c r="Y41" s="222" t="s">
        <v>72</v>
      </c>
      <c r="Z41" s="222" t="s">
        <v>72</v>
      </c>
      <c r="AA41" s="222" t="s">
        <v>72</v>
      </c>
      <c r="AB41" s="141" t="s">
        <v>72</v>
      </c>
      <c r="AC41" s="141" t="s">
        <v>72</v>
      </c>
      <c r="AD41" s="141" t="s">
        <v>72</v>
      </c>
      <c r="AE41" s="252" t="s">
        <v>747</v>
      </c>
      <c r="AF41" s="182" t="s">
        <v>72</v>
      </c>
      <c r="AG41" s="347" t="s">
        <v>72</v>
      </c>
      <c r="AH41" s="316" t="s">
        <v>72</v>
      </c>
      <c r="AI41" s="346" t="s">
        <v>72</v>
      </c>
      <c r="AJ41" s="346" t="s">
        <v>72</v>
      </c>
    </row>
    <row r="42" spans="1:36" ht="22.8">
      <c r="A42" s="98" t="s">
        <v>220</v>
      </c>
      <c r="B42" s="141" t="s">
        <v>216</v>
      </c>
      <c r="C42" s="141" t="s">
        <v>216</v>
      </c>
      <c r="D42" s="141" t="s">
        <v>216</v>
      </c>
      <c r="E42" s="141" t="s">
        <v>216</v>
      </c>
      <c r="F42" s="141" t="s">
        <v>216</v>
      </c>
      <c r="G42" s="141" t="s">
        <v>216</v>
      </c>
      <c r="H42" s="141" t="s">
        <v>216</v>
      </c>
      <c r="I42" s="141" t="s">
        <v>216</v>
      </c>
      <c r="J42" s="141" t="s">
        <v>216</v>
      </c>
      <c r="K42" s="141" t="s">
        <v>216</v>
      </c>
      <c r="L42" s="141" t="s">
        <v>216</v>
      </c>
      <c r="M42" s="282" t="s">
        <v>216</v>
      </c>
      <c r="N42" s="141" t="s">
        <v>216</v>
      </c>
      <c r="O42" s="141" t="s">
        <v>216</v>
      </c>
      <c r="P42" s="182" t="s">
        <v>216</v>
      </c>
      <c r="Q42" s="158" t="s">
        <v>216</v>
      </c>
      <c r="R42" s="141" t="s">
        <v>216</v>
      </c>
      <c r="S42" s="141" t="s">
        <v>216</v>
      </c>
      <c r="T42" s="141" t="s">
        <v>216</v>
      </c>
      <c r="U42" s="141" t="s">
        <v>216</v>
      </c>
      <c r="V42" s="141" t="s">
        <v>216</v>
      </c>
      <c r="W42" s="102" t="s">
        <v>216</v>
      </c>
      <c r="X42" s="102" t="s">
        <v>216</v>
      </c>
      <c r="Y42" s="222" t="s">
        <v>216</v>
      </c>
      <c r="Z42" s="222" t="s">
        <v>216</v>
      </c>
      <c r="AA42" s="222" t="s">
        <v>216</v>
      </c>
      <c r="AB42" s="141" t="s">
        <v>216</v>
      </c>
      <c r="AC42" s="141" t="s">
        <v>216</v>
      </c>
      <c r="AD42" s="141" t="s">
        <v>216</v>
      </c>
      <c r="AE42" s="134"/>
      <c r="AF42" s="182" t="s">
        <v>216</v>
      </c>
      <c r="AG42" s="347" t="s">
        <v>216</v>
      </c>
      <c r="AH42" s="316" t="s">
        <v>216</v>
      </c>
      <c r="AI42" s="346" t="s">
        <v>216</v>
      </c>
      <c r="AJ42" s="346" t="s">
        <v>216</v>
      </c>
    </row>
    <row r="43" spans="1:36" ht="22.8">
      <c r="A43" s="98" t="s">
        <v>221</v>
      </c>
      <c r="B43" s="141" t="s">
        <v>216</v>
      </c>
      <c r="C43" s="141" t="s">
        <v>216</v>
      </c>
      <c r="D43" s="141" t="s">
        <v>216</v>
      </c>
      <c r="E43" s="141" t="s">
        <v>216</v>
      </c>
      <c r="F43" s="141" t="s">
        <v>216</v>
      </c>
      <c r="G43" s="141" t="s">
        <v>216</v>
      </c>
      <c r="H43" s="141" t="s">
        <v>216</v>
      </c>
      <c r="I43" s="141" t="s">
        <v>216</v>
      </c>
      <c r="J43" s="141" t="s">
        <v>216</v>
      </c>
      <c r="K43" s="141" t="s">
        <v>216</v>
      </c>
      <c r="L43" s="141" t="s">
        <v>216</v>
      </c>
      <c r="M43" s="282" t="s">
        <v>216</v>
      </c>
      <c r="N43" s="141" t="s">
        <v>216</v>
      </c>
      <c r="O43" s="141" t="s">
        <v>216</v>
      </c>
      <c r="P43" s="182" t="s">
        <v>216</v>
      </c>
      <c r="Q43" s="158" t="s">
        <v>216</v>
      </c>
      <c r="R43" s="141" t="s">
        <v>216</v>
      </c>
      <c r="S43" s="141" t="s">
        <v>216</v>
      </c>
      <c r="T43" s="141" t="s">
        <v>216</v>
      </c>
      <c r="U43" s="141" t="s">
        <v>216</v>
      </c>
      <c r="V43" s="222" t="s">
        <v>216</v>
      </c>
      <c r="W43" s="222" t="s">
        <v>216</v>
      </c>
      <c r="X43" s="222" t="s">
        <v>216</v>
      </c>
      <c r="Y43" s="222" t="s">
        <v>216</v>
      </c>
      <c r="Z43" s="222" t="s">
        <v>216</v>
      </c>
      <c r="AA43" s="222" t="s">
        <v>216</v>
      </c>
      <c r="AB43" s="141" t="s">
        <v>216</v>
      </c>
      <c r="AC43" s="141" t="s">
        <v>216</v>
      </c>
      <c r="AD43" s="141" t="s">
        <v>216</v>
      </c>
      <c r="AE43" s="134"/>
      <c r="AF43" s="182" t="s">
        <v>216</v>
      </c>
      <c r="AG43" s="347" t="s">
        <v>216</v>
      </c>
      <c r="AH43" s="316" t="s">
        <v>216</v>
      </c>
      <c r="AI43" s="346" t="s">
        <v>216</v>
      </c>
      <c r="AJ43" s="346" t="s">
        <v>216</v>
      </c>
    </row>
    <row r="44" spans="1:36">
      <c r="A44" s="127" t="s">
        <v>222</v>
      </c>
      <c r="D44" s="145"/>
      <c r="J44" s="145"/>
      <c r="S44" s="145"/>
      <c r="AG44" s="145"/>
    </row>
  </sheetData>
  <customSheetViews>
    <customSheetView guid="{67590F70-5005-492E-AD47-1C13C49F2D83}" scale="85">
      <pane xSplit="2" ySplit="3" topLeftCell="S4" activePane="bottomRight" state="frozen"/>
      <selection pane="bottomRight" activeCell="Y20" sqref="Y2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cale="85">
      <pane xSplit="2" ySplit="3" topLeftCell="S4" activePane="bottomRight" state="frozen"/>
      <selection pane="bottomRight" activeCell="Y20" sqref="Y2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85">
      <pane xSplit="2" ySplit="3" topLeftCell="S4" activePane="bottomRight" state="frozen"/>
      <selection pane="bottomRight" activeCell="Y20" sqref="Y2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scale="85">
      <pane xSplit="2" ySplit="3" topLeftCell="V25" activePane="bottomRight" state="frozen"/>
      <selection pane="bottomRight" activeCell="W34" sqref="W34"/>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85">
      <pane xSplit="2" ySplit="3" topLeftCell="V7" activePane="bottomRight" state="frozen"/>
      <selection pane="bottomRight" activeCell="Y22" sqref="Y22"/>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37">
    <mergeCell ref="AI2:AJ2"/>
    <mergeCell ref="AI36:AI37"/>
    <mergeCell ref="AJ36:AJ37"/>
    <mergeCell ref="W2:X2"/>
    <mergeCell ref="AC2:AD2"/>
    <mergeCell ref="R2:S2"/>
    <mergeCell ref="T2:U2"/>
    <mergeCell ref="AF36:AF37"/>
    <mergeCell ref="R36:R37"/>
    <mergeCell ref="S36:S37"/>
    <mergeCell ref="T36:T37"/>
    <mergeCell ref="U36:U37"/>
    <mergeCell ref="AB36:AB37"/>
    <mergeCell ref="AC36:AC37"/>
    <mergeCell ref="AD36:AD37"/>
    <mergeCell ref="AF2:AG2"/>
    <mergeCell ref="AG36:AG37"/>
    <mergeCell ref="A36:A37"/>
    <mergeCell ref="B36:B37"/>
    <mergeCell ref="C36:C37"/>
    <mergeCell ref="D36:D37"/>
    <mergeCell ref="E36:E37"/>
    <mergeCell ref="L36:L37"/>
    <mergeCell ref="N36:N37"/>
    <mergeCell ref="O36:O37"/>
    <mergeCell ref="P36:P37"/>
    <mergeCell ref="C2:D2"/>
    <mergeCell ref="E2:F2"/>
    <mergeCell ref="I2:L2"/>
    <mergeCell ref="F36:F37"/>
    <mergeCell ref="G36:G37"/>
    <mergeCell ref="I36:I37"/>
    <mergeCell ref="J36:J37"/>
    <mergeCell ref="K36:K37"/>
    <mergeCell ref="M36:M37"/>
    <mergeCell ref="M2:N2"/>
    <mergeCell ref="P2:Q2"/>
  </mergeCells>
  <phoneticPr fontId="9"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43"/>
  <sheetViews>
    <sheetView zoomScale="85" zoomScaleNormal="85" workbookViewId="0">
      <pane xSplit="2" ySplit="3" topLeftCell="L21" activePane="bottomRight" state="frozen"/>
      <selection pane="topRight" activeCell="C1" sqref="C1"/>
      <selection pane="bottomLeft" activeCell="A4" sqref="A4"/>
      <selection pane="bottomRight" activeCell="M33" sqref="M33:M34"/>
    </sheetView>
  </sheetViews>
  <sheetFormatPr defaultColWidth="9.44140625" defaultRowHeight="15.6"/>
  <cols>
    <col min="1" max="1" width="29.44140625" style="81" customWidth="1"/>
    <col min="2" max="2" width="40.5546875" style="81" customWidth="1"/>
    <col min="3" max="3" width="31.44140625" style="128" customWidth="1"/>
    <col min="4" max="13" width="31.44140625" style="82" customWidth="1"/>
    <col min="14" max="14" width="35.5546875" style="82" customWidth="1"/>
    <col min="15" max="23" width="31.44140625" style="82" customWidth="1"/>
    <col min="24" max="16384" width="9.44140625" style="81"/>
  </cols>
  <sheetData>
    <row r="1" spans="1:23">
      <c r="A1" s="129" t="s">
        <v>61</v>
      </c>
      <c r="B1" s="82"/>
    </row>
    <row r="2" spans="1:23">
      <c r="A2" s="129" t="s">
        <v>62</v>
      </c>
      <c r="B2" s="86" t="s">
        <v>63</v>
      </c>
      <c r="C2" s="376" t="s">
        <v>5</v>
      </c>
      <c r="D2" s="378"/>
      <c r="E2" s="376" t="s">
        <v>64</v>
      </c>
      <c r="F2" s="378"/>
      <c r="G2" s="88" t="s">
        <v>21</v>
      </c>
      <c r="H2" s="379" t="s">
        <v>20</v>
      </c>
      <c r="I2" s="380"/>
      <c r="J2" s="109" t="s">
        <v>23</v>
      </c>
      <c r="K2" s="87" t="s">
        <v>25</v>
      </c>
      <c r="L2" s="87" t="s">
        <v>32</v>
      </c>
      <c r="M2" s="88" t="s">
        <v>38</v>
      </c>
      <c r="N2" s="88" t="s">
        <v>40</v>
      </c>
      <c r="O2" s="87" t="s">
        <v>65</v>
      </c>
      <c r="P2" s="88" t="s">
        <v>709</v>
      </c>
      <c r="Q2" s="231" t="s">
        <v>846</v>
      </c>
      <c r="R2" s="387" t="s">
        <v>15</v>
      </c>
      <c r="S2" s="388"/>
      <c r="T2" s="109"/>
      <c r="U2" s="109"/>
      <c r="V2" s="109"/>
      <c r="W2" s="109"/>
    </row>
    <row r="3" spans="1:23">
      <c r="A3" s="129"/>
      <c r="B3" s="86"/>
      <c r="C3" s="131" t="s">
        <v>66</v>
      </c>
      <c r="D3" s="132" t="s">
        <v>67</v>
      </c>
      <c r="E3" s="131" t="s">
        <v>66</v>
      </c>
      <c r="F3" s="132" t="s">
        <v>67</v>
      </c>
      <c r="G3" s="146" t="s">
        <v>66</v>
      </c>
      <c r="H3" s="146" t="s">
        <v>66</v>
      </c>
      <c r="I3" s="146" t="s">
        <v>819</v>
      </c>
      <c r="J3" s="131" t="s">
        <v>66</v>
      </c>
      <c r="K3" s="131" t="s">
        <v>66</v>
      </c>
      <c r="L3" s="146" t="s">
        <v>67</v>
      </c>
      <c r="M3" s="147" t="s">
        <v>66</v>
      </c>
      <c r="N3" s="169" t="s">
        <v>67</v>
      </c>
      <c r="O3" s="146" t="s">
        <v>66</v>
      </c>
      <c r="P3" s="169" t="s">
        <v>67</v>
      </c>
      <c r="Q3" s="231" t="s">
        <v>66</v>
      </c>
      <c r="R3" s="131" t="s">
        <v>66</v>
      </c>
      <c r="S3" s="132" t="s">
        <v>67</v>
      </c>
      <c r="T3" s="109"/>
      <c r="U3" s="109"/>
      <c r="V3" s="109"/>
      <c r="W3" s="109"/>
    </row>
    <row r="4" spans="1:23">
      <c r="A4" s="95" t="s">
        <v>70</v>
      </c>
      <c r="B4" s="133" t="s">
        <v>71</v>
      </c>
      <c r="C4" s="134" t="s">
        <v>72</v>
      </c>
      <c r="D4" s="134" t="s">
        <v>72</v>
      </c>
      <c r="E4" s="134" t="s">
        <v>72</v>
      </c>
      <c r="F4" s="134" t="s">
        <v>72</v>
      </c>
      <c r="G4" s="134" t="s">
        <v>72</v>
      </c>
      <c r="H4" s="134" t="s">
        <v>72</v>
      </c>
      <c r="I4" s="134" t="s">
        <v>72</v>
      </c>
      <c r="J4" s="134" t="s">
        <v>72</v>
      </c>
      <c r="K4" s="148" t="s">
        <v>72</v>
      </c>
      <c r="L4" s="148" t="s">
        <v>72</v>
      </c>
      <c r="M4" s="148" t="s">
        <v>72</v>
      </c>
      <c r="N4" s="148" t="s">
        <v>72</v>
      </c>
      <c r="O4" s="148" t="s">
        <v>72</v>
      </c>
      <c r="P4" s="134" t="s">
        <v>72</v>
      </c>
      <c r="Q4" s="289" t="s">
        <v>72</v>
      </c>
      <c r="R4" s="134" t="s">
        <v>72</v>
      </c>
      <c r="S4" s="134" t="s">
        <v>72</v>
      </c>
      <c r="T4" s="95"/>
      <c r="U4" s="95"/>
      <c r="V4" s="95"/>
      <c r="W4" s="95"/>
    </row>
    <row r="5" spans="1:23">
      <c r="A5" s="117" t="s">
        <v>73</v>
      </c>
      <c r="B5" s="133"/>
      <c r="C5" s="134" t="s">
        <v>74</v>
      </c>
      <c r="D5" s="95" t="s">
        <v>75</v>
      </c>
      <c r="E5" s="134" t="s">
        <v>74</v>
      </c>
      <c r="F5" s="95" t="s">
        <v>75</v>
      </c>
      <c r="G5" s="134" t="s">
        <v>74</v>
      </c>
      <c r="H5" s="134" t="s">
        <v>74</v>
      </c>
      <c r="I5" s="289" t="s">
        <v>820</v>
      </c>
      <c r="J5" s="134" t="s">
        <v>74</v>
      </c>
      <c r="K5" s="148" t="s">
        <v>74</v>
      </c>
      <c r="L5" s="148" t="s">
        <v>75</v>
      </c>
      <c r="M5" s="148" t="s">
        <v>74</v>
      </c>
      <c r="N5" s="95" t="s">
        <v>75</v>
      </c>
      <c r="O5" s="148" t="s">
        <v>74</v>
      </c>
      <c r="P5" s="95" t="s">
        <v>75</v>
      </c>
      <c r="Q5" s="289" t="s">
        <v>74</v>
      </c>
      <c r="R5" s="134" t="s">
        <v>74</v>
      </c>
      <c r="S5" s="95" t="s">
        <v>75</v>
      </c>
      <c r="T5" s="95"/>
      <c r="U5" s="95"/>
      <c r="V5" s="95"/>
      <c r="W5" s="95"/>
    </row>
    <row r="6" spans="1:23">
      <c r="A6" s="117" t="s">
        <v>76</v>
      </c>
      <c r="B6" s="133" t="s">
        <v>289</v>
      </c>
      <c r="C6" s="134" t="s">
        <v>72</v>
      </c>
      <c r="D6" s="134" t="s">
        <v>72</v>
      </c>
      <c r="E6" s="134" t="s">
        <v>72</v>
      </c>
      <c r="F6" s="134" t="s">
        <v>72</v>
      </c>
      <c r="G6" s="134" t="s">
        <v>72</v>
      </c>
      <c r="H6" s="134" t="s">
        <v>72</v>
      </c>
      <c r="I6" s="134" t="s">
        <v>72</v>
      </c>
      <c r="J6" s="134" t="s">
        <v>72</v>
      </c>
      <c r="K6" s="148" t="s">
        <v>72</v>
      </c>
      <c r="L6" s="148" t="s">
        <v>72</v>
      </c>
      <c r="M6" s="148" t="s">
        <v>72</v>
      </c>
      <c r="N6" s="148" t="s">
        <v>72</v>
      </c>
      <c r="O6" s="148" t="s">
        <v>72</v>
      </c>
      <c r="P6" s="134" t="s">
        <v>72</v>
      </c>
      <c r="Q6" s="289" t="s">
        <v>72</v>
      </c>
      <c r="R6" s="134" t="s">
        <v>72</v>
      </c>
      <c r="S6" s="134" t="s">
        <v>72</v>
      </c>
      <c r="T6" s="95"/>
      <c r="U6" s="95"/>
      <c r="V6" s="95"/>
      <c r="W6" s="95"/>
    </row>
    <row r="7" spans="1:23">
      <c r="A7" s="117" t="s">
        <v>77</v>
      </c>
      <c r="B7" s="133" t="s">
        <v>224</v>
      </c>
      <c r="C7" s="134" t="s">
        <v>72</v>
      </c>
      <c r="D7" s="134" t="s">
        <v>72</v>
      </c>
      <c r="E7" s="134" t="s">
        <v>72</v>
      </c>
      <c r="F7" s="134" t="s">
        <v>72</v>
      </c>
      <c r="G7" s="134" t="s">
        <v>72</v>
      </c>
      <c r="H7" s="134" t="s">
        <v>72</v>
      </c>
      <c r="I7" s="134" t="s">
        <v>72</v>
      </c>
      <c r="J7" s="134" t="s">
        <v>72</v>
      </c>
      <c r="K7" s="148" t="s">
        <v>72</v>
      </c>
      <c r="L7" s="148" t="s">
        <v>72</v>
      </c>
      <c r="M7" s="148" t="s">
        <v>72</v>
      </c>
      <c r="N7" s="148" t="s">
        <v>72</v>
      </c>
      <c r="O7" s="148" t="s">
        <v>72</v>
      </c>
      <c r="P7" s="134" t="s">
        <v>72</v>
      </c>
      <c r="Q7" s="289" t="s">
        <v>72</v>
      </c>
      <c r="R7" s="134" t="s">
        <v>72</v>
      </c>
      <c r="S7" s="134" t="s">
        <v>72</v>
      </c>
      <c r="T7" s="95"/>
      <c r="U7" s="95"/>
      <c r="V7" s="95"/>
      <c r="W7" s="95"/>
    </row>
    <row r="8" spans="1:23" ht="34.200000000000003">
      <c r="A8" s="95" t="s">
        <v>225</v>
      </c>
      <c r="B8" s="93" t="s">
        <v>80</v>
      </c>
      <c r="C8" s="134" t="s">
        <v>72</v>
      </c>
      <c r="D8" s="134" t="s">
        <v>72</v>
      </c>
      <c r="E8" s="134" t="s">
        <v>72</v>
      </c>
      <c r="F8" s="134" t="s">
        <v>72</v>
      </c>
      <c r="G8" s="134" t="s">
        <v>72</v>
      </c>
      <c r="H8" s="134" t="s">
        <v>72</v>
      </c>
      <c r="I8" s="134" t="s">
        <v>72</v>
      </c>
      <c r="J8" s="134" t="s">
        <v>72</v>
      </c>
      <c r="K8" s="148" t="s">
        <v>72</v>
      </c>
      <c r="L8" s="148" t="s">
        <v>72</v>
      </c>
      <c r="M8" s="117" t="s">
        <v>72</v>
      </c>
      <c r="N8" s="117" t="s">
        <v>72</v>
      </c>
      <c r="O8" s="148" t="s">
        <v>72</v>
      </c>
      <c r="P8" s="134" t="s">
        <v>72</v>
      </c>
      <c r="Q8" s="289" t="s">
        <v>72</v>
      </c>
      <c r="R8" s="134" t="s">
        <v>72</v>
      </c>
      <c r="S8" s="134" t="s">
        <v>72</v>
      </c>
      <c r="T8" s="95"/>
      <c r="U8" s="95"/>
      <c r="V8" s="95"/>
      <c r="W8" s="81"/>
    </row>
    <row r="9" spans="1:23" ht="22.8">
      <c r="A9" s="117" t="s">
        <v>82</v>
      </c>
      <c r="B9" s="93" t="s">
        <v>83</v>
      </c>
      <c r="C9" s="134" t="s">
        <v>84</v>
      </c>
      <c r="D9" s="134" t="s">
        <v>85</v>
      </c>
      <c r="E9" s="134" t="s">
        <v>84</v>
      </c>
      <c r="F9" s="134" t="s">
        <v>84</v>
      </c>
      <c r="G9" s="134" t="s">
        <v>84</v>
      </c>
      <c r="H9" s="134" t="s">
        <v>84</v>
      </c>
      <c r="I9" s="134" t="s">
        <v>84</v>
      </c>
      <c r="J9" s="134" t="s">
        <v>84</v>
      </c>
      <c r="K9" s="149" t="s">
        <v>84</v>
      </c>
      <c r="L9" s="149" t="s">
        <v>87</v>
      </c>
      <c r="M9" s="149" t="s">
        <v>84</v>
      </c>
      <c r="N9" s="95" t="s">
        <v>226</v>
      </c>
      <c r="O9" s="149" t="s">
        <v>84</v>
      </c>
      <c r="P9" s="134" t="s">
        <v>710</v>
      </c>
      <c r="Q9" s="289" t="s">
        <v>84</v>
      </c>
      <c r="R9" s="134" t="s">
        <v>84</v>
      </c>
      <c r="S9" s="134" t="s">
        <v>85</v>
      </c>
      <c r="T9" s="95"/>
      <c r="U9" s="95"/>
      <c r="V9" s="95"/>
      <c r="W9" s="95"/>
    </row>
    <row r="10" spans="1:23" ht="57">
      <c r="A10" s="94" t="s">
        <v>89</v>
      </c>
      <c r="B10" s="136" t="s">
        <v>90</v>
      </c>
      <c r="C10" s="134" t="s">
        <v>72</v>
      </c>
      <c r="D10" s="134" t="s">
        <v>72</v>
      </c>
      <c r="E10" s="134" t="s">
        <v>72</v>
      </c>
      <c r="F10" s="134" t="s">
        <v>72</v>
      </c>
      <c r="G10" s="134" t="s">
        <v>72</v>
      </c>
      <c r="H10" s="134" t="s">
        <v>72</v>
      </c>
      <c r="I10" s="134" t="s">
        <v>72</v>
      </c>
      <c r="J10" s="134" t="s">
        <v>72</v>
      </c>
      <c r="K10" s="148" t="s">
        <v>72</v>
      </c>
      <c r="L10" s="148" t="s">
        <v>72</v>
      </c>
      <c r="M10" s="117" t="s">
        <v>72</v>
      </c>
      <c r="N10" s="134" t="s">
        <v>91</v>
      </c>
      <c r="O10" s="148" t="s">
        <v>72</v>
      </c>
      <c r="P10" s="134" t="s">
        <v>72</v>
      </c>
      <c r="Q10" s="289" t="s">
        <v>72</v>
      </c>
      <c r="R10" s="134" t="s">
        <v>72</v>
      </c>
      <c r="S10" s="134" t="s">
        <v>72</v>
      </c>
      <c r="T10" s="95"/>
      <c r="U10" s="95"/>
      <c r="V10" s="95"/>
      <c r="W10" s="95"/>
    </row>
    <row r="11" spans="1:23" ht="22.8">
      <c r="A11" s="117" t="s">
        <v>92</v>
      </c>
      <c r="B11" s="134" t="s">
        <v>93</v>
      </c>
      <c r="C11" s="134" t="s">
        <v>72</v>
      </c>
      <c r="D11" s="134" t="s">
        <v>72</v>
      </c>
      <c r="E11" s="134" t="s">
        <v>72</v>
      </c>
      <c r="F11" s="134" t="s">
        <v>72</v>
      </c>
      <c r="G11" s="134" t="s">
        <v>72</v>
      </c>
      <c r="H11" s="134" t="s">
        <v>72</v>
      </c>
      <c r="I11" s="134" t="s">
        <v>72</v>
      </c>
      <c r="J11" s="134" t="s">
        <v>72</v>
      </c>
      <c r="K11" s="148" t="s">
        <v>72</v>
      </c>
      <c r="L11" s="148" t="s">
        <v>72</v>
      </c>
      <c r="M11" s="148" t="s">
        <v>295</v>
      </c>
      <c r="N11" s="117" t="s">
        <v>296</v>
      </c>
      <c r="O11" s="148" t="s">
        <v>72</v>
      </c>
      <c r="P11" s="134" t="s">
        <v>72</v>
      </c>
      <c r="Q11" s="289" t="s">
        <v>72</v>
      </c>
      <c r="R11" s="134" t="s">
        <v>72</v>
      </c>
      <c r="S11" s="134" t="s">
        <v>72</v>
      </c>
      <c r="T11" s="95"/>
      <c r="U11" s="95"/>
      <c r="V11" s="95"/>
      <c r="W11" s="95"/>
    </row>
    <row r="12" spans="1:23" ht="45.6">
      <c r="A12" s="117" t="s">
        <v>95</v>
      </c>
      <c r="B12" s="133"/>
      <c r="C12" s="134" t="s">
        <v>228</v>
      </c>
      <c r="D12" s="95" t="s">
        <v>97</v>
      </c>
      <c r="E12" s="134" t="s">
        <v>228</v>
      </c>
      <c r="F12" s="95" t="s">
        <v>98</v>
      </c>
      <c r="G12" s="134" t="s">
        <v>228</v>
      </c>
      <c r="H12" s="134" t="s">
        <v>228</v>
      </c>
      <c r="I12" s="289" t="s">
        <v>821</v>
      </c>
      <c r="J12" s="134" t="s">
        <v>228</v>
      </c>
      <c r="K12" s="148" t="s">
        <v>228</v>
      </c>
      <c r="L12" s="139" t="s">
        <v>691</v>
      </c>
      <c r="M12" s="148" t="s">
        <v>337</v>
      </c>
      <c r="N12" s="95" t="s">
        <v>100</v>
      </c>
      <c r="O12" s="148" t="s">
        <v>228</v>
      </c>
      <c r="P12" s="285" t="s">
        <v>812</v>
      </c>
      <c r="Q12" s="289" t="s">
        <v>228</v>
      </c>
      <c r="R12" s="134" t="s">
        <v>228</v>
      </c>
      <c r="S12" s="95" t="s">
        <v>97</v>
      </c>
      <c r="T12" s="95"/>
      <c r="U12" s="95"/>
      <c r="V12" s="95"/>
      <c r="W12" s="95"/>
    </row>
    <row r="13" spans="1:23" ht="22.8">
      <c r="A13" s="117" t="s">
        <v>101</v>
      </c>
      <c r="B13" s="133"/>
      <c r="C13" s="95" t="s">
        <v>338</v>
      </c>
      <c r="D13" s="95" t="s">
        <v>338</v>
      </c>
      <c r="E13" s="95" t="s">
        <v>339</v>
      </c>
      <c r="F13" s="95" t="s">
        <v>339</v>
      </c>
      <c r="G13" s="95" t="s">
        <v>338</v>
      </c>
      <c r="H13" s="95" t="s">
        <v>338</v>
      </c>
      <c r="I13" s="95" t="s">
        <v>338</v>
      </c>
      <c r="J13" s="151" t="s">
        <v>230</v>
      </c>
      <c r="K13" s="148" t="s">
        <v>230</v>
      </c>
      <c r="L13" s="148" t="s">
        <v>230</v>
      </c>
      <c r="M13" s="149" t="s">
        <v>340</v>
      </c>
      <c r="N13" s="95" t="s">
        <v>232</v>
      </c>
      <c r="O13" s="148" t="s">
        <v>230</v>
      </c>
      <c r="P13" s="285" t="s">
        <v>813</v>
      </c>
      <c r="Q13" s="288" t="s">
        <v>338</v>
      </c>
      <c r="R13" s="95" t="s">
        <v>338</v>
      </c>
      <c r="S13" s="95" t="s">
        <v>338</v>
      </c>
      <c r="T13" s="95"/>
      <c r="U13" s="95"/>
      <c r="V13" s="95"/>
      <c r="W13" s="95"/>
    </row>
    <row r="14" spans="1:23">
      <c r="A14" s="117" t="s">
        <v>233</v>
      </c>
      <c r="B14" s="133"/>
      <c r="C14" s="152" t="s">
        <v>234</v>
      </c>
      <c r="D14" s="152" t="s">
        <v>234</v>
      </c>
      <c r="E14" s="152" t="s">
        <v>341</v>
      </c>
      <c r="F14" s="152" t="s">
        <v>341</v>
      </c>
      <c r="G14" s="152" t="s">
        <v>234</v>
      </c>
      <c r="H14" s="95" t="s">
        <v>201</v>
      </c>
      <c r="I14" s="308" t="s">
        <v>123</v>
      </c>
      <c r="J14" s="138" t="s">
        <v>237</v>
      </c>
      <c r="K14" s="167" t="s">
        <v>341</v>
      </c>
      <c r="L14" s="148" t="s">
        <v>239</v>
      </c>
      <c r="M14" s="148" t="s">
        <v>342</v>
      </c>
      <c r="N14" s="95" t="s">
        <v>240</v>
      </c>
      <c r="O14" s="148" t="s">
        <v>236</v>
      </c>
      <c r="P14" s="286" t="s">
        <v>236</v>
      </c>
      <c r="Q14" s="320" t="s">
        <v>123</v>
      </c>
      <c r="R14" s="95" t="s">
        <v>240</v>
      </c>
      <c r="S14" s="95" t="s">
        <v>240</v>
      </c>
      <c r="T14" s="95"/>
      <c r="U14" s="95"/>
      <c r="V14" s="95"/>
      <c r="W14" s="95"/>
    </row>
    <row r="15" spans="1:23">
      <c r="A15" s="117" t="s">
        <v>130</v>
      </c>
      <c r="B15" s="133"/>
      <c r="C15" s="152" t="s">
        <v>234</v>
      </c>
      <c r="D15" s="152" t="s">
        <v>234</v>
      </c>
      <c r="E15" s="152" t="s">
        <v>241</v>
      </c>
      <c r="F15" s="152" t="s">
        <v>241</v>
      </c>
      <c r="G15" s="152" t="s">
        <v>234</v>
      </c>
      <c r="H15" s="152" t="s">
        <v>234</v>
      </c>
      <c r="I15" s="152" t="s">
        <v>234</v>
      </c>
      <c r="J15" s="152" t="s">
        <v>234</v>
      </c>
      <c r="K15" s="167" t="s">
        <v>123</v>
      </c>
      <c r="L15" s="148" t="s">
        <v>123</v>
      </c>
      <c r="M15" s="148" t="s">
        <v>343</v>
      </c>
      <c r="N15" s="95" t="s">
        <v>241</v>
      </c>
      <c r="O15" s="167" t="s">
        <v>123</v>
      </c>
      <c r="P15" s="152" t="s">
        <v>234</v>
      </c>
      <c r="Q15" s="320" t="s">
        <v>123</v>
      </c>
      <c r="R15" s="152" t="s">
        <v>234</v>
      </c>
      <c r="S15" s="152" t="s">
        <v>234</v>
      </c>
      <c r="T15" s="95"/>
      <c r="U15" s="95"/>
      <c r="V15" s="95"/>
      <c r="W15" s="95"/>
    </row>
    <row r="16" spans="1:23" ht="22.8">
      <c r="A16" s="117" t="s">
        <v>136</v>
      </c>
      <c r="B16" s="133"/>
      <c r="C16" s="138" t="s">
        <v>344</v>
      </c>
      <c r="D16" s="138" t="s">
        <v>344</v>
      </c>
      <c r="E16" s="138" t="s">
        <v>345</v>
      </c>
      <c r="F16" s="138" t="s">
        <v>345</v>
      </c>
      <c r="G16" s="138" t="s">
        <v>344</v>
      </c>
      <c r="H16" s="138" t="s">
        <v>345</v>
      </c>
      <c r="I16" s="138" t="s">
        <v>345</v>
      </c>
      <c r="J16" s="153" t="s">
        <v>243</v>
      </c>
      <c r="K16" s="148" t="s">
        <v>345</v>
      </c>
      <c r="L16" s="148" t="s">
        <v>243</v>
      </c>
      <c r="M16" s="148" t="s">
        <v>346</v>
      </c>
      <c r="N16" s="95" t="s">
        <v>346</v>
      </c>
      <c r="O16" s="148" t="s">
        <v>345</v>
      </c>
      <c r="P16" s="285" t="s">
        <v>814</v>
      </c>
      <c r="Q16" s="308" t="s">
        <v>344</v>
      </c>
      <c r="R16" s="148" t="s">
        <v>345</v>
      </c>
      <c r="S16" s="148" t="s">
        <v>345</v>
      </c>
      <c r="T16" s="95"/>
      <c r="U16" s="95"/>
      <c r="V16" s="95"/>
      <c r="W16" s="95"/>
    </row>
    <row r="17" spans="1:23" ht="22.8">
      <c r="A17" s="95" t="s">
        <v>141</v>
      </c>
      <c r="B17" s="93" t="s">
        <v>142</v>
      </c>
      <c r="C17" s="134" t="s">
        <v>72</v>
      </c>
      <c r="D17" s="134" t="s">
        <v>72</v>
      </c>
      <c r="E17" s="134" t="s">
        <v>72</v>
      </c>
      <c r="F17" s="134" t="s">
        <v>72</v>
      </c>
      <c r="G17" s="134" t="s">
        <v>72</v>
      </c>
      <c r="H17" s="134" t="s">
        <v>72</v>
      </c>
      <c r="I17" s="134" t="s">
        <v>72</v>
      </c>
      <c r="J17" s="134" t="s">
        <v>72</v>
      </c>
      <c r="K17" s="148" t="s">
        <v>72</v>
      </c>
      <c r="L17" s="148" t="s">
        <v>72</v>
      </c>
      <c r="M17" s="148" t="s">
        <v>72</v>
      </c>
      <c r="N17" s="148" t="s">
        <v>72</v>
      </c>
      <c r="O17" s="148" t="s">
        <v>72</v>
      </c>
      <c r="P17" s="134" t="s">
        <v>72</v>
      </c>
      <c r="Q17" s="289" t="s">
        <v>72</v>
      </c>
      <c r="R17" s="134" t="s">
        <v>72</v>
      </c>
      <c r="S17" s="134" t="s">
        <v>72</v>
      </c>
      <c r="T17" s="95"/>
      <c r="U17" s="95"/>
      <c r="V17" s="95"/>
      <c r="W17" s="81"/>
    </row>
    <row r="18" spans="1:23" ht="68.400000000000006">
      <c r="A18" s="117" t="s">
        <v>144</v>
      </c>
      <c r="B18" s="93" t="s">
        <v>145</v>
      </c>
      <c r="C18" s="134" t="s">
        <v>347</v>
      </c>
      <c r="D18" s="134" t="s">
        <v>347</v>
      </c>
      <c r="E18" s="139" t="s">
        <v>251</v>
      </c>
      <c r="F18" s="139" t="s">
        <v>252</v>
      </c>
      <c r="G18" s="134" t="s">
        <v>253</v>
      </c>
      <c r="H18" s="139" t="s">
        <v>252</v>
      </c>
      <c r="I18" s="139" t="s">
        <v>252</v>
      </c>
      <c r="J18" s="134" t="s">
        <v>254</v>
      </c>
      <c r="K18" s="149" t="s">
        <v>251</v>
      </c>
      <c r="L18" s="149" t="s">
        <v>256</v>
      </c>
      <c r="M18" s="139" t="s">
        <v>348</v>
      </c>
      <c r="N18" s="134" t="s">
        <v>257</v>
      </c>
      <c r="O18" s="149" t="s">
        <v>349</v>
      </c>
      <c r="P18" s="134" t="s">
        <v>712</v>
      </c>
      <c r="Q18" s="289" t="s">
        <v>347</v>
      </c>
      <c r="R18" s="134" t="s">
        <v>915</v>
      </c>
      <c r="S18" s="134" t="s">
        <v>915</v>
      </c>
      <c r="T18" s="95"/>
      <c r="U18" s="95"/>
      <c r="V18" s="95"/>
      <c r="W18" s="95"/>
    </row>
    <row r="19" spans="1:23" ht="60" customHeight="1">
      <c r="A19" s="98" t="s">
        <v>174</v>
      </c>
      <c r="B19" s="98" t="s">
        <v>175</v>
      </c>
      <c r="C19" s="139" t="s">
        <v>350</v>
      </c>
      <c r="D19" s="139" t="s">
        <v>350</v>
      </c>
      <c r="E19" s="139" t="s">
        <v>351</v>
      </c>
      <c r="F19" s="139" t="s">
        <v>351</v>
      </c>
      <c r="G19" s="139" t="s">
        <v>350</v>
      </c>
      <c r="H19" s="139" t="s">
        <v>352</v>
      </c>
      <c r="I19" s="139" t="s">
        <v>352</v>
      </c>
      <c r="J19" s="139" t="s">
        <v>350</v>
      </c>
      <c r="K19" s="149" t="s">
        <v>353</v>
      </c>
      <c r="L19" s="149" t="s">
        <v>354</v>
      </c>
      <c r="M19" s="149" t="s">
        <v>355</v>
      </c>
      <c r="N19" s="149" t="s">
        <v>356</v>
      </c>
      <c r="O19" s="149" t="s">
        <v>319</v>
      </c>
      <c r="P19" s="139" t="s">
        <v>713</v>
      </c>
      <c r="Q19" s="313" t="s">
        <v>350</v>
      </c>
      <c r="R19" s="139" t="s">
        <v>350</v>
      </c>
      <c r="S19" s="139" t="s">
        <v>350</v>
      </c>
      <c r="T19" s="95"/>
      <c r="U19" s="95"/>
      <c r="V19" s="95"/>
      <c r="W19" s="95"/>
    </row>
    <row r="20" spans="1:23" ht="114" customHeight="1">
      <c r="A20" s="98" t="s">
        <v>185</v>
      </c>
      <c r="B20" s="98" t="s">
        <v>186</v>
      </c>
      <c r="C20" s="93" t="s">
        <v>357</v>
      </c>
      <c r="D20" s="93" t="s">
        <v>357</v>
      </c>
      <c r="E20" s="178" t="s">
        <v>358</v>
      </c>
      <c r="F20" s="178" t="s">
        <v>358</v>
      </c>
      <c r="G20" s="93" t="s">
        <v>359</v>
      </c>
      <c r="H20" s="178" t="s">
        <v>358</v>
      </c>
      <c r="I20" s="178" t="s">
        <v>358</v>
      </c>
      <c r="J20" s="93" t="s">
        <v>360</v>
      </c>
      <c r="K20" s="149" t="s">
        <v>361</v>
      </c>
      <c r="L20" s="149" t="s">
        <v>362</v>
      </c>
      <c r="M20" s="149" t="s">
        <v>363</v>
      </c>
      <c r="N20" s="134" t="s">
        <v>270</v>
      </c>
      <c r="O20" s="149" t="s">
        <v>361</v>
      </c>
      <c r="P20" s="93" t="s">
        <v>714</v>
      </c>
      <c r="Q20" s="312" t="s">
        <v>357</v>
      </c>
      <c r="R20" s="93" t="s">
        <v>916</v>
      </c>
      <c r="S20" s="93" t="s">
        <v>916</v>
      </c>
      <c r="T20" s="95"/>
      <c r="U20" s="95"/>
      <c r="V20" s="95"/>
      <c r="W20" s="95"/>
    </row>
    <row r="21" spans="1:23" ht="20.25" customHeight="1">
      <c r="A21" s="98" t="s">
        <v>271</v>
      </c>
      <c r="B21" s="141">
        <v>1</v>
      </c>
      <c r="C21" s="134" t="s">
        <v>72</v>
      </c>
      <c r="D21" s="134" t="s">
        <v>72</v>
      </c>
      <c r="E21" s="134" t="s">
        <v>72</v>
      </c>
      <c r="F21" s="134" t="s">
        <v>72</v>
      </c>
      <c r="G21" s="134" t="s">
        <v>72</v>
      </c>
      <c r="H21" s="134" t="s">
        <v>72</v>
      </c>
      <c r="I21" s="134" t="s">
        <v>72</v>
      </c>
      <c r="J21" s="134" t="s">
        <v>72</v>
      </c>
      <c r="K21" s="148" t="s">
        <v>72</v>
      </c>
      <c r="L21" s="148" t="s">
        <v>72</v>
      </c>
      <c r="M21" s="117" t="s">
        <v>72</v>
      </c>
      <c r="N21" s="117" t="s">
        <v>72</v>
      </c>
      <c r="O21" s="148" t="s">
        <v>72</v>
      </c>
      <c r="P21" s="134" t="s">
        <v>72</v>
      </c>
      <c r="Q21" s="289" t="s">
        <v>72</v>
      </c>
      <c r="R21" s="134" t="s">
        <v>72</v>
      </c>
      <c r="S21" s="134" t="s">
        <v>72</v>
      </c>
      <c r="T21" s="95"/>
      <c r="U21" s="95"/>
      <c r="V21" s="95"/>
      <c r="W21" s="95"/>
    </row>
    <row r="22" spans="1:23" ht="36" customHeight="1">
      <c r="A22" s="98" t="s">
        <v>272</v>
      </c>
      <c r="B22" s="98"/>
      <c r="C22" s="139" t="s">
        <v>273</v>
      </c>
      <c r="D22" s="139" t="s">
        <v>273</v>
      </c>
      <c r="E22" s="139" t="s">
        <v>273</v>
      </c>
      <c r="F22" s="139" t="s">
        <v>273</v>
      </c>
      <c r="G22" s="139" t="s">
        <v>273</v>
      </c>
      <c r="H22" s="139" t="s">
        <v>273</v>
      </c>
      <c r="I22" s="139" t="s">
        <v>273</v>
      </c>
      <c r="J22" s="140" t="s">
        <v>273</v>
      </c>
      <c r="K22" s="149" t="s">
        <v>273</v>
      </c>
      <c r="L22" s="149" t="s">
        <v>273</v>
      </c>
      <c r="M22" s="154" t="s">
        <v>365</v>
      </c>
      <c r="N22" s="93" t="s">
        <v>275</v>
      </c>
      <c r="O22" s="149" t="s">
        <v>273</v>
      </c>
      <c r="P22" s="140" t="s">
        <v>273</v>
      </c>
      <c r="Q22" s="313" t="s">
        <v>273</v>
      </c>
      <c r="R22" s="139" t="s">
        <v>273</v>
      </c>
      <c r="S22" s="139" t="s">
        <v>273</v>
      </c>
      <c r="T22" s="95"/>
      <c r="U22" s="95"/>
      <c r="V22" s="95"/>
      <c r="W22" s="95"/>
    </row>
    <row r="23" spans="1:23">
      <c r="A23" s="117" t="s">
        <v>194</v>
      </c>
      <c r="B23" s="133" t="s">
        <v>195</v>
      </c>
      <c r="C23" s="134" t="s">
        <v>72</v>
      </c>
      <c r="D23" s="134" t="s">
        <v>72</v>
      </c>
      <c r="E23" s="134" t="s">
        <v>72</v>
      </c>
      <c r="F23" s="134" t="s">
        <v>72</v>
      </c>
      <c r="G23" s="134" t="s">
        <v>72</v>
      </c>
      <c r="H23" s="134" t="s">
        <v>72</v>
      </c>
      <c r="I23" s="134" t="s">
        <v>72</v>
      </c>
      <c r="J23" s="134" t="s">
        <v>72</v>
      </c>
      <c r="K23" s="148" t="s">
        <v>72</v>
      </c>
      <c r="L23" s="148" t="s">
        <v>72</v>
      </c>
      <c r="M23" s="148" t="s">
        <v>72</v>
      </c>
      <c r="N23" s="148" t="s">
        <v>72</v>
      </c>
      <c r="O23" s="148" t="s">
        <v>72</v>
      </c>
      <c r="P23" s="134" t="s">
        <v>72</v>
      </c>
      <c r="Q23" s="289" t="s">
        <v>72</v>
      </c>
      <c r="R23" s="134" t="s">
        <v>72</v>
      </c>
      <c r="S23" s="134" t="s">
        <v>72</v>
      </c>
      <c r="T23" s="95"/>
      <c r="U23" s="95"/>
      <c r="V23" s="95"/>
      <c r="W23" s="95"/>
    </row>
    <row r="24" spans="1:23">
      <c r="A24" s="117" t="s">
        <v>196</v>
      </c>
      <c r="B24" s="133" t="s">
        <v>197</v>
      </c>
      <c r="C24" s="134" t="s">
        <v>72</v>
      </c>
      <c r="D24" s="134" t="s">
        <v>72</v>
      </c>
      <c r="E24" s="134" t="s">
        <v>72</v>
      </c>
      <c r="F24" s="134" t="s">
        <v>72</v>
      </c>
      <c r="G24" s="134" t="s">
        <v>72</v>
      </c>
      <c r="H24" s="134" t="s">
        <v>72</v>
      </c>
      <c r="I24" s="134" t="s">
        <v>72</v>
      </c>
      <c r="J24" s="134" t="s">
        <v>72</v>
      </c>
      <c r="K24" s="148" t="s">
        <v>72</v>
      </c>
      <c r="L24" s="148" t="s">
        <v>72</v>
      </c>
      <c r="M24" s="117" t="s">
        <v>335</v>
      </c>
      <c r="N24" s="148" t="s">
        <v>72</v>
      </c>
      <c r="O24" s="148" t="s">
        <v>72</v>
      </c>
      <c r="P24" s="134" t="s">
        <v>72</v>
      </c>
      <c r="Q24" s="289" t="s">
        <v>72</v>
      </c>
      <c r="R24" s="134" t="s">
        <v>72</v>
      </c>
      <c r="S24" s="134" t="s">
        <v>72</v>
      </c>
      <c r="T24" s="95"/>
      <c r="U24" s="95"/>
      <c r="V24" s="95"/>
      <c r="W24" s="95"/>
    </row>
    <row r="25" spans="1:23">
      <c r="A25" s="95" t="s">
        <v>198</v>
      </c>
      <c r="B25" s="133"/>
      <c r="C25" s="134" t="s">
        <v>199</v>
      </c>
      <c r="D25" s="134" t="s">
        <v>199</v>
      </c>
      <c r="E25" s="134" t="s">
        <v>199</v>
      </c>
      <c r="F25" s="134" t="s">
        <v>199</v>
      </c>
      <c r="G25" s="134" t="s">
        <v>199</v>
      </c>
      <c r="H25" s="95" t="s">
        <v>200</v>
      </c>
      <c r="I25" s="288" t="s">
        <v>822</v>
      </c>
      <c r="J25" s="134" t="s">
        <v>199</v>
      </c>
      <c r="K25" s="148" t="s">
        <v>199</v>
      </c>
      <c r="L25" s="148" t="s">
        <v>199</v>
      </c>
      <c r="M25" s="148" t="s">
        <v>199</v>
      </c>
      <c r="N25" s="148" t="s">
        <v>199</v>
      </c>
      <c r="O25" s="148" t="s">
        <v>201</v>
      </c>
      <c r="P25" s="134" t="s">
        <v>199</v>
      </c>
      <c r="Q25" s="289" t="s">
        <v>199</v>
      </c>
      <c r="R25" s="134" t="s">
        <v>199</v>
      </c>
      <c r="S25" s="134" t="s">
        <v>199</v>
      </c>
      <c r="T25" s="95"/>
      <c r="U25" s="95"/>
      <c r="V25" s="95"/>
      <c r="W25" s="95"/>
    </row>
    <row r="26" spans="1:23">
      <c r="A26" s="95" t="s">
        <v>276</v>
      </c>
      <c r="B26" s="133"/>
      <c r="C26" s="139" t="s">
        <v>280</v>
      </c>
      <c r="D26" s="139" t="s">
        <v>280</v>
      </c>
      <c r="E26" s="139" t="s">
        <v>366</v>
      </c>
      <c r="F26" s="139" t="s">
        <v>366</v>
      </c>
      <c r="G26" s="139" t="s">
        <v>280</v>
      </c>
      <c r="H26" s="139" t="s">
        <v>280</v>
      </c>
      <c r="I26" s="139" t="s">
        <v>280</v>
      </c>
      <c r="J26" s="155" t="s">
        <v>281</v>
      </c>
      <c r="K26" s="148" t="s">
        <v>280</v>
      </c>
      <c r="L26" s="139" t="s">
        <v>278</v>
      </c>
      <c r="M26" s="117" t="s">
        <v>367</v>
      </c>
      <c r="N26" s="117" t="s">
        <v>368</v>
      </c>
      <c r="O26" s="148" t="s">
        <v>277</v>
      </c>
      <c r="P26" s="139" t="s">
        <v>711</v>
      </c>
      <c r="Q26" s="313" t="s">
        <v>280</v>
      </c>
      <c r="R26" s="139" t="s">
        <v>280</v>
      </c>
      <c r="S26" s="139" t="s">
        <v>280</v>
      </c>
      <c r="T26" s="95"/>
      <c r="U26" s="95"/>
      <c r="V26" s="95"/>
      <c r="W26" s="95"/>
    </row>
    <row r="27" spans="1:23" ht="45.6">
      <c r="A27" s="95" t="s">
        <v>283</v>
      </c>
      <c r="B27" s="95"/>
      <c r="C27" s="93" t="s">
        <v>284</v>
      </c>
      <c r="D27" s="93" t="s">
        <v>284</v>
      </c>
      <c r="E27" s="362" t="s">
        <v>944</v>
      </c>
      <c r="F27" s="362" t="s">
        <v>944</v>
      </c>
      <c r="G27" s="93" t="s">
        <v>284</v>
      </c>
      <c r="H27" s="93" t="s">
        <v>288</v>
      </c>
      <c r="I27" s="93" t="s">
        <v>288</v>
      </c>
      <c r="J27" s="116" t="s">
        <v>286</v>
      </c>
      <c r="K27" s="148" t="s">
        <v>123</v>
      </c>
      <c r="L27" s="148" t="s">
        <v>123</v>
      </c>
      <c r="M27" s="117" t="s">
        <v>216</v>
      </c>
      <c r="N27" s="95" t="s">
        <v>216</v>
      </c>
      <c r="O27" s="148" t="s">
        <v>123</v>
      </c>
      <c r="P27" s="93" t="s">
        <v>711</v>
      </c>
      <c r="Q27" s="312" t="s">
        <v>284</v>
      </c>
      <c r="R27" s="95" t="s">
        <v>216</v>
      </c>
      <c r="S27" s="95" t="s">
        <v>216</v>
      </c>
      <c r="T27" s="95"/>
      <c r="U27" s="95"/>
      <c r="V27" s="95"/>
      <c r="W27" s="95"/>
    </row>
    <row r="28" spans="1:23">
      <c r="A28" s="96"/>
      <c r="B28" s="96"/>
      <c r="C28" s="134"/>
      <c r="D28" s="95"/>
      <c r="E28" s="134"/>
      <c r="F28" s="95"/>
      <c r="G28" s="134"/>
      <c r="H28" s="95"/>
      <c r="I28" s="95"/>
      <c r="J28" s="134"/>
      <c r="K28" s="148"/>
      <c r="L28" s="148"/>
      <c r="M28" s="148"/>
      <c r="N28" s="95"/>
      <c r="O28" s="148"/>
      <c r="P28" s="95"/>
      <c r="Q28" s="289"/>
      <c r="R28" s="134"/>
      <c r="S28" s="95"/>
      <c r="T28" s="95"/>
      <c r="U28" s="95"/>
      <c r="V28" s="95"/>
      <c r="W28" s="95"/>
    </row>
    <row r="29" spans="1:23">
      <c r="A29" s="129" t="s">
        <v>202</v>
      </c>
      <c r="B29" s="86" t="s">
        <v>203</v>
      </c>
      <c r="C29" s="134"/>
      <c r="D29" s="95"/>
      <c r="E29" s="134"/>
      <c r="F29" s="95"/>
      <c r="G29" s="134"/>
      <c r="H29" s="95"/>
      <c r="I29" s="95"/>
      <c r="J29" s="134"/>
      <c r="K29" s="148"/>
      <c r="L29" s="148"/>
      <c r="M29" s="148"/>
      <c r="N29" s="95"/>
      <c r="O29" s="148"/>
      <c r="P29" s="95"/>
      <c r="Q29" s="289"/>
      <c r="R29" s="134"/>
      <c r="S29" s="95"/>
      <c r="T29" s="95"/>
      <c r="U29" s="95"/>
      <c r="V29" s="95"/>
      <c r="W29" s="95"/>
    </row>
    <row r="30" spans="1:23">
      <c r="A30" s="98" t="s">
        <v>204</v>
      </c>
      <c r="B30" s="141" t="s">
        <v>205</v>
      </c>
      <c r="C30" s="142" t="s">
        <v>72</v>
      </c>
      <c r="D30" s="142" t="s">
        <v>72</v>
      </c>
      <c r="E30" s="142" t="s">
        <v>72</v>
      </c>
      <c r="F30" s="142" t="s">
        <v>72</v>
      </c>
      <c r="G30" s="142" t="s">
        <v>72</v>
      </c>
      <c r="H30" s="142" t="s">
        <v>72</v>
      </c>
      <c r="I30" s="142" t="s">
        <v>72</v>
      </c>
      <c r="J30" s="142" t="s">
        <v>72</v>
      </c>
      <c r="K30" s="148" t="s">
        <v>72</v>
      </c>
      <c r="L30" s="148" t="s">
        <v>72</v>
      </c>
      <c r="M30" s="148" t="s">
        <v>72</v>
      </c>
      <c r="N30" s="148" t="s">
        <v>72</v>
      </c>
      <c r="O30" s="148" t="s">
        <v>72</v>
      </c>
      <c r="P30" s="142" t="s">
        <v>72</v>
      </c>
      <c r="Q30" s="315" t="s">
        <v>72</v>
      </c>
      <c r="R30" s="142" t="s">
        <v>72</v>
      </c>
      <c r="S30" s="142" t="s">
        <v>72</v>
      </c>
      <c r="T30" s="95"/>
      <c r="U30" s="95"/>
      <c r="V30" s="95"/>
      <c r="W30" s="95"/>
    </row>
    <row r="31" spans="1:23">
      <c r="A31" s="98" t="s">
        <v>206</v>
      </c>
      <c r="B31" s="141" t="s">
        <v>207</v>
      </c>
      <c r="C31" s="139" t="s">
        <v>208</v>
      </c>
      <c r="D31" s="139" t="s">
        <v>208</v>
      </c>
      <c r="E31" s="139" t="s">
        <v>208</v>
      </c>
      <c r="F31" s="139" t="s">
        <v>208</v>
      </c>
      <c r="G31" s="139" t="s">
        <v>208</v>
      </c>
      <c r="H31" s="139" t="s">
        <v>208</v>
      </c>
      <c r="I31" s="139" t="s">
        <v>208</v>
      </c>
      <c r="J31" s="139" t="s">
        <v>208</v>
      </c>
      <c r="K31" s="148" t="s">
        <v>208</v>
      </c>
      <c r="L31" s="148" t="s">
        <v>208</v>
      </c>
      <c r="M31" s="148" t="s">
        <v>336</v>
      </c>
      <c r="N31" s="148" t="s">
        <v>72</v>
      </c>
      <c r="O31" s="148" t="s">
        <v>72</v>
      </c>
      <c r="P31" s="139" t="s">
        <v>208</v>
      </c>
      <c r="Q31" s="313" t="s">
        <v>208</v>
      </c>
      <c r="R31" s="139" t="s">
        <v>208</v>
      </c>
      <c r="S31" s="139" t="s">
        <v>208</v>
      </c>
      <c r="T31" s="95"/>
      <c r="U31" s="95"/>
      <c r="V31" s="95"/>
      <c r="W31" s="95"/>
    </row>
    <row r="32" spans="1:23">
      <c r="A32" s="98" t="s">
        <v>210</v>
      </c>
      <c r="B32" s="143"/>
      <c r="C32" s="141">
        <v>1</v>
      </c>
      <c r="D32" s="141">
        <v>1</v>
      </c>
      <c r="E32" s="141">
        <v>1</v>
      </c>
      <c r="F32" s="141">
        <v>1</v>
      </c>
      <c r="G32" s="141">
        <v>1</v>
      </c>
      <c r="H32" s="156">
        <v>0</v>
      </c>
      <c r="I32" s="156">
        <v>0</v>
      </c>
      <c r="J32" s="141">
        <v>1</v>
      </c>
      <c r="K32" s="157">
        <v>1</v>
      </c>
      <c r="L32" s="157">
        <v>1</v>
      </c>
      <c r="M32" s="158"/>
      <c r="N32" s="95"/>
      <c r="O32" s="157">
        <v>0</v>
      </c>
      <c r="P32" s="222">
        <v>0</v>
      </c>
      <c r="Q32" s="316">
        <v>1</v>
      </c>
      <c r="R32" s="346">
        <v>0</v>
      </c>
      <c r="S32" s="346">
        <v>0</v>
      </c>
      <c r="T32" s="95"/>
      <c r="U32" s="95"/>
      <c r="V32" s="95"/>
      <c r="W32" s="95"/>
    </row>
    <row r="33" spans="1:23" ht="14.25" customHeight="1">
      <c r="A33" s="389" t="s">
        <v>211</v>
      </c>
      <c r="B33" s="372" t="s">
        <v>212</v>
      </c>
      <c r="C33" s="390" t="s">
        <v>72</v>
      </c>
      <c r="D33" s="390" t="s">
        <v>72</v>
      </c>
      <c r="E33" s="390" t="s">
        <v>72</v>
      </c>
      <c r="F33" s="390" t="s">
        <v>72</v>
      </c>
      <c r="G33" s="390" t="s">
        <v>72</v>
      </c>
      <c r="H33" s="390" t="s">
        <v>72</v>
      </c>
      <c r="I33" s="390" t="s">
        <v>72</v>
      </c>
      <c r="J33" s="390" t="s">
        <v>72</v>
      </c>
      <c r="K33" s="381" t="s">
        <v>72</v>
      </c>
      <c r="L33" s="381" t="s">
        <v>72</v>
      </c>
      <c r="M33" s="395" t="s">
        <v>72</v>
      </c>
      <c r="N33" s="381" t="s">
        <v>72</v>
      </c>
      <c r="O33" s="381" t="s">
        <v>72</v>
      </c>
      <c r="P33" s="222" t="s">
        <v>72</v>
      </c>
      <c r="Q33" s="316" t="s">
        <v>72</v>
      </c>
      <c r="R33" s="390" t="s">
        <v>72</v>
      </c>
      <c r="S33" s="390" t="s">
        <v>72</v>
      </c>
      <c r="T33" s="95"/>
      <c r="U33" s="95"/>
      <c r="V33" s="95"/>
      <c r="W33" s="95"/>
    </row>
    <row r="34" spans="1:23">
      <c r="A34" s="389"/>
      <c r="B34" s="373"/>
      <c r="C34" s="390"/>
      <c r="D34" s="390"/>
      <c r="E34" s="390"/>
      <c r="F34" s="390"/>
      <c r="G34" s="390"/>
      <c r="H34" s="390"/>
      <c r="I34" s="390"/>
      <c r="J34" s="390"/>
      <c r="K34" s="382"/>
      <c r="L34" s="382"/>
      <c r="M34" s="396"/>
      <c r="N34" s="382"/>
      <c r="O34" s="382"/>
      <c r="P34" s="95"/>
      <c r="Q34" s="316"/>
      <c r="R34" s="390"/>
      <c r="S34" s="390"/>
      <c r="T34" s="95"/>
      <c r="U34" s="95"/>
      <c r="V34" s="95"/>
      <c r="W34" s="95"/>
    </row>
    <row r="35" spans="1:23">
      <c r="A35" s="98" t="s">
        <v>213</v>
      </c>
      <c r="B35" s="142" t="s">
        <v>214</v>
      </c>
      <c r="C35" s="141" t="s">
        <v>72</v>
      </c>
      <c r="D35" s="141" t="s">
        <v>72</v>
      </c>
      <c r="E35" s="141" t="s">
        <v>72</v>
      </c>
      <c r="F35" s="141" t="s">
        <v>72</v>
      </c>
      <c r="G35" s="141" t="s">
        <v>72</v>
      </c>
      <c r="H35" s="282" t="s">
        <v>72</v>
      </c>
      <c r="I35" s="141" t="s">
        <v>72</v>
      </c>
      <c r="J35" s="141" t="s">
        <v>72</v>
      </c>
      <c r="K35" s="148" t="s">
        <v>72</v>
      </c>
      <c r="L35" s="148" t="s">
        <v>72</v>
      </c>
      <c r="M35" s="158" t="s">
        <v>72</v>
      </c>
      <c r="N35" s="148" t="s">
        <v>72</v>
      </c>
      <c r="O35" s="148" t="s">
        <v>72</v>
      </c>
      <c r="P35" s="222" t="s">
        <v>72</v>
      </c>
      <c r="Q35" s="316" t="s">
        <v>72</v>
      </c>
      <c r="R35" s="346" t="s">
        <v>72</v>
      </c>
      <c r="S35" s="346" t="s">
        <v>72</v>
      </c>
      <c r="T35" s="95"/>
      <c r="U35" s="95"/>
      <c r="V35" s="95"/>
      <c r="W35" s="95"/>
    </row>
    <row r="36" spans="1:23" ht="34.200000000000003">
      <c r="A36" s="98" t="s">
        <v>215</v>
      </c>
      <c r="B36" s="141" t="s">
        <v>216</v>
      </c>
      <c r="C36" s="141" t="s">
        <v>216</v>
      </c>
      <c r="D36" s="141" t="s">
        <v>216</v>
      </c>
      <c r="E36" s="141" t="s">
        <v>216</v>
      </c>
      <c r="F36" s="141" t="s">
        <v>216</v>
      </c>
      <c r="G36" s="141" t="s">
        <v>216</v>
      </c>
      <c r="H36" s="282" t="s">
        <v>216</v>
      </c>
      <c r="I36" s="141" t="s">
        <v>216</v>
      </c>
      <c r="J36" s="141" t="s">
        <v>216</v>
      </c>
      <c r="K36" s="158" t="s">
        <v>216</v>
      </c>
      <c r="L36" s="148" t="s">
        <v>216</v>
      </c>
      <c r="M36" s="159" t="s">
        <v>216</v>
      </c>
      <c r="N36" s="159" t="s">
        <v>216</v>
      </c>
      <c r="O36" s="158" t="s">
        <v>216</v>
      </c>
      <c r="P36" s="222" t="s">
        <v>216</v>
      </c>
      <c r="Q36" s="316" t="s">
        <v>216</v>
      </c>
      <c r="R36" s="346" t="s">
        <v>216</v>
      </c>
      <c r="S36" s="346" t="s">
        <v>216</v>
      </c>
      <c r="T36" s="95"/>
      <c r="U36" s="95"/>
      <c r="V36" s="95"/>
      <c r="W36" s="95"/>
    </row>
    <row r="37" spans="1:23" ht="34.200000000000003">
      <c r="A37" s="98" t="s">
        <v>217</v>
      </c>
      <c r="B37" s="141" t="s">
        <v>216</v>
      </c>
      <c r="C37" s="141" t="s">
        <v>216</v>
      </c>
      <c r="D37" s="141" t="s">
        <v>216</v>
      </c>
      <c r="E37" s="141" t="s">
        <v>216</v>
      </c>
      <c r="F37" s="141" t="s">
        <v>216</v>
      </c>
      <c r="G37" s="141" t="s">
        <v>216</v>
      </c>
      <c r="H37" s="282" t="s">
        <v>216</v>
      </c>
      <c r="I37" s="141" t="s">
        <v>216</v>
      </c>
      <c r="J37" s="141" t="s">
        <v>216</v>
      </c>
      <c r="K37" s="158" t="s">
        <v>216</v>
      </c>
      <c r="L37" s="148" t="s">
        <v>216</v>
      </c>
      <c r="M37" s="159" t="s">
        <v>216</v>
      </c>
      <c r="N37" s="159" t="s">
        <v>216</v>
      </c>
      <c r="O37" s="158" t="s">
        <v>216</v>
      </c>
      <c r="P37" s="222" t="s">
        <v>216</v>
      </c>
      <c r="Q37" s="316" t="s">
        <v>216</v>
      </c>
      <c r="R37" s="346" t="s">
        <v>216</v>
      </c>
      <c r="S37" s="346" t="s">
        <v>216</v>
      </c>
      <c r="T37" s="95"/>
      <c r="U37" s="95"/>
      <c r="V37" s="95"/>
      <c r="W37" s="95"/>
    </row>
    <row r="38" spans="1:23" ht="22.8">
      <c r="A38" s="98" t="s">
        <v>218</v>
      </c>
      <c r="B38" s="141" t="s">
        <v>219</v>
      </c>
      <c r="C38" s="141" t="s">
        <v>72</v>
      </c>
      <c r="D38" s="141" t="s">
        <v>72</v>
      </c>
      <c r="E38" s="141" t="s">
        <v>72</v>
      </c>
      <c r="F38" s="141" t="s">
        <v>72</v>
      </c>
      <c r="G38" s="141" t="s">
        <v>72</v>
      </c>
      <c r="H38" s="282" t="s">
        <v>72</v>
      </c>
      <c r="I38" s="141" t="s">
        <v>72</v>
      </c>
      <c r="J38" s="141" t="s">
        <v>72</v>
      </c>
      <c r="K38" s="158" t="s">
        <v>72</v>
      </c>
      <c r="L38" s="148" t="s">
        <v>72</v>
      </c>
      <c r="M38" s="160" t="s">
        <v>72</v>
      </c>
      <c r="N38" s="160" t="s">
        <v>72</v>
      </c>
      <c r="O38" s="158" t="s">
        <v>72</v>
      </c>
      <c r="P38" s="222" t="s">
        <v>72</v>
      </c>
      <c r="Q38" s="316" t="s">
        <v>72</v>
      </c>
      <c r="R38" s="346" t="s">
        <v>72</v>
      </c>
      <c r="S38" s="346" t="s">
        <v>72</v>
      </c>
      <c r="T38" s="95"/>
      <c r="U38" s="95"/>
      <c r="V38" s="95"/>
      <c r="W38" s="95"/>
    </row>
    <row r="39" spans="1:23" ht="22.8">
      <c r="A39" s="98" t="s">
        <v>220</v>
      </c>
      <c r="B39" s="141" t="s">
        <v>216</v>
      </c>
      <c r="C39" s="141" t="s">
        <v>216</v>
      </c>
      <c r="D39" s="141" t="s">
        <v>216</v>
      </c>
      <c r="E39" s="141" t="s">
        <v>216</v>
      </c>
      <c r="F39" s="141" t="s">
        <v>216</v>
      </c>
      <c r="G39" s="141" t="s">
        <v>216</v>
      </c>
      <c r="H39" s="282" t="s">
        <v>216</v>
      </c>
      <c r="I39" s="141" t="s">
        <v>216</v>
      </c>
      <c r="J39" s="141" t="s">
        <v>216</v>
      </c>
      <c r="K39" s="158" t="s">
        <v>216</v>
      </c>
      <c r="L39" s="148" t="s">
        <v>216</v>
      </c>
      <c r="M39" s="159" t="s">
        <v>216</v>
      </c>
      <c r="N39" s="159" t="s">
        <v>216</v>
      </c>
      <c r="O39" s="158" t="s">
        <v>216</v>
      </c>
      <c r="P39" s="222" t="s">
        <v>216</v>
      </c>
      <c r="Q39" s="316" t="s">
        <v>216</v>
      </c>
      <c r="R39" s="346" t="s">
        <v>216</v>
      </c>
      <c r="S39" s="346" t="s">
        <v>216</v>
      </c>
      <c r="T39" s="95"/>
      <c r="U39" s="95"/>
      <c r="V39" s="95"/>
      <c r="W39" s="95"/>
    </row>
    <row r="40" spans="1:23" ht="22.8">
      <c r="A40" s="98" t="s">
        <v>221</v>
      </c>
      <c r="B40" s="141" t="s">
        <v>216</v>
      </c>
      <c r="C40" s="141" t="s">
        <v>216</v>
      </c>
      <c r="D40" s="141" t="s">
        <v>216</v>
      </c>
      <c r="E40" s="141" t="s">
        <v>216</v>
      </c>
      <c r="F40" s="141" t="s">
        <v>216</v>
      </c>
      <c r="G40" s="141" t="s">
        <v>216</v>
      </c>
      <c r="H40" s="282" t="s">
        <v>216</v>
      </c>
      <c r="I40" s="141" t="s">
        <v>216</v>
      </c>
      <c r="J40" s="141" t="s">
        <v>216</v>
      </c>
      <c r="K40" s="158" t="s">
        <v>216</v>
      </c>
      <c r="L40" s="148" t="s">
        <v>216</v>
      </c>
      <c r="M40" s="159" t="s">
        <v>216</v>
      </c>
      <c r="N40" s="159" t="s">
        <v>216</v>
      </c>
      <c r="O40" s="158" t="s">
        <v>216</v>
      </c>
      <c r="P40" s="222" t="s">
        <v>216</v>
      </c>
      <c r="Q40" s="316" t="s">
        <v>216</v>
      </c>
      <c r="R40" s="346" t="s">
        <v>216</v>
      </c>
      <c r="S40" s="346" t="s">
        <v>216</v>
      </c>
      <c r="T40" s="95"/>
      <c r="U40" s="95"/>
      <c r="V40" s="95"/>
      <c r="W40" s="95"/>
    </row>
    <row r="41" spans="1:23">
      <c r="A41" s="127" t="s">
        <v>222</v>
      </c>
      <c r="B41" s="144"/>
      <c r="D41" s="145"/>
      <c r="E41" s="145"/>
      <c r="N41" s="141"/>
      <c r="P41" s="145"/>
    </row>
    <row r="42" spans="1:23">
      <c r="N42" s="141"/>
    </row>
    <row r="43" spans="1:23">
      <c r="N43" s="141"/>
    </row>
  </sheetData>
  <customSheetViews>
    <customSheetView guid="{67590F70-5005-492E-AD47-1C13C49F2D83}" scale="85">
      <pane xSplit="2" ySplit="3" topLeftCell="M4" activePane="bottomRight" state="frozen"/>
      <selection pane="bottomRight" activeCell="P16" sqref="P1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cale="85">
      <pane xSplit="2" ySplit="3" topLeftCell="I4" activePane="bottomRight" state="frozen"/>
      <selection pane="bottomRight" activeCell="E12" sqref="E12"/>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85">
      <pane xSplit="2" ySplit="3" topLeftCell="I4" activePane="bottomRight" state="frozen"/>
      <selection pane="bottomRight" activeCell="E12" sqref="E12"/>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pane xSplit="2" ySplit="3" topLeftCell="C16" activePane="bottomRight" state="frozen"/>
      <selection pane="bottomRight" activeCell="E19" sqref="E19"/>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85">
      <pane xSplit="2" ySplit="3" topLeftCell="C4" activePane="bottomRight" state="frozen"/>
      <selection pane="bottomRight"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21">
    <mergeCell ref="R2:S2"/>
    <mergeCell ref="R33:R34"/>
    <mergeCell ref="S33:S34"/>
    <mergeCell ref="H2:I2"/>
    <mergeCell ref="M33:M34"/>
    <mergeCell ref="N33:N34"/>
    <mergeCell ref="O33:O34"/>
    <mergeCell ref="G33:G34"/>
    <mergeCell ref="I33:I34"/>
    <mergeCell ref="J33:J34"/>
    <mergeCell ref="K33:K34"/>
    <mergeCell ref="L33:L34"/>
    <mergeCell ref="H33:H34"/>
    <mergeCell ref="C2:D2"/>
    <mergeCell ref="E2:F2"/>
    <mergeCell ref="A33:A34"/>
    <mergeCell ref="B33:B34"/>
    <mergeCell ref="C33:C34"/>
    <mergeCell ref="D33:D34"/>
    <mergeCell ref="E33:E34"/>
    <mergeCell ref="F33:F34"/>
  </mergeCells>
  <phoneticPr fontId="9"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4"/>
  <sheetViews>
    <sheetView zoomScale="85" zoomScaleNormal="85" workbookViewId="0">
      <pane xSplit="2" ySplit="3" topLeftCell="AA27" activePane="bottomRight" state="frozen"/>
      <selection pane="topRight" activeCell="C1" sqref="C1"/>
      <selection pane="bottomLeft" activeCell="A4" sqref="A4"/>
      <selection pane="bottomRight" activeCell="AB48" sqref="AB48"/>
    </sheetView>
  </sheetViews>
  <sheetFormatPr defaultColWidth="9.44140625" defaultRowHeight="15.6"/>
  <cols>
    <col min="1" max="1" width="29.44140625" style="81" customWidth="1"/>
    <col min="2" max="2" width="44.44140625" style="81" customWidth="1"/>
    <col min="3" max="3" width="31.44140625" style="128" customWidth="1"/>
    <col min="4" max="4" width="29.5546875" style="82" customWidth="1"/>
    <col min="5" max="16" width="31.44140625" style="82" customWidth="1"/>
    <col min="17" max="17" width="31.44140625" style="128" customWidth="1"/>
    <col min="18" max="18" width="29.5546875" style="82" customWidth="1"/>
    <col min="19" max="22" width="31.44140625" style="82" customWidth="1"/>
    <col min="23" max="23" width="31.44140625" style="128" customWidth="1"/>
    <col min="24" max="26" width="31.5546875" style="82" customWidth="1"/>
    <col min="27" max="28" width="31.44140625" style="82" customWidth="1"/>
    <col min="29" max="29" width="29.44140625" style="81" customWidth="1"/>
    <col min="30" max="30" width="31.44140625" style="82" customWidth="1"/>
    <col min="31" max="31" width="25.88671875" style="81" customWidth="1"/>
    <col min="32" max="32" width="22.6640625" style="81" customWidth="1"/>
    <col min="33" max="33" width="25.88671875" style="81" customWidth="1"/>
    <col min="34" max="34" width="22.6640625" style="81" customWidth="1"/>
    <col min="35" max="16384" width="9.44140625" style="81"/>
  </cols>
  <sheetData>
    <row r="1" spans="1:34">
      <c r="A1" s="129" t="s">
        <v>61</v>
      </c>
      <c r="B1" s="82"/>
      <c r="U1" s="121"/>
      <c r="V1" s="121"/>
    </row>
    <row r="2" spans="1:34">
      <c r="A2" s="129" t="s">
        <v>62</v>
      </c>
      <c r="B2" s="86" t="s">
        <v>63</v>
      </c>
      <c r="C2" s="376" t="s">
        <v>5</v>
      </c>
      <c r="D2" s="377"/>
      <c r="E2" s="378"/>
      <c r="F2" s="376" t="s">
        <v>64</v>
      </c>
      <c r="G2" s="378"/>
      <c r="H2" s="109" t="s">
        <v>21</v>
      </c>
      <c r="I2" s="88" t="s">
        <v>17</v>
      </c>
      <c r="J2" s="379" t="s">
        <v>20</v>
      </c>
      <c r="K2" s="380"/>
      <c r="L2" s="109" t="s">
        <v>23</v>
      </c>
      <c r="M2" s="379" t="s">
        <v>24</v>
      </c>
      <c r="N2" s="380"/>
      <c r="O2" s="379" t="s">
        <v>25</v>
      </c>
      <c r="P2" s="380"/>
      <c r="Q2" s="376" t="s">
        <v>26</v>
      </c>
      <c r="R2" s="377"/>
      <c r="S2" s="379" t="s">
        <v>28</v>
      </c>
      <c r="T2" s="380"/>
      <c r="U2" s="393" t="s">
        <v>32</v>
      </c>
      <c r="V2" s="394"/>
      <c r="W2" s="217"/>
      <c r="X2" s="218" t="s">
        <v>673</v>
      </c>
      <c r="Y2" s="219"/>
      <c r="Z2" s="88" t="s">
        <v>36</v>
      </c>
      <c r="AA2" s="376" t="s">
        <v>38</v>
      </c>
      <c r="AB2" s="378"/>
      <c r="AC2" s="87" t="s">
        <v>25</v>
      </c>
      <c r="AD2" s="231" t="s">
        <v>30</v>
      </c>
      <c r="AE2" s="387" t="s">
        <v>15</v>
      </c>
      <c r="AF2" s="388"/>
      <c r="AG2" s="397" t="s">
        <v>927</v>
      </c>
      <c r="AH2" s="398"/>
    </row>
    <row r="3" spans="1:34">
      <c r="A3" s="129"/>
      <c r="B3" s="86"/>
      <c r="C3" s="131" t="s">
        <v>66</v>
      </c>
      <c r="D3" s="132" t="s">
        <v>67</v>
      </c>
      <c r="E3" s="131" t="s">
        <v>68</v>
      </c>
      <c r="F3" s="131" t="s">
        <v>66</v>
      </c>
      <c r="G3" s="132" t="s">
        <v>67</v>
      </c>
      <c r="H3" s="131" t="s">
        <v>66</v>
      </c>
      <c r="I3" s="146" t="s">
        <v>66</v>
      </c>
      <c r="J3" s="146" t="s">
        <v>66</v>
      </c>
      <c r="K3" s="146" t="s">
        <v>819</v>
      </c>
      <c r="L3" s="131" t="s">
        <v>66</v>
      </c>
      <c r="M3" s="131" t="s">
        <v>66</v>
      </c>
      <c r="N3" s="132" t="s">
        <v>67</v>
      </c>
      <c r="O3" s="146" t="s">
        <v>66</v>
      </c>
      <c r="P3" s="344" t="s">
        <v>854</v>
      </c>
      <c r="Q3" s="131" t="s">
        <v>66</v>
      </c>
      <c r="R3" s="132" t="s">
        <v>67</v>
      </c>
      <c r="S3" s="131" t="s">
        <v>66</v>
      </c>
      <c r="T3" s="132" t="s">
        <v>67</v>
      </c>
      <c r="U3" s="110" t="s">
        <v>67</v>
      </c>
      <c r="V3" s="110" t="s">
        <v>66</v>
      </c>
      <c r="W3" s="232" t="s">
        <v>66</v>
      </c>
      <c r="X3" s="132" t="s">
        <v>67</v>
      </c>
      <c r="Y3" s="255" t="s">
        <v>69</v>
      </c>
      <c r="Z3" s="169" t="s">
        <v>66</v>
      </c>
      <c r="AA3" s="170" t="s">
        <v>66</v>
      </c>
      <c r="AB3" s="171" t="s">
        <v>67</v>
      </c>
      <c r="AC3" s="146" t="s">
        <v>66</v>
      </c>
      <c r="AD3" s="183" t="s">
        <v>67</v>
      </c>
      <c r="AE3" s="131" t="s">
        <v>66</v>
      </c>
      <c r="AF3" s="132" t="s">
        <v>67</v>
      </c>
      <c r="AG3" s="131" t="s">
        <v>66</v>
      </c>
      <c r="AH3" s="132" t="s">
        <v>67</v>
      </c>
    </row>
    <row r="4" spans="1:34">
      <c r="A4" s="95" t="s">
        <v>70</v>
      </c>
      <c r="B4" s="133" t="s">
        <v>71</v>
      </c>
      <c r="C4" s="134" t="s">
        <v>72</v>
      </c>
      <c r="D4" s="134" t="s">
        <v>72</v>
      </c>
      <c r="E4" s="134" t="s">
        <v>72</v>
      </c>
      <c r="F4" s="134" t="s">
        <v>72</v>
      </c>
      <c r="G4" s="134" t="s">
        <v>72</v>
      </c>
      <c r="H4" s="134" t="s">
        <v>72</v>
      </c>
      <c r="I4" s="134" t="s">
        <v>72</v>
      </c>
      <c r="J4" s="134" t="s">
        <v>72</v>
      </c>
      <c r="K4" s="134" t="s">
        <v>72</v>
      </c>
      <c r="L4" s="134" t="s">
        <v>72</v>
      </c>
      <c r="M4" s="134" t="s">
        <v>72</v>
      </c>
      <c r="N4" s="134" t="s">
        <v>72</v>
      </c>
      <c r="O4" s="148" t="s">
        <v>72</v>
      </c>
      <c r="P4" s="166" t="s">
        <v>72</v>
      </c>
      <c r="Q4" s="134" t="s">
        <v>72</v>
      </c>
      <c r="R4" s="134" t="s">
        <v>72</v>
      </c>
      <c r="S4" s="134" t="s">
        <v>72</v>
      </c>
      <c r="T4" s="134" t="s">
        <v>72</v>
      </c>
      <c r="U4" s="122" t="s">
        <v>72</v>
      </c>
      <c r="V4" s="122" t="s">
        <v>72</v>
      </c>
      <c r="W4" s="134" t="s">
        <v>72</v>
      </c>
      <c r="X4" s="134" t="s">
        <v>72</v>
      </c>
      <c r="Y4" s="134" t="s">
        <v>72</v>
      </c>
      <c r="Z4" s="134" t="s">
        <v>72</v>
      </c>
      <c r="AA4" s="134" t="s">
        <v>72</v>
      </c>
      <c r="AB4" s="134" t="s">
        <v>72</v>
      </c>
      <c r="AC4" s="148" t="s">
        <v>72</v>
      </c>
      <c r="AD4" s="134" t="s">
        <v>72</v>
      </c>
      <c r="AE4" s="134" t="s">
        <v>72</v>
      </c>
      <c r="AF4" s="134" t="s">
        <v>72</v>
      </c>
      <c r="AG4" s="134" t="s">
        <v>72</v>
      </c>
      <c r="AH4" s="134" t="s">
        <v>72</v>
      </c>
    </row>
    <row r="5" spans="1:34">
      <c r="A5" s="95" t="s">
        <v>73</v>
      </c>
      <c r="B5" s="133"/>
      <c r="C5" s="134" t="s">
        <v>74</v>
      </c>
      <c r="D5" s="156" t="s">
        <v>75</v>
      </c>
      <c r="E5" s="134" t="s">
        <v>74</v>
      </c>
      <c r="F5" s="134" t="s">
        <v>74</v>
      </c>
      <c r="G5" s="156" t="s">
        <v>75</v>
      </c>
      <c r="H5" s="134" t="s">
        <v>74</v>
      </c>
      <c r="I5" s="134" t="s">
        <v>74</v>
      </c>
      <c r="J5" s="134" t="s">
        <v>74</v>
      </c>
      <c r="K5" s="289" t="s">
        <v>820</v>
      </c>
      <c r="L5" s="134" t="s">
        <v>74</v>
      </c>
      <c r="M5" s="134" t="s">
        <v>74</v>
      </c>
      <c r="N5" s="156" t="s">
        <v>75</v>
      </c>
      <c r="O5" s="166" t="s">
        <v>74</v>
      </c>
      <c r="P5" s="157" t="s">
        <v>75</v>
      </c>
      <c r="Q5" s="134" t="s">
        <v>74</v>
      </c>
      <c r="R5" s="156" t="s">
        <v>75</v>
      </c>
      <c r="S5" s="134" t="s">
        <v>74</v>
      </c>
      <c r="T5" s="156" t="s">
        <v>75</v>
      </c>
      <c r="U5" s="124" t="s">
        <v>75</v>
      </c>
      <c r="V5" s="122" t="s">
        <v>74</v>
      </c>
      <c r="W5" s="134" t="s">
        <v>74</v>
      </c>
      <c r="X5" s="156" t="s">
        <v>75</v>
      </c>
      <c r="Y5" s="95" t="s">
        <v>75</v>
      </c>
      <c r="Z5" s="134" t="s">
        <v>74</v>
      </c>
      <c r="AA5" s="134" t="s">
        <v>74</v>
      </c>
      <c r="AB5" s="156" t="s">
        <v>75</v>
      </c>
      <c r="AC5" s="166" t="s">
        <v>74</v>
      </c>
      <c r="AD5" s="156" t="s">
        <v>75</v>
      </c>
      <c r="AE5" s="134" t="s">
        <v>74</v>
      </c>
      <c r="AF5" s="156" t="s">
        <v>75</v>
      </c>
      <c r="AG5" s="134" t="s">
        <v>74</v>
      </c>
      <c r="AH5" s="156" t="s">
        <v>75</v>
      </c>
    </row>
    <row r="6" spans="1:34">
      <c r="A6" s="117" t="s">
        <v>76</v>
      </c>
      <c r="B6" s="133"/>
      <c r="C6" s="134" t="s">
        <v>72</v>
      </c>
      <c r="D6" s="134" t="s">
        <v>72</v>
      </c>
      <c r="E6" s="134" t="s">
        <v>72</v>
      </c>
      <c r="F6" s="134" t="s">
        <v>72</v>
      </c>
      <c r="G6" s="134" t="s">
        <v>72</v>
      </c>
      <c r="H6" s="134" t="s">
        <v>72</v>
      </c>
      <c r="I6" s="134" t="s">
        <v>72</v>
      </c>
      <c r="J6" s="134" t="s">
        <v>72</v>
      </c>
      <c r="K6" s="134" t="s">
        <v>72</v>
      </c>
      <c r="L6" s="134" t="s">
        <v>72</v>
      </c>
      <c r="M6" s="134" t="s">
        <v>72</v>
      </c>
      <c r="N6" s="134" t="s">
        <v>72</v>
      </c>
      <c r="O6" s="148" t="s">
        <v>72</v>
      </c>
      <c r="P6" s="166" t="s">
        <v>72</v>
      </c>
      <c r="Q6" s="134" t="s">
        <v>72</v>
      </c>
      <c r="R6" s="134" t="s">
        <v>72</v>
      </c>
      <c r="S6" s="134" t="s">
        <v>72</v>
      </c>
      <c r="T6" s="134" t="s">
        <v>72</v>
      </c>
      <c r="U6" s="122" t="s">
        <v>72</v>
      </c>
      <c r="V6" s="122" t="s">
        <v>72</v>
      </c>
      <c r="W6" s="134" t="s">
        <v>72</v>
      </c>
      <c r="X6" s="134" t="s">
        <v>72</v>
      </c>
      <c r="Y6" s="95" t="s">
        <v>72</v>
      </c>
      <c r="Z6" s="134" t="s">
        <v>72</v>
      </c>
      <c r="AA6" s="134" t="s">
        <v>72</v>
      </c>
      <c r="AB6" s="134" t="s">
        <v>72</v>
      </c>
      <c r="AC6" s="148" t="s">
        <v>72</v>
      </c>
      <c r="AD6" s="134" t="s">
        <v>72</v>
      </c>
      <c r="AE6" s="134" t="s">
        <v>72</v>
      </c>
      <c r="AF6" s="134" t="s">
        <v>72</v>
      </c>
      <c r="AG6" s="134" t="s">
        <v>72</v>
      </c>
      <c r="AH6" s="134" t="s">
        <v>72</v>
      </c>
    </row>
    <row r="7" spans="1:34">
      <c r="A7" s="117" t="s">
        <v>77</v>
      </c>
      <c r="B7" s="133" t="s">
        <v>78</v>
      </c>
      <c r="C7" s="134" t="s">
        <v>72</v>
      </c>
      <c r="D7" s="134" t="s">
        <v>72</v>
      </c>
      <c r="E7" s="134" t="s">
        <v>72</v>
      </c>
      <c r="F7" s="134" t="s">
        <v>72</v>
      </c>
      <c r="G7" s="134" t="s">
        <v>72</v>
      </c>
      <c r="H7" s="134" t="s">
        <v>72</v>
      </c>
      <c r="I7" s="134" t="s">
        <v>72</v>
      </c>
      <c r="J7" s="134" t="s">
        <v>72</v>
      </c>
      <c r="K7" s="134" t="s">
        <v>72</v>
      </c>
      <c r="L7" s="134" t="s">
        <v>72</v>
      </c>
      <c r="M7" s="134" t="s">
        <v>72</v>
      </c>
      <c r="N7" s="134" t="s">
        <v>72</v>
      </c>
      <c r="O7" s="148" t="s">
        <v>72</v>
      </c>
      <c r="P7" s="166" t="s">
        <v>72</v>
      </c>
      <c r="Q7" s="134" t="s">
        <v>72</v>
      </c>
      <c r="R7" s="134" t="s">
        <v>72</v>
      </c>
      <c r="S7" s="134" t="s">
        <v>72</v>
      </c>
      <c r="T7" s="134" t="s">
        <v>72</v>
      </c>
      <c r="U7" s="122" t="s">
        <v>72</v>
      </c>
      <c r="V7" s="122" t="s">
        <v>72</v>
      </c>
      <c r="W7" s="134" t="s">
        <v>72</v>
      </c>
      <c r="X7" s="134" t="s">
        <v>72</v>
      </c>
      <c r="Y7" s="134" t="s">
        <v>72</v>
      </c>
      <c r="Z7" s="134" t="s">
        <v>72</v>
      </c>
      <c r="AA7" s="134" t="s">
        <v>72</v>
      </c>
      <c r="AB7" s="134" t="s">
        <v>72</v>
      </c>
      <c r="AC7" s="148" t="s">
        <v>72</v>
      </c>
      <c r="AD7" s="134" t="s">
        <v>72</v>
      </c>
      <c r="AE7" s="134" t="s">
        <v>72</v>
      </c>
      <c r="AF7" s="134" t="s">
        <v>72</v>
      </c>
      <c r="AG7" s="134" t="s">
        <v>72</v>
      </c>
      <c r="AH7" s="134" t="s">
        <v>72</v>
      </c>
    </row>
    <row r="8" spans="1:34" ht="34.200000000000003">
      <c r="A8" s="95" t="s">
        <v>79</v>
      </c>
      <c r="B8" s="93" t="s">
        <v>80</v>
      </c>
      <c r="C8" s="134" t="s">
        <v>72</v>
      </c>
      <c r="D8" s="134" t="s">
        <v>72</v>
      </c>
      <c r="E8" s="95" t="s">
        <v>81</v>
      </c>
      <c r="F8" s="134" t="s">
        <v>72</v>
      </c>
      <c r="G8" s="134" t="s">
        <v>72</v>
      </c>
      <c r="H8" s="134" t="s">
        <v>72</v>
      </c>
      <c r="I8" s="134" t="s">
        <v>72</v>
      </c>
      <c r="J8" s="134" t="s">
        <v>72</v>
      </c>
      <c r="K8" s="134" t="s">
        <v>72</v>
      </c>
      <c r="L8" s="134" t="s">
        <v>72</v>
      </c>
      <c r="M8" s="134" t="s">
        <v>72</v>
      </c>
      <c r="N8" s="134" t="s">
        <v>72</v>
      </c>
      <c r="O8" s="148" t="s">
        <v>72</v>
      </c>
      <c r="P8" s="166" t="s">
        <v>72</v>
      </c>
      <c r="Q8" s="134" t="s">
        <v>72</v>
      </c>
      <c r="R8" s="134" t="s">
        <v>72</v>
      </c>
      <c r="S8" s="134" t="s">
        <v>72</v>
      </c>
      <c r="T8" s="134" t="s">
        <v>72</v>
      </c>
      <c r="U8" s="122" t="s">
        <v>72</v>
      </c>
      <c r="V8" s="122" t="s">
        <v>72</v>
      </c>
      <c r="W8" s="134" t="s">
        <v>72</v>
      </c>
      <c r="X8" s="134" t="s">
        <v>72</v>
      </c>
      <c r="Y8" s="93" t="s">
        <v>81</v>
      </c>
      <c r="Z8" s="134" t="s">
        <v>72</v>
      </c>
      <c r="AA8" s="139" t="s">
        <v>72</v>
      </c>
      <c r="AB8" s="139" t="s">
        <v>72</v>
      </c>
      <c r="AC8" s="148" t="s">
        <v>72</v>
      </c>
      <c r="AD8" s="166" t="s">
        <v>72</v>
      </c>
      <c r="AE8" s="134" t="s">
        <v>72</v>
      </c>
      <c r="AF8" s="134" t="s">
        <v>72</v>
      </c>
      <c r="AG8" s="134" t="s">
        <v>72</v>
      </c>
      <c r="AH8" s="134" t="s">
        <v>72</v>
      </c>
    </row>
    <row r="9" spans="1:34" ht="22.8">
      <c r="A9" s="117" t="s">
        <v>82</v>
      </c>
      <c r="B9" s="93" t="s">
        <v>83</v>
      </c>
      <c r="C9" s="134" t="s">
        <v>84</v>
      </c>
      <c r="D9" s="134" t="s">
        <v>85</v>
      </c>
      <c r="E9" s="134" t="s">
        <v>791</v>
      </c>
      <c r="F9" s="134" t="s">
        <v>84</v>
      </c>
      <c r="G9" s="134" t="s">
        <v>84</v>
      </c>
      <c r="H9" s="134" t="s">
        <v>84</v>
      </c>
      <c r="I9" s="134" t="s">
        <v>84</v>
      </c>
      <c r="J9" s="134" t="s">
        <v>84</v>
      </c>
      <c r="K9" s="134" t="s">
        <v>84</v>
      </c>
      <c r="L9" s="134" t="s">
        <v>84</v>
      </c>
      <c r="M9" s="134" t="s">
        <v>84</v>
      </c>
      <c r="N9" s="134" t="s">
        <v>84</v>
      </c>
      <c r="O9" s="149" t="s">
        <v>84</v>
      </c>
      <c r="P9" s="166" t="s">
        <v>871</v>
      </c>
      <c r="Q9" s="134" t="s">
        <v>84</v>
      </c>
      <c r="R9" s="134" t="s">
        <v>87</v>
      </c>
      <c r="S9" s="134" t="s">
        <v>84</v>
      </c>
      <c r="T9" s="134" t="s">
        <v>84</v>
      </c>
      <c r="U9" s="122" t="s">
        <v>87</v>
      </c>
      <c r="V9" s="122" t="s">
        <v>84</v>
      </c>
      <c r="W9" s="134" t="s">
        <v>84</v>
      </c>
      <c r="X9" s="134" t="s">
        <v>87</v>
      </c>
      <c r="Y9" s="134" t="s">
        <v>791</v>
      </c>
      <c r="Z9" s="134" t="s">
        <v>84</v>
      </c>
      <c r="AA9" s="134" t="s">
        <v>290</v>
      </c>
      <c r="AB9" s="134" t="s">
        <v>290</v>
      </c>
      <c r="AC9" s="149" t="s">
        <v>84</v>
      </c>
      <c r="AD9" s="134" t="s">
        <v>291</v>
      </c>
      <c r="AE9" s="134" t="s">
        <v>84</v>
      </c>
      <c r="AF9" s="134" t="s">
        <v>85</v>
      </c>
      <c r="AG9" s="134" t="s">
        <v>84</v>
      </c>
      <c r="AH9" s="134" t="s">
        <v>857</v>
      </c>
    </row>
    <row r="10" spans="1:34" ht="34.200000000000003">
      <c r="A10" s="94" t="s">
        <v>89</v>
      </c>
      <c r="B10" s="136" t="s">
        <v>90</v>
      </c>
      <c r="C10" s="134" t="s">
        <v>72</v>
      </c>
      <c r="D10" s="134" t="s">
        <v>72</v>
      </c>
      <c r="E10" s="137">
        <v>0.1</v>
      </c>
      <c r="F10" s="134" t="s">
        <v>72</v>
      </c>
      <c r="G10" s="134" t="s">
        <v>72</v>
      </c>
      <c r="H10" s="134" t="s">
        <v>72</v>
      </c>
      <c r="I10" s="134" t="s">
        <v>72</v>
      </c>
      <c r="J10" s="134" t="s">
        <v>72</v>
      </c>
      <c r="K10" s="134" t="s">
        <v>72</v>
      </c>
      <c r="L10" s="134" t="s">
        <v>72</v>
      </c>
      <c r="M10" s="134" t="s">
        <v>72</v>
      </c>
      <c r="N10" s="134" t="s">
        <v>72</v>
      </c>
      <c r="O10" s="148" t="s">
        <v>72</v>
      </c>
      <c r="P10" s="148" t="s">
        <v>72</v>
      </c>
      <c r="Q10" s="134" t="s">
        <v>72</v>
      </c>
      <c r="R10" s="134" t="s">
        <v>72</v>
      </c>
      <c r="S10" s="134" t="s">
        <v>72</v>
      </c>
      <c r="T10" s="134" t="s">
        <v>72</v>
      </c>
      <c r="U10" s="122" t="s">
        <v>72</v>
      </c>
      <c r="V10" s="122" t="s">
        <v>72</v>
      </c>
      <c r="W10" s="134" t="s">
        <v>72</v>
      </c>
      <c r="X10" s="134" t="s">
        <v>72</v>
      </c>
      <c r="Y10" s="137">
        <v>0.1</v>
      </c>
      <c r="Z10" s="134" t="s">
        <v>72</v>
      </c>
      <c r="AA10" s="139" t="s">
        <v>72</v>
      </c>
      <c r="AB10" s="139" t="s">
        <v>72</v>
      </c>
      <c r="AC10" s="148" t="s">
        <v>72</v>
      </c>
      <c r="AD10" s="134" t="s">
        <v>698</v>
      </c>
      <c r="AE10" s="134" t="s">
        <v>72</v>
      </c>
      <c r="AF10" s="134" t="s">
        <v>72</v>
      </c>
      <c r="AG10" s="134" t="s">
        <v>72</v>
      </c>
      <c r="AH10" s="134" t="s">
        <v>72</v>
      </c>
    </row>
    <row r="11" spans="1:34" ht="22.8">
      <c r="A11" s="117" t="s">
        <v>92</v>
      </c>
      <c r="B11" s="134" t="s">
        <v>93</v>
      </c>
      <c r="C11" s="134" t="s">
        <v>295</v>
      </c>
      <c r="D11" s="134" t="s">
        <v>296</v>
      </c>
      <c r="E11" s="134" t="s">
        <v>295</v>
      </c>
      <c r="F11" s="134" t="s">
        <v>295</v>
      </c>
      <c r="G11" s="134" t="s">
        <v>296</v>
      </c>
      <c r="H11" s="134" t="s">
        <v>72</v>
      </c>
      <c r="I11" s="134" t="s">
        <v>72</v>
      </c>
      <c r="J11" s="134" t="s">
        <v>72</v>
      </c>
      <c r="K11" s="134" t="s">
        <v>72</v>
      </c>
      <c r="L11" s="134" t="s">
        <v>72</v>
      </c>
      <c r="M11" s="134" t="s">
        <v>295</v>
      </c>
      <c r="N11" s="134" t="s">
        <v>296</v>
      </c>
      <c r="O11" s="148" t="s">
        <v>295</v>
      </c>
      <c r="P11" s="166" t="s">
        <v>297</v>
      </c>
      <c r="Q11" s="134" t="s">
        <v>295</v>
      </c>
      <c r="R11" s="134" t="s">
        <v>296</v>
      </c>
      <c r="S11" s="134" t="s">
        <v>295</v>
      </c>
      <c r="T11" s="134" t="s">
        <v>296</v>
      </c>
      <c r="U11" s="124" t="s">
        <v>297</v>
      </c>
      <c r="V11" s="122" t="s">
        <v>295</v>
      </c>
      <c r="W11" s="134" t="s">
        <v>295</v>
      </c>
      <c r="X11" s="134" t="s">
        <v>296</v>
      </c>
      <c r="Y11" s="134" t="s">
        <v>72</v>
      </c>
      <c r="Z11" s="134" t="s">
        <v>295</v>
      </c>
      <c r="AA11" s="134" t="s">
        <v>72</v>
      </c>
      <c r="AB11" s="139" t="s">
        <v>72</v>
      </c>
      <c r="AC11" s="148" t="s">
        <v>295</v>
      </c>
      <c r="AD11" s="134" t="s">
        <v>297</v>
      </c>
      <c r="AE11" s="134" t="s">
        <v>295</v>
      </c>
      <c r="AF11" s="134" t="s">
        <v>296</v>
      </c>
      <c r="AG11" s="134" t="s">
        <v>295</v>
      </c>
      <c r="AH11" s="134" t="s">
        <v>296</v>
      </c>
    </row>
    <row r="12" spans="1:34" ht="22.8">
      <c r="A12" s="117" t="s">
        <v>95</v>
      </c>
      <c r="B12" s="133"/>
      <c r="C12" s="134" t="s">
        <v>96</v>
      </c>
      <c r="D12" s="156" t="s">
        <v>97</v>
      </c>
      <c r="E12" s="134" t="s">
        <v>96</v>
      </c>
      <c r="F12" s="134" t="s">
        <v>96</v>
      </c>
      <c r="G12" s="156" t="s">
        <v>98</v>
      </c>
      <c r="H12" s="134" t="s">
        <v>96</v>
      </c>
      <c r="I12" s="134" t="s">
        <v>96</v>
      </c>
      <c r="J12" s="134" t="s">
        <v>96</v>
      </c>
      <c r="K12" s="289" t="s">
        <v>821</v>
      </c>
      <c r="L12" s="134" t="s">
        <v>96</v>
      </c>
      <c r="M12" s="134" t="s">
        <v>96</v>
      </c>
      <c r="N12" s="156" t="s">
        <v>98</v>
      </c>
      <c r="O12" s="148" t="s">
        <v>96</v>
      </c>
      <c r="P12" s="166" t="s">
        <v>97</v>
      </c>
      <c r="Q12" s="134" t="s">
        <v>96</v>
      </c>
      <c r="R12" s="156" t="s">
        <v>97</v>
      </c>
      <c r="S12" s="134" t="s">
        <v>96</v>
      </c>
      <c r="T12" s="156" t="s">
        <v>98</v>
      </c>
      <c r="U12" s="122" t="s">
        <v>299</v>
      </c>
      <c r="V12" s="122" t="s">
        <v>300</v>
      </c>
      <c r="W12" s="134" t="s">
        <v>96</v>
      </c>
      <c r="X12" s="156" t="s">
        <v>97</v>
      </c>
      <c r="Y12" s="134" t="s">
        <v>738</v>
      </c>
      <c r="Z12" s="134" t="s">
        <v>96</v>
      </c>
      <c r="AA12" s="134" t="s">
        <v>96</v>
      </c>
      <c r="AB12" s="156" t="s">
        <v>98</v>
      </c>
      <c r="AC12" s="148" t="s">
        <v>96</v>
      </c>
      <c r="AD12" s="134" t="s">
        <v>97</v>
      </c>
      <c r="AE12" s="134" t="s">
        <v>96</v>
      </c>
      <c r="AF12" s="156" t="s">
        <v>97</v>
      </c>
      <c r="AG12" s="134" t="s">
        <v>96</v>
      </c>
      <c r="AH12" s="156" t="s">
        <v>97</v>
      </c>
    </row>
    <row r="13" spans="1:34" ht="26.4">
      <c r="A13" s="117" t="s">
        <v>101</v>
      </c>
      <c r="B13" s="161" t="s">
        <v>103</v>
      </c>
      <c r="C13" s="161" t="s">
        <v>103</v>
      </c>
      <c r="D13" s="161" t="s">
        <v>103</v>
      </c>
      <c r="E13" s="161" t="s">
        <v>103</v>
      </c>
      <c r="F13" s="161" t="s">
        <v>103</v>
      </c>
      <c r="G13" s="161" t="s">
        <v>103</v>
      </c>
      <c r="H13" s="161" t="s">
        <v>103</v>
      </c>
      <c r="I13" s="161" t="s">
        <v>103</v>
      </c>
      <c r="J13" s="161" t="s">
        <v>103</v>
      </c>
      <c r="K13" s="161" t="s">
        <v>103</v>
      </c>
      <c r="L13" s="163" t="s">
        <v>103</v>
      </c>
      <c r="M13" s="161" t="s">
        <v>103</v>
      </c>
      <c r="N13" s="161" t="s">
        <v>103</v>
      </c>
      <c r="O13" s="167" t="s">
        <v>104</v>
      </c>
      <c r="P13" s="166" t="s">
        <v>72</v>
      </c>
      <c r="Q13" s="161" t="s">
        <v>103</v>
      </c>
      <c r="R13" s="161" t="s">
        <v>103</v>
      </c>
      <c r="S13" s="161" t="s">
        <v>103</v>
      </c>
      <c r="T13" s="161" t="s">
        <v>103</v>
      </c>
      <c r="U13" s="172" t="s">
        <v>103</v>
      </c>
      <c r="V13" s="172" t="s">
        <v>103</v>
      </c>
      <c r="W13" s="161" t="s">
        <v>103</v>
      </c>
      <c r="X13" s="161" t="s">
        <v>103</v>
      </c>
      <c r="Y13" s="163" t="s">
        <v>103</v>
      </c>
      <c r="Z13" s="161" t="s">
        <v>103</v>
      </c>
      <c r="AA13" s="139" t="s">
        <v>72</v>
      </c>
      <c r="AB13" s="139" t="s">
        <v>72</v>
      </c>
      <c r="AC13" s="167" t="s">
        <v>104</v>
      </c>
      <c r="AD13" s="134" t="s">
        <v>72</v>
      </c>
      <c r="AE13" s="161" t="s">
        <v>103</v>
      </c>
      <c r="AF13" s="161" t="s">
        <v>103</v>
      </c>
      <c r="AG13" s="161" t="s">
        <v>103</v>
      </c>
      <c r="AH13" s="161" t="s">
        <v>103</v>
      </c>
    </row>
    <row r="14" spans="1:34" ht="22.8">
      <c r="A14" s="117" t="s">
        <v>106</v>
      </c>
      <c r="B14" s="133"/>
      <c r="C14" s="153" t="s">
        <v>107</v>
      </c>
      <c r="D14" s="153" t="s">
        <v>107</v>
      </c>
      <c r="E14" s="153" t="s">
        <v>107</v>
      </c>
      <c r="F14" s="153" t="s">
        <v>107</v>
      </c>
      <c r="G14" s="153" t="s">
        <v>107</v>
      </c>
      <c r="H14" s="153" t="s">
        <v>107</v>
      </c>
      <c r="I14" s="153" t="s">
        <v>107</v>
      </c>
      <c r="J14" s="153" t="s">
        <v>107</v>
      </c>
      <c r="K14" s="153" t="s">
        <v>107</v>
      </c>
      <c r="L14" s="138" t="s">
        <v>107</v>
      </c>
      <c r="M14" s="153" t="s">
        <v>107</v>
      </c>
      <c r="N14" s="134" t="s">
        <v>109</v>
      </c>
      <c r="O14" s="167" t="s">
        <v>107</v>
      </c>
      <c r="P14" s="166" t="s">
        <v>872</v>
      </c>
      <c r="Q14" s="153" t="s">
        <v>107</v>
      </c>
      <c r="R14" s="134" t="s">
        <v>109</v>
      </c>
      <c r="S14" s="153" t="s">
        <v>107</v>
      </c>
      <c r="T14" s="134" t="s">
        <v>109</v>
      </c>
      <c r="U14" s="173" t="s">
        <v>110</v>
      </c>
      <c r="V14" s="172" t="s">
        <v>107</v>
      </c>
      <c r="W14" s="153" t="s">
        <v>107</v>
      </c>
      <c r="X14" s="280" t="s">
        <v>107</v>
      </c>
      <c r="Y14" s="153" t="s">
        <v>107</v>
      </c>
      <c r="Z14" s="153" t="s">
        <v>107</v>
      </c>
      <c r="AA14" s="174" t="s">
        <v>107</v>
      </c>
      <c r="AB14" s="139" t="s">
        <v>303</v>
      </c>
      <c r="AC14" s="167" t="s">
        <v>107</v>
      </c>
      <c r="AD14" s="134" t="s">
        <v>302</v>
      </c>
      <c r="AE14" s="153" t="s">
        <v>107</v>
      </c>
      <c r="AF14" s="134" t="s">
        <v>109</v>
      </c>
      <c r="AG14" s="153" t="s">
        <v>107</v>
      </c>
      <c r="AH14" s="134" t="s">
        <v>109</v>
      </c>
    </row>
    <row r="15" spans="1:34" ht="45.6">
      <c r="A15" s="117" t="s">
        <v>112</v>
      </c>
      <c r="B15" s="133"/>
      <c r="C15" s="138" t="s">
        <v>113</v>
      </c>
      <c r="D15" s="138" t="s">
        <v>113</v>
      </c>
      <c r="E15" s="134" t="s">
        <v>114</v>
      </c>
      <c r="F15" s="138" t="s">
        <v>113</v>
      </c>
      <c r="G15" s="138" t="s">
        <v>113</v>
      </c>
      <c r="H15" s="138" t="s">
        <v>115</v>
      </c>
      <c r="I15" s="138" t="s">
        <v>115</v>
      </c>
      <c r="J15" s="95" t="s">
        <v>201</v>
      </c>
      <c r="K15" s="308" t="s">
        <v>123</v>
      </c>
      <c r="L15" s="138" t="s">
        <v>121</v>
      </c>
      <c r="M15" s="138" t="s">
        <v>122</v>
      </c>
      <c r="N15" s="156" t="s">
        <v>123</v>
      </c>
      <c r="O15" s="148" t="s">
        <v>124</v>
      </c>
      <c r="P15" s="157" t="s">
        <v>123</v>
      </c>
      <c r="Q15" s="138" t="s">
        <v>113</v>
      </c>
      <c r="R15" s="156" t="s">
        <v>123</v>
      </c>
      <c r="S15" s="138" t="s">
        <v>113</v>
      </c>
      <c r="T15" s="156" t="s">
        <v>123</v>
      </c>
      <c r="U15" s="126" t="s">
        <v>123</v>
      </c>
      <c r="V15" s="126" t="s">
        <v>306</v>
      </c>
      <c r="W15" s="138" t="s">
        <v>113</v>
      </c>
      <c r="X15" s="156" t="s">
        <v>123</v>
      </c>
      <c r="Y15" s="134" t="s">
        <v>804</v>
      </c>
      <c r="Z15" s="138" t="s">
        <v>113</v>
      </c>
      <c r="AA15" s="174" t="s">
        <v>113</v>
      </c>
      <c r="AB15" s="175" t="s">
        <v>123</v>
      </c>
      <c r="AC15" s="148" t="s">
        <v>124</v>
      </c>
      <c r="AD15" s="157" t="s">
        <v>123</v>
      </c>
      <c r="AE15" s="138" t="s">
        <v>113</v>
      </c>
      <c r="AF15" s="188" t="s">
        <v>123</v>
      </c>
      <c r="AG15" s="138" t="s">
        <v>113</v>
      </c>
      <c r="AH15" s="188" t="s">
        <v>123</v>
      </c>
    </row>
    <row r="16" spans="1:34">
      <c r="A16" s="117" t="s">
        <v>126</v>
      </c>
      <c r="B16" s="133"/>
      <c r="C16" s="138" t="s">
        <v>127</v>
      </c>
      <c r="D16" s="138" t="s">
        <v>127</v>
      </c>
      <c r="E16" s="95" t="s">
        <v>128</v>
      </c>
      <c r="F16" s="138" t="s">
        <v>127</v>
      </c>
      <c r="G16" s="138" t="s">
        <v>127</v>
      </c>
      <c r="H16" s="138" t="s">
        <v>127</v>
      </c>
      <c r="I16" s="138" t="s">
        <v>127</v>
      </c>
      <c r="J16" s="138" t="s">
        <v>127</v>
      </c>
      <c r="K16" s="138" t="s">
        <v>127</v>
      </c>
      <c r="L16" s="138" t="s">
        <v>127</v>
      </c>
      <c r="M16" s="138" t="s">
        <v>127</v>
      </c>
      <c r="N16" s="138" t="s">
        <v>127</v>
      </c>
      <c r="O16" s="148" t="s">
        <v>127</v>
      </c>
      <c r="P16" s="160" t="s">
        <v>127</v>
      </c>
      <c r="Q16" s="138" t="s">
        <v>127</v>
      </c>
      <c r="R16" s="138" t="s">
        <v>127</v>
      </c>
      <c r="S16" s="138" t="s">
        <v>127</v>
      </c>
      <c r="T16" s="138" t="s">
        <v>127</v>
      </c>
      <c r="U16" s="172" t="s">
        <v>127</v>
      </c>
      <c r="V16" s="172" t="s">
        <v>127</v>
      </c>
      <c r="W16" s="138" t="s">
        <v>127</v>
      </c>
      <c r="X16" s="138" t="s">
        <v>127</v>
      </c>
      <c r="Y16" s="95" t="s">
        <v>129</v>
      </c>
      <c r="Z16" s="138" t="s">
        <v>127</v>
      </c>
      <c r="AA16" s="174" t="s">
        <v>127</v>
      </c>
      <c r="AB16" s="174" t="s">
        <v>127</v>
      </c>
      <c r="AC16" s="148" t="s">
        <v>127</v>
      </c>
      <c r="AD16" s="160" t="s">
        <v>127</v>
      </c>
      <c r="AE16" s="138" t="s">
        <v>127</v>
      </c>
      <c r="AF16" s="138" t="s">
        <v>127</v>
      </c>
      <c r="AG16" s="138" t="s">
        <v>127</v>
      </c>
      <c r="AH16" s="138" t="s">
        <v>127</v>
      </c>
    </row>
    <row r="17" spans="1:34" ht="26.4">
      <c r="A17" s="95" t="s">
        <v>130</v>
      </c>
      <c r="B17" s="133"/>
      <c r="C17" s="162" t="s">
        <v>369</v>
      </c>
      <c r="D17" s="162" t="s">
        <v>369</v>
      </c>
      <c r="E17" s="163" t="s">
        <v>370</v>
      </c>
      <c r="F17" s="162" t="s">
        <v>133</v>
      </c>
      <c r="G17" s="162" t="s">
        <v>133</v>
      </c>
      <c r="H17" s="162" t="s">
        <v>134</v>
      </c>
      <c r="I17" s="162" t="s">
        <v>134</v>
      </c>
      <c r="J17" s="162" t="s">
        <v>133</v>
      </c>
      <c r="K17" s="162" t="s">
        <v>133</v>
      </c>
      <c r="L17" s="163" t="s">
        <v>134</v>
      </c>
      <c r="M17" s="162" t="s">
        <v>134</v>
      </c>
      <c r="N17" s="162" t="s">
        <v>134</v>
      </c>
      <c r="O17" s="148" t="s">
        <v>123</v>
      </c>
      <c r="P17" s="148" t="s">
        <v>123</v>
      </c>
      <c r="Q17" s="162" t="s">
        <v>134</v>
      </c>
      <c r="R17" s="162" t="s">
        <v>134</v>
      </c>
      <c r="S17" s="162" t="s">
        <v>134</v>
      </c>
      <c r="T17" s="162" t="s">
        <v>134</v>
      </c>
      <c r="U17" s="172" t="s">
        <v>133</v>
      </c>
      <c r="V17" s="172" t="s">
        <v>133</v>
      </c>
      <c r="W17" s="162" t="s">
        <v>369</v>
      </c>
      <c r="X17" s="162" t="s">
        <v>134</v>
      </c>
      <c r="Y17" s="163" t="s">
        <v>743</v>
      </c>
      <c r="Z17" s="162" t="s">
        <v>134</v>
      </c>
      <c r="AA17" s="174" t="s">
        <v>133</v>
      </c>
      <c r="AB17" s="174" t="s">
        <v>134</v>
      </c>
      <c r="AC17" s="148" t="s">
        <v>123</v>
      </c>
      <c r="AD17" s="138" t="s">
        <v>700</v>
      </c>
      <c r="AE17" s="138" t="s">
        <v>700</v>
      </c>
      <c r="AF17" s="138" t="s">
        <v>700</v>
      </c>
      <c r="AG17" s="138" t="s">
        <v>700</v>
      </c>
      <c r="AH17" s="138" t="s">
        <v>700</v>
      </c>
    </row>
    <row r="18" spans="1:34" ht="22.8">
      <c r="A18" s="95" t="s">
        <v>136</v>
      </c>
      <c r="B18" s="133"/>
      <c r="C18" s="138" t="s">
        <v>139</v>
      </c>
      <c r="D18" s="138" t="s">
        <v>139</v>
      </c>
      <c r="E18" s="138" t="s">
        <v>371</v>
      </c>
      <c r="F18" s="138" t="s">
        <v>139</v>
      </c>
      <c r="G18" s="138" t="s">
        <v>139</v>
      </c>
      <c r="H18" s="138" t="s">
        <v>139</v>
      </c>
      <c r="I18" s="152" t="s">
        <v>372</v>
      </c>
      <c r="J18" s="138" t="s">
        <v>139</v>
      </c>
      <c r="K18" s="138" t="s">
        <v>139</v>
      </c>
      <c r="L18" s="138" t="s">
        <v>140</v>
      </c>
      <c r="M18" s="138" t="s">
        <v>139</v>
      </c>
      <c r="N18" s="138" t="s">
        <v>139</v>
      </c>
      <c r="O18" s="148" t="s">
        <v>139</v>
      </c>
      <c r="P18" s="148" t="s">
        <v>139</v>
      </c>
      <c r="Q18" s="138" t="s">
        <v>139</v>
      </c>
      <c r="R18" s="138" t="s">
        <v>139</v>
      </c>
      <c r="S18" s="138" t="s">
        <v>139</v>
      </c>
      <c r="T18" s="138" t="s">
        <v>139</v>
      </c>
      <c r="U18" s="172" t="s">
        <v>139</v>
      </c>
      <c r="V18" s="172" t="s">
        <v>139</v>
      </c>
      <c r="W18" s="138" t="s">
        <v>139</v>
      </c>
      <c r="X18" s="138" t="s">
        <v>139</v>
      </c>
      <c r="Y18" s="138" t="s">
        <v>749</v>
      </c>
      <c r="Z18" s="138" t="s">
        <v>139</v>
      </c>
      <c r="AA18" s="174" t="s">
        <v>309</v>
      </c>
      <c r="AB18" s="174" t="s">
        <v>309</v>
      </c>
      <c r="AC18" s="148" t="s">
        <v>139</v>
      </c>
      <c r="AD18" s="138" t="s">
        <v>705</v>
      </c>
      <c r="AE18" s="138" t="s">
        <v>308</v>
      </c>
      <c r="AF18" s="138" t="s">
        <v>139</v>
      </c>
      <c r="AG18" s="138" t="s">
        <v>308</v>
      </c>
      <c r="AH18" s="138" t="s">
        <v>928</v>
      </c>
    </row>
    <row r="19" spans="1:34" ht="22.8">
      <c r="A19" s="95" t="s">
        <v>141</v>
      </c>
      <c r="B19" s="93" t="s">
        <v>142</v>
      </c>
      <c r="C19" s="134" t="s">
        <v>72</v>
      </c>
      <c r="D19" s="134" t="s">
        <v>72</v>
      </c>
      <c r="E19" s="134" t="s">
        <v>143</v>
      </c>
      <c r="F19" s="134" t="s">
        <v>72</v>
      </c>
      <c r="G19" s="134" t="s">
        <v>72</v>
      </c>
      <c r="H19" s="134" t="s">
        <v>72</v>
      </c>
      <c r="I19" s="134" t="s">
        <v>72</v>
      </c>
      <c r="J19" s="134" t="s">
        <v>72</v>
      </c>
      <c r="K19" s="134" t="s">
        <v>72</v>
      </c>
      <c r="L19" s="134" t="s">
        <v>72</v>
      </c>
      <c r="M19" s="134" t="s">
        <v>72</v>
      </c>
      <c r="N19" s="134" t="s">
        <v>72</v>
      </c>
      <c r="O19" s="148" t="s">
        <v>72</v>
      </c>
      <c r="P19" s="166" t="s">
        <v>72</v>
      </c>
      <c r="Q19" s="134" t="s">
        <v>72</v>
      </c>
      <c r="R19" s="134" t="s">
        <v>72</v>
      </c>
      <c r="S19" s="134" t="s">
        <v>72</v>
      </c>
      <c r="T19" s="134" t="s">
        <v>72</v>
      </c>
      <c r="U19" s="122" t="s">
        <v>72</v>
      </c>
      <c r="V19" s="122" t="s">
        <v>72</v>
      </c>
      <c r="W19" s="134" t="s">
        <v>72</v>
      </c>
      <c r="X19" s="134" t="s">
        <v>72</v>
      </c>
      <c r="Y19" s="134" t="s">
        <v>143</v>
      </c>
      <c r="Z19" s="134" t="s">
        <v>72</v>
      </c>
      <c r="AA19" s="139" t="s">
        <v>72</v>
      </c>
      <c r="AB19" s="139" t="s">
        <v>72</v>
      </c>
      <c r="AC19" s="148" t="s">
        <v>72</v>
      </c>
      <c r="AD19" s="166" t="s">
        <v>72</v>
      </c>
      <c r="AE19" s="134" t="s">
        <v>72</v>
      </c>
      <c r="AF19" s="134" t="s">
        <v>72</v>
      </c>
      <c r="AG19" s="134" t="s">
        <v>72</v>
      </c>
      <c r="AH19" s="134" t="s">
        <v>72</v>
      </c>
    </row>
    <row r="20" spans="1:34" ht="68.400000000000006">
      <c r="A20" s="95" t="s">
        <v>144</v>
      </c>
      <c r="B20" s="93" t="s">
        <v>145</v>
      </c>
      <c r="C20" s="153" t="s">
        <v>123</v>
      </c>
      <c r="D20" s="134" t="s">
        <v>874</v>
      </c>
      <c r="E20" s="153" t="s">
        <v>123</v>
      </c>
      <c r="F20" s="153" t="s">
        <v>123</v>
      </c>
      <c r="G20" s="134" t="s">
        <v>123</v>
      </c>
      <c r="H20" s="153" t="s">
        <v>123</v>
      </c>
      <c r="I20" s="153" t="s">
        <v>123</v>
      </c>
      <c r="J20" s="153" t="s">
        <v>123</v>
      </c>
      <c r="K20" s="153" t="s">
        <v>123</v>
      </c>
      <c r="L20" s="138" t="s">
        <v>123</v>
      </c>
      <c r="M20" s="153" t="s">
        <v>123</v>
      </c>
      <c r="N20" s="134" t="s">
        <v>310</v>
      </c>
      <c r="O20" s="167" t="s">
        <v>123</v>
      </c>
      <c r="P20" s="166" t="s">
        <v>875</v>
      </c>
      <c r="Q20" s="153" t="s">
        <v>123</v>
      </c>
      <c r="R20" s="134" t="s">
        <v>310</v>
      </c>
      <c r="S20" s="153" t="s">
        <v>123</v>
      </c>
      <c r="T20" s="134" t="s">
        <v>373</v>
      </c>
      <c r="U20" s="172" t="s">
        <v>149</v>
      </c>
      <c r="V20" s="172" t="s">
        <v>123</v>
      </c>
      <c r="W20" s="153" t="s">
        <v>123</v>
      </c>
      <c r="X20" s="134" t="s">
        <v>310</v>
      </c>
      <c r="Y20" s="134" t="s">
        <v>750</v>
      </c>
      <c r="Z20" s="153" t="s">
        <v>123</v>
      </c>
      <c r="AA20" s="174" t="s">
        <v>123</v>
      </c>
      <c r="AB20" s="313" t="s">
        <v>934</v>
      </c>
      <c r="AC20" s="167" t="s">
        <v>123</v>
      </c>
      <c r="AD20" s="166" t="s">
        <v>701</v>
      </c>
      <c r="AE20" s="153" t="s">
        <v>123</v>
      </c>
      <c r="AF20" s="134" t="s">
        <v>917</v>
      </c>
      <c r="AG20" s="153" t="s">
        <v>123</v>
      </c>
      <c r="AH20" s="134" t="s">
        <v>929</v>
      </c>
    </row>
    <row r="21" spans="1:34" ht="45.6">
      <c r="A21" s="95" t="s">
        <v>151</v>
      </c>
      <c r="B21" s="133"/>
      <c r="C21" s="153" t="s">
        <v>152</v>
      </c>
      <c r="D21" s="134" t="s">
        <v>153</v>
      </c>
      <c r="E21" s="153" t="s">
        <v>152</v>
      </c>
      <c r="F21" s="153" t="s">
        <v>152</v>
      </c>
      <c r="G21" s="153" t="s">
        <v>152</v>
      </c>
      <c r="H21" s="153" t="s">
        <v>152</v>
      </c>
      <c r="I21" s="153" t="s">
        <v>152</v>
      </c>
      <c r="J21" s="153" t="s">
        <v>152</v>
      </c>
      <c r="K21" s="153" t="s">
        <v>152</v>
      </c>
      <c r="L21" s="138" t="s">
        <v>152</v>
      </c>
      <c r="M21" s="152" t="s">
        <v>152</v>
      </c>
      <c r="N21" s="134" t="s">
        <v>153</v>
      </c>
      <c r="O21" s="168" t="s">
        <v>152</v>
      </c>
      <c r="P21" s="166" t="s">
        <v>876</v>
      </c>
      <c r="Q21" s="153" t="s">
        <v>152</v>
      </c>
      <c r="R21" s="134" t="s">
        <v>153</v>
      </c>
      <c r="S21" s="153" t="s">
        <v>152</v>
      </c>
      <c r="T21" s="134" t="s">
        <v>153</v>
      </c>
      <c r="U21" s="172" t="s">
        <v>152</v>
      </c>
      <c r="V21" s="172" t="s">
        <v>152</v>
      </c>
      <c r="W21" s="153" t="s">
        <v>152</v>
      </c>
      <c r="X21" s="134" t="s">
        <v>153</v>
      </c>
      <c r="Y21" s="134" t="s">
        <v>740</v>
      </c>
      <c r="Z21" s="153" t="s">
        <v>152</v>
      </c>
      <c r="AA21" s="174" t="s">
        <v>374</v>
      </c>
      <c r="AB21" s="139" t="s">
        <v>375</v>
      </c>
      <c r="AC21" s="168" t="s">
        <v>152</v>
      </c>
      <c r="AD21" s="166" t="s">
        <v>313</v>
      </c>
      <c r="AE21" s="153" t="s">
        <v>152</v>
      </c>
      <c r="AF21" s="134" t="s">
        <v>153</v>
      </c>
      <c r="AG21" s="153" t="s">
        <v>152</v>
      </c>
      <c r="AH21" s="134" t="s">
        <v>153</v>
      </c>
    </row>
    <row r="22" spans="1:34" ht="22.8">
      <c r="A22" s="95" t="s">
        <v>159</v>
      </c>
      <c r="B22" s="133"/>
      <c r="C22" s="138" t="s">
        <v>160</v>
      </c>
      <c r="D22" s="138" t="s">
        <v>160</v>
      </c>
      <c r="E22" s="138" t="s">
        <v>160</v>
      </c>
      <c r="F22" s="138" t="s">
        <v>160</v>
      </c>
      <c r="G22" s="138" t="s">
        <v>160</v>
      </c>
      <c r="H22" s="138" t="s">
        <v>160</v>
      </c>
      <c r="I22" s="138" t="s">
        <v>160</v>
      </c>
      <c r="J22" s="138" t="s">
        <v>160</v>
      </c>
      <c r="K22" s="138" t="s">
        <v>160</v>
      </c>
      <c r="L22" s="138" t="s">
        <v>160</v>
      </c>
      <c r="M22" s="138" t="s">
        <v>160</v>
      </c>
      <c r="N22" s="138" t="s">
        <v>160</v>
      </c>
      <c r="O22" s="149" t="s">
        <v>160</v>
      </c>
      <c r="P22" s="149" t="s">
        <v>163</v>
      </c>
      <c r="Q22" s="138" t="s">
        <v>160</v>
      </c>
      <c r="R22" s="138" t="s">
        <v>160</v>
      </c>
      <c r="S22" s="138" t="s">
        <v>160</v>
      </c>
      <c r="T22" s="138" t="s">
        <v>160</v>
      </c>
      <c r="U22" s="172" t="s">
        <v>160</v>
      </c>
      <c r="V22" s="172" t="s">
        <v>160</v>
      </c>
      <c r="W22" s="138" t="s">
        <v>160</v>
      </c>
      <c r="X22" s="138" t="s">
        <v>160</v>
      </c>
      <c r="Y22" s="138" t="s">
        <v>752</v>
      </c>
      <c r="Z22" s="138" t="s">
        <v>160</v>
      </c>
      <c r="AA22" s="174" t="s">
        <v>160</v>
      </c>
      <c r="AB22" s="174" t="s">
        <v>160</v>
      </c>
      <c r="AC22" s="149" t="s">
        <v>163</v>
      </c>
      <c r="AD22" s="160" t="s">
        <v>160</v>
      </c>
      <c r="AE22" s="138" t="s">
        <v>160</v>
      </c>
      <c r="AF22" s="138" t="s">
        <v>160</v>
      </c>
      <c r="AG22" s="138" t="s">
        <v>160</v>
      </c>
      <c r="AH22" s="138" t="s">
        <v>160</v>
      </c>
    </row>
    <row r="23" spans="1:34">
      <c r="A23" s="95" t="s">
        <v>164</v>
      </c>
      <c r="B23" s="156">
        <v>1</v>
      </c>
      <c r="C23" s="134" t="s">
        <v>72</v>
      </c>
      <c r="D23" s="134" t="s">
        <v>72</v>
      </c>
      <c r="E23" s="134" t="s">
        <v>72</v>
      </c>
      <c r="F23" s="134" t="s">
        <v>72</v>
      </c>
      <c r="G23" s="134" t="s">
        <v>72</v>
      </c>
      <c r="H23" s="134" t="s">
        <v>72</v>
      </c>
      <c r="I23" s="134" t="s">
        <v>72</v>
      </c>
      <c r="J23" s="134" t="s">
        <v>72</v>
      </c>
      <c r="K23" s="134" t="s">
        <v>72</v>
      </c>
      <c r="L23" s="134" t="s">
        <v>72</v>
      </c>
      <c r="M23" s="134" t="s">
        <v>72</v>
      </c>
      <c r="N23" s="134" t="s">
        <v>72</v>
      </c>
      <c r="O23" s="148" t="s">
        <v>72</v>
      </c>
      <c r="P23" s="166" t="s">
        <v>72</v>
      </c>
      <c r="Q23" s="134" t="s">
        <v>72</v>
      </c>
      <c r="R23" s="134" t="s">
        <v>72</v>
      </c>
      <c r="S23" s="134" t="s">
        <v>72</v>
      </c>
      <c r="T23" s="134" t="s">
        <v>72</v>
      </c>
      <c r="U23" s="122" t="s">
        <v>72</v>
      </c>
      <c r="V23" s="122" t="s">
        <v>72</v>
      </c>
      <c r="W23" s="134" t="s">
        <v>72</v>
      </c>
      <c r="X23" s="134" t="s">
        <v>72</v>
      </c>
      <c r="Y23" s="134" t="s">
        <v>72</v>
      </c>
      <c r="Z23" s="134" t="s">
        <v>72</v>
      </c>
      <c r="AA23" s="139" t="s">
        <v>72</v>
      </c>
      <c r="AB23" s="139" t="s">
        <v>72</v>
      </c>
      <c r="AC23" s="148" t="s">
        <v>72</v>
      </c>
      <c r="AD23" s="134" t="s">
        <v>72</v>
      </c>
      <c r="AE23" s="134" t="s">
        <v>72</v>
      </c>
      <c r="AF23" s="134" t="s">
        <v>72</v>
      </c>
      <c r="AG23" s="134" t="s">
        <v>72</v>
      </c>
      <c r="AH23" s="134" t="s">
        <v>72</v>
      </c>
    </row>
    <row r="24" spans="1:34">
      <c r="A24" s="95" t="s">
        <v>165</v>
      </c>
      <c r="B24" s="133"/>
      <c r="C24" s="138" t="s">
        <v>166</v>
      </c>
      <c r="D24" s="138" t="s">
        <v>166</v>
      </c>
      <c r="E24" s="95" t="s">
        <v>167</v>
      </c>
      <c r="F24" s="138" t="s">
        <v>166</v>
      </c>
      <c r="G24" s="138" t="s">
        <v>166</v>
      </c>
      <c r="H24" s="138" t="s">
        <v>166</v>
      </c>
      <c r="I24" s="138" t="s">
        <v>166</v>
      </c>
      <c r="J24" s="138" t="s">
        <v>166</v>
      </c>
      <c r="K24" s="138" t="s">
        <v>166</v>
      </c>
      <c r="L24" s="138" t="s">
        <v>166</v>
      </c>
      <c r="M24" s="138" t="s">
        <v>166</v>
      </c>
      <c r="N24" s="138" t="s">
        <v>166</v>
      </c>
      <c r="O24" s="148" t="s">
        <v>877</v>
      </c>
      <c r="P24" s="148" t="s">
        <v>878</v>
      </c>
      <c r="Q24" s="138" t="s">
        <v>166</v>
      </c>
      <c r="R24" s="138" t="s">
        <v>166</v>
      </c>
      <c r="S24" s="138" t="s">
        <v>166</v>
      </c>
      <c r="T24" s="138" t="s">
        <v>166</v>
      </c>
      <c r="U24" s="172" t="s">
        <v>166</v>
      </c>
      <c r="V24" s="172" t="s">
        <v>166</v>
      </c>
      <c r="W24" s="138" t="s">
        <v>166</v>
      </c>
      <c r="X24" s="138" t="s">
        <v>166</v>
      </c>
      <c r="Y24" s="95" t="s">
        <v>168</v>
      </c>
      <c r="Z24" s="138" t="s">
        <v>166</v>
      </c>
      <c r="AA24" s="174" t="s">
        <v>166</v>
      </c>
      <c r="AB24" s="174" t="s">
        <v>166</v>
      </c>
      <c r="AC24" s="148" t="s">
        <v>167</v>
      </c>
      <c r="AD24" s="160" t="s">
        <v>166</v>
      </c>
      <c r="AE24" s="138" t="s">
        <v>166</v>
      </c>
      <c r="AF24" s="138" t="s">
        <v>166</v>
      </c>
      <c r="AG24" s="138" t="s">
        <v>166</v>
      </c>
      <c r="AH24" s="138" t="s">
        <v>166</v>
      </c>
    </row>
    <row r="25" spans="1:34" ht="22.8">
      <c r="A25" s="95" t="s">
        <v>170</v>
      </c>
      <c r="B25" s="133"/>
      <c r="C25" s="134" t="s">
        <v>318</v>
      </c>
      <c r="D25" s="134" t="s">
        <v>318</v>
      </c>
      <c r="E25" s="95" t="s">
        <v>172</v>
      </c>
      <c r="F25" s="134"/>
      <c r="G25" s="134"/>
      <c r="H25" s="134" t="s">
        <v>318</v>
      </c>
      <c r="I25" s="134" t="s">
        <v>318</v>
      </c>
      <c r="J25" s="134" t="s">
        <v>318</v>
      </c>
      <c r="K25" s="134" t="s">
        <v>318</v>
      </c>
      <c r="L25" s="93" t="s">
        <v>171</v>
      </c>
      <c r="M25" s="134" t="s">
        <v>318</v>
      </c>
      <c r="N25" s="134" t="s">
        <v>318</v>
      </c>
      <c r="O25" s="149" t="s">
        <v>318</v>
      </c>
      <c r="P25" s="166" t="s">
        <v>318</v>
      </c>
      <c r="Q25" s="134" t="s">
        <v>318</v>
      </c>
      <c r="R25" s="134" t="s">
        <v>318</v>
      </c>
      <c r="S25" s="134" t="s">
        <v>318</v>
      </c>
      <c r="T25" s="134" t="s">
        <v>318</v>
      </c>
      <c r="U25" s="122" t="s">
        <v>216</v>
      </c>
      <c r="V25" s="122" t="s">
        <v>216</v>
      </c>
      <c r="W25" s="134" t="s">
        <v>318</v>
      </c>
      <c r="X25" s="134" t="s">
        <v>318</v>
      </c>
      <c r="Y25" s="95" t="s">
        <v>172</v>
      </c>
      <c r="Z25" s="134" t="s">
        <v>318</v>
      </c>
      <c r="AA25" s="139" t="s">
        <v>318</v>
      </c>
      <c r="AB25" s="139" t="s">
        <v>318</v>
      </c>
      <c r="AC25" s="149" t="s">
        <v>318</v>
      </c>
      <c r="AD25" s="166" t="s">
        <v>318</v>
      </c>
      <c r="AE25" s="134" t="s">
        <v>318</v>
      </c>
      <c r="AF25" s="134" t="s">
        <v>318</v>
      </c>
      <c r="AG25" s="134" t="s">
        <v>318</v>
      </c>
      <c r="AH25" s="134" t="s">
        <v>318</v>
      </c>
    </row>
    <row r="26" spans="1:34" ht="60" customHeight="1">
      <c r="A26" s="98" t="s">
        <v>174</v>
      </c>
      <c r="B26" s="98" t="s">
        <v>175</v>
      </c>
      <c r="C26" s="139" t="s">
        <v>176</v>
      </c>
      <c r="D26" s="139" t="s">
        <v>176</v>
      </c>
      <c r="E26" s="139" t="s">
        <v>179</v>
      </c>
      <c r="F26" s="139" t="s">
        <v>178</v>
      </c>
      <c r="G26" s="139" t="s">
        <v>178</v>
      </c>
      <c r="H26" s="139" t="s">
        <v>179</v>
      </c>
      <c r="I26" s="139" t="s">
        <v>376</v>
      </c>
      <c r="J26" s="139" t="s">
        <v>179</v>
      </c>
      <c r="K26" s="139" t="s">
        <v>179</v>
      </c>
      <c r="L26" s="139" t="s">
        <v>179</v>
      </c>
      <c r="M26" s="139" t="s">
        <v>179</v>
      </c>
      <c r="N26" s="139" t="s">
        <v>179</v>
      </c>
      <c r="O26" s="149" t="s">
        <v>179</v>
      </c>
      <c r="P26" s="166" t="s">
        <v>873</v>
      </c>
      <c r="Q26" s="139" t="s">
        <v>179</v>
      </c>
      <c r="R26" s="139" t="s">
        <v>179</v>
      </c>
      <c r="S26" s="139" t="s">
        <v>179</v>
      </c>
      <c r="T26" s="139" t="s">
        <v>179</v>
      </c>
      <c r="U26" s="122" t="s">
        <v>664</v>
      </c>
      <c r="V26" s="122" t="s">
        <v>377</v>
      </c>
      <c r="W26" s="139" t="s">
        <v>675</v>
      </c>
      <c r="X26" s="139" t="s">
        <v>179</v>
      </c>
      <c r="Y26" s="139" t="s">
        <v>742</v>
      </c>
      <c r="Z26" s="139" t="s">
        <v>179</v>
      </c>
      <c r="AA26" s="139" t="s">
        <v>178</v>
      </c>
      <c r="AB26" s="139" t="s">
        <v>178</v>
      </c>
      <c r="AC26" s="149" t="s">
        <v>179</v>
      </c>
      <c r="AD26" s="139" t="s">
        <v>703</v>
      </c>
      <c r="AE26" s="139" t="s">
        <v>911</v>
      </c>
      <c r="AF26" s="139" t="s">
        <v>911</v>
      </c>
      <c r="AG26" s="139" t="s">
        <v>911</v>
      </c>
      <c r="AH26" s="139" t="s">
        <v>911</v>
      </c>
    </row>
    <row r="27" spans="1:34" ht="71.25" customHeight="1">
      <c r="A27" s="98" t="s">
        <v>185</v>
      </c>
      <c r="B27" s="98" t="s">
        <v>186</v>
      </c>
      <c r="C27" s="164" t="s">
        <v>378</v>
      </c>
      <c r="D27" s="164" t="s">
        <v>378</v>
      </c>
      <c r="E27" s="164" t="s">
        <v>378</v>
      </c>
      <c r="F27" s="93" t="s">
        <v>189</v>
      </c>
      <c r="G27" s="93" t="s">
        <v>189</v>
      </c>
      <c r="H27" s="164" t="s">
        <v>378</v>
      </c>
      <c r="I27" s="164" t="s">
        <v>379</v>
      </c>
      <c r="J27" s="164" t="s">
        <v>378</v>
      </c>
      <c r="K27" s="164" t="s">
        <v>378</v>
      </c>
      <c r="L27" s="93" t="s">
        <v>191</v>
      </c>
      <c r="M27" s="164" t="s">
        <v>378</v>
      </c>
      <c r="N27" s="164" t="s">
        <v>378</v>
      </c>
      <c r="O27" s="149" t="s">
        <v>378</v>
      </c>
      <c r="P27" s="166" t="s">
        <v>704</v>
      </c>
      <c r="Q27" s="164" t="s">
        <v>378</v>
      </c>
      <c r="R27" s="164" t="s">
        <v>378</v>
      </c>
      <c r="S27" s="164" t="s">
        <v>378</v>
      </c>
      <c r="T27" s="164" t="s">
        <v>378</v>
      </c>
      <c r="U27" s="176" t="s">
        <v>332</v>
      </c>
      <c r="V27" s="176" t="s">
        <v>332</v>
      </c>
      <c r="W27" s="164" t="s">
        <v>378</v>
      </c>
      <c r="X27" s="164" t="s">
        <v>378</v>
      </c>
      <c r="Y27" s="93" t="s">
        <v>751</v>
      </c>
      <c r="Z27" s="164" t="s">
        <v>378</v>
      </c>
      <c r="AA27" s="139" t="s">
        <v>331</v>
      </c>
      <c r="AB27" s="139" t="s">
        <v>331</v>
      </c>
      <c r="AC27" s="149" t="s">
        <v>378</v>
      </c>
      <c r="AD27" s="134" t="s">
        <v>704</v>
      </c>
      <c r="AE27" s="164" t="s">
        <v>378</v>
      </c>
      <c r="AF27" s="164" t="s">
        <v>378</v>
      </c>
      <c r="AG27" s="164" t="s">
        <v>378</v>
      </c>
      <c r="AH27" s="360" t="s">
        <v>930</v>
      </c>
    </row>
    <row r="28" spans="1:34">
      <c r="A28" s="95" t="s">
        <v>194</v>
      </c>
      <c r="B28" s="133" t="s">
        <v>195</v>
      </c>
      <c r="C28" s="134" t="s">
        <v>72</v>
      </c>
      <c r="D28" s="134" t="s">
        <v>72</v>
      </c>
      <c r="E28" s="134" t="s">
        <v>72</v>
      </c>
      <c r="F28" s="134" t="s">
        <v>72</v>
      </c>
      <c r="G28" s="134" t="s">
        <v>72</v>
      </c>
      <c r="H28" s="134" t="s">
        <v>72</v>
      </c>
      <c r="I28" s="134" t="s">
        <v>72</v>
      </c>
      <c r="J28" s="134" t="s">
        <v>72</v>
      </c>
      <c r="K28" s="134" t="s">
        <v>72</v>
      </c>
      <c r="L28" s="134" t="s">
        <v>72</v>
      </c>
      <c r="M28" s="134" t="s">
        <v>72</v>
      </c>
      <c r="N28" s="134" t="s">
        <v>72</v>
      </c>
      <c r="O28" s="148" t="s">
        <v>72</v>
      </c>
      <c r="P28" s="166" t="s">
        <v>72</v>
      </c>
      <c r="Q28" s="134" t="s">
        <v>72</v>
      </c>
      <c r="R28" s="134" t="s">
        <v>72</v>
      </c>
      <c r="S28" s="134" t="s">
        <v>72</v>
      </c>
      <c r="T28" s="134" t="s">
        <v>72</v>
      </c>
      <c r="U28" s="122" t="s">
        <v>72</v>
      </c>
      <c r="V28" s="122" t="s">
        <v>72</v>
      </c>
      <c r="W28" s="134" t="s">
        <v>72</v>
      </c>
      <c r="X28" s="134" t="s">
        <v>72</v>
      </c>
      <c r="Y28" s="134" t="s">
        <v>72</v>
      </c>
      <c r="Z28" s="134" t="s">
        <v>72</v>
      </c>
      <c r="AA28" s="139" t="s">
        <v>72</v>
      </c>
      <c r="AB28" s="139" t="s">
        <v>72</v>
      </c>
      <c r="AC28" s="148" t="s">
        <v>72</v>
      </c>
      <c r="AD28" s="134" t="s">
        <v>72</v>
      </c>
      <c r="AE28" s="134" t="s">
        <v>72</v>
      </c>
      <c r="AF28" s="134" t="s">
        <v>72</v>
      </c>
      <c r="AG28" s="134" t="s">
        <v>72</v>
      </c>
      <c r="AH28" s="134" t="s">
        <v>72</v>
      </c>
    </row>
    <row r="29" spans="1:34">
      <c r="A29" s="95" t="s">
        <v>196</v>
      </c>
      <c r="B29" s="133" t="s">
        <v>197</v>
      </c>
      <c r="C29" s="134" t="s">
        <v>72</v>
      </c>
      <c r="D29" s="134" t="s">
        <v>72</v>
      </c>
      <c r="E29" s="134" t="s">
        <v>72</v>
      </c>
      <c r="F29" s="134" t="s">
        <v>72</v>
      </c>
      <c r="G29" s="134" t="s">
        <v>72</v>
      </c>
      <c r="H29" s="134" t="s">
        <v>72</v>
      </c>
      <c r="I29" s="134" t="s">
        <v>72</v>
      </c>
      <c r="J29" s="134" t="s">
        <v>72</v>
      </c>
      <c r="K29" s="134" t="s">
        <v>72</v>
      </c>
      <c r="L29" s="134" t="s">
        <v>72</v>
      </c>
      <c r="M29" s="134" t="s">
        <v>72</v>
      </c>
      <c r="N29" s="134" t="s">
        <v>72</v>
      </c>
      <c r="O29" s="148" t="s">
        <v>72</v>
      </c>
      <c r="P29" s="166" t="s">
        <v>72</v>
      </c>
      <c r="Q29" s="134" t="s">
        <v>72</v>
      </c>
      <c r="R29" s="134" t="s">
        <v>72</v>
      </c>
      <c r="S29" s="134" t="s">
        <v>72</v>
      </c>
      <c r="T29" s="134" t="s">
        <v>72</v>
      </c>
      <c r="U29" s="176" t="s">
        <v>72</v>
      </c>
      <c r="V29" s="176" t="s">
        <v>72</v>
      </c>
      <c r="W29" s="134" t="s">
        <v>72</v>
      </c>
      <c r="X29" s="134" t="s">
        <v>72</v>
      </c>
      <c r="Y29" s="134" t="s">
        <v>72</v>
      </c>
      <c r="Z29" s="134" t="s">
        <v>72</v>
      </c>
      <c r="AA29" s="313" t="s">
        <v>72</v>
      </c>
      <c r="AB29" s="313" t="s">
        <v>72</v>
      </c>
      <c r="AC29" s="148" t="s">
        <v>72</v>
      </c>
      <c r="AD29" s="134" t="s">
        <v>72</v>
      </c>
      <c r="AE29" s="134" t="s">
        <v>72</v>
      </c>
      <c r="AF29" s="134" t="s">
        <v>72</v>
      </c>
      <c r="AG29" s="134" t="s">
        <v>72</v>
      </c>
      <c r="AH29" s="134" t="s">
        <v>72</v>
      </c>
    </row>
    <row r="30" spans="1:34" ht="22.8">
      <c r="A30" s="95" t="s">
        <v>198</v>
      </c>
      <c r="B30" s="133"/>
      <c r="C30" s="134" t="s">
        <v>199</v>
      </c>
      <c r="D30" s="134" t="s">
        <v>199</v>
      </c>
      <c r="E30" s="134" t="s">
        <v>199</v>
      </c>
      <c r="F30" s="134" t="s">
        <v>199</v>
      </c>
      <c r="G30" s="134" t="s">
        <v>199</v>
      </c>
      <c r="H30" s="134" t="s">
        <v>199</v>
      </c>
      <c r="I30" s="134" t="s">
        <v>199</v>
      </c>
      <c r="J30" s="95" t="s">
        <v>200</v>
      </c>
      <c r="K30" s="288" t="s">
        <v>822</v>
      </c>
      <c r="L30" s="134" t="s">
        <v>199</v>
      </c>
      <c r="M30" s="134" t="s">
        <v>199</v>
      </c>
      <c r="N30" s="134" t="s">
        <v>199</v>
      </c>
      <c r="O30" s="148" t="s">
        <v>199</v>
      </c>
      <c r="P30" s="166" t="s">
        <v>199</v>
      </c>
      <c r="Q30" s="134" t="s">
        <v>199</v>
      </c>
      <c r="R30" s="134" t="s">
        <v>199</v>
      </c>
      <c r="S30" s="134" t="s">
        <v>199</v>
      </c>
      <c r="T30" s="134" t="s">
        <v>199</v>
      </c>
      <c r="U30" s="122" t="s">
        <v>199</v>
      </c>
      <c r="V30" s="122" t="s">
        <v>199</v>
      </c>
      <c r="W30" s="134" t="s">
        <v>199</v>
      </c>
      <c r="X30" s="216" t="s">
        <v>668</v>
      </c>
      <c r="Y30" s="134" t="s">
        <v>199</v>
      </c>
      <c r="Z30" s="134" t="s">
        <v>199</v>
      </c>
      <c r="AA30" s="134" t="s">
        <v>199</v>
      </c>
      <c r="AB30" s="134" t="s">
        <v>199</v>
      </c>
      <c r="AC30" s="230" t="s">
        <v>676</v>
      </c>
      <c r="AD30" s="134" t="s">
        <v>199</v>
      </c>
      <c r="AE30" s="134" t="s">
        <v>199</v>
      </c>
      <c r="AF30" s="134" t="s">
        <v>199</v>
      </c>
      <c r="AG30" s="134" t="s">
        <v>199</v>
      </c>
      <c r="AH30" s="134" t="s">
        <v>199</v>
      </c>
    </row>
    <row r="31" spans="1:34">
      <c r="C31" s="165"/>
      <c r="D31" s="95"/>
      <c r="E31" s="95"/>
      <c r="F31" s="165"/>
      <c r="G31" s="95"/>
      <c r="H31" s="95"/>
      <c r="I31" s="95"/>
      <c r="J31" s="95"/>
      <c r="K31" s="95"/>
      <c r="L31" s="165"/>
      <c r="M31" s="165"/>
      <c r="N31" s="95"/>
      <c r="O31" s="148"/>
      <c r="P31" s="157"/>
      <c r="Q31" s="165"/>
      <c r="R31" s="95"/>
      <c r="S31" s="165"/>
      <c r="T31" s="95"/>
      <c r="U31" s="124"/>
      <c r="V31" s="124"/>
      <c r="W31" s="165"/>
      <c r="X31" s="95"/>
      <c r="Y31" s="95"/>
      <c r="Z31" s="165"/>
      <c r="AA31" s="95"/>
      <c r="AB31" s="95"/>
      <c r="AC31" s="148"/>
      <c r="AD31" s="156"/>
      <c r="AE31" s="165"/>
      <c r="AF31" s="95"/>
      <c r="AG31" s="165"/>
      <c r="AH31" s="95"/>
    </row>
    <row r="32" spans="1:34" ht="24.75" customHeight="1">
      <c r="A32" s="129" t="s">
        <v>202</v>
      </c>
      <c r="B32" s="86" t="s">
        <v>203</v>
      </c>
      <c r="C32" s="134"/>
      <c r="D32" s="142"/>
      <c r="E32" s="95"/>
      <c r="F32" s="134"/>
      <c r="G32" s="142"/>
      <c r="H32" s="95"/>
      <c r="I32" s="95"/>
      <c r="J32" s="95"/>
      <c r="K32" s="95"/>
      <c r="L32" s="134"/>
      <c r="M32" s="134"/>
      <c r="N32" s="142"/>
      <c r="O32" s="148"/>
      <c r="P32" s="157"/>
      <c r="Q32" s="134"/>
      <c r="R32" s="142"/>
      <c r="S32" s="134"/>
      <c r="T32" s="142"/>
      <c r="U32" s="124"/>
      <c r="V32" s="124"/>
      <c r="W32" s="134"/>
      <c r="X32" s="142"/>
      <c r="Y32" s="95"/>
      <c r="Z32" s="134"/>
      <c r="AA32" s="95"/>
      <c r="AB32" s="95"/>
      <c r="AC32" s="148"/>
      <c r="AD32" s="156"/>
      <c r="AE32" s="134"/>
      <c r="AF32" s="142"/>
      <c r="AG32" s="134"/>
      <c r="AH32" s="142"/>
    </row>
    <row r="33" spans="1:34">
      <c r="A33" s="98" t="s">
        <v>204</v>
      </c>
      <c r="B33" s="102" t="s">
        <v>205</v>
      </c>
      <c r="C33" s="142" t="s">
        <v>72</v>
      </c>
      <c r="D33" s="142" t="s">
        <v>72</v>
      </c>
      <c r="E33" s="142" t="s">
        <v>72</v>
      </c>
      <c r="F33" s="142" t="s">
        <v>72</v>
      </c>
      <c r="G33" s="142" t="s">
        <v>72</v>
      </c>
      <c r="H33" s="142" t="s">
        <v>72</v>
      </c>
      <c r="I33" s="142" t="s">
        <v>72</v>
      </c>
      <c r="J33" s="142" t="s">
        <v>72</v>
      </c>
      <c r="K33" s="142" t="s">
        <v>72</v>
      </c>
      <c r="L33" s="142" t="s">
        <v>72</v>
      </c>
      <c r="M33" s="142" t="s">
        <v>72</v>
      </c>
      <c r="N33" s="142" t="s">
        <v>72</v>
      </c>
      <c r="O33" s="148" t="s">
        <v>72</v>
      </c>
      <c r="P33" s="158" t="s">
        <v>72</v>
      </c>
      <c r="Q33" s="142" t="s">
        <v>72</v>
      </c>
      <c r="R33" s="142" t="s">
        <v>72</v>
      </c>
      <c r="S33" s="142" t="s">
        <v>72</v>
      </c>
      <c r="T33" s="142" t="s">
        <v>72</v>
      </c>
      <c r="U33" s="177" t="s">
        <v>72</v>
      </c>
      <c r="V33" s="177" t="s">
        <v>72</v>
      </c>
      <c r="W33" s="142" t="s">
        <v>72</v>
      </c>
      <c r="X33" s="142" t="s">
        <v>72</v>
      </c>
      <c r="Y33" s="142" t="s">
        <v>72</v>
      </c>
      <c r="Z33" s="142" t="s">
        <v>72</v>
      </c>
      <c r="AA33" s="141" t="s">
        <v>72</v>
      </c>
      <c r="AB33" s="141" t="s">
        <v>72</v>
      </c>
      <c r="AC33" s="148" t="s">
        <v>72</v>
      </c>
      <c r="AD33" s="142" t="s">
        <v>72</v>
      </c>
      <c r="AE33" s="142" t="s">
        <v>72</v>
      </c>
      <c r="AF33" s="142" t="s">
        <v>72</v>
      </c>
      <c r="AG33" s="142" t="s">
        <v>72</v>
      </c>
      <c r="AH33" s="142" t="s">
        <v>72</v>
      </c>
    </row>
    <row r="34" spans="1:34">
      <c r="A34" s="98" t="s">
        <v>206</v>
      </c>
      <c r="B34" s="102" t="s">
        <v>380</v>
      </c>
      <c r="C34" s="139" t="s">
        <v>381</v>
      </c>
      <c r="D34" s="139" t="s">
        <v>381</v>
      </c>
      <c r="E34" s="139" t="s">
        <v>381</v>
      </c>
      <c r="F34" s="139" t="s">
        <v>382</v>
      </c>
      <c r="G34" s="139" t="s">
        <v>382</v>
      </c>
      <c r="H34" s="142" t="s">
        <v>72</v>
      </c>
      <c r="I34" s="142" t="s">
        <v>72</v>
      </c>
      <c r="J34" s="139" t="s">
        <v>382</v>
      </c>
      <c r="K34" s="139" t="s">
        <v>382</v>
      </c>
      <c r="L34" s="139" t="s">
        <v>208</v>
      </c>
      <c r="M34" s="139" t="s">
        <v>382</v>
      </c>
      <c r="N34" s="139" t="s">
        <v>382</v>
      </c>
      <c r="O34" s="148" t="s">
        <v>382</v>
      </c>
      <c r="P34" s="148" t="s">
        <v>382</v>
      </c>
      <c r="Q34" s="139" t="s">
        <v>382</v>
      </c>
      <c r="R34" s="139" t="s">
        <v>382</v>
      </c>
      <c r="S34" s="139" t="s">
        <v>381</v>
      </c>
      <c r="T34" s="139" t="s">
        <v>381</v>
      </c>
      <c r="U34" s="102" t="s">
        <v>72</v>
      </c>
      <c r="V34" s="102" t="s">
        <v>72</v>
      </c>
      <c r="W34" s="139" t="s">
        <v>677</v>
      </c>
      <c r="X34" s="139" t="s">
        <v>677</v>
      </c>
      <c r="Y34" s="139" t="s">
        <v>677</v>
      </c>
      <c r="Z34" s="142" t="s">
        <v>72</v>
      </c>
      <c r="AA34" s="141" t="s">
        <v>383</v>
      </c>
      <c r="AB34" s="141" t="s">
        <v>383</v>
      </c>
      <c r="AC34" s="148" t="s">
        <v>382</v>
      </c>
      <c r="AD34" s="142" t="s">
        <v>707</v>
      </c>
      <c r="AE34" s="142" t="s">
        <v>72</v>
      </c>
      <c r="AF34" s="142" t="s">
        <v>72</v>
      </c>
      <c r="AG34" s="142" t="s">
        <v>72</v>
      </c>
      <c r="AH34" s="142" t="s">
        <v>72</v>
      </c>
    </row>
    <row r="35" spans="1:34">
      <c r="A35" s="98" t="s">
        <v>210</v>
      </c>
      <c r="B35" s="106"/>
      <c r="C35" s="141">
        <v>1</v>
      </c>
      <c r="D35" s="141">
        <v>1</v>
      </c>
      <c r="E35" s="141">
        <v>1</v>
      </c>
      <c r="F35" s="141">
        <v>1</v>
      </c>
      <c r="G35" s="141">
        <v>1</v>
      </c>
      <c r="H35" s="141">
        <v>1</v>
      </c>
      <c r="I35" s="141">
        <v>1</v>
      </c>
      <c r="J35" s="156">
        <v>0</v>
      </c>
      <c r="K35" s="156">
        <v>0</v>
      </c>
      <c r="L35" s="141">
        <v>1</v>
      </c>
      <c r="M35" s="141">
        <v>1</v>
      </c>
      <c r="N35" s="141">
        <v>1</v>
      </c>
      <c r="O35" s="157">
        <v>1</v>
      </c>
      <c r="P35" s="158">
        <v>1</v>
      </c>
      <c r="Q35" s="141">
        <v>1</v>
      </c>
      <c r="R35" s="141">
        <v>1</v>
      </c>
      <c r="S35" s="141">
        <v>1</v>
      </c>
      <c r="T35" s="141">
        <v>1</v>
      </c>
      <c r="U35" s="102">
        <v>1</v>
      </c>
      <c r="V35" s="234">
        <v>1</v>
      </c>
      <c r="W35" s="222">
        <v>1</v>
      </c>
      <c r="X35" s="229">
        <v>1</v>
      </c>
      <c r="Y35" s="222">
        <v>1</v>
      </c>
      <c r="Z35" s="141">
        <v>1</v>
      </c>
      <c r="AA35" s="141"/>
      <c r="AB35" s="141"/>
      <c r="AC35" s="157">
        <v>0</v>
      </c>
      <c r="AD35" s="158">
        <v>1</v>
      </c>
      <c r="AE35" s="346">
        <v>0</v>
      </c>
      <c r="AF35" s="346">
        <v>0</v>
      </c>
      <c r="AG35" s="347">
        <v>0</v>
      </c>
      <c r="AH35" s="347">
        <v>1</v>
      </c>
    </row>
    <row r="36" spans="1:34">
      <c r="A36" s="389" t="s">
        <v>211</v>
      </c>
      <c r="B36" s="372" t="s">
        <v>212</v>
      </c>
      <c r="C36" s="390" t="s">
        <v>72</v>
      </c>
      <c r="D36" s="390" t="s">
        <v>72</v>
      </c>
      <c r="E36" s="390" t="s">
        <v>72</v>
      </c>
      <c r="F36" s="390" t="s">
        <v>72</v>
      </c>
      <c r="G36" s="390" t="s">
        <v>72</v>
      </c>
      <c r="H36" s="390" t="s">
        <v>72</v>
      </c>
      <c r="I36" s="372" t="s">
        <v>72</v>
      </c>
      <c r="J36" s="390" t="s">
        <v>72</v>
      </c>
      <c r="K36" s="390" t="s">
        <v>72</v>
      </c>
      <c r="L36" s="390" t="s">
        <v>72</v>
      </c>
      <c r="M36" s="390" t="s">
        <v>72</v>
      </c>
      <c r="N36" s="390" t="s">
        <v>72</v>
      </c>
      <c r="O36" s="381" t="s">
        <v>72</v>
      </c>
      <c r="P36" s="158" t="s">
        <v>72</v>
      </c>
      <c r="Q36" s="390" t="s">
        <v>72</v>
      </c>
      <c r="R36" s="390" t="s">
        <v>72</v>
      </c>
      <c r="S36" s="390" t="s">
        <v>72</v>
      </c>
      <c r="T36" s="390" t="s">
        <v>72</v>
      </c>
      <c r="U36" s="383" t="s">
        <v>72</v>
      </c>
      <c r="V36" s="385" t="s">
        <v>72</v>
      </c>
      <c r="W36" s="233"/>
      <c r="X36" s="399" t="s">
        <v>72</v>
      </c>
      <c r="Y36" s="258"/>
      <c r="Z36" s="390" t="s">
        <v>72</v>
      </c>
      <c r="AA36" s="372" t="s">
        <v>72</v>
      </c>
      <c r="AB36" s="372" t="s">
        <v>72</v>
      </c>
      <c r="AC36" s="381" t="s">
        <v>72</v>
      </c>
      <c r="AD36" s="222" t="s">
        <v>72</v>
      </c>
      <c r="AE36" s="390" t="s">
        <v>72</v>
      </c>
      <c r="AF36" s="390" t="s">
        <v>72</v>
      </c>
      <c r="AG36" s="390" t="s">
        <v>72</v>
      </c>
      <c r="AH36" s="390" t="s">
        <v>72</v>
      </c>
    </row>
    <row r="37" spans="1:34">
      <c r="A37" s="389"/>
      <c r="B37" s="373"/>
      <c r="C37" s="390"/>
      <c r="D37" s="390"/>
      <c r="E37" s="390"/>
      <c r="F37" s="390"/>
      <c r="G37" s="390"/>
      <c r="H37" s="390"/>
      <c r="I37" s="373"/>
      <c r="J37" s="390"/>
      <c r="K37" s="390"/>
      <c r="L37" s="390"/>
      <c r="M37" s="390"/>
      <c r="N37" s="390"/>
      <c r="O37" s="382"/>
      <c r="P37" s="158" t="s">
        <v>72</v>
      </c>
      <c r="Q37" s="390"/>
      <c r="R37" s="390"/>
      <c r="S37" s="390"/>
      <c r="T37" s="390"/>
      <c r="U37" s="384"/>
      <c r="V37" s="384"/>
      <c r="W37" s="221" t="s">
        <v>72</v>
      </c>
      <c r="X37" s="390"/>
      <c r="Y37" s="222" t="s">
        <v>72</v>
      </c>
      <c r="Z37" s="390"/>
      <c r="AA37" s="373"/>
      <c r="AB37" s="373"/>
      <c r="AC37" s="382"/>
      <c r="AD37" s="222" t="s">
        <v>72</v>
      </c>
      <c r="AE37" s="390"/>
      <c r="AF37" s="390"/>
      <c r="AG37" s="390"/>
      <c r="AH37" s="390"/>
    </row>
    <row r="38" spans="1:34">
      <c r="A38" s="98" t="s">
        <v>213</v>
      </c>
      <c r="B38" s="142" t="s">
        <v>214</v>
      </c>
      <c r="C38" s="141" t="s">
        <v>72</v>
      </c>
      <c r="D38" s="141" t="s">
        <v>72</v>
      </c>
      <c r="E38" s="141" t="s">
        <v>72</v>
      </c>
      <c r="F38" s="141" t="s">
        <v>72</v>
      </c>
      <c r="G38" s="141" t="s">
        <v>72</v>
      </c>
      <c r="H38" s="141" t="s">
        <v>72</v>
      </c>
      <c r="I38" s="141" t="s">
        <v>72</v>
      </c>
      <c r="J38" s="282" t="s">
        <v>72</v>
      </c>
      <c r="K38" s="141" t="s">
        <v>72</v>
      </c>
      <c r="L38" s="141" t="s">
        <v>72</v>
      </c>
      <c r="M38" s="141" t="s">
        <v>72</v>
      </c>
      <c r="N38" s="141" t="s">
        <v>72</v>
      </c>
      <c r="O38" s="148" t="s">
        <v>72</v>
      </c>
      <c r="P38" s="158" t="s">
        <v>216</v>
      </c>
      <c r="Q38" s="141" t="s">
        <v>72</v>
      </c>
      <c r="R38" s="141" t="s">
        <v>72</v>
      </c>
      <c r="S38" s="141" t="s">
        <v>72</v>
      </c>
      <c r="T38" s="141" t="s">
        <v>72</v>
      </c>
      <c r="U38" s="102" t="s">
        <v>72</v>
      </c>
      <c r="V38" s="102" t="s">
        <v>72</v>
      </c>
      <c r="W38" s="222" t="s">
        <v>72</v>
      </c>
      <c r="X38" s="141" t="s">
        <v>72</v>
      </c>
      <c r="Y38" s="222" t="s">
        <v>72</v>
      </c>
      <c r="Z38" s="141" t="s">
        <v>72</v>
      </c>
      <c r="AA38" s="141" t="s">
        <v>72</v>
      </c>
      <c r="AB38" s="141" t="s">
        <v>72</v>
      </c>
      <c r="AC38" s="148" t="s">
        <v>72</v>
      </c>
      <c r="AD38" s="222" t="s">
        <v>216</v>
      </c>
      <c r="AE38" s="158" t="s">
        <v>912</v>
      </c>
      <c r="AF38" s="158" t="s">
        <v>912</v>
      </c>
      <c r="AG38" s="158" t="s">
        <v>912</v>
      </c>
      <c r="AH38" s="158" t="s">
        <v>912</v>
      </c>
    </row>
    <row r="39" spans="1:34" ht="34.200000000000003">
      <c r="A39" s="98" t="s">
        <v>215</v>
      </c>
      <c r="B39" s="141" t="s">
        <v>216</v>
      </c>
      <c r="C39" s="141" t="s">
        <v>216</v>
      </c>
      <c r="D39" s="141" t="s">
        <v>216</v>
      </c>
      <c r="E39" s="141" t="s">
        <v>216</v>
      </c>
      <c r="F39" s="141" t="s">
        <v>216</v>
      </c>
      <c r="G39" s="141" t="s">
        <v>216</v>
      </c>
      <c r="H39" s="141" t="s">
        <v>216</v>
      </c>
      <c r="I39" s="141" t="s">
        <v>216</v>
      </c>
      <c r="J39" s="282" t="s">
        <v>216</v>
      </c>
      <c r="K39" s="141" t="s">
        <v>216</v>
      </c>
      <c r="L39" s="141" t="s">
        <v>216</v>
      </c>
      <c r="M39" s="141" t="s">
        <v>216</v>
      </c>
      <c r="N39" s="141" t="s">
        <v>216</v>
      </c>
      <c r="O39" s="148" t="s">
        <v>216</v>
      </c>
      <c r="P39" s="158" t="s">
        <v>216</v>
      </c>
      <c r="Q39" s="141" t="s">
        <v>216</v>
      </c>
      <c r="R39" s="141" t="s">
        <v>216</v>
      </c>
      <c r="S39" s="141" t="s">
        <v>216</v>
      </c>
      <c r="T39" s="141" t="s">
        <v>216</v>
      </c>
      <c r="U39" s="102" t="s">
        <v>216</v>
      </c>
      <c r="V39" s="102" t="s">
        <v>216</v>
      </c>
      <c r="W39" s="222" t="s">
        <v>216</v>
      </c>
      <c r="X39" s="141" t="s">
        <v>216</v>
      </c>
      <c r="Y39" s="222" t="s">
        <v>216</v>
      </c>
      <c r="Z39" s="141" t="s">
        <v>216</v>
      </c>
      <c r="AA39" s="141" t="s">
        <v>216</v>
      </c>
      <c r="AB39" s="141" t="s">
        <v>216</v>
      </c>
      <c r="AC39" s="148" t="s">
        <v>216</v>
      </c>
      <c r="AD39" s="222" t="s">
        <v>216</v>
      </c>
      <c r="AE39" s="346" t="s">
        <v>216</v>
      </c>
      <c r="AF39" s="346" t="s">
        <v>216</v>
      </c>
      <c r="AG39" s="347" t="s">
        <v>216</v>
      </c>
      <c r="AH39" s="347" t="s">
        <v>216</v>
      </c>
    </row>
    <row r="40" spans="1:34" ht="34.200000000000003">
      <c r="A40" s="98" t="s">
        <v>217</v>
      </c>
      <c r="B40" s="141" t="s">
        <v>216</v>
      </c>
      <c r="C40" s="141" t="s">
        <v>216</v>
      </c>
      <c r="D40" s="141" t="s">
        <v>216</v>
      </c>
      <c r="E40" s="141" t="s">
        <v>216</v>
      </c>
      <c r="F40" s="141" t="s">
        <v>216</v>
      </c>
      <c r="G40" s="141" t="s">
        <v>216</v>
      </c>
      <c r="H40" s="141" t="s">
        <v>216</v>
      </c>
      <c r="I40" s="141" t="s">
        <v>216</v>
      </c>
      <c r="J40" s="282" t="s">
        <v>216</v>
      </c>
      <c r="K40" s="141" t="s">
        <v>216</v>
      </c>
      <c r="L40" s="141" t="s">
        <v>216</v>
      </c>
      <c r="M40" s="141" t="s">
        <v>216</v>
      </c>
      <c r="N40" s="141" t="s">
        <v>216</v>
      </c>
      <c r="O40" s="148" t="s">
        <v>216</v>
      </c>
      <c r="P40" s="158" t="s">
        <v>72</v>
      </c>
      <c r="Q40" s="141" t="s">
        <v>216</v>
      </c>
      <c r="R40" s="141" t="s">
        <v>216</v>
      </c>
      <c r="S40" s="141" t="s">
        <v>216</v>
      </c>
      <c r="T40" s="141" t="s">
        <v>216</v>
      </c>
      <c r="U40" s="102" t="s">
        <v>216</v>
      </c>
      <c r="V40" s="102" t="s">
        <v>216</v>
      </c>
      <c r="W40" s="222" t="s">
        <v>216</v>
      </c>
      <c r="X40" s="141" t="s">
        <v>216</v>
      </c>
      <c r="Y40" s="222" t="s">
        <v>216</v>
      </c>
      <c r="Z40" s="141" t="s">
        <v>216</v>
      </c>
      <c r="AA40" s="141" t="s">
        <v>216</v>
      </c>
      <c r="AB40" s="141" t="s">
        <v>216</v>
      </c>
      <c r="AC40" s="148" t="s">
        <v>216</v>
      </c>
      <c r="AD40" s="222" t="s">
        <v>72</v>
      </c>
      <c r="AE40" s="346" t="s">
        <v>216</v>
      </c>
      <c r="AF40" s="346" t="s">
        <v>216</v>
      </c>
      <c r="AG40" s="347" t="s">
        <v>216</v>
      </c>
      <c r="AH40" s="347" t="s">
        <v>216</v>
      </c>
    </row>
    <row r="41" spans="1:34" ht="22.8">
      <c r="A41" s="98" t="s">
        <v>218</v>
      </c>
      <c r="B41" s="141" t="s">
        <v>219</v>
      </c>
      <c r="C41" s="141" t="s">
        <v>72</v>
      </c>
      <c r="D41" s="141" t="s">
        <v>72</v>
      </c>
      <c r="E41" s="141" t="s">
        <v>72</v>
      </c>
      <c r="F41" s="141" t="s">
        <v>72</v>
      </c>
      <c r="G41" s="141" t="s">
        <v>72</v>
      </c>
      <c r="H41" s="141" t="s">
        <v>72</v>
      </c>
      <c r="I41" s="141" t="s">
        <v>72</v>
      </c>
      <c r="J41" s="282" t="s">
        <v>72</v>
      </c>
      <c r="K41" s="141" t="s">
        <v>72</v>
      </c>
      <c r="L41" s="141" t="s">
        <v>72</v>
      </c>
      <c r="M41" s="141" t="s">
        <v>72</v>
      </c>
      <c r="N41" s="141" t="s">
        <v>72</v>
      </c>
      <c r="O41" s="148" t="s">
        <v>72</v>
      </c>
      <c r="P41" s="148" t="s">
        <v>72</v>
      </c>
      <c r="Q41" s="141" t="s">
        <v>72</v>
      </c>
      <c r="R41" s="141" t="s">
        <v>72</v>
      </c>
      <c r="S41" s="141" t="s">
        <v>72</v>
      </c>
      <c r="T41" s="141" t="s">
        <v>72</v>
      </c>
      <c r="U41" s="102" t="s">
        <v>72</v>
      </c>
      <c r="V41" s="102" t="s">
        <v>72</v>
      </c>
      <c r="W41" s="222" t="s">
        <v>72</v>
      </c>
      <c r="X41" s="141" t="s">
        <v>72</v>
      </c>
      <c r="Y41" s="222" t="s">
        <v>72</v>
      </c>
      <c r="Z41" s="141" t="s">
        <v>72</v>
      </c>
      <c r="AA41" s="141" t="s">
        <v>72</v>
      </c>
      <c r="AB41" s="141" t="s">
        <v>72</v>
      </c>
      <c r="AC41" s="148" t="s">
        <v>72</v>
      </c>
      <c r="AD41" s="222" t="s">
        <v>216</v>
      </c>
      <c r="AE41" s="346" t="s">
        <v>72</v>
      </c>
      <c r="AF41" s="346" t="s">
        <v>72</v>
      </c>
      <c r="AG41" s="347" t="s">
        <v>72</v>
      </c>
      <c r="AH41" s="347" t="s">
        <v>72</v>
      </c>
    </row>
    <row r="42" spans="1:34" ht="22.8">
      <c r="A42" s="98" t="s">
        <v>220</v>
      </c>
      <c r="B42" s="141" t="s">
        <v>216</v>
      </c>
      <c r="C42" s="141" t="s">
        <v>216</v>
      </c>
      <c r="D42" s="141" t="s">
        <v>216</v>
      </c>
      <c r="E42" s="141" t="s">
        <v>216</v>
      </c>
      <c r="F42" s="141" t="s">
        <v>216</v>
      </c>
      <c r="G42" s="141" t="s">
        <v>216</v>
      </c>
      <c r="H42" s="141" t="s">
        <v>216</v>
      </c>
      <c r="I42" s="141" t="s">
        <v>216</v>
      </c>
      <c r="J42" s="282" t="s">
        <v>216</v>
      </c>
      <c r="K42" s="141" t="s">
        <v>216</v>
      </c>
      <c r="L42" s="141" t="s">
        <v>216</v>
      </c>
      <c r="M42" s="141" t="s">
        <v>216</v>
      </c>
      <c r="N42" s="141" t="s">
        <v>216</v>
      </c>
      <c r="O42" s="148" t="s">
        <v>216</v>
      </c>
      <c r="P42" s="158" t="s">
        <v>216</v>
      </c>
      <c r="Q42" s="141" t="s">
        <v>216</v>
      </c>
      <c r="R42" s="141" t="s">
        <v>216</v>
      </c>
      <c r="S42" s="141" t="s">
        <v>216</v>
      </c>
      <c r="T42" s="141" t="s">
        <v>216</v>
      </c>
      <c r="U42" s="102" t="s">
        <v>216</v>
      </c>
      <c r="V42" s="102" t="s">
        <v>216</v>
      </c>
      <c r="W42" s="222" t="s">
        <v>216</v>
      </c>
      <c r="X42" s="141" t="s">
        <v>216</v>
      </c>
      <c r="Y42" s="222" t="s">
        <v>216</v>
      </c>
      <c r="Z42" s="141" t="s">
        <v>216</v>
      </c>
      <c r="AA42" s="141" t="s">
        <v>216</v>
      </c>
      <c r="AB42" s="141" t="s">
        <v>216</v>
      </c>
      <c r="AC42" s="148" t="s">
        <v>216</v>
      </c>
      <c r="AD42" s="222" t="s">
        <v>216</v>
      </c>
      <c r="AE42" s="346" t="s">
        <v>216</v>
      </c>
      <c r="AF42" s="346" t="s">
        <v>216</v>
      </c>
      <c r="AG42" s="347" t="s">
        <v>216</v>
      </c>
      <c r="AH42" s="347" t="s">
        <v>216</v>
      </c>
    </row>
    <row r="43" spans="1:34" ht="22.8">
      <c r="A43" s="98" t="s">
        <v>221</v>
      </c>
      <c r="B43" s="141" t="s">
        <v>216</v>
      </c>
      <c r="C43" s="141" t="s">
        <v>216</v>
      </c>
      <c r="D43" s="141" t="s">
        <v>216</v>
      </c>
      <c r="E43" s="141" t="s">
        <v>216</v>
      </c>
      <c r="F43" s="141" t="s">
        <v>216</v>
      </c>
      <c r="G43" s="141" t="s">
        <v>216</v>
      </c>
      <c r="H43" s="141" t="s">
        <v>216</v>
      </c>
      <c r="I43" s="141" t="s">
        <v>216</v>
      </c>
      <c r="J43" s="282" t="s">
        <v>216</v>
      </c>
      <c r="K43" s="141" t="s">
        <v>216</v>
      </c>
      <c r="L43" s="141" t="s">
        <v>216</v>
      </c>
      <c r="M43" s="141" t="s">
        <v>216</v>
      </c>
      <c r="N43" s="141" t="s">
        <v>216</v>
      </c>
      <c r="O43" s="148" t="s">
        <v>216</v>
      </c>
      <c r="P43" s="158" t="s">
        <v>216</v>
      </c>
      <c r="Q43" s="141" t="s">
        <v>216</v>
      </c>
      <c r="R43" s="141" t="s">
        <v>216</v>
      </c>
      <c r="S43" s="141" t="s">
        <v>216</v>
      </c>
      <c r="T43" s="141" t="s">
        <v>216</v>
      </c>
      <c r="U43" s="102" t="s">
        <v>216</v>
      </c>
      <c r="V43" s="102" t="s">
        <v>216</v>
      </c>
      <c r="W43" s="222" t="s">
        <v>216</v>
      </c>
      <c r="X43" s="141" t="s">
        <v>216</v>
      </c>
      <c r="Y43" s="222" t="s">
        <v>216</v>
      </c>
      <c r="Z43" s="141" t="s">
        <v>216</v>
      </c>
      <c r="AA43" s="141" t="s">
        <v>216</v>
      </c>
      <c r="AB43" s="141" t="s">
        <v>216</v>
      </c>
      <c r="AC43" s="148" t="s">
        <v>216</v>
      </c>
      <c r="AD43" s="222" t="s">
        <v>216</v>
      </c>
      <c r="AE43" s="346" t="s">
        <v>216</v>
      </c>
      <c r="AF43" s="346" t="s">
        <v>216</v>
      </c>
      <c r="AG43" s="347" t="s">
        <v>216</v>
      </c>
      <c r="AH43" s="347" t="s">
        <v>216</v>
      </c>
    </row>
    <row r="44" spans="1:34">
      <c r="A44" s="127" t="s">
        <v>222</v>
      </c>
      <c r="B44" s="144"/>
      <c r="D44" s="145"/>
      <c r="R44" s="145"/>
    </row>
  </sheetData>
  <customSheetViews>
    <customSheetView guid="{67590F70-5005-492E-AD47-1C13C49F2D83}" scale="85">
      <pane xSplit="2" ySplit="3" topLeftCell="T4" activePane="bottomRight" state="frozen"/>
      <selection pane="bottomRight" activeCell="V14" sqref="V14"/>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cale="85">
      <pane xSplit="2" ySplit="3" topLeftCell="T4" activePane="bottomRight" state="frozen"/>
      <selection pane="bottomRight" activeCell="V14" sqref="V14"/>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85">
      <pane xSplit="2" ySplit="3" topLeftCell="T4" activePane="bottomRight" state="frozen"/>
      <selection pane="bottomRight" activeCell="V14" sqref="V14"/>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pane xSplit="2" ySplit="3" topLeftCell="W25" activePane="bottomRight" state="frozen"/>
      <selection pane="bottomRight" activeCell="U30" sqref="U3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85">
      <pane xSplit="2" ySplit="3" topLeftCell="S22" activePane="bottomRight" state="frozen"/>
      <selection pane="bottomRight" activeCell="W22" sqref="W22"/>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41">
    <mergeCell ref="X36:X37"/>
    <mergeCell ref="Z36:Z37"/>
    <mergeCell ref="AA36:AA37"/>
    <mergeCell ref="AB36:AB37"/>
    <mergeCell ref="A36:A37"/>
    <mergeCell ref="B36:B37"/>
    <mergeCell ref="C36:C37"/>
    <mergeCell ref="D36:D37"/>
    <mergeCell ref="E36:E37"/>
    <mergeCell ref="Q36:Q37"/>
    <mergeCell ref="O2:P2"/>
    <mergeCell ref="C2:E2"/>
    <mergeCell ref="F2:G2"/>
    <mergeCell ref="M2:N2"/>
    <mergeCell ref="F36:F37"/>
    <mergeCell ref="G36:G37"/>
    <mergeCell ref="H36:H37"/>
    <mergeCell ref="I36:I37"/>
    <mergeCell ref="K36:K37"/>
    <mergeCell ref="J36:J37"/>
    <mergeCell ref="J2:K2"/>
    <mergeCell ref="L36:L37"/>
    <mergeCell ref="M36:M37"/>
    <mergeCell ref="N36:N37"/>
    <mergeCell ref="O36:O37"/>
    <mergeCell ref="AG2:AH2"/>
    <mergeCell ref="AG36:AG37"/>
    <mergeCell ref="AH36:AH37"/>
    <mergeCell ref="Q2:R2"/>
    <mergeCell ref="S2:T2"/>
    <mergeCell ref="R36:R37"/>
    <mergeCell ref="S36:S37"/>
    <mergeCell ref="T36:T37"/>
    <mergeCell ref="AE2:AF2"/>
    <mergeCell ref="AE36:AE37"/>
    <mergeCell ref="AF36:AF37"/>
    <mergeCell ref="U36:U37"/>
    <mergeCell ref="U2:V2"/>
    <mergeCell ref="AA2:AB2"/>
    <mergeCell ref="AC36:AC37"/>
    <mergeCell ref="V36:V37"/>
  </mergeCells>
  <phoneticPr fontId="9"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41"/>
  <sheetViews>
    <sheetView workbookViewId="0">
      <pane xSplit="2" ySplit="3" topLeftCell="N4" activePane="bottomRight" state="frozen"/>
      <selection pane="topRight" activeCell="C1" sqref="C1"/>
      <selection pane="bottomLeft" activeCell="A4" sqref="A4"/>
      <selection pane="bottomRight" activeCell="O1" sqref="O1"/>
    </sheetView>
  </sheetViews>
  <sheetFormatPr defaultColWidth="9.44140625" defaultRowHeight="15.6"/>
  <cols>
    <col min="1" max="1" width="29.44140625" style="81" customWidth="1"/>
    <col min="2" max="2" width="44.44140625" style="81" customWidth="1"/>
    <col min="3" max="3" width="31.44140625" style="128" customWidth="1"/>
    <col min="4" max="13" width="31.44140625" style="82" customWidth="1"/>
    <col min="14" max="14" width="31.44140625" style="121" customWidth="1"/>
    <col min="15" max="26" width="31.44140625" style="82" customWidth="1"/>
    <col min="27" max="16384" width="9.44140625" style="81"/>
  </cols>
  <sheetData>
    <row r="1" spans="1:26">
      <c r="A1" s="129" t="s">
        <v>61</v>
      </c>
      <c r="B1" s="82"/>
    </row>
    <row r="2" spans="1:26">
      <c r="A2" s="129" t="s">
        <v>62</v>
      </c>
      <c r="B2" s="86" t="s">
        <v>63</v>
      </c>
      <c r="C2" s="376" t="s">
        <v>5</v>
      </c>
      <c r="D2" s="377"/>
      <c r="E2" s="378"/>
      <c r="F2" s="376" t="s">
        <v>64</v>
      </c>
      <c r="G2" s="378"/>
      <c r="H2" s="88" t="s">
        <v>21</v>
      </c>
      <c r="I2" s="379" t="s">
        <v>20</v>
      </c>
      <c r="J2" s="380"/>
      <c r="K2" s="109" t="s">
        <v>23</v>
      </c>
      <c r="L2" s="376" t="s">
        <v>25</v>
      </c>
      <c r="M2" s="378"/>
      <c r="N2" s="87" t="s">
        <v>32</v>
      </c>
      <c r="O2" s="88" t="s">
        <v>38</v>
      </c>
      <c r="P2" s="87" t="s">
        <v>15</v>
      </c>
      <c r="Q2" s="130" t="s">
        <v>65</v>
      </c>
      <c r="R2" s="387" t="s">
        <v>15</v>
      </c>
      <c r="S2" s="388"/>
      <c r="T2" s="109"/>
      <c r="U2" s="109"/>
      <c r="V2" s="109"/>
      <c r="W2" s="109"/>
      <c r="X2" s="109"/>
      <c r="Y2" s="109"/>
      <c r="Z2" s="109"/>
    </row>
    <row r="3" spans="1:26">
      <c r="A3" s="129"/>
      <c r="B3" s="86"/>
      <c r="C3" s="131" t="s">
        <v>66</v>
      </c>
      <c r="D3" s="132" t="s">
        <v>67</v>
      </c>
      <c r="E3" s="131" t="s">
        <v>68</v>
      </c>
      <c r="F3" s="131" t="s">
        <v>66</v>
      </c>
      <c r="G3" s="132" t="s">
        <v>67</v>
      </c>
      <c r="H3" s="131" t="s">
        <v>66</v>
      </c>
      <c r="I3" s="146" t="s">
        <v>66</v>
      </c>
      <c r="J3" s="146" t="s">
        <v>819</v>
      </c>
      <c r="K3" s="131" t="s">
        <v>66</v>
      </c>
      <c r="L3" s="146" t="s">
        <v>66</v>
      </c>
      <c r="M3" s="341" t="s">
        <v>854</v>
      </c>
      <c r="N3" s="146" t="s">
        <v>67</v>
      </c>
      <c r="O3" s="147" t="s">
        <v>66</v>
      </c>
      <c r="P3" s="146" t="s">
        <v>67</v>
      </c>
      <c r="Q3" s="146" t="s">
        <v>66</v>
      </c>
      <c r="R3" s="131" t="s">
        <v>66</v>
      </c>
      <c r="S3" s="132" t="s">
        <v>67</v>
      </c>
      <c r="T3" s="109"/>
      <c r="U3" s="109"/>
      <c r="V3" s="109"/>
      <c r="W3" s="109"/>
      <c r="X3" s="109"/>
      <c r="Y3" s="109"/>
      <c r="Z3" s="109"/>
    </row>
    <row r="4" spans="1:26">
      <c r="A4" s="95" t="s">
        <v>70</v>
      </c>
      <c r="B4" s="133" t="s">
        <v>71</v>
      </c>
      <c r="C4" s="134" t="s">
        <v>72</v>
      </c>
      <c r="D4" s="134" t="s">
        <v>72</v>
      </c>
      <c r="E4" s="135" t="s">
        <v>223</v>
      </c>
      <c r="F4" s="134" t="s">
        <v>72</v>
      </c>
      <c r="G4" s="134" t="s">
        <v>72</v>
      </c>
      <c r="H4" s="134" t="s">
        <v>72</v>
      </c>
      <c r="I4" s="134" t="s">
        <v>72</v>
      </c>
      <c r="J4" s="134" t="s">
        <v>72</v>
      </c>
      <c r="K4" s="134" t="s">
        <v>72</v>
      </c>
      <c r="L4" s="148" t="s">
        <v>72</v>
      </c>
      <c r="M4" s="126" t="s">
        <v>72</v>
      </c>
      <c r="N4" s="126" t="s">
        <v>72</v>
      </c>
      <c r="O4" s="148" t="s">
        <v>72</v>
      </c>
      <c r="P4" s="126" t="s">
        <v>72</v>
      </c>
      <c r="Q4" s="148" t="s">
        <v>72</v>
      </c>
      <c r="R4" s="134" t="s">
        <v>72</v>
      </c>
      <c r="S4" s="134" t="s">
        <v>72</v>
      </c>
      <c r="T4" s="95"/>
      <c r="U4" s="95"/>
      <c r="V4" s="95"/>
      <c r="W4" s="95"/>
      <c r="X4" s="95"/>
      <c r="Y4" s="95"/>
      <c r="Z4" s="95"/>
    </row>
    <row r="5" spans="1:26">
      <c r="A5" s="117" t="s">
        <v>73</v>
      </c>
      <c r="B5" s="133"/>
      <c r="C5" s="134" t="s">
        <v>74</v>
      </c>
      <c r="D5" s="95" t="s">
        <v>75</v>
      </c>
      <c r="E5" s="134" t="s">
        <v>74</v>
      </c>
      <c r="F5" s="134" t="s">
        <v>74</v>
      </c>
      <c r="G5" s="95" t="s">
        <v>75</v>
      </c>
      <c r="H5" s="134" t="s">
        <v>74</v>
      </c>
      <c r="I5" s="134" t="s">
        <v>74</v>
      </c>
      <c r="J5" s="289" t="s">
        <v>820</v>
      </c>
      <c r="K5" s="134" t="s">
        <v>74</v>
      </c>
      <c r="L5" s="148" t="s">
        <v>74</v>
      </c>
      <c r="M5" s="126" t="s">
        <v>75</v>
      </c>
      <c r="N5" s="126" t="s">
        <v>75</v>
      </c>
      <c r="O5" s="148" t="s">
        <v>74</v>
      </c>
      <c r="P5" s="126" t="s">
        <v>75</v>
      </c>
      <c r="Q5" s="148" t="s">
        <v>74</v>
      </c>
      <c r="R5" s="134" t="s">
        <v>74</v>
      </c>
      <c r="S5" s="95" t="s">
        <v>75</v>
      </c>
      <c r="T5" s="95"/>
      <c r="U5" s="95"/>
      <c r="V5" s="95"/>
      <c r="W5" s="95"/>
      <c r="X5" s="95"/>
      <c r="Y5" s="95"/>
      <c r="Z5" s="95"/>
    </row>
    <row r="6" spans="1:26">
      <c r="A6" s="117" t="s">
        <v>76</v>
      </c>
      <c r="B6" s="133"/>
      <c r="C6" s="134" t="s">
        <v>72</v>
      </c>
      <c r="D6" s="134" t="s">
        <v>72</v>
      </c>
      <c r="E6" s="134" t="s">
        <v>72</v>
      </c>
      <c r="F6" s="134" t="s">
        <v>72</v>
      </c>
      <c r="G6" s="134" t="s">
        <v>72</v>
      </c>
      <c r="H6" s="134" t="s">
        <v>72</v>
      </c>
      <c r="I6" s="134" t="s">
        <v>72</v>
      </c>
      <c r="J6" s="134" t="s">
        <v>72</v>
      </c>
      <c r="K6" s="134" t="s">
        <v>72</v>
      </c>
      <c r="L6" s="148" t="s">
        <v>72</v>
      </c>
      <c r="M6" s="126" t="s">
        <v>72</v>
      </c>
      <c r="N6" s="126" t="s">
        <v>72</v>
      </c>
      <c r="O6" s="148" t="s">
        <v>72</v>
      </c>
      <c r="P6" s="126" t="s">
        <v>72</v>
      </c>
      <c r="Q6" s="148" t="s">
        <v>72</v>
      </c>
      <c r="R6" s="134" t="s">
        <v>72</v>
      </c>
      <c r="S6" s="134" t="s">
        <v>72</v>
      </c>
      <c r="T6" s="95"/>
      <c r="U6" s="95"/>
      <c r="V6" s="95"/>
      <c r="W6" s="95"/>
      <c r="X6" s="95"/>
      <c r="Y6" s="95"/>
      <c r="Z6" s="95"/>
    </row>
    <row r="7" spans="1:26">
      <c r="A7" s="117" t="s">
        <v>77</v>
      </c>
      <c r="B7" s="133" t="s">
        <v>224</v>
      </c>
      <c r="C7" s="134" t="s">
        <v>72</v>
      </c>
      <c r="D7" s="134" t="s">
        <v>72</v>
      </c>
      <c r="E7" s="134" t="s">
        <v>72</v>
      </c>
      <c r="F7" s="134" t="s">
        <v>72</v>
      </c>
      <c r="G7" s="134" t="s">
        <v>72</v>
      </c>
      <c r="H7" s="134" t="s">
        <v>72</v>
      </c>
      <c r="I7" s="134" t="s">
        <v>72</v>
      </c>
      <c r="J7" s="134" t="s">
        <v>72</v>
      </c>
      <c r="K7" s="134" t="s">
        <v>72</v>
      </c>
      <c r="L7" s="148" t="s">
        <v>72</v>
      </c>
      <c r="M7" s="126" t="s">
        <v>72</v>
      </c>
      <c r="N7" s="126" t="s">
        <v>72</v>
      </c>
      <c r="O7" s="148" t="s">
        <v>72</v>
      </c>
      <c r="P7" s="126" t="s">
        <v>72</v>
      </c>
      <c r="Q7" s="148" t="s">
        <v>72</v>
      </c>
      <c r="R7" s="134" t="s">
        <v>72</v>
      </c>
      <c r="S7" s="134" t="s">
        <v>72</v>
      </c>
      <c r="T7" s="95"/>
      <c r="U7" s="95"/>
      <c r="V7" s="95"/>
      <c r="W7" s="95"/>
      <c r="X7" s="95"/>
      <c r="Y7" s="95"/>
      <c r="Z7" s="95"/>
    </row>
    <row r="8" spans="1:26" ht="34.200000000000003">
      <c r="A8" s="95" t="s">
        <v>225</v>
      </c>
      <c r="B8" s="93" t="s">
        <v>80</v>
      </c>
      <c r="C8" s="134" t="s">
        <v>72</v>
      </c>
      <c r="D8" s="134" t="s">
        <v>72</v>
      </c>
      <c r="E8" s="95" t="s">
        <v>81</v>
      </c>
      <c r="F8" s="134" t="s">
        <v>72</v>
      </c>
      <c r="G8" s="134" t="s">
        <v>72</v>
      </c>
      <c r="H8" s="134" t="s">
        <v>72</v>
      </c>
      <c r="I8" s="134" t="s">
        <v>72</v>
      </c>
      <c r="J8" s="134" t="s">
        <v>72</v>
      </c>
      <c r="K8" s="134" t="s">
        <v>72</v>
      </c>
      <c r="L8" s="148" t="s">
        <v>72</v>
      </c>
      <c r="M8" s="126" t="s">
        <v>72</v>
      </c>
      <c r="N8" s="126" t="s">
        <v>72</v>
      </c>
      <c r="O8" s="117" t="s">
        <v>72</v>
      </c>
      <c r="P8" s="126" t="s">
        <v>72</v>
      </c>
      <c r="Q8" s="148" t="s">
        <v>72</v>
      </c>
      <c r="R8" s="134" t="s">
        <v>72</v>
      </c>
      <c r="S8" s="134" t="s">
        <v>72</v>
      </c>
      <c r="T8" s="95"/>
      <c r="U8" s="95"/>
      <c r="V8" s="95"/>
      <c r="W8" s="95"/>
      <c r="X8" s="95"/>
      <c r="Y8" s="95"/>
      <c r="Z8" s="81"/>
    </row>
    <row r="9" spans="1:26" ht="22.8">
      <c r="A9" s="117" t="s">
        <v>82</v>
      </c>
      <c r="B9" s="93" t="s">
        <v>83</v>
      </c>
      <c r="C9" s="134" t="s">
        <v>84</v>
      </c>
      <c r="D9" s="134" t="s">
        <v>85</v>
      </c>
      <c r="E9" s="134" t="s">
        <v>84</v>
      </c>
      <c r="F9" s="134" t="s">
        <v>84</v>
      </c>
      <c r="G9" s="134" t="s">
        <v>84</v>
      </c>
      <c r="H9" s="134" t="s">
        <v>84</v>
      </c>
      <c r="I9" s="134" t="s">
        <v>84</v>
      </c>
      <c r="J9" s="134" t="s">
        <v>84</v>
      </c>
      <c r="K9" s="134" t="s">
        <v>84</v>
      </c>
      <c r="L9" s="149" t="s">
        <v>84</v>
      </c>
      <c r="M9" s="150" t="s">
        <v>857</v>
      </c>
      <c r="N9" s="150" t="s">
        <v>87</v>
      </c>
      <c r="O9" s="149" t="s">
        <v>84</v>
      </c>
      <c r="P9" s="150" t="s">
        <v>84</v>
      </c>
      <c r="Q9" s="149" t="s">
        <v>84</v>
      </c>
      <c r="R9" s="134" t="s">
        <v>84</v>
      </c>
      <c r="S9" s="134" t="s">
        <v>85</v>
      </c>
      <c r="T9" s="95"/>
      <c r="U9" s="95"/>
      <c r="V9" s="95"/>
      <c r="W9" s="95"/>
      <c r="X9" s="95"/>
      <c r="Y9" s="95"/>
      <c r="Z9" s="95"/>
    </row>
    <row r="10" spans="1:26" ht="34.200000000000003">
      <c r="A10" s="94" t="s">
        <v>89</v>
      </c>
      <c r="B10" s="136" t="s">
        <v>90</v>
      </c>
      <c r="C10" s="134" t="s">
        <v>72</v>
      </c>
      <c r="D10" s="134" t="s">
        <v>72</v>
      </c>
      <c r="E10" s="137">
        <v>0.1</v>
      </c>
      <c r="F10" s="134" t="s">
        <v>72</v>
      </c>
      <c r="G10" s="134" t="s">
        <v>72</v>
      </c>
      <c r="H10" s="134" t="s">
        <v>72</v>
      </c>
      <c r="I10" s="134" t="s">
        <v>72</v>
      </c>
      <c r="J10" s="134" t="s">
        <v>72</v>
      </c>
      <c r="K10" s="134" t="s">
        <v>72</v>
      </c>
      <c r="L10" s="148" t="s">
        <v>72</v>
      </c>
      <c r="M10" s="126" t="s">
        <v>72</v>
      </c>
      <c r="N10" s="126" t="s">
        <v>72</v>
      </c>
      <c r="O10" s="117" t="s">
        <v>72</v>
      </c>
      <c r="P10" s="126" t="s">
        <v>72</v>
      </c>
      <c r="Q10" s="148" t="s">
        <v>72</v>
      </c>
      <c r="R10" s="134" t="s">
        <v>72</v>
      </c>
      <c r="S10" s="134" t="s">
        <v>72</v>
      </c>
      <c r="T10" s="95"/>
      <c r="U10" s="95"/>
      <c r="V10" s="95"/>
      <c r="W10" s="95"/>
      <c r="X10" s="95"/>
      <c r="Y10" s="95"/>
      <c r="Z10" s="95"/>
    </row>
    <row r="11" spans="1:26" ht="22.8">
      <c r="A11" s="117" t="s">
        <v>92</v>
      </c>
      <c r="B11" s="134" t="s">
        <v>93</v>
      </c>
      <c r="C11" s="134" t="s">
        <v>72</v>
      </c>
      <c r="D11" s="134" t="s">
        <v>72</v>
      </c>
      <c r="E11" s="134" t="s">
        <v>72</v>
      </c>
      <c r="F11" s="134" t="s">
        <v>72</v>
      </c>
      <c r="G11" s="134" t="s">
        <v>72</v>
      </c>
      <c r="H11" s="134" t="s">
        <v>72</v>
      </c>
      <c r="I11" s="134" t="s">
        <v>72</v>
      </c>
      <c r="J11" s="134" t="s">
        <v>72</v>
      </c>
      <c r="K11" s="134" t="s">
        <v>72</v>
      </c>
      <c r="L11" s="148" t="s">
        <v>72</v>
      </c>
      <c r="M11" s="126" t="s">
        <v>72</v>
      </c>
      <c r="N11" s="126" t="s">
        <v>72</v>
      </c>
      <c r="O11" s="148" t="s">
        <v>295</v>
      </c>
      <c r="P11" s="126" t="s">
        <v>72</v>
      </c>
      <c r="Q11" s="148" t="s">
        <v>72</v>
      </c>
      <c r="R11" s="134" t="s">
        <v>72</v>
      </c>
      <c r="S11" s="134" t="s">
        <v>72</v>
      </c>
      <c r="T11" s="95"/>
      <c r="U11" s="95"/>
      <c r="V11" s="95"/>
      <c r="W11" s="95"/>
      <c r="X11" s="95"/>
      <c r="Y11" s="95"/>
      <c r="Z11" s="95"/>
    </row>
    <row r="12" spans="1:26" ht="22.8">
      <c r="A12" s="117" t="s">
        <v>95</v>
      </c>
      <c r="B12" s="133"/>
      <c r="C12" s="134" t="s">
        <v>228</v>
      </c>
      <c r="D12" s="95" t="s">
        <v>97</v>
      </c>
      <c r="E12" s="134" t="s">
        <v>228</v>
      </c>
      <c r="F12" s="134" t="s">
        <v>228</v>
      </c>
      <c r="G12" s="95" t="s">
        <v>98</v>
      </c>
      <c r="H12" s="134" t="s">
        <v>228</v>
      </c>
      <c r="I12" s="134" t="s">
        <v>228</v>
      </c>
      <c r="J12" s="289" t="s">
        <v>821</v>
      </c>
      <c r="K12" s="134" t="s">
        <v>228</v>
      </c>
      <c r="L12" s="148" t="s">
        <v>228</v>
      </c>
      <c r="M12" s="150" t="s">
        <v>699</v>
      </c>
      <c r="N12" s="150" t="s">
        <v>99</v>
      </c>
      <c r="O12" s="148" t="s">
        <v>337</v>
      </c>
      <c r="P12" s="133" t="s">
        <v>228</v>
      </c>
      <c r="Q12" s="148" t="s">
        <v>228</v>
      </c>
      <c r="R12" s="134" t="s">
        <v>228</v>
      </c>
      <c r="S12" s="95" t="s">
        <v>97</v>
      </c>
      <c r="T12" s="95"/>
      <c r="U12" s="95"/>
      <c r="V12" s="95"/>
      <c r="W12" s="95"/>
      <c r="X12" s="95"/>
      <c r="Y12" s="95"/>
      <c r="Z12" s="95"/>
    </row>
    <row r="13" spans="1:26" ht="22.8">
      <c r="A13" s="117" t="s">
        <v>101</v>
      </c>
      <c r="B13" s="133"/>
      <c r="C13" s="95" t="s">
        <v>230</v>
      </c>
      <c r="D13" s="95" t="s">
        <v>230</v>
      </c>
      <c r="E13" s="95" t="s">
        <v>230</v>
      </c>
      <c r="F13" s="95" t="s">
        <v>339</v>
      </c>
      <c r="G13" s="95" t="s">
        <v>339</v>
      </c>
      <c r="H13" s="95" t="s">
        <v>230</v>
      </c>
      <c r="I13" s="95" t="s">
        <v>230</v>
      </c>
      <c r="J13" s="95" t="s">
        <v>230</v>
      </c>
      <c r="K13" s="151" t="s">
        <v>230</v>
      </c>
      <c r="L13" s="148" t="s">
        <v>230</v>
      </c>
      <c r="M13" s="126" t="s">
        <v>230</v>
      </c>
      <c r="N13" s="126" t="s">
        <v>230</v>
      </c>
      <c r="O13" s="149" t="s">
        <v>340</v>
      </c>
      <c r="P13" s="126" t="s">
        <v>230</v>
      </c>
      <c r="Q13" s="148" t="s">
        <v>230</v>
      </c>
      <c r="R13" s="95" t="s">
        <v>230</v>
      </c>
      <c r="S13" s="95" t="s">
        <v>230</v>
      </c>
      <c r="T13" s="95"/>
      <c r="U13" s="95"/>
      <c r="V13" s="95"/>
      <c r="W13" s="95"/>
      <c r="X13" s="95"/>
      <c r="Y13" s="95"/>
      <c r="Z13" s="95"/>
    </row>
    <row r="14" spans="1:26" ht="22.8">
      <c r="A14" s="117" t="s">
        <v>233</v>
      </c>
      <c r="B14" s="133"/>
      <c r="C14" s="138" t="s">
        <v>384</v>
      </c>
      <c r="D14" s="138" t="s">
        <v>384</v>
      </c>
      <c r="E14" s="138" t="s">
        <v>238</v>
      </c>
      <c r="F14" s="138" t="s">
        <v>342</v>
      </c>
      <c r="G14" s="138" t="s">
        <v>342</v>
      </c>
      <c r="H14" s="138" t="s">
        <v>237</v>
      </c>
      <c r="I14" s="138" t="s">
        <v>385</v>
      </c>
      <c r="J14" s="308" t="s">
        <v>123</v>
      </c>
      <c r="K14" s="138" t="s">
        <v>237</v>
      </c>
      <c r="L14" s="148" t="s">
        <v>342</v>
      </c>
      <c r="M14" s="148" t="s">
        <v>342</v>
      </c>
      <c r="N14" s="126" t="s">
        <v>239</v>
      </c>
      <c r="O14" s="148" t="s">
        <v>342</v>
      </c>
      <c r="P14" s="126" t="s">
        <v>236</v>
      </c>
      <c r="Q14" s="148" t="s">
        <v>342</v>
      </c>
      <c r="R14" s="138" t="s">
        <v>342</v>
      </c>
      <c r="S14" s="138" t="s">
        <v>342</v>
      </c>
      <c r="T14" s="95"/>
      <c r="U14" s="95"/>
      <c r="V14" s="95"/>
      <c r="W14" s="95"/>
      <c r="X14" s="95"/>
      <c r="Y14" s="95"/>
      <c r="Z14" s="95"/>
    </row>
    <row r="15" spans="1:26">
      <c r="A15" s="117" t="s">
        <v>130</v>
      </c>
      <c r="B15" s="133"/>
      <c r="C15" s="138" t="s">
        <v>123</v>
      </c>
      <c r="D15" s="138" t="s">
        <v>123</v>
      </c>
      <c r="E15" s="138" t="s">
        <v>123</v>
      </c>
      <c r="F15" s="138" t="s">
        <v>241</v>
      </c>
      <c r="G15" s="138" t="s">
        <v>241</v>
      </c>
      <c r="H15" s="138" t="s">
        <v>123</v>
      </c>
      <c r="I15" s="138" t="s">
        <v>123</v>
      </c>
      <c r="J15" s="138" t="s">
        <v>123</v>
      </c>
      <c r="K15" s="152" t="s">
        <v>234</v>
      </c>
      <c r="L15" s="148" t="s">
        <v>123</v>
      </c>
      <c r="M15" s="126" t="s">
        <v>123</v>
      </c>
      <c r="N15" s="126" t="s">
        <v>123</v>
      </c>
      <c r="O15" s="148" t="s">
        <v>343</v>
      </c>
      <c r="P15" s="126" t="s">
        <v>123</v>
      </c>
      <c r="Q15" s="148" t="s">
        <v>123</v>
      </c>
      <c r="R15" s="138" t="s">
        <v>123</v>
      </c>
      <c r="S15" s="138" t="s">
        <v>123</v>
      </c>
      <c r="T15" s="95"/>
      <c r="U15" s="95"/>
      <c r="V15" s="95"/>
      <c r="W15" s="95"/>
      <c r="X15" s="95"/>
      <c r="Y15" s="95"/>
      <c r="Z15" s="95"/>
    </row>
    <row r="16" spans="1:26">
      <c r="A16" s="117" t="s">
        <v>136</v>
      </c>
      <c r="B16" s="133"/>
      <c r="C16" s="138" t="s">
        <v>386</v>
      </c>
      <c r="D16" s="138" t="s">
        <v>386</v>
      </c>
      <c r="E16" s="138" t="s">
        <v>387</v>
      </c>
      <c r="F16" s="138" t="s">
        <v>345</v>
      </c>
      <c r="G16" s="138" t="s">
        <v>345</v>
      </c>
      <c r="H16" s="138" t="s">
        <v>387</v>
      </c>
      <c r="I16" s="138" t="s">
        <v>388</v>
      </c>
      <c r="J16" s="138" t="s">
        <v>388</v>
      </c>
      <c r="K16" s="153" t="s">
        <v>243</v>
      </c>
      <c r="L16" s="148" t="s">
        <v>345</v>
      </c>
      <c r="M16" s="148" t="s">
        <v>345</v>
      </c>
      <c r="N16" s="126" t="s">
        <v>243</v>
      </c>
      <c r="O16" s="148" t="s">
        <v>346</v>
      </c>
      <c r="P16" s="126" t="s">
        <v>246</v>
      </c>
      <c r="Q16" s="148" t="s">
        <v>345</v>
      </c>
      <c r="R16" s="148" t="s">
        <v>345</v>
      </c>
      <c r="S16" s="148" t="s">
        <v>345</v>
      </c>
      <c r="T16" s="95"/>
      <c r="U16" s="95"/>
      <c r="V16" s="95"/>
      <c r="W16" s="95"/>
      <c r="X16" s="95"/>
      <c r="Y16" s="95"/>
      <c r="Z16" s="95"/>
    </row>
    <row r="17" spans="1:26" ht="22.8">
      <c r="A17" s="95" t="s">
        <v>141</v>
      </c>
      <c r="B17" s="93" t="s">
        <v>142</v>
      </c>
      <c r="C17" s="134" t="s">
        <v>72</v>
      </c>
      <c r="D17" s="134" t="s">
        <v>72</v>
      </c>
      <c r="E17" s="134" t="s">
        <v>72</v>
      </c>
      <c r="F17" s="134" t="s">
        <v>72</v>
      </c>
      <c r="G17" s="134" t="s">
        <v>72</v>
      </c>
      <c r="H17" s="134" t="s">
        <v>72</v>
      </c>
      <c r="I17" s="134" t="s">
        <v>72</v>
      </c>
      <c r="J17" s="134" t="s">
        <v>72</v>
      </c>
      <c r="K17" s="134" t="s">
        <v>72</v>
      </c>
      <c r="L17" s="148" t="s">
        <v>72</v>
      </c>
      <c r="M17" s="126" t="s">
        <v>72</v>
      </c>
      <c r="N17" s="126" t="s">
        <v>72</v>
      </c>
      <c r="O17" s="148" t="s">
        <v>72</v>
      </c>
      <c r="P17" s="126" t="s">
        <v>72</v>
      </c>
      <c r="Q17" s="148" t="s">
        <v>72</v>
      </c>
      <c r="R17" s="134" t="s">
        <v>72</v>
      </c>
      <c r="S17" s="134" t="s">
        <v>72</v>
      </c>
      <c r="T17" s="95"/>
      <c r="U17" s="95"/>
      <c r="V17" s="95"/>
      <c r="W17" s="95"/>
      <c r="X17" s="95"/>
      <c r="Y17" s="95"/>
      <c r="Z17" s="81"/>
    </row>
    <row r="18" spans="1:26" ht="68.400000000000006">
      <c r="A18" s="117" t="s">
        <v>144</v>
      </c>
      <c r="B18" s="93" t="s">
        <v>145</v>
      </c>
      <c r="C18" s="134" t="s">
        <v>389</v>
      </c>
      <c r="D18" s="134" t="s">
        <v>389</v>
      </c>
      <c r="E18" s="134" t="s">
        <v>390</v>
      </c>
      <c r="F18" s="139" t="s">
        <v>251</v>
      </c>
      <c r="G18" s="139" t="s">
        <v>252</v>
      </c>
      <c r="H18" s="134" t="s">
        <v>391</v>
      </c>
      <c r="I18" s="139" t="s">
        <v>252</v>
      </c>
      <c r="J18" s="139" t="s">
        <v>252</v>
      </c>
      <c r="K18" s="134" t="s">
        <v>254</v>
      </c>
      <c r="L18" s="149" t="s">
        <v>252</v>
      </c>
      <c r="M18" s="149" t="s">
        <v>252</v>
      </c>
      <c r="N18" s="150" t="s">
        <v>256</v>
      </c>
      <c r="O18" s="313" t="s">
        <v>934</v>
      </c>
      <c r="P18" s="139" t="s">
        <v>348</v>
      </c>
      <c r="Q18" s="149" t="s">
        <v>258</v>
      </c>
      <c r="R18" s="134" t="s">
        <v>915</v>
      </c>
      <c r="S18" s="134" t="s">
        <v>915</v>
      </c>
      <c r="T18" s="95"/>
      <c r="U18" s="95"/>
      <c r="V18" s="95"/>
      <c r="W18" s="95"/>
      <c r="X18" s="95"/>
      <c r="Y18" s="95"/>
      <c r="Z18" s="95"/>
    </row>
    <row r="19" spans="1:26" ht="60" customHeight="1">
      <c r="A19" s="98" t="s">
        <v>174</v>
      </c>
      <c r="B19" s="98" t="s">
        <v>175</v>
      </c>
      <c r="C19" s="139" t="s">
        <v>259</v>
      </c>
      <c r="D19" s="139" t="s">
        <v>259</v>
      </c>
      <c r="E19" s="139" t="s">
        <v>259</v>
      </c>
      <c r="F19" s="139" t="s">
        <v>259</v>
      </c>
      <c r="G19" s="139" t="s">
        <v>260</v>
      </c>
      <c r="H19" s="139" t="s">
        <v>259</v>
      </c>
      <c r="I19" s="139" t="s">
        <v>259</v>
      </c>
      <c r="J19" s="139" t="s">
        <v>259</v>
      </c>
      <c r="K19" s="139" t="s">
        <v>259</v>
      </c>
      <c r="L19" s="149" t="s">
        <v>259</v>
      </c>
      <c r="M19" s="149" t="s">
        <v>259</v>
      </c>
      <c r="N19" s="150" t="s">
        <v>392</v>
      </c>
      <c r="O19" s="149" t="s">
        <v>393</v>
      </c>
      <c r="P19" s="149" t="s">
        <v>394</v>
      </c>
      <c r="Q19" s="149" t="s">
        <v>259</v>
      </c>
      <c r="R19" s="139" t="s">
        <v>259</v>
      </c>
      <c r="S19" s="139" t="s">
        <v>259</v>
      </c>
      <c r="T19" s="95"/>
      <c r="U19" s="95"/>
      <c r="V19" s="95"/>
      <c r="W19" s="95"/>
      <c r="X19" s="95"/>
      <c r="Y19" s="95"/>
      <c r="Z19" s="95"/>
    </row>
    <row r="20" spans="1:26" ht="71.25" customHeight="1">
      <c r="A20" s="98" t="s">
        <v>185</v>
      </c>
      <c r="B20" s="98" t="s">
        <v>186</v>
      </c>
      <c r="C20" s="93" t="s">
        <v>395</v>
      </c>
      <c r="D20" s="93" t="s">
        <v>396</v>
      </c>
      <c r="E20" s="93" t="s">
        <v>263</v>
      </c>
      <c r="F20" s="140" t="s">
        <v>264</v>
      </c>
      <c r="G20" s="93" t="s">
        <v>265</v>
      </c>
      <c r="H20" s="140" t="s">
        <v>264</v>
      </c>
      <c r="I20" s="93" t="s">
        <v>397</v>
      </c>
      <c r="J20" s="93" t="s">
        <v>397</v>
      </c>
      <c r="K20" s="93" t="s">
        <v>266</v>
      </c>
      <c r="L20" s="149" t="s">
        <v>398</v>
      </c>
      <c r="M20" s="149" t="s">
        <v>398</v>
      </c>
      <c r="N20" s="150" t="s">
        <v>399</v>
      </c>
      <c r="O20" s="149" t="s">
        <v>363</v>
      </c>
      <c r="P20" s="149" t="s">
        <v>364</v>
      </c>
      <c r="Q20" s="149" t="s">
        <v>398</v>
      </c>
      <c r="R20" s="149" t="s">
        <v>398</v>
      </c>
      <c r="S20" s="149" t="s">
        <v>398</v>
      </c>
      <c r="T20" s="95"/>
      <c r="U20" s="95"/>
      <c r="V20" s="95"/>
      <c r="W20" s="95"/>
      <c r="X20" s="95"/>
      <c r="Y20" s="95"/>
      <c r="Z20" s="95"/>
    </row>
    <row r="21" spans="1:26" ht="20.25" customHeight="1">
      <c r="A21" s="98" t="s">
        <v>271</v>
      </c>
      <c r="B21" s="141">
        <v>1</v>
      </c>
      <c r="C21" s="134" t="s">
        <v>72</v>
      </c>
      <c r="D21" s="134" t="s">
        <v>72</v>
      </c>
      <c r="E21" s="134" t="s">
        <v>72</v>
      </c>
      <c r="F21" s="134" t="s">
        <v>72</v>
      </c>
      <c r="G21" s="134" t="s">
        <v>72</v>
      </c>
      <c r="H21" s="134" t="s">
        <v>72</v>
      </c>
      <c r="I21" s="134" t="s">
        <v>72</v>
      </c>
      <c r="J21" s="134" t="s">
        <v>72</v>
      </c>
      <c r="K21" s="134" t="s">
        <v>72</v>
      </c>
      <c r="L21" s="148" t="s">
        <v>72</v>
      </c>
      <c r="M21" s="126" t="s">
        <v>72</v>
      </c>
      <c r="N21" s="126" t="s">
        <v>72</v>
      </c>
      <c r="O21" s="117" t="s">
        <v>72</v>
      </c>
      <c r="P21" s="126" t="s">
        <v>72</v>
      </c>
      <c r="Q21" s="148" t="s">
        <v>72</v>
      </c>
      <c r="R21" s="134" t="s">
        <v>72</v>
      </c>
      <c r="S21" s="134" t="s">
        <v>72</v>
      </c>
      <c r="T21" s="95"/>
      <c r="U21" s="95"/>
      <c r="V21" s="95"/>
      <c r="W21" s="95"/>
      <c r="X21" s="95"/>
      <c r="Y21" s="95"/>
      <c r="Z21" s="95"/>
    </row>
    <row r="22" spans="1:26" ht="30" customHeight="1">
      <c r="A22" s="98" t="s">
        <v>272</v>
      </c>
      <c r="B22" s="98"/>
      <c r="C22" s="139" t="s">
        <v>273</v>
      </c>
      <c r="D22" s="139" t="s">
        <v>273</v>
      </c>
      <c r="E22" s="95" t="s">
        <v>172</v>
      </c>
      <c r="F22" s="139"/>
      <c r="G22" s="139"/>
      <c r="H22" s="139" t="s">
        <v>273</v>
      </c>
      <c r="I22" s="139" t="s">
        <v>273</v>
      </c>
      <c r="J22" s="139" t="s">
        <v>881</v>
      </c>
      <c r="K22" s="254" t="s">
        <v>880</v>
      </c>
      <c r="L22" s="148"/>
      <c r="M22" s="150" t="s">
        <v>882</v>
      </c>
      <c r="N22" s="150" t="s">
        <v>273</v>
      </c>
      <c r="O22" s="154" t="s">
        <v>365</v>
      </c>
      <c r="P22" s="150" t="s">
        <v>273</v>
      </c>
      <c r="Q22" s="148"/>
      <c r="R22" s="139" t="s">
        <v>273</v>
      </c>
      <c r="S22" s="139" t="s">
        <v>273</v>
      </c>
      <c r="T22" s="95"/>
      <c r="U22" s="95"/>
      <c r="V22" s="95"/>
      <c r="W22" s="95"/>
      <c r="X22" s="95"/>
      <c r="Y22" s="95"/>
      <c r="Z22" s="95"/>
    </row>
    <row r="23" spans="1:26">
      <c r="A23" s="117" t="s">
        <v>194</v>
      </c>
      <c r="B23" s="133" t="s">
        <v>195</v>
      </c>
      <c r="C23" s="134" t="s">
        <v>72</v>
      </c>
      <c r="D23" s="134" t="s">
        <v>72</v>
      </c>
      <c r="E23" s="134" t="s">
        <v>72</v>
      </c>
      <c r="F23" s="134" t="s">
        <v>72</v>
      </c>
      <c r="G23" s="134" t="s">
        <v>72</v>
      </c>
      <c r="H23" s="134" t="s">
        <v>72</v>
      </c>
      <c r="I23" s="134" t="s">
        <v>72</v>
      </c>
      <c r="J23" s="134" t="s">
        <v>72</v>
      </c>
      <c r="K23" s="134" t="s">
        <v>72</v>
      </c>
      <c r="L23" s="148" t="s">
        <v>72</v>
      </c>
      <c r="M23" s="126" t="s">
        <v>72</v>
      </c>
      <c r="N23" s="126" t="s">
        <v>72</v>
      </c>
      <c r="O23" s="148" t="s">
        <v>72</v>
      </c>
      <c r="P23" s="126" t="s">
        <v>72</v>
      </c>
      <c r="Q23" s="148" t="s">
        <v>72</v>
      </c>
      <c r="R23" s="134" t="s">
        <v>72</v>
      </c>
      <c r="S23" s="134" t="s">
        <v>72</v>
      </c>
      <c r="T23" s="95"/>
      <c r="U23" s="95"/>
      <c r="V23" s="95"/>
      <c r="W23" s="95"/>
      <c r="X23" s="95"/>
      <c r="Y23" s="95"/>
      <c r="Z23" s="95"/>
    </row>
    <row r="24" spans="1:26">
      <c r="A24" s="117" t="s">
        <v>196</v>
      </c>
      <c r="B24" s="133" t="s">
        <v>197</v>
      </c>
      <c r="C24" s="134" t="s">
        <v>72</v>
      </c>
      <c r="D24" s="134" t="s">
        <v>72</v>
      </c>
      <c r="E24" s="134" t="s">
        <v>72</v>
      </c>
      <c r="F24" s="134" t="s">
        <v>72</v>
      </c>
      <c r="G24" s="134" t="s">
        <v>72</v>
      </c>
      <c r="H24" s="134" t="s">
        <v>72</v>
      </c>
      <c r="I24" s="134" t="s">
        <v>72</v>
      </c>
      <c r="J24" s="134" t="s">
        <v>72</v>
      </c>
      <c r="K24" s="134" t="s">
        <v>72</v>
      </c>
      <c r="L24" s="148" t="s">
        <v>72</v>
      </c>
      <c r="M24" s="126" t="s">
        <v>72</v>
      </c>
      <c r="N24" s="126" t="s">
        <v>72</v>
      </c>
      <c r="O24" s="117" t="s">
        <v>335</v>
      </c>
      <c r="P24" s="126" t="s">
        <v>72</v>
      </c>
      <c r="Q24" s="148" t="s">
        <v>72</v>
      </c>
      <c r="R24" s="134" t="s">
        <v>72</v>
      </c>
      <c r="S24" s="134" t="s">
        <v>72</v>
      </c>
      <c r="T24" s="95"/>
      <c r="U24" s="95"/>
      <c r="V24" s="95"/>
      <c r="W24" s="95"/>
      <c r="X24" s="95"/>
      <c r="Y24" s="95"/>
      <c r="Z24" s="95"/>
    </row>
    <row r="25" spans="1:26">
      <c r="A25" s="95" t="s">
        <v>198</v>
      </c>
      <c r="B25" s="133"/>
      <c r="C25" s="134" t="s">
        <v>199</v>
      </c>
      <c r="D25" s="134" t="s">
        <v>199</v>
      </c>
      <c r="E25" s="134" t="s">
        <v>199</v>
      </c>
      <c r="F25" s="134" t="s">
        <v>199</v>
      </c>
      <c r="G25" s="134" t="s">
        <v>199</v>
      </c>
      <c r="H25" s="134" t="s">
        <v>199</v>
      </c>
      <c r="I25" s="95" t="s">
        <v>200</v>
      </c>
      <c r="J25" s="288" t="s">
        <v>822</v>
      </c>
      <c r="K25" s="134" t="s">
        <v>199</v>
      </c>
      <c r="L25" s="148" t="s">
        <v>199</v>
      </c>
      <c r="M25" s="126" t="s">
        <v>199</v>
      </c>
      <c r="N25" s="126" t="s">
        <v>199</v>
      </c>
      <c r="O25" s="117" t="s">
        <v>199</v>
      </c>
      <c r="P25" s="126" t="s">
        <v>199</v>
      </c>
      <c r="Q25" s="148" t="s">
        <v>201</v>
      </c>
      <c r="R25" s="134" t="s">
        <v>199</v>
      </c>
      <c r="S25" s="134" t="s">
        <v>199</v>
      </c>
      <c r="T25" s="95"/>
      <c r="U25" s="95"/>
      <c r="V25" s="95"/>
      <c r="W25" s="95"/>
      <c r="X25" s="95"/>
      <c r="Y25" s="95"/>
      <c r="Z25" s="95"/>
    </row>
    <row r="26" spans="1:26">
      <c r="A26" s="95" t="s">
        <v>276</v>
      </c>
      <c r="B26" s="133"/>
      <c r="C26" s="139" t="s">
        <v>277</v>
      </c>
      <c r="D26" s="139" t="s">
        <v>277</v>
      </c>
      <c r="E26" s="139" t="s">
        <v>277</v>
      </c>
      <c r="F26" s="139" t="s">
        <v>400</v>
      </c>
      <c r="G26" s="139" t="s">
        <v>400</v>
      </c>
      <c r="H26" s="139" t="s">
        <v>277</v>
      </c>
      <c r="I26" s="139" t="s">
        <v>280</v>
      </c>
      <c r="J26" s="139" t="s">
        <v>280</v>
      </c>
      <c r="K26" s="155" t="s">
        <v>401</v>
      </c>
      <c r="L26" s="148" t="s">
        <v>277</v>
      </c>
      <c r="M26" s="150" t="s">
        <v>879</v>
      </c>
      <c r="N26" s="122" t="s">
        <v>278</v>
      </c>
      <c r="O26" s="117" t="s">
        <v>367</v>
      </c>
      <c r="P26" s="150" t="s">
        <v>278</v>
      </c>
      <c r="Q26" s="148" t="s">
        <v>277</v>
      </c>
      <c r="R26" s="139" t="s">
        <v>277</v>
      </c>
      <c r="S26" s="139" t="s">
        <v>277</v>
      </c>
      <c r="T26" s="95"/>
      <c r="U26" s="95"/>
      <c r="V26" s="95"/>
      <c r="W26" s="95"/>
      <c r="X26" s="95"/>
      <c r="Y26" s="95"/>
      <c r="Z26" s="95"/>
    </row>
    <row r="27" spans="1:26" ht="45.6">
      <c r="A27" s="95" t="s">
        <v>283</v>
      </c>
      <c r="B27" s="95"/>
      <c r="C27" s="93" t="s">
        <v>284</v>
      </c>
      <c r="D27" s="93" t="s">
        <v>284</v>
      </c>
      <c r="E27" s="93" t="s">
        <v>285</v>
      </c>
      <c r="F27" s="93" t="s">
        <v>284</v>
      </c>
      <c r="G27" s="93" t="s">
        <v>284</v>
      </c>
      <c r="H27" s="93" t="s">
        <v>284</v>
      </c>
      <c r="I27" s="93" t="s">
        <v>288</v>
      </c>
      <c r="J27" s="93" t="s">
        <v>288</v>
      </c>
      <c r="K27" s="116" t="s">
        <v>286</v>
      </c>
      <c r="L27" s="148" t="s">
        <v>123</v>
      </c>
      <c r="M27" s="126" t="s">
        <v>123</v>
      </c>
      <c r="N27" s="126" t="s">
        <v>123</v>
      </c>
      <c r="O27" s="117" t="s">
        <v>216</v>
      </c>
      <c r="P27" s="126" t="s">
        <v>123</v>
      </c>
      <c r="Q27" s="148" t="s">
        <v>123</v>
      </c>
      <c r="R27" s="117" t="s">
        <v>216</v>
      </c>
      <c r="S27" s="117" t="s">
        <v>216</v>
      </c>
      <c r="T27" s="95"/>
      <c r="U27" s="95"/>
      <c r="V27" s="95"/>
      <c r="W27" s="95"/>
      <c r="X27" s="95"/>
      <c r="Y27" s="95"/>
      <c r="Z27" s="95"/>
    </row>
    <row r="28" spans="1:26">
      <c r="C28" s="134"/>
      <c r="D28" s="95"/>
      <c r="E28" s="95"/>
      <c r="F28" s="134"/>
      <c r="G28" s="95"/>
      <c r="H28" s="95"/>
      <c r="I28" s="95"/>
      <c r="J28" s="95"/>
      <c r="K28" s="134"/>
      <c r="L28" s="148"/>
      <c r="M28" s="126"/>
      <c r="N28" s="126"/>
      <c r="O28" s="148"/>
      <c r="P28" s="126"/>
      <c r="Q28" s="148"/>
      <c r="R28" s="134"/>
      <c r="S28" s="95"/>
      <c r="T28" s="95"/>
      <c r="U28" s="95"/>
      <c r="V28" s="95"/>
      <c r="W28" s="95"/>
      <c r="X28" s="95"/>
      <c r="Y28" s="95"/>
      <c r="Z28" s="95"/>
    </row>
    <row r="29" spans="1:26">
      <c r="A29" s="129" t="s">
        <v>202</v>
      </c>
      <c r="B29" s="86" t="s">
        <v>203</v>
      </c>
      <c r="C29" s="139"/>
      <c r="D29" s="95"/>
      <c r="E29" s="95"/>
      <c r="F29" s="139"/>
      <c r="G29" s="95"/>
      <c r="H29" s="95"/>
      <c r="I29" s="95"/>
      <c r="J29" s="95"/>
      <c r="K29" s="134"/>
      <c r="L29" s="148"/>
      <c r="M29" s="126"/>
      <c r="N29" s="126"/>
      <c r="O29" s="148"/>
      <c r="P29" s="126"/>
      <c r="Q29" s="148"/>
      <c r="R29" s="139"/>
      <c r="S29" s="95"/>
      <c r="T29" s="95"/>
      <c r="U29" s="95"/>
      <c r="V29" s="95"/>
      <c r="W29" s="95"/>
      <c r="X29" s="95"/>
      <c r="Y29" s="95"/>
      <c r="Z29" s="95"/>
    </row>
    <row r="30" spans="1:26">
      <c r="A30" s="98" t="s">
        <v>204</v>
      </c>
      <c r="B30" s="102" t="s">
        <v>205</v>
      </c>
      <c r="C30" s="142" t="s">
        <v>72</v>
      </c>
      <c r="D30" s="142" t="s">
        <v>72</v>
      </c>
      <c r="E30" s="142" t="s">
        <v>72</v>
      </c>
      <c r="F30" s="142" t="s">
        <v>72</v>
      </c>
      <c r="G30" s="95"/>
      <c r="H30" s="142" t="s">
        <v>72</v>
      </c>
      <c r="I30" s="142" t="s">
        <v>72</v>
      </c>
      <c r="J30" s="142" t="s">
        <v>72</v>
      </c>
      <c r="K30" s="142" t="s">
        <v>72</v>
      </c>
      <c r="L30" s="148" t="s">
        <v>72</v>
      </c>
      <c r="M30" s="126" t="s">
        <v>72</v>
      </c>
      <c r="N30" s="126" t="s">
        <v>72</v>
      </c>
      <c r="O30" s="148" t="s">
        <v>72</v>
      </c>
      <c r="P30" s="126" t="s">
        <v>72</v>
      </c>
      <c r="Q30" s="148" t="s">
        <v>72</v>
      </c>
      <c r="R30" s="142" t="s">
        <v>72</v>
      </c>
      <c r="S30" s="142" t="s">
        <v>72</v>
      </c>
      <c r="T30" s="95"/>
      <c r="U30" s="95"/>
      <c r="V30" s="95"/>
      <c r="W30" s="95"/>
      <c r="X30" s="95"/>
      <c r="Y30" s="95"/>
      <c r="Z30" s="95"/>
    </row>
    <row r="31" spans="1:26">
      <c r="A31" s="98" t="s">
        <v>206</v>
      </c>
      <c r="B31" s="102" t="s">
        <v>380</v>
      </c>
      <c r="C31" s="139" t="s">
        <v>381</v>
      </c>
      <c r="D31" s="139" t="s">
        <v>381</v>
      </c>
      <c r="E31" s="139" t="s">
        <v>381</v>
      </c>
      <c r="F31" s="139" t="s">
        <v>382</v>
      </c>
      <c r="G31" s="139" t="s">
        <v>382</v>
      </c>
      <c r="H31" s="142" t="s">
        <v>72</v>
      </c>
      <c r="I31" s="139" t="s">
        <v>402</v>
      </c>
      <c r="J31" s="139" t="s">
        <v>402</v>
      </c>
      <c r="K31" s="139" t="s">
        <v>208</v>
      </c>
      <c r="L31" s="148" t="s">
        <v>382</v>
      </c>
      <c r="M31" s="126" t="s">
        <v>208</v>
      </c>
      <c r="N31" s="126" t="s">
        <v>208</v>
      </c>
      <c r="O31" s="148" t="s">
        <v>383</v>
      </c>
      <c r="P31" s="126" t="s">
        <v>403</v>
      </c>
      <c r="Q31" s="148" t="s">
        <v>382</v>
      </c>
      <c r="R31" s="142" t="s">
        <v>72</v>
      </c>
      <c r="S31" s="142" t="s">
        <v>72</v>
      </c>
      <c r="T31" s="95"/>
      <c r="U31" s="95"/>
      <c r="V31" s="95"/>
      <c r="W31" s="95"/>
      <c r="X31" s="95"/>
      <c r="Y31" s="95"/>
      <c r="Z31" s="95"/>
    </row>
    <row r="32" spans="1:26">
      <c r="A32" s="98" t="s">
        <v>210</v>
      </c>
      <c r="B32" s="143"/>
      <c r="C32" s="141">
        <v>1</v>
      </c>
      <c r="D32" s="141">
        <v>1</v>
      </c>
      <c r="E32" s="141">
        <v>1</v>
      </c>
      <c r="F32" s="141">
        <v>1</v>
      </c>
      <c r="G32" s="141">
        <v>1</v>
      </c>
      <c r="H32" s="141">
        <v>1</v>
      </c>
      <c r="I32" s="156">
        <v>0</v>
      </c>
      <c r="J32" s="156">
        <v>0</v>
      </c>
      <c r="K32" s="141">
        <v>1</v>
      </c>
      <c r="L32" s="157">
        <v>1</v>
      </c>
      <c r="M32" s="126">
        <v>1</v>
      </c>
      <c r="N32" s="126">
        <v>1</v>
      </c>
      <c r="O32" s="158"/>
      <c r="P32" s="126">
        <v>3</v>
      </c>
      <c r="Q32" s="157">
        <v>1</v>
      </c>
      <c r="R32" s="346">
        <v>0</v>
      </c>
      <c r="S32" s="346">
        <v>0</v>
      </c>
      <c r="T32" s="95"/>
      <c r="U32" s="95"/>
      <c r="V32" s="95"/>
      <c r="W32" s="95"/>
      <c r="X32" s="95"/>
      <c r="Y32" s="95"/>
      <c r="Z32" s="95"/>
    </row>
    <row r="33" spans="1:26" ht="14.25" customHeight="1">
      <c r="A33" s="389" t="s">
        <v>211</v>
      </c>
      <c r="B33" s="372" t="s">
        <v>212</v>
      </c>
      <c r="C33" s="390" t="s">
        <v>72</v>
      </c>
      <c r="D33" s="390" t="s">
        <v>72</v>
      </c>
      <c r="E33" s="390" t="s">
        <v>72</v>
      </c>
      <c r="F33" s="390" t="s">
        <v>72</v>
      </c>
      <c r="G33" s="390" t="s">
        <v>72</v>
      </c>
      <c r="H33" s="390" t="s">
        <v>72</v>
      </c>
      <c r="I33" s="390" t="s">
        <v>72</v>
      </c>
      <c r="J33" s="390" t="s">
        <v>72</v>
      </c>
      <c r="K33" s="390" t="s">
        <v>72</v>
      </c>
      <c r="L33" s="381" t="s">
        <v>72</v>
      </c>
      <c r="M33" s="333" t="s">
        <v>72</v>
      </c>
      <c r="N33" s="400" t="s">
        <v>72</v>
      </c>
      <c r="O33" s="395" t="s">
        <v>72</v>
      </c>
      <c r="P33" s="400" t="s">
        <v>72</v>
      </c>
      <c r="Q33" s="381" t="s">
        <v>72</v>
      </c>
      <c r="R33" s="390" t="s">
        <v>72</v>
      </c>
      <c r="S33" s="390" t="s">
        <v>72</v>
      </c>
      <c r="T33" s="95"/>
      <c r="U33" s="95"/>
      <c r="V33" s="95"/>
      <c r="W33" s="95"/>
      <c r="X33" s="95"/>
      <c r="Y33" s="95"/>
      <c r="Z33" s="95"/>
    </row>
    <row r="34" spans="1:26">
      <c r="A34" s="389"/>
      <c r="B34" s="373"/>
      <c r="C34" s="390"/>
      <c r="D34" s="390"/>
      <c r="E34" s="390"/>
      <c r="F34" s="390"/>
      <c r="G34" s="390"/>
      <c r="H34" s="390"/>
      <c r="I34" s="390"/>
      <c r="J34" s="390"/>
      <c r="K34" s="390"/>
      <c r="L34" s="382"/>
      <c r="M34" s="334"/>
      <c r="N34" s="401"/>
      <c r="O34" s="396"/>
      <c r="P34" s="401"/>
      <c r="Q34" s="382"/>
      <c r="R34" s="390"/>
      <c r="S34" s="390"/>
      <c r="T34" s="95"/>
      <c r="U34" s="95"/>
      <c r="V34" s="95"/>
      <c r="W34" s="95"/>
      <c r="X34" s="95"/>
      <c r="Y34" s="95"/>
      <c r="Z34" s="95"/>
    </row>
    <row r="35" spans="1:26">
      <c r="A35" s="98" t="s">
        <v>213</v>
      </c>
      <c r="B35" s="142" t="s">
        <v>214</v>
      </c>
      <c r="C35" s="141" t="s">
        <v>72</v>
      </c>
      <c r="D35" s="141" t="s">
        <v>72</v>
      </c>
      <c r="E35" s="141" t="s">
        <v>72</v>
      </c>
      <c r="F35" s="141" t="s">
        <v>72</v>
      </c>
      <c r="G35" s="141" t="s">
        <v>72</v>
      </c>
      <c r="H35" s="141" t="s">
        <v>72</v>
      </c>
      <c r="I35" s="282" t="s">
        <v>72</v>
      </c>
      <c r="J35" s="141" t="s">
        <v>72</v>
      </c>
      <c r="K35" s="141" t="s">
        <v>72</v>
      </c>
      <c r="L35" s="148" t="s">
        <v>72</v>
      </c>
      <c r="M35" s="126" t="s">
        <v>72</v>
      </c>
      <c r="N35" s="126" t="s">
        <v>72</v>
      </c>
      <c r="O35" s="158" t="s">
        <v>72</v>
      </c>
      <c r="P35" s="126" t="s">
        <v>72</v>
      </c>
      <c r="Q35" s="148" t="s">
        <v>72</v>
      </c>
      <c r="R35" s="346" t="s">
        <v>72</v>
      </c>
      <c r="S35" s="346" t="s">
        <v>72</v>
      </c>
      <c r="T35" s="95"/>
      <c r="U35" s="95"/>
      <c r="V35" s="95"/>
      <c r="W35" s="95"/>
      <c r="X35" s="95"/>
      <c r="Y35" s="95"/>
      <c r="Z35" s="95"/>
    </row>
    <row r="36" spans="1:26" ht="34.200000000000003">
      <c r="A36" s="98" t="s">
        <v>215</v>
      </c>
      <c r="B36" s="141" t="s">
        <v>216</v>
      </c>
      <c r="C36" s="141" t="s">
        <v>216</v>
      </c>
      <c r="D36" s="141" t="s">
        <v>216</v>
      </c>
      <c r="E36" s="141" t="s">
        <v>216</v>
      </c>
      <c r="F36" s="141" t="s">
        <v>216</v>
      </c>
      <c r="G36" s="141" t="s">
        <v>216</v>
      </c>
      <c r="H36" s="141" t="s">
        <v>216</v>
      </c>
      <c r="I36" s="282" t="s">
        <v>216</v>
      </c>
      <c r="J36" s="141" t="s">
        <v>216</v>
      </c>
      <c r="K36" s="141" t="s">
        <v>216</v>
      </c>
      <c r="L36" s="158" t="s">
        <v>216</v>
      </c>
      <c r="M36" s="126" t="s">
        <v>216</v>
      </c>
      <c r="N36" s="126" t="s">
        <v>216</v>
      </c>
      <c r="O36" s="159" t="s">
        <v>216</v>
      </c>
      <c r="P36" s="126" t="s">
        <v>216</v>
      </c>
      <c r="Q36" s="158" t="s">
        <v>216</v>
      </c>
      <c r="R36" s="346" t="s">
        <v>216</v>
      </c>
      <c r="S36" s="346" t="s">
        <v>216</v>
      </c>
      <c r="T36" s="95"/>
      <c r="U36" s="95"/>
      <c r="V36" s="95"/>
      <c r="W36" s="95"/>
      <c r="X36" s="95"/>
      <c r="Y36" s="95"/>
      <c r="Z36" s="95"/>
    </row>
    <row r="37" spans="1:26" ht="34.200000000000003">
      <c r="A37" s="98" t="s">
        <v>217</v>
      </c>
      <c r="B37" s="141" t="s">
        <v>216</v>
      </c>
      <c r="C37" s="141" t="s">
        <v>216</v>
      </c>
      <c r="D37" s="141" t="s">
        <v>216</v>
      </c>
      <c r="E37" s="141" t="s">
        <v>216</v>
      </c>
      <c r="F37" s="141" t="s">
        <v>216</v>
      </c>
      <c r="G37" s="141" t="s">
        <v>216</v>
      </c>
      <c r="H37" s="141" t="s">
        <v>216</v>
      </c>
      <c r="I37" s="282" t="s">
        <v>216</v>
      </c>
      <c r="J37" s="141" t="s">
        <v>216</v>
      </c>
      <c r="K37" s="141" t="s">
        <v>216</v>
      </c>
      <c r="L37" s="158" t="s">
        <v>216</v>
      </c>
      <c r="M37" s="126" t="s">
        <v>216</v>
      </c>
      <c r="N37" s="126" t="s">
        <v>216</v>
      </c>
      <c r="O37" s="159" t="s">
        <v>216</v>
      </c>
      <c r="P37" s="126" t="s">
        <v>216</v>
      </c>
      <c r="Q37" s="158" t="s">
        <v>216</v>
      </c>
      <c r="R37" s="346" t="s">
        <v>216</v>
      </c>
      <c r="S37" s="346" t="s">
        <v>216</v>
      </c>
      <c r="T37" s="95"/>
      <c r="U37" s="95"/>
      <c r="V37" s="95"/>
      <c r="W37" s="95"/>
      <c r="X37" s="95"/>
      <c r="Y37" s="95"/>
      <c r="Z37" s="95"/>
    </row>
    <row r="38" spans="1:26" ht="22.8">
      <c r="A38" s="98" t="s">
        <v>218</v>
      </c>
      <c r="B38" s="141" t="s">
        <v>219</v>
      </c>
      <c r="C38" s="141" t="s">
        <v>72</v>
      </c>
      <c r="D38" s="141" t="s">
        <v>72</v>
      </c>
      <c r="E38" s="141" t="s">
        <v>72</v>
      </c>
      <c r="F38" s="141" t="s">
        <v>72</v>
      </c>
      <c r="G38" s="141" t="s">
        <v>72</v>
      </c>
      <c r="H38" s="141" t="s">
        <v>72</v>
      </c>
      <c r="I38" s="282" t="s">
        <v>72</v>
      </c>
      <c r="J38" s="141" t="s">
        <v>72</v>
      </c>
      <c r="K38" s="141" t="s">
        <v>72</v>
      </c>
      <c r="L38" s="158" t="s">
        <v>72</v>
      </c>
      <c r="M38" s="126" t="s">
        <v>72</v>
      </c>
      <c r="N38" s="126" t="s">
        <v>72</v>
      </c>
      <c r="O38" s="160" t="s">
        <v>72</v>
      </c>
      <c r="P38" s="126" t="s">
        <v>72</v>
      </c>
      <c r="Q38" s="158" t="s">
        <v>72</v>
      </c>
      <c r="R38" s="346" t="s">
        <v>72</v>
      </c>
      <c r="S38" s="346" t="s">
        <v>72</v>
      </c>
      <c r="T38" s="95"/>
      <c r="U38" s="95"/>
      <c r="V38" s="95"/>
      <c r="W38" s="95"/>
      <c r="X38" s="95"/>
      <c r="Y38" s="95"/>
      <c r="Z38" s="95"/>
    </row>
    <row r="39" spans="1:26" ht="22.8">
      <c r="A39" s="98" t="s">
        <v>220</v>
      </c>
      <c r="B39" s="141" t="s">
        <v>216</v>
      </c>
      <c r="C39" s="141" t="s">
        <v>216</v>
      </c>
      <c r="D39" s="141" t="s">
        <v>216</v>
      </c>
      <c r="E39" s="141" t="s">
        <v>216</v>
      </c>
      <c r="F39" s="141" t="s">
        <v>216</v>
      </c>
      <c r="G39" s="141" t="s">
        <v>216</v>
      </c>
      <c r="H39" s="141" t="s">
        <v>216</v>
      </c>
      <c r="I39" s="282" t="s">
        <v>216</v>
      </c>
      <c r="J39" s="141" t="s">
        <v>216</v>
      </c>
      <c r="K39" s="141" t="s">
        <v>216</v>
      </c>
      <c r="L39" s="158" t="s">
        <v>216</v>
      </c>
      <c r="M39" s="126" t="s">
        <v>216</v>
      </c>
      <c r="N39" s="126" t="s">
        <v>216</v>
      </c>
      <c r="O39" s="159" t="s">
        <v>216</v>
      </c>
      <c r="P39" s="126" t="s">
        <v>216</v>
      </c>
      <c r="Q39" s="158" t="s">
        <v>216</v>
      </c>
      <c r="R39" s="346" t="s">
        <v>216</v>
      </c>
      <c r="S39" s="346" t="s">
        <v>216</v>
      </c>
      <c r="T39" s="95"/>
      <c r="U39" s="95"/>
      <c r="V39" s="95"/>
      <c r="W39" s="95"/>
      <c r="X39" s="95"/>
      <c r="Y39" s="95"/>
      <c r="Z39" s="95"/>
    </row>
    <row r="40" spans="1:26" ht="22.8">
      <c r="A40" s="98" t="s">
        <v>221</v>
      </c>
      <c r="B40" s="141" t="s">
        <v>216</v>
      </c>
      <c r="C40" s="141" t="s">
        <v>216</v>
      </c>
      <c r="D40" s="141" t="s">
        <v>216</v>
      </c>
      <c r="E40" s="141" t="s">
        <v>216</v>
      </c>
      <c r="F40" s="141" t="s">
        <v>216</v>
      </c>
      <c r="G40" s="141" t="s">
        <v>216</v>
      </c>
      <c r="H40" s="141" t="s">
        <v>216</v>
      </c>
      <c r="I40" s="282" t="s">
        <v>216</v>
      </c>
      <c r="J40" s="141" t="s">
        <v>216</v>
      </c>
      <c r="K40" s="141" t="s">
        <v>216</v>
      </c>
      <c r="L40" s="158" t="s">
        <v>216</v>
      </c>
      <c r="M40" s="126" t="s">
        <v>216</v>
      </c>
      <c r="N40" s="126" t="s">
        <v>216</v>
      </c>
      <c r="O40" s="159" t="s">
        <v>216</v>
      </c>
      <c r="P40" s="126" t="s">
        <v>216</v>
      </c>
      <c r="Q40" s="158" t="s">
        <v>216</v>
      </c>
      <c r="R40" s="346" t="s">
        <v>216</v>
      </c>
      <c r="S40" s="346" t="s">
        <v>216</v>
      </c>
      <c r="T40" s="95"/>
      <c r="U40" s="95"/>
      <c r="V40" s="95"/>
      <c r="W40" s="95"/>
      <c r="X40" s="95"/>
      <c r="Y40" s="95"/>
      <c r="Z40" s="95"/>
    </row>
    <row r="41" spans="1:26">
      <c r="A41" s="127" t="s">
        <v>222</v>
      </c>
      <c r="B41" s="144"/>
      <c r="D41" s="145"/>
      <c r="E41" s="145"/>
      <c r="F41" s="145"/>
    </row>
  </sheetData>
  <customSheetViews>
    <customSheetView guid="{67590F70-5005-492E-AD47-1C13C49F2D83}">
      <pane xSplit="2" ySplit="3" topLeftCell="L19" activePane="bottomRight" state="frozen"/>
      <selection pane="bottomRight" activeCell="N28" sqref="N2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pane xSplit="2" ySplit="3" topLeftCell="L19" activePane="bottomRight" state="frozen"/>
      <selection pane="bottomRight" activeCell="N28" sqref="N2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pane xSplit="2" ySplit="3" topLeftCell="L19" activePane="bottomRight" state="frozen"/>
      <selection pane="bottomRight" activeCell="N28" sqref="N2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pane xSplit="2" ySplit="3" topLeftCell="L19" activePane="bottomRight" state="frozen"/>
      <selection pane="bottomRight" activeCell="O25" sqref="O2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pane xSplit="2" ySplit="3" topLeftCell="L19" activePane="bottomRight" state="frozen"/>
      <selection pane="bottomRight" activeCell="N28" sqref="N2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23">
    <mergeCell ref="R2:S2"/>
    <mergeCell ref="R33:R34"/>
    <mergeCell ref="S33:S34"/>
    <mergeCell ref="I2:J2"/>
    <mergeCell ref="O33:O34"/>
    <mergeCell ref="P33:P34"/>
    <mergeCell ref="Q33:Q34"/>
    <mergeCell ref="L2:M2"/>
    <mergeCell ref="H33:H34"/>
    <mergeCell ref="J33:J34"/>
    <mergeCell ref="K33:K34"/>
    <mergeCell ref="L33:L34"/>
    <mergeCell ref="N33:N34"/>
    <mergeCell ref="I33:I34"/>
    <mergeCell ref="C2:E2"/>
    <mergeCell ref="F2:G2"/>
    <mergeCell ref="A33:A34"/>
    <mergeCell ref="B33:B34"/>
    <mergeCell ref="C33:C34"/>
    <mergeCell ref="D33:D34"/>
    <mergeCell ref="E33:E34"/>
    <mergeCell ref="F33:F34"/>
    <mergeCell ref="G33:G34"/>
  </mergeCells>
  <phoneticPr fontId="9" type="noConversion"/>
  <conditionalFormatting sqref="A6">
    <cfRule type="duplicateValues" dxfId="0" priority="1"/>
  </conditionalFormatting>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87"/>
  <sheetViews>
    <sheetView topLeftCell="T1" zoomScale="85" zoomScaleNormal="85" workbookViewId="0">
      <selection activeCell="AB6" sqref="AB6"/>
    </sheetView>
  </sheetViews>
  <sheetFormatPr defaultColWidth="9.44140625" defaultRowHeight="15.6"/>
  <cols>
    <col min="1" max="1" width="9.44140625" style="81"/>
    <col min="2" max="2" width="29.44140625" style="81" customWidth="1"/>
    <col min="3" max="3" width="43" style="81" customWidth="1"/>
    <col min="4" max="4" width="37.44140625" style="82" customWidth="1"/>
    <col min="5" max="5" width="31.5546875" style="82" customWidth="1"/>
    <col min="6" max="8" width="31.44140625" style="82" customWidth="1"/>
    <col min="9" max="9" width="37.44140625" style="82" customWidth="1"/>
    <col min="10" max="18" width="31.44140625" style="82" customWidth="1"/>
    <col min="19" max="19" width="37.44140625" style="82" customWidth="1"/>
    <col min="20" max="23" width="31.44140625" style="82" customWidth="1"/>
    <col min="24" max="24" width="21.109375" style="81" customWidth="1"/>
    <col min="25" max="25" width="21.88671875" style="81" customWidth="1"/>
    <col min="26" max="26" width="31.5546875" style="82" customWidth="1"/>
    <col min="27" max="27" width="24.88671875" style="81" customWidth="1"/>
    <col min="28" max="28" width="37.44140625" style="82" customWidth="1"/>
    <col min="29" max="29" width="31.5546875" style="82" customWidth="1"/>
    <col min="30" max="16384" width="9.44140625" style="81"/>
  </cols>
  <sheetData>
    <row r="1" spans="1:29" ht="41.4">
      <c r="A1" s="407" t="s">
        <v>61</v>
      </c>
      <c r="B1" s="408"/>
      <c r="C1" s="85" t="s">
        <v>404</v>
      </c>
      <c r="X1" s="121"/>
      <c r="Y1" s="121"/>
      <c r="AB1" s="350"/>
      <c r="AC1" s="350"/>
    </row>
    <row r="2" spans="1:29" ht="14.25" customHeight="1">
      <c r="A2" s="113" t="s">
        <v>405</v>
      </c>
      <c r="B2" s="114"/>
      <c r="C2" s="413" t="s">
        <v>63</v>
      </c>
      <c r="D2" s="379" t="s">
        <v>5</v>
      </c>
      <c r="E2" s="409"/>
      <c r="F2" s="380"/>
      <c r="G2" s="88" t="s">
        <v>21</v>
      </c>
      <c r="H2" s="87" t="s">
        <v>17</v>
      </c>
      <c r="I2" s="379" t="s">
        <v>14</v>
      </c>
      <c r="J2" s="409"/>
      <c r="K2" s="409"/>
      <c r="L2" s="380"/>
      <c r="M2" s="88" t="s">
        <v>20</v>
      </c>
      <c r="N2" s="109" t="s">
        <v>23</v>
      </c>
      <c r="O2" s="379" t="s">
        <v>24</v>
      </c>
      <c r="P2" s="380"/>
      <c r="Q2" s="379" t="s">
        <v>25</v>
      </c>
      <c r="R2" s="380"/>
      <c r="S2" s="379" t="s">
        <v>26</v>
      </c>
      <c r="T2" s="409"/>
      <c r="U2" s="379" t="s">
        <v>28</v>
      </c>
      <c r="V2" s="380"/>
      <c r="W2" s="231" t="s">
        <v>30</v>
      </c>
      <c r="X2" s="393" t="s">
        <v>32</v>
      </c>
      <c r="Y2" s="394"/>
      <c r="Z2" s="88" t="s">
        <v>35</v>
      </c>
      <c r="AA2" s="231" t="s">
        <v>846</v>
      </c>
      <c r="AB2" s="410" t="s">
        <v>15</v>
      </c>
      <c r="AC2" s="411"/>
    </row>
    <row r="3" spans="1:29">
      <c r="A3" s="83"/>
      <c r="B3" s="84"/>
      <c r="C3" s="414"/>
      <c r="D3" s="88" t="s">
        <v>66</v>
      </c>
      <c r="E3" s="88" t="s">
        <v>67</v>
      </c>
      <c r="F3" s="88" t="s">
        <v>68</v>
      </c>
      <c r="G3" s="90" t="s">
        <v>74</v>
      </c>
      <c r="H3" s="90" t="s">
        <v>66</v>
      </c>
      <c r="I3" s="88" t="s">
        <v>66</v>
      </c>
      <c r="J3" s="88" t="s">
        <v>67</v>
      </c>
      <c r="K3" s="88" t="s">
        <v>68</v>
      </c>
      <c r="L3" s="88" t="s">
        <v>69</v>
      </c>
      <c r="M3" s="88" t="s">
        <v>74</v>
      </c>
      <c r="N3" s="109" t="s">
        <v>66</v>
      </c>
      <c r="O3" s="109" t="s">
        <v>74</v>
      </c>
      <c r="P3" s="109" t="s">
        <v>75</v>
      </c>
      <c r="Q3" s="88" t="s">
        <v>66</v>
      </c>
      <c r="R3" s="231" t="s">
        <v>885</v>
      </c>
      <c r="S3" s="88" t="s">
        <v>66</v>
      </c>
      <c r="T3" s="88" t="s">
        <v>67</v>
      </c>
      <c r="U3" s="88" t="s">
        <v>74</v>
      </c>
      <c r="V3" s="88" t="s">
        <v>75</v>
      </c>
      <c r="W3" s="88" t="s">
        <v>75</v>
      </c>
      <c r="X3" s="110" t="s">
        <v>74</v>
      </c>
      <c r="Y3" s="110" t="s">
        <v>75</v>
      </c>
      <c r="Z3" s="88" t="s">
        <v>75</v>
      </c>
      <c r="AA3" s="231" t="s">
        <v>74</v>
      </c>
      <c r="AB3" s="351" t="s">
        <v>66</v>
      </c>
      <c r="AC3" s="351" t="s">
        <v>67</v>
      </c>
    </row>
    <row r="4" spans="1:29" ht="22.8">
      <c r="A4" s="402" t="s">
        <v>406</v>
      </c>
      <c r="B4" s="115" t="s">
        <v>407</v>
      </c>
      <c r="D4" s="93" t="s">
        <v>408</v>
      </c>
      <c r="E4" s="93" t="s">
        <v>408</v>
      </c>
      <c r="F4" s="93" t="s">
        <v>408</v>
      </c>
      <c r="G4" s="93" t="s">
        <v>408</v>
      </c>
      <c r="H4" s="95" t="s">
        <v>408</v>
      </c>
      <c r="I4" s="93" t="s">
        <v>408</v>
      </c>
      <c r="J4" s="93" t="s">
        <v>408</v>
      </c>
      <c r="K4" s="93" t="s">
        <v>409</v>
      </c>
      <c r="L4" s="93" t="s">
        <v>408</v>
      </c>
      <c r="M4" s="93" t="s">
        <v>408</v>
      </c>
      <c r="N4" s="93" t="s">
        <v>408</v>
      </c>
      <c r="O4" s="95" t="s">
        <v>410</v>
      </c>
      <c r="P4" s="95" t="s">
        <v>410</v>
      </c>
      <c r="Q4" s="93" t="s">
        <v>408</v>
      </c>
      <c r="R4" s="93" t="s">
        <v>408</v>
      </c>
      <c r="S4" s="93" t="s">
        <v>408</v>
      </c>
      <c r="T4" s="93" t="s">
        <v>408</v>
      </c>
      <c r="U4" s="93" t="s">
        <v>408</v>
      </c>
      <c r="V4" s="93" t="s">
        <v>408</v>
      </c>
      <c r="W4" s="93" t="s">
        <v>408</v>
      </c>
      <c r="X4" s="122" t="s">
        <v>408</v>
      </c>
      <c r="Y4" s="122" t="s">
        <v>408</v>
      </c>
      <c r="Z4" s="93" t="s">
        <v>408</v>
      </c>
      <c r="AA4" s="312" t="s">
        <v>408</v>
      </c>
      <c r="AB4" s="352" t="s">
        <v>408</v>
      </c>
      <c r="AC4" s="352" t="s">
        <v>408</v>
      </c>
    </row>
    <row r="5" spans="1:29">
      <c r="A5" s="403"/>
      <c r="B5" s="115" t="s">
        <v>411</v>
      </c>
      <c r="D5" s="116" t="s">
        <v>412</v>
      </c>
      <c r="E5" s="116" t="s">
        <v>412</v>
      </c>
      <c r="F5" s="117" t="s">
        <v>123</v>
      </c>
      <c r="G5" s="116" t="s">
        <v>412</v>
      </c>
      <c r="H5" s="116" t="s">
        <v>412</v>
      </c>
      <c r="I5" s="116" t="s">
        <v>412</v>
      </c>
      <c r="J5" s="116" t="s">
        <v>412</v>
      </c>
      <c r="K5" s="117" t="s">
        <v>123</v>
      </c>
      <c r="L5" s="117" t="s">
        <v>123</v>
      </c>
      <c r="M5" s="116" t="s">
        <v>412</v>
      </c>
      <c r="N5" s="116" t="s">
        <v>412</v>
      </c>
      <c r="O5" s="95" t="s">
        <v>413</v>
      </c>
      <c r="P5" s="95" t="s">
        <v>413</v>
      </c>
      <c r="Q5" s="116" t="s">
        <v>412</v>
      </c>
      <c r="R5" s="116" t="s">
        <v>412</v>
      </c>
      <c r="S5" s="116" t="s">
        <v>412</v>
      </c>
      <c r="T5" s="116" t="s">
        <v>412</v>
      </c>
      <c r="U5" s="116" t="s">
        <v>412</v>
      </c>
      <c r="V5" s="116" t="s">
        <v>412</v>
      </c>
      <c r="W5" s="94" t="s">
        <v>841</v>
      </c>
      <c r="X5" s="123" t="s">
        <v>414</v>
      </c>
      <c r="Y5" s="123" t="s">
        <v>414</v>
      </c>
      <c r="Z5" s="116" t="s">
        <v>412</v>
      </c>
      <c r="AA5" s="312" t="s">
        <v>412</v>
      </c>
      <c r="AB5" s="352" t="s">
        <v>412</v>
      </c>
      <c r="AC5" s="352" t="s">
        <v>412</v>
      </c>
    </row>
    <row r="6" spans="1:29" ht="102.6">
      <c r="A6" s="403"/>
      <c r="B6" s="91" t="s">
        <v>415</v>
      </c>
      <c r="C6" s="94"/>
      <c r="D6" s="94" t="s">
        <v>416</v>
      </c>
      <c r="E6" s="93" t="s">
        <v>417</v>
      </c>
      <c r="F6" s="94" t="s">
        <v>418</v>
      </c>
      <c r="G6" s="94" t="s">
        <v>419</v>
      </c>
      <c r="H6" s="94" t="s">
        <v>420</v>
      </c>
      <c r="I6" s="94" t="s">
        <v>421</v>
      </c>
      <c r="J6" s="119" t="s">
        <v>422</v>
      </c>
      <c r="K6" s="94" t="s">
        <v>423</v>
      </c>
      <c r="L6" s="119" t="s">
        <v>424</v>
      </c>
      <c r="M6" s="94" t="s">
        <v>425</v>
      </c>
      <c r="N6" s="94" t="s">
        <v>416</v>
      </c>
      <c r="O6" s="95" t="s">
        <v>426</v>
      </c>
      <c r="P6" s="95" t="s">
        <v>886</v>
      </c>
      <c r="Q6" s="94" t="s">
        <v>416</v>
      </c>
      <c r="R6" s="93" t="s">
        <v>887</v>
      </c>
      <c r="S6" s="94" t="s">
        <v>416</v>
      </c>
      <c r="T6" s="93" t="s">
        <v>427</v>
      </c>
      <c r="U6" s="94" t="s">
        <v>428</v>
      </c>
      <c r="V6" s="94" t="s">
        <v>429</v>
      </c>
      <c r="W6" s="94" t="s">
        <v>430</v>
      </c>
      <c r="X6" s="122" t="s">
        <v>419</v>
      </c>
      <c r="Y6" s="123" t="s">
        <v>431</v>
      </c>
      <c r="Z6" s="93" t="s">
        <v>427</v>
      </c>
      <c r="AA6" s="335" t="s">
        <v>416</v>
      </c>
      <c r="AB6" s="352" t="s">
        <v>918</v>
      </c>
      <c r="AC6" s="352" t="s">
        <v>918</v>
      </c>
    </row>
    <row r="7" spans="1:29" ht="34.200000000000003">
      <c r="A7" s="403"/>
      <c r="B7" s="91" t="s">
        <v>432</v>
      </c>
      <c r="C7" s="94"/>
      <c r="D7" s="94" t="s">
        <v>433</v>
      </c>
      <c r="E7" s="94" t="s">
        <v>433</v>
      </c>
      <c r="F7" s="94" t="s">
        <v>433</v>
      </c>
      <c r="G7" s="95" t="s">
        <v>123</v>
      </c>
      <c r="H7" s="94" t="s">
        <v>434</v>
      </c>
      <c r="I7" s="94" t="s">
        <v>435</v>
      </c>
      <c r="J7" s="94" t="s">
        <v>435</v>
      </c>
      <c r="K7" s="117" t="s">
        <v>123</v>
      </c>
      <c r="L7" s="117" t="s">
        <v>123</v>
      </c>
      <c r="M7" s="95" t="s">
        <v>123</v>
      </c>
      <c r="N7" s="94" t="s">
        <v>433</v>
      </c>
      <c r="O7" s="95" t="s">
        <v>436</v>
      </c>
      <c r="P7" s="95" t="s">
        <v>436</v>
      </c>
      <c r="Q7" s="94" t="s">
        <v>433</v>
      </c>
      <c r="R7" s="94" t="s">
        <v>433</v>
      </c>
      <c r="S7" s="94" t="s">
        <v>433</v>
      </c>
      <c r="T7" s="94" t="s">
        <v>433</v>
      </c>
      <c r="U7" s="93" t="s">
        <v>437</v>
      </c>
      <c r="V7" s="93" t="s">
        <v>437</v>
      </c>
      <c r="W7" s="309" t="s">
        <v>123</v>
      </c>
      <c r="X7" s="122" t="s">
        <v>433</v>
      </c>
      <c r="Y7" s="123" t="s">
        <v>123</v>
      </c>
      <c r="Z7" s="94" t="s">
        <v>433</v>
      </c>
      <c r="AA7" s="335" t="s">
        <v>433</v>
      </c>
      <c r="AB7" s="352" t="s">
        <v>433</v>
      </c>
      <c r="AC7" s="352" t="s">
        <v>433</v>
      </c>
    </row>
    <row r="8" spans="1:29" ht="45.6">
      <c r="A8" s="403"/>
      <c r="B8" s="91" t="s">
        <v>438</v>
      </c>
      <c r="C8" s="94"/>
      <c r="D8" s="94" t="s">
        <v>439</v>
      </c>
      <c r="E8" s="94" t="s">
        <v>440</v>
      </c>
      <c r="F8" s="95" t="s">
        <v>441</v>
      </c>
      <c r="G8" s="117" t="s">
        <v>442</v>
      </c>
      <c r="H8" s="95" t="s">
        <v>443</v>
      </c>
      <c r="I8" s="94" t="s">
        <v>444</v>
      </c>
      <c r="J8" s="94" t="s">
        <v>444</v>
      </c>
      <c r="K8" s="95" t="s">
        <v>445</v>
      </c>
      <c r="L8" s="95" t="s">
        <v>445</v>
      </c>
      <c r="M8" s="117" t="s">
        <v>442</v>
      </c>
      <c r="N8" s="94" t="s">
        <v>446</v>
      </c>
      <c r="O8" s="95" t="s">
        <v>447</v>
      </c>
      <c r="P8" s="95" t="s">
        <v>888</v>
      </c>
      <c r="Q8" s="94" t="s">
        <v>897</v>
      </c>
      <c r="R8" s="94" t="s">
        <v>897</v>
      </c>
      <c r="S8" s="94" t="s">
        <v>446</v>
      </c>
      <c r="T8" s="94" t="s">
        <v>439</v>
      </c>
      <c r="U8" s="117" t="s">
        <v>442</v>
      </c>
      <c r="V8" s="94" t="s">
        <v>448</v>
      </c>
      <c r="W8" s="117" t="s">
        <v>442</v>
      </c>
      <c r="X8" s="124" t="s">
        <v>442</v>
      </c>
      <c r="Y8" s="124" t="s">
        <v>442</v>
      </c>
      <c r="Z8" s="94" t="s">
        <v>449</v>
      </c>
      <c r="AA8" s="335" t="s">
        <v>439</v>
      </c>
      <c r="AB8" s="353" t="s">
        <v>919</v>
      </c>
      <c r="AC8" s="353" t="s">
        <v>919</v>
      </c>
    </row>
    <row r="9" spans="1:29" ht="57">
      <c r="A9" s="403"/>
      <c r="B9" s="91" t="s">
        <v>450</v>
      </c>
      <c r="C9" s="94"/>
      <c r="D9" s="94" t="s">
        <v>451</v>
      </c>
      <c r="E9" s="94" t="s">
        <v>451</v>
      </c>
      <c r="F9" s="117" t="s">
        <v>123</v>
      </c>
      <c r="G9" s="94" t="s">
        <v>452</v>
      </c>
      <c r="H9" s="94" t="s">
        <v>453</v>
      </c>
      <c r="I9" s="120" t="s">
        <v>454</v>
      </c>
      <c r="J9" s="120" t="s">
        <v>454</v>
      </c>
      <c r="K9" s="117" t="s">
        <v>123</v>
      </c>
      <c r="L9" s="117" t="s">
        <v>123</v>
      </c>
      <c r="M9" s="94" t="s">
        <v>455</v>
      </c>
      <c r="N9" s="94" t="s">
        <v>451</v>
      </c>
      <c r="O9" s="93" t="s">
        <v>456</v>
      </c>
      <c r="P9" s="93" t="s">
        <v>456</v>
      </c>
      <c r="Q9" s="94" t="s">
        <v>451</v>
      </c>
      <c r="R9" s="94" t="s">
        <v>451</v>
      </c>
      <c r="S9" s="94" t="s">
        <v>451</v>
      </c>
      <c r="T9" s="94" t="s">
        <v>451</v>
      </c>
      <c r="U9" s="125" t="s">
        <v>457</v>
      </c>
      <c r="V9" s="125" t="s">
        <v>458</v>
      </c>
      <c r="W9" s="94" t="s">
        <v>451</v>
      </c>
      <c r="X9" s="122" t="s">
        <v>459</v>
      </c>
      <c r="Y9" s="122" t="s">
        <v>459</v>
      </c>
      <c r="Z9" s="94" t="s">
        <v>451</v>
      </c>
      <c r="AA9" s="335" t="s">
        <v>451</v>
      </c>
      <c r="AB9" s="352" t="s">
        <v>451</v>
      </c>
      <c r="AC9" s="352" t="s">
        <v>451</v>
      </c>
    </row>
    <row r="10" spans="1:29">
      <c r="A10" s="403"/>
      <c r="B10" s="91" t="s">
        <v>460</v>
      </c>
      <c r="C10" s="94"/>
      <c r="D10" s="117" t="s">
        <v>123</v>
      </c>
      <c r="E10" s="117" t="s">
        <v>408</v>
      </c>
      <c r="F10" s="117" t="s">
        <v>123</v>
      </c>
      <c r="G10" s="117" t="s">
        <v>123</v>
      </c>
      <c r="H10" s="117" t="s">
        <v>123</v>
      </c>
      <c r="I10" s="117" t="s">
        <v>123</v>
      </c>
      <c r="J10" s="117" t="s">
        <v>123</v>
      </c>
      <c r="K10" s="117" t="s">
        <v>123</v>
      </c>
      <c r="L10" s="117" t="s">
        <v>123</v>
      </c>
      <c r="M10" s="117" t="s">
        <v>123</v>
      </c>
      <c r="N10" s="117" t="s">
        <v>123</v>
      </c>
      <c r="O10" s="95" t="s">
        <v>123</v>
      </c>
      <c r="P10" s="95" t="s">
        <v>123</v>
      </c>
      <c r="Q10" s="117" t="s">
        <v>123</v>
      </c>
      <c r="R10" s="117" t="s">
        <v>408</v>
      </c>
      <c r="S10" s="117" t="s">
        <v>123</v>
      </c>
      <c r="T10" s="117" t="s">
        <v>408</v>
      </c>
      <c r="U10" s="117" t="s">
        <v>123</v>
      </c>
      <c r="V10" s="117" t="s">
        <v>461</v>
      </c>
      <c r="W10" s="94" t="s">
        <v>462</v>
      </c>
      <c r="X10" s="124" t="s">
        <v>123</v>
      </c>
      <c r="Y10" s="124" t="s">
        <v>408</v>
      </c>
      <c r="Z10" s="117" t="s">
        <v>408</v>
      </c>
      <c r="AA10" s="336" t="s">
        <v>123</v>
      </c>
      <c r="AB10" s="353" t="s">
        <v>123</v>
      </c>
      <c r="AC10" s="353" t="s">
        <v>408</v>
      </c>
    </row>
    <row r="11" spans="1:29">
      <c r="A11" s="403"/>
      <c r="B11" s="91" t="s">
        <v>463</v>
      </c>
      <c r="C11" s="94"/>
      <c r="D11" s="117" t="s">
        <v>123</v>
      </c>
      <c r="E11" s="117" t="s">
        <v>123</v>
      </c>
      <c r="F11" s="95" t="s">
        <v>464</v>
      </c>
      <c r="G11" s="117" t="s">
        <v>123</v>
      </c>
      <c r="H11" s="117" t="s">
        <v>123</v>
      </c>
      <c r="I11" s="117" t="s">
        <v>123</v>
      </c>
      <c r="J11" s="117" t="s">
        <v>123</v>
      </c>
      <c r="K11" s="95" t="s">
        <v>464</v>
      </c>
      <c r="L11" s="95" t="s">
        <v>464</v>
      </c>
      <c r="M11" s="117" t="s">
        <v>123</v>
      </c>
      <c r="N11" s="117" t="s">
        <v>123</v>
      </c>
      <c r="O11" s="95" t="s">
        <v>123</v>
      </c>
      <c r="P11" s="95" t="s">
        <v>123</v>
      </c>
      <c r="Q11" s="117" t="s">
        <v>123</v>
      </c>
      <c r="R11" s="117" t="s">
        <v>123</v>
      </c>
      <c r="S11" s="117" t="s">
        <v>123</v>
      </c>
      <c r="T11" s="117" t="s">
        <v>123</v>
      </c>
      <c r="U11" s="117" t="s">
        <v>123</v>
      </c>
      <c r="V11" s="117" t="s">
        <v>123</v>
      </c>
      <c r="W11" s="117" t="s">
        <v>123</v>
      </c>
      <c r="X11" s="122" t="s">
        <v>408</v>
      </c>
      <c r="Y11" s="122" t="s">
        <v>408</v>
      </c>
      <c r="Z11" s="117" t="s">
        <v>123</v>
      </c>
      <c r="AA11" s="336" t="s">
        <v>123</v>
      </c>
      <c r="AB11" s="353" t="s">
        <v>123</v>
      </c>
      <c r="AC11" s="353" t="s">
        <v>123</v>
      </c>
    </row>
    <row r="12" spans="1:29">
      <c r="A12" s="403"/>
      <c r="B12" s="91" t="s">
        <v>465</v>
      </c>
      <c r="C12" s="94"/>
      <c r="D12" s="117" t="s">
        <v>123</v>
      </c>
      <c r="E12" s="117" t="s">
        <v>123</v>
      </c>
      <c r="F12" s="95" t="s">
        <v>466</v>
      </c>
      <c r="G12" s="117" t="s">
        <v>123</v>
      </c>
      <c r="H12" s="117" t="s">
        <v>123</v>
      </c>
      <c r="I12" s="117" t="s">
        <v>123</v>
      </c>
      <c r="J12" s="117" t="s">
        <v>123</v>
      </c>
      <c r="K12" s="95" t="s">
        <v>464</v>
      </c>
      <c r="L12" s="95" t="s">
        <v>464</v>
      </c>
      <c r="M12" s="117" t="s">
        <v>123</v>
      </c>
      <c r="N12" s="117" t="s">
        <v>123</v>
      </c>
      <c r="O12" s="95"/>
      <c r="P12" s="95"/>
      <c r="Q12" s="117" t="s">
        <v>123</v>
      </c>
      <c r="R12" s="117" t="s">
        <v>123</v>
      </c>
      <c r="S12" s="117" t="s">
        <v>123</v>
      </c>
      <c r="T12" s="117" t="s">
        <v>123</v>
      </c>
      <c r="U12" s="117" t="s">
        <v>123</v>
      </c>
      <c r="V12" s="117" t="s">
        <v>123</v>
      </c>
      <c r="W12" s="117" t="s">
        <v>123</v>
      </c>
      <c r="X12" s="124" t="s">
        <v>123</v>
      </c>
      <c r="Y12" s="126" t="s">
        <v>467</v>
      </c>
      <c r="Z12" s="117" t="s">
        <v>123</v>
      </c>
      <c r="AA12" s="336" t="s">
        <v>123</v>
      </c>
      <c r="AB12" s="353" t="s">
        <v>123</v>
      </c>
      <c r="AC12" s="353" t="s">
        <v>123</v>
      </c>
    </row>
    <row r="13" spans="1:29">
      <c r="A13" s="403"/>
      <c r="B13" s="91" t="s">
        <v>468</v>
      </c>
      <c r="C13" s="94"/>
      <c r="D13" s="117" t="s">
        <v>123</v>
      </c>
      <c r="E13" s="117" t="s">
        <v>123</v>
      </c>
      <c r="F13" s="95" t="s">
        <v>469</v>
      </c>
      <c r="G13" s="117" t="s">
        <v>123</v>
      </c>
      <c r="H13" s="117" t="s">
        <v>123</v>
      </c>
      <c r="I13" s="117" t="s">
        <v>123</v>
      </c>
      <c r="J13" s="117" t="s">
        <v>123</v>
      </c>
      <c r="K13" s="95" t="s">
        <v>470</v>
      </c>
      <c r="L13" s="95" t="s">
        <v>470</v>
      </c>
      <c r="M13" s="117" t="s">
        <v>123</v>
      </c>
      <c r="N13" s="117" t="s">
        <v>123</v>
      </c>
      <c r="O13" s="95"/>
      <c r="P13" s="95"/>
      <c r="Q13" s="117" t="s">
        <v>123</v>
      </c>
      <c r="R13" s="117" t="s">
        <v>123</v>
      </c>
      <c r="S13" s="117" t="s">
        <v>123</v>
      </c>
      <c r="T13" s="117" t="s">
        <v>123</v>
      </c>
      <c r="U13" s="117" t="s">
        <v>123</v>
      </c>
      <c r="V13" s="117" t="s">
        <v>123</v>
      </c>
      <c r="W13" s="117" t="s">
        <v>123</v>
      </c>
      <c r="X13" s="124" t="s">
        <v>123</v>
      </c>
      <c r="Y13" s="126" t="s">
        <v>467</v>
      </c>
      <c r="Z13" s="117" t="s">
        <v>123</v>
      </c>
      <c r="AA13" s="336" t="s">
        <v>123</v>
      </c>
      <c r="AB13" s="353" t="s">
        <v>123</v>
      </c>
      <c r="AC13" s="353" t="s">
        <v>123</v>
      </c>
    </row>
    <row r="14" spans="1:29" ht="24.75" customHeight="1">
      <c r="A14" s="404"/>
      <c r="B14" s="91" t="s">
        <v>471</v>
      </c>
      <c r="C14" s="94"/>
      <c r="D14" s="117" t="s">
        <v>123</v>
      </c>
      <c r="E14" s="117" t="s">
        <v>123</v>
      </c>
      <c r="F14" s="95" t="s">
        <v>472</v>
      </c>
      <c r="G14" s="117" t="s">
        <v>123</v>
      </c>
      <c r="H14" s="117" t="s">
        <v>123</v>
      </c>
      <c r="I14" s="117" t="s">
        <v>123</v>
      </c>
      <c r="J14" s="117" t="s">
        <v>123</v>
      </c>
      <c r="K14" s="95" t="s">
        <v>472</v>
      </c>
      <c r="L14" s="95" t="s">
        <v>473</v>
      </c>
      <c r="M14" s="117" t="s">
        <v>123</v>
      </c>
      <c r="N14" s="117" t="s">
        <v>123</v>
      </c>
      <c r="O14" s="95"/>
      <c r="P14" s="95"/>
      <c r="Q14" s="117" t="s">
        <v>123</v>
      </c>
      <c r="R14" s="117" t="s">
        <v>123</v>
      </c>
      <c r="S14" s="117" t="s">
        <v>123</v>
      </c>
      <c r="T14" s="117" t="s">
        <v>123</v>
      </c>
      <c r="U14" s="117" t="s">
        <v>123</v>
      </c>
      <c r="V14" s="117" t="s">
        <v>123</v>
      </c>
      <c r="W14" s="117" t="s">
        <v>123</v>
      </c>
      <c r="X14" s="124" t="s">
        <v>123</v>
      </c>
      <c r="Y14" s="126" t="s">
        <v>467</v>
      </c>
      <c r="Z14" s="117" t="s">
        <v>123</v>
      </c>
      <c r="AA14" s="336" t="s">
        <v>123</v>
      </c>
      <c r="AB14" s="353" t="s">
        <v>123</v>
      </c>
      <c r="AC14" s="353" t="s">
        <v>123</v>
      </c>
    </row>
    <row r="15" spans="1:29">
      <c r="A15" s="96"/>
      <c r="B15" s="100"/>
      <c r="C15" s="100"/>
      <c r="D15" s="117"/>
      <c r="E15" s="95"/>
      <c r="F15" s="95"/>
      <c r="G15" s="95"/>
      <c r="H15" s="95"/>
      <c r="I15" s="117"/>
      <c r="J15" s="95"/>
      <c r="K15" s="95"/>
      <c r="L15" s="95"/>
      <c r="M15" s="95"/>
      <c r="N15" s="95"/>
      <c r="O15" s="95"/>
      <c r="P15" s="95"/>
      <c r="Q15" s="95"/>
      <c r="R15" s="95"/>
      <c r="S15" s="117"/>
      <c r="T15" s="95"/>
      <c r="U15" s="117" t="s">
        <v>123</v>
      </c>
      <c r="V15" s="117" t="s">
        <v>123</v>
      </c>
      <c r="W15" s="95"/>
      <c r="X15" s="124" t="s">
        <v>123</v>
      </c>
      <c r="Y15" s="126" t="s">
        <v>467</v>
      </c>
      <c r="Z15" s="117" t="s">
        <v>123</v>
      </c>
      <c r="AB15" s="354"/>
      <c r="AC15" s="354"/>
    </row>
    <row r="16" spans="1:29">
      <c r="A16" s="96"/>
      <c r="B16" s="101"/>
      <c r="C16" s="102"/>
      <c r="D16" s="117"/>
      <c r="E16" s="95"/>
      <c r="F16" s="95"/>
      <c r="G16" s="95"/>
      <c r="H16" s="95"/>
      <c r="I16" s="117"/>
      <c r="J16" s="95"/>
      <c r="K16" s="95"/>
      <c r="L16" s="95"/>
      <c r="M16" s="95"/>
      <c r="N16" s="95"/>
      <c r="O16" s="95"/>
      <c r="P16" s="95"/>
      <c r="Q16" s="95"/>
      <c r="R16" s="95"/>
      <c r="S16" s="117"/>
      <c r="T16" s="95"/>
      <c r="U16" s="117" t="s">
        <v>123</v>
      </c>
      <c r="V16" s="117" t="s">
        <v>123</v>
      </c>
      <c r="W16" s="95"/>
      <c r="X16" s="124" t="s">
        <v>123</v>
      </c>
      <c r="Y16" s="126" t="s">
        <v>467</v>
      </c>
      <c r="Z16" s="117" t="s">
        <v>123</v>
      </c>
      <c r="AB16" s="354"/>
      <c r="AC16" s="354"/>
    </row>
    <row r="17" spans="1:29">
      <c r="A17" s="96"/>
      <c r="B17" s="103"/>
      <c r="C17" s="102"/>
      <c r="D17" s="117"/>
      <c r="E17" s="95"/>
      <c r="F17" s="95"/>
      <c r="G17" s="95"/>
      <c r="H17" s="95"/>
      <c r="I17" s="117"/>
      <c r="J17" s="95"/>
      <c r="K17" s="95"/>
      <c r="L17" s="95"/>
      <c r="M17" s="95"/>
      <c r="N17" s="95"/>
      <c r="O17" s="95"/>
      <c r="P17" s="95"/>
      <c r="Q17" s="95"/>
      <c r="R17" s="95"/>
      <c r="S17" s="117"/>
      <c r="T17" s="95"/>
      <c r="U17" s="117" t="s">
        <v>123</v>
      </c>
      <c r="V17" s="117" t="s">
        <v>123</v>
      </c>
      <c r="W17" s="95"/>
      <c r="X17" s="124" t="s">
        <v>123</v>
      </c>
      <c r="Y17" s="126" t="s">
        <v>467</v>
      </c>
      <c r="Z17" s="117" t="s">
        <v>123</v>
      </c>
      <c r="AB17" s="354"/>
      <c r="AC17" s="354"/>
    </row>
    <row r="18" spans="1:29">
      <c r="A18" s="96"/>
      <c r="B18" s="103"/>
      <c r="C18" s="102"/>
      <c r="D18" s="117"/>
      <c r="E18" s="95"/>
      <c r="F18" s="95"/>
      <c r="G18" s="95"/>
      <c r="H18" s="95"/>
      <c r="I18" s="117"/>
      <c r="J18" s="95"/>
      <c r="K18" s="95"/>
      <c r="L18" s="95"/>
      <c r="M18" s="95"/>
      <c r="N18" s="95"/>
      <c r="O18" s="95"/>
      <c r="P18" s="95"/>
      <c r="Q18" s="95"/>
      <c r="R18" s="95"/>
      <c r="S18" s="117"/>
      <c r="T18" s="95"/>
      <c r="U18" s="117" t="s">
        <v>123</v>
      </c>
      <c r="V18" s="117" t="s">
        <v>123</v>
      </c>
      <c r="W18" s="95"/>
      <c r="X18" s="124" t="s">
        <v>123</v>
      </c>
      <c r="Y18" s="126" t="s">
        <v>467</v>
      </c>
      <c r="Z18" s="117" t="s">
        <v>123</v>
      </c>
      <c r="AB18" s="354"/>
      <c r="AC18" s="354"/>
    </row>
    <row r="19" spans="1:29">
      <c r="A19" s="96"/>
      <c r="B19" s="103"/>
      <c r="C19" s="102"/>
      <c r="D19" s="117"/>
      <c r="E19" s="95"/>
      <c r="F19" s="95"/>
      <c r="G19" s="95"/>
      <c r="H19" s="95"/>
      <c r="I19" s="117"/>
      <c r="J19" s="95"/>
      <c r="K19" s="95"/>
      <c r="L19" s="95"/>
      <c r="M19" s="95"/>
      <c r="N19" s="95"/>
      <c r="O19" s="95"/>
      <c r="P19" s="95"/>
      <c r="Q19" s="95"/>
      <c r="R19" s="95"/>
      <c r="S19" s="117"/>
      <c r="T19" s="95"/>
      <c r="U19" s="117" t="s">
        <v>123</v>
      </c>
      <c r="V19" s="117" t="s">
        <v>123</v>
      </c>
      <c r="W19" s="95"/>
      <c r="X19" s="124" t="s">
        <v>123</v>
      </c>
      <c r="Y19" s="126" t="s">
        <v>467</v>
      </c>
      <c r="Z19" s="117" t="s">
        <v>123</v>
      </c>
      <c r="AB19" s="354"/>
      <c r="AC19" s="354"/>
    </row>
    <row r="20" spans="1:29">
      <c r="A20" s="96"/>
      <c r="B20" s="103"/>
      <c r="C20" s="102"/>
      <c r="D20" s="117"/>
      <c r="E20" s="95"/>
      <c r="F20" s="95"/>
      <c r="G20" s="95"/>
      <c r="H20" s="95"/>
      <c r="I20" s="117"/>
      <c r="J20" s="95"/>
      <c r="K20" s="95"/>
      <c r="L20" s="95"/>
      <c r="M20" s="95"/>
      <c r="N20" s="95"/>
      <c r="O20" s="95"/>
      <c r="P20" s="95"/>
      <c r="Q20" s="95"/>
      <c r="R20" s="95"/>
      <c r="S20" s="117"/>
      <c r="T20" s="95"/>
      <c r="U20" s="95"/>
      <c r="V20" s="95"/>
      <c r="W20" s="95"/>
      <c r="X20" s="124" t="s">
        <v>123</v>
      </c>
      <c r="Y20" s="124" t="s">
        <v>123</v>
      </c>
      <c r="Z20" s="95"/>
      <c r="AB20" s="354"/>
      <c r="AC20" s="354"/>
    </row>
    <row r="21" spans="1:29">
      <c r="A21" s="96"/>
      <c r="B21" s="103"/>
      <c r="C21" s="105"/>
      <c r="D21" s="117"/>
      <c r="E21" s="95"/>
      <c r="F21" s="95"/>
      <c r="G21" s="95"/>
      <c r="H21" s="95"/>
      <c r="I21" s="117"/>
      <c r="J21" s="95"/>
      <c r="K21" s="95"/>
      <c r="L21" s="95"/>
      <c r="M21" s="95"/>
      <c r="N21" s="95"/>
      <c r="O21" s="95"/>
      <c r="P21" s="95"/>
      <c r="Q21" s="95"/>
      <c r="R21" s="95"/>
      <c r="S21" s="117"/>
      <c r="T21" s="95"/>
      <c r="U21" s="95"/>
      <c r="V21" s="95"/>
      <c r="W21" s="95"/>
      <c r="Z21" s="95"/>
      <c r="AB21" s="354"/>
      <c r="AC21" s="354"/>
    </row>
    <row r="22" spans="1:29">
      <c r="A22" s="96"/>
      <c r="B22" s="97"/>
      <c r="C22" s="102"/>
      <c r="D22" s="117"/>
      <c r="E22" s="95"/>
      <c r="F22" s="95"/>
      <c r="G22" s="95"/>
      <c r="H22" s="95"/>
      <c r="I22" s="117"/>
      <c r="J22" s="95"/>
      <c r="K22" s="95"/>
      <c r="L22" s="95"/>
      <c r="M22" s="95"/>
      <c r="N22" s="95"/>
      <c r="O22" s="95"/>
      <c r="P22" s="95"/>
      <c r="Q22" s="95"/>
      <c r="R22" s="95"/>
      <c r="S22" s="117"/>
      <c r="T22" s="95"/>
      <c r="U22" s="95"/>
      <c r="V22" s="95"/>
      <c r="W22" s="95"/>
      <c r="Z22" s="95"/>
      <c r="AB22" s="354"/>
      <c r="AC22" s="354"/>
    </row>
    <row r="23" spans="1:29">
      <c r="A23" s="96"/>
      <c r="B23" s="405"/>
      <c r="C23" s="102"/>
      <c r="D23" s="117"/>
      <c r="E23" s="95"/>
      <c r="F23" s="95"/>
      <c r="G23" s="95"/>
      <c r="H23" s="95"/>
      <c r="I23" s="117"/>
      <c r="J23" s="95"/>
      <c r="K23" s="95"/>
      <c r="L23" s="95"/>
      <c r="M23" s="95"/>
      <c r="N23" s="95"/>
      <c r="O23" s="95"/>
      <c r="P23" s="95"/>
      <c r="Q23" s="95"/>
      <c r="R23" s="95"/>
      <c r="S23" s="117"/>
      <c r="T23" s="95"/>
      <c r="U23" s="95"/>
      <c r="V23" s="95"/>
      <c r="W23" s="95"/>
      <c r="Z23" s="95"/>
      <c r="AB23" s="354"/>
      <c r="AC23" s="354"/>
    </row>
    <row r="24" spans="1:29">
      <c r="A24" s="96"/>
      <c r="B24" s="405"/>
      <c r="C24" s="102"/>
      <c r="D24" s="117"/>
      <c r="E24" s="95"/>
      <c r="F24" s="95"/>
      <c r="G24" s="95"/>
      <c r="H24" s="95"/>
      <c r="I24" s="117"/>
      <c r="J24" s="95"/>
      <c r="K24" s="95"/>
      <c r="L24" s="95"/>
      <c r="M24" s="95"/>
      <c r="N24" s="95"/>
      <c r="O24" s="95"/>
      <c r="P24" s="95"/>
      <c r="Q24" s="95"/>
      <c r="R24" s="95"/>
      <c r="S24" s="117"/>
      <c r="T24" s="95"/>
      <c r="U24" s="95"/>
      <c r="V24" s="95"/>
      <c r="W24" s="95"/>
      <c r="Z24" s="95"/>
      <c r="AB24" s="354"/>
      <c r="AC24" s="354"/>
    </row>
    <row r="25" spans="1:29">
      <c r="A25" s="96"/>
      <c r="B25" s="103"/>
      <c r="C25" s="102"/>
      <c r="D25" s="117"/>
      <c r="E25" s="95"/>
      <c r="F25" s="95"/>
      <c r="G25" s="95"/>
      <c r="H25" s="95"/>
      <c r="I25" s="117"/>
      <c r="J25" s="95"/>
      <c r="K25" s="95"/>
      <c r="L25" s="95"/>
      <c r="M25" s="95"/>
      <c r="N25" s="95"/>
      <c r="O25" s="95"/>
      <c r="P25" s="95"/>
      <c r="Q25" s="95"/>
      <c r="R25" s="95"/>
      <c r="S25" s="117"/>
      <c r="T25" s="95"/>
      <c r="U25" s="95"/>
      <c r="V25" s="95"/>
      <c r="W25" s="95"/>
      <c r="Z25" s="95"/>
      <c r="AB25" s="354"/>
      <c r="AC25" s="354"/>
    </row>
    <row r="26" spans="1:29">
      <c r="B26" s="104"/>
      <c r="C26" s="106"/>
      <c r="D26" s="117"/>
      <c r="E26" s="95"/>
      <c r="F26" s="95"/>
      <c r="G26" s="95"/>
      <c r="H26" s="95"/>
      <c r="I26" s="117"/>
      <c r="J26" s="95"/>
      <c r="K26" s="95"/>
      <c r="L26" s="95"/>
      <c r="M26" s="95"/>
      <c r="N26" s="95"/>
      <c r="O26" s="95"/>
      <c r="P26" s="95"/>
      <c r="Q26" s="95"/>
      <c r="R26" s="95"/>
      <c r="S26" s="117"/>
      <c r="T26" s="95"/>
      <c r="U26" s="95"/>
      <c r="V26" s="95"/>
      <c r="W26" s="95"/>
      <c r="Z26" s="95"/>
      <c r="AB26" s="354"/>
      <c r="AC26" s="354"/>
    </row>
    <row r="27" spans="1:29">
      <c r="B27" s="104"/>
      <c r="C27" s="102"/>
      <c r="D27" s="117"/>
      <c r="E27" s="95"/>
      <c r="F27" s="95"/>
      <c r="G27" s="95"/>
      <c r="H27" s="95"/>
      <c r="I27" s="117"/>
      <c r="J27" s="95"/>
      <c r="K27" s="95"/>
      <c r="L27" s="95"/>
      <c r="M27" s="95"/>
      <c r="N27" s="95"/>
      <c r="O27" s="95"/>
      <c r="P27" s="95"/>
      <c r="Q27" s="95"/>
      <c r="R27" s="95"/>
      <c r="S27" s="117"/>
      <c r="T27" s="95"/>
      <c r="U27" s="95"/>
      <c r="V27" s="95"/>
      <c r="W27" s="95"/>
      <c r="Z27" s="95"/>
      <c r="AB27" s="354"/>
      <c r="AC27" s="354"/>
    </row>
    <row r="28" spans="1:29">
      <c r="B28" s="104"/>
      <c r="C28" s="102"/>
      <c r="D28" s="117"/>
      <c r="E28" s="95"/>
      <c r="F28" s="95"/>
      <c r="G28" s="95"/>
      <c r="H28" s="95"/>
      <c r="I28" s="117"/>
      <c r="J28" s="95"/>
      <c r="K28" s="95"/>
      <c r="L28" s="95"/>
      <c r="M28" s="95"/>
      <c r="N28" s="95"/>
      <c r="O28" s="95"/>
      <c r="P28" s="95"/>
      <c r="Q28" s="95"/>
      <c r="R28" s="95"/>
      <c r="S28" s="117"/>
      <c r="T28" s="95"/>
      <c r="U28" s="95"/>
      <c r="V28" s="95"/>
      <c r="W28" s="95"/>
      <c r="Z28" s="95"/>
      <c r="AB28" s="354"/>
      <c r="AC28" s="354"/>
    </row>
    <row r="29" spans="1:29">
      <c r="B29" s="406"/>
      <c r="C29" s="415"/>
      <c r="D29" s="117"/>
      <c r="E29" s="95"/>
      <c r="F29" s="95"/>
      <c r="G29" s="95"/>
      <c r="H29" s="95"/>
      <c r="I29" s="117"/>
      <c r="J29" s="95"/>
      <c r="K29" s="95"/>
      <c r="L29" s="95"/>
      <c r="M29" s="95"/>
      <c r="N29" s="95"/>
      <c r="O29" s="95"/>
      <c r="P29" s="95"/>
      <c r="Q29" s="95"/>
      <c r="R29" s="95"/>
      <c r="S29" s="117"/>
      <c r="T29" s="95"/>
      <c r="U29" s="95"/>
      <c r="V29" s="95"/>
      <c r="W29" s="95"/>
      <c r="Z29" s="95"/>
      <c r="AB29" s="354"/>
      <c r="AC29" s="354"/>
    </row>
    <row r="30" spans="1:29">
      <c r="B30" s="406"/>
      <c r="C30" s="415"/>
      <c r="D30" s="117"/>
      <c r="E30" s="95"/>
      <c r="F30" s="95"/>
      <c r="G30" s="95"/>
      <c r="H30" s="95"/>
      <c r="I30" s="117"/>
      <c r="J30" s="95"/>
      <c r="K30" s="95"/>
      <c r="L30" s="95"/>
      <c r="M30" s="95"/>
      <c r="N30" s="95"/>
      <c r="O30" s="95"/>
      <c r="P30" s="95"/>
      <c r="Q30" s="95"/>
      <c r="R30" s="95"/>
      <c r="S30" s="117"/>
      <c r="T30" s="95"/>
      <c r="U30" s="95"/>
      <c r="V30" s="95"/>
      <c r="W30" s="95"/>
      <c r="Z30" s="95"/>
      <c r="AB30" s="354"/>
      <c r="AC30" s="354"/>
    </row>
    <row r="31" spans="1:29">
      <c r="B31" s="104"/>
      <c r="C31" s="102"/>
      <c r="D31" s="117"/>
      <c r="E31" s="95"/>
      <c r="F31" s="95"/>
      <c r="G31" s="95"/>
      <c r="H31" s="95"/>
      <c r="I31" s="117"/>
      <c r="J31" s="95"/>
      <c r="K31" s="95"/>
      <c r="L31" s="95"/>
      <c r="M31" s="95"/>
      <c r="N31" s="95"/>
      <c r="O31" s="95"/>
      <c r="P31" s="95"/>
      <c r="Q31" s="95"/>
      <c r="R31" s="95"/>
      <c r="S31" s="117"/>
      <c r="T31" s="95"/>
      <c r="U31" s="95"/>
      <c r="V31" s="95"/>
      <c r="W31" s="95"/>
      <c r="Z31" s="95"/>
      <c r="AB31" s="354"/>
      <c r="AC31" s="354"/>
    </row>
    <row r="32" spans="1:29">
      <c r="B32" s="104"/>
      <c r="C32" s="102"/>
      <c r="D32" s="117"/>
      <c r="E32" s="95"/>
      <c r="F32" s="95"/>
      <c r="G32" s="95"/>
      <c r="H32" s="95"/>
      <c r="I32" s="117"/>
      <c r="J32" s="95"/>
      <c r="K32" s="95"/>
      <c r="L32" s="95"/>
      <c r="M32" s="95"/>
      <c r="N32" s="95"/>
      <c r="O32" s="95"/>
      <c r="P32" s="95"/>
      <c r="Q32" s="95"/>
      <c r="R32" s="95"/>
      <c r="S32" s="117"/>
      <c r="T32" s="95"/>
      <c r="U32" s="95"/>
      <c r="V32" s="95"/>
      <c r="W32" s="95"/>
      <c r="Z32" s="95"/>
      <c r="AB32" s="354"/>
      <c r="AC32" s="354"/>
    </row>
    <row r="33" spans="2:29">
      <c r="B33" s="104"/>
      <c r="C33" s="102"/>
      <c r="D33" s="117"/>
      <c r="E33" s="95"/>
      <c r="F33" s="95"/>
      <c r="G33" s="95"/>
      <c r="H33" s="95"/>
      <c r="I33" s="117"/>
      <c r="J33" s="95"/>
      <c r="K33" s="95"/>
      <c r="L33" s="95"/>
      <c r="M33" s="95"/>
      <c r="N33" s="95"/>
      <c r="O33" s="95"/>
      <c r="P33" s="95"/>
      <c r="Q33" s="95"/>
      <c r="R33" s="95"/>
      <c r="S33" s="117"/>
      <c r="T33" s="95"/>
      <c r="U33" s="95"/>
      <c r="V33" s="95"/>
      <c r="W33" s="95"/>
      <c r="Z33" s="95"/>
      <c r="AB33" s="354"/>
      <c r="AC33" s="354"/>
    </row>
    <row r="34" spans="2:29">
      <c r="B34" s="104"/>
      <c r="C34" s="107"/>
      <c r="D34" s="117"/>
      <c r="E34" s="95"/>
      <c r="F34" s="95"/>
      <c r="G34" s="95"/>
      <c r="H34" s="95"/>
      <c r="I34" s="117"/>
      <c r="J34" s="95"/>
      <c r="K34" s="95"/>
      <c r="L34" s="95"/>
      <c r="M34" s="95"/>
      <c r="N34" s="95"/>
      <c r="O34" s="95"/>
      <c r="P34" s="95"/>
      <c r="Q34" s="95"/>
      <c r="R34" s="95"/>
      <c r="S34" s="117"/>
      <c r="T34" s="95"/>
      <c r="U34" s="95"/>
      <c r="V34" s="95"/>
      <c r="W34" s="95"/>
      <c r="Z34" s="95"/>
      <c r="AB34" s="354"/>
      <c r="AC34" s="354"/>
    </row>
    <row r="35" spans="2:29">
      <c r="B35" s="104"/>
      <c r="C35" s="105"/>
      <c r="D35" s="117"/>
      <c r="E35" s="95"/>
      <c r="F35" s="95"/>
      <c r="G35" s="95"/>
      <c r="H35" s="95"/>
      <c r="I35" s="117"/>
      <c r="J35" s="95"/>
      <c r="K35" s="95"/>
      <c r="L35" s="95"/>
      <c r="M35" s="95"/>
      <c r="N35" s="95"/>
      <c r="O35" s="95"/>
      <c r="P35" s="95"/>
      <c r="Q35" s="95"/>
      <c r="R35" s="95"/>
      <c r="S35" s="117"/>
      <c r="T35" s="95"/>
      <c r="U35" s="95"/>
      <c r="V35" s="95"/>
      <c r="W35" s="95"/>
      <c r="Z35" s="95"/>
      <c r="AB35" s="354"/>
      <c r="AC35" s="354"/>
    </row>
    <row r="36" spans="2:29">
      <c r="B36" s="104"/>
      <c r="C36" s="108"/>
      <c r="D36" s="117"/>
      <c r="E36" s="95"/>
      <c r="F36" s="95"/>
      <c r="G36" s="95"/>
      <c r="H36" s="95"/>
      <c r="I36" s="117"/>
      <c r="J36" s="95"/>
      <c r="K36" s="95"/>
      <c r="L36" s="95"/>
      <c r="M36" s="95"/>
      <c r="N36" s="95"/>
      <c r="O36" s="95"/>
      <c r="P36" s="95"/>
      <c r="Q36" s="95"/>
      <c r="R36" s="95"/>
      <c r="S36" s="117"/>
      <c r="T36" s="95"/>
      <c r="U36" s="95"/>
      <c r="V36" s="95"/>
      <c r="W36" s="95"/>
      <c r="Z36" s="95"/>
      <c r="AB36" s="354"/>
      <c r="AC36" s="354"/>
    </row>
    <row r="37" spans="2:29">
      <c r="B37" s="104"/>
      <c r="C37" s="106"/>
      <c r="D37" s="117"/>
      <c r="E37" s="95"/>
      <c r="F37" s="95"/>
      <c r="G37" s="95"/>
      <c r="H37" s="95"/>
      <c r="I37" s="117"/>
      <c r="J37" s="95"/>
      <c r="K37" s="95"/>
      <c r="L37" s="95"/>
      <c r="M37" s="95"/>
      <c r="N37" s="95"/>
      <c r="O37" s="95"/>
      <c r="P37" s="95"/>
      <c r="Q37" s="95"/>
      <c r="R37" s="95"/>
      <c r="S37" s="117"/>
      <c r="T37" s="95"/>
      <c r="U37" s="95"/>
      <c r="V37" s="95"/>
      <c r="W37" s="95"/>
      <c r="Z37" s="95"/>
      <c r="AB37" s="354"/>
      <c r="AC37" s="354"/>
    </row>
    <row r="38" spans="2:29">
      <c r="B38" s="104"/>
      <c r="C38" s="102"/>
      <c r="D38" s="117"/>
      <c r="E38" s="95"/>
      <c r="F38" s="95"/>
      <c r="G38" s="95"/>
      <c r="H38" s="95"/>
      <c r="I38" s="117"/>
      <c r="J38" s="95"/>
      <c r="K38" s="95"/>
      <c r="L38" s="95"/>
      <c r="M38" s="95"/>
      <c r="N38" s="95"/>
      <c r="O38" s="95"/>
      <c r="P38" s="95"/>
      <c r="Q38" s="95"/>
      <c r="R38" s="95"/>
      <c r="S38" s="117"/>
      <c r="T38" s="95"/>
      <c r="U38" s="95"/>
      <c r="V38" s="95"/>
      <c r="W38" s="95"/>
      <c r="Z38" s="95"/>
      <c r="AB38" s="354"/>
      <c r="AC38" s="354"/>
    </row>
    <row r="39" spans="2:29">
      <c r="B39" s="406"/>
      <c r="C39" s="102"/>
      <c r="D39" s="117"/>
      <c r="E39" s="95"/>
      <c r="F39" s="95"/>
      <c r="G39" s="95"/>
      <c r="H39" s="95"/>
      <c r="I39" s="117"/>
      <c r="J39" s="95"/>
      <c r="K39" s="95"/>
      <c r="L39" s="95"/>
      <c r="M39" s="95"/>
      <c r="N39" s="95"/>
      <c r="O39" s="95"/>
      <c r="P39" s="95"/>
      <c r="Q39" s="95"/>
      <c r="R39" s="95"/>
      <c r="S39" s="117"/>
      <c r="T39" s="95"/>
      <c r="U39" s="95"/>
      <c r="V39" s="95"/>
      <c r="W39" s="95"/>
      <c r="Z39" s="95"/>
      <c r="AB39" s="354"/>
      <c r="AC39" s="354"/>
    </row>
    <row r="40" spans="2:29">
      <c r="B40" s="406"/>
      <c r="C40" s="102"/>
      <c r="D40" s="117"/>
      <c r="E40" s="95"/>
      <c r="F40" s="95"/>
      <c r="G40" s="95"/>
      <c r="H40" s="95"/>
      <c r="I40" s="117"/>
      <c r="J40" s="95"/>
      <c r="K40" s="95"/>
      <c r="L40" s="95"/>
      <c r="M40" s="95"/>
      <c r="N40" s="95"/>
      <c r="O40" s="95"/>
      <c r="P40" s="95"/>
      <c r="Q40" s="95"/>
      <c r="R40" s="95"/>
      <c r="S40" s="117"/>
      <c r="T40" s="95"/>
      <c r="U40" s="95"/>
      <c r="V40" s="95"/>
      <c r="W40" s="95"/>
      <c r="Z40" s="95"/>
      <c r="AB40" s="354"/>
      <c r="AC40" s="354"/>
    </row>
    <row r="41" spans="2:29">
      <c r="B41" s="406"/>
      <c r="C41" s="102"/>
      <c r="D41" s="117"/>
      <c r="E41" s="95"/>
      <c r="F41" s="95"/>
      <c r="G41" s="95"/>
      <c r="H41" s="95"/>
      <c r="I41" s="117"/>
      <c r="J41" s="95"/>
      <c r="K41" s="95"/>
      <c r="L41" s="95"/>
      <c r="M41" s="95"/>
      <c r="N41" s="95"/>
      <c r="O41" s="95"/>
      <c r="P41" s="95"/>
      <c r="Q41" s="95"/>
      <c r="R41" s="95"/>
      <c r="S41" s="117"/>
      <c r="T41" s="95"/>
      <c r="U41" s="95"/>
      <c r="V41" s="95"/>
      <c r="W41" s="95"/>
      <c r="Z41" s="95"/>
      <c r="AB41" s="354"/>
      <c r="AC41" s="354"/>
    </row>
    <row r="42" spans="2:29">
      <c r="B42" s="406"/>
      <c r="C42" s="102"/>
      <c r="D42" s="117"/>
      <c r="E42" s="95"/>
      <c r="F42" s="95"/>
      <c r="G42" s="95"/>
      <c r="H42" s="95"/>
      <c r="I42" s="117"/>
      <c r="J42" s="95"/>
      <c r="K42" s="95"/>
      <c r="L42" s="95"/>
      <c r="M42" s="95"/>
      <c r="N42" s="95"/>
      <c r="O42" s="95"/>
      <c r="P42" s="95"/>
      <c r="Q42" s="95"/>
      <c r="R42" s="95"/>
      <c r="S42" s="117"/>
      <c r="T42" s="95"/>
      <c r="U42" s="95"/>
      <c r="V42" s="95"/>
      <c r="W42" s="95"/>
      <c r="Z42" s="95"/>
      <c r="AB42" s="354"/>
      <c r="AC42" s="354"/>
    </row>
    <row r="43" spans="2:29">
      <c r="B43" s="412"/>
      <c r="C43" s="415"/>
      <c r="D43" s="117"/>
      <c r="E43" s="95"/>
      <c r="F43" s="95"/>
      <c r="G43" s="95"/>
      <c r="H43" s="95"/>
      <c r="I43" s="117"/>
      <c r="J43" s="95"/>
      <c r="K43" s="95"/>
      <c r="L43" s="95"/>
      <c r="M43" s="95"/>
      <c r="N43" s="95"/>
      <c r="O43" s="95"/>
      <c r="P43" s="95"/>
      <c r="Q43" s="95"/>
      <c r="R43" s="95"/>
      <c r="S43" s="117"/>
      <c r="T43" s="95"/>
      <c r="U43" s="95"/>
      <c r="V43" s="95"/>
      <c r="W43" s="95"/>
      <c r="Z43" s="95"/>
      <c r="AB43" s="354"/>
      <c r="AC43" s="354"/>
    </row>
    <row r="44" spans="2:29">
      <c r="B44" s="412"/>
      <c r="C44" s="415"/>
      <c r="D44" s="117"/>
      <c r="E44" s="95"/>
      <c r="F44" s="95"/>
      <c r="G44" s="95"/>
      <c r="H44" s="95"/>
      <c r="I44" s="117"/>
      <c r="J44" s="95"/>
      <c r="K44" s="95"/>
      <c r="L44" s="95"/>
      <c r="M44" s="95"/>
      <c r="N44" s="95"/>
      <c r="O44" s="95"/>
      <c r="P44" s="95"/>
      <c r="Q44" s="95"/>
      <c r="R44" s="95"/>
      <c r="S44" s="117"/>
      <c r="T44" s="95"/>
      <c r="U44" s="95"/>
      <c r="V44" s="95"/>
      <c r="W44" s="95"/>
      <c r="Z44" s="95"/>
      <c r="AB44" s="354"/>
      <c r="AC44" s="354"/>
    </row>
    <row r="45" spans="2:29">
      <c r="B45" s="98"/>
      <c r="C45" s="102"/>
      <c r="D45" s="117"/>
      <c r="E45" s="95"/>
      <c r="F45" s="95"/>
      <c r="G45" s="95"/>
      <c r="H45" s="95"/>
      <c r="I45" s="117"/>
      <c r="J45" s="95"/>
      <c r="K45" s="95"/>
      <c r="L45" s="95"/>
      <c r="M45" s="95"/>
      <c r="N45" s="95"/>
      <c r="O45" s="95"/>
      <c r="P45" s="95"/>
      <c r="Q45" s="95"/>
      <c r="R45" s="95"/>
      <c r="S45" s="117"/>
      <c r="T45" s="95"/>
      <c r="U45" s="95"/>
      <c r="V45" s="95"/>
      <c r="W45" s="95"/>
      <c r="Z45" s="95"/>
      <c r="AB45" s="354"/>
      <c r="AC45" s="354"/>
    </row>
    <row r="46" spans="2:29">
      <c r="B46" s="98"/>
      <c r="C46" s="102"/>
      <c r="D46" s="117"/>
      <c r="E46" s="95"/>
      <c r="F46" s="95"/>
      <c r="G46" s="95"/>
      <c r="H46" s="95"/>
      <c r="I46" s="117"/>
      <c r="J46" s="95"/>
      <c r="K46" s="95"/>
      <c r="L46" s="95"/>
      <c r="M46" s="95"/>
      <c r="N46" s="95"/>
      <c r="O46" s="95"/>
      <c r="P46" s="95"/>
      <c r="Q46" s="95"/>
      <c r="R46" s="95"/>
      <c r="S46" s="117"/>
      <c r="T46" s="95"/>
      <c r="U46" s="95"/>
      <c r="V46" s="95"/>
      <c r="W46" s="95"/>
      <c r="Z46" s="95"/>
      <c r="AB46" s="354"/>
      <c r="AC46" s="354"/>
    </row>
    <row r="47" spans="2:29">
      <c r="B47" s="98"/>
      <c r="C47" s="102"/>
      <c r="D47" s="117"/>
      <c r="E47" s="95"/>
      <c r="F47" s="95"/>
      <c r="G47" s="95"/>
      <c r="H47" s="95"/>
      <c r="I47" s="117"/>
      <c r="J47" s="95"/>
      <c r="K47" s="95"/>
      <c r="L47" s="95"/>
      <c r="M47" s="95"/>
      <c r="N47" s="95"/>
      <c r="O47" s="95"/>
      <c r="P47" s="95"/>
      <c r="Q47" s="95"/>
      <c r="R47" s="95"/>
      <c r="S47" s="117"/>
      <c r="T47" s="95"/>
      <c r="U47" s="95"/>
      <c r="V47" s="95"/>
      <c r="W47" s="95"/>
      <c r="Z47" s="95"/>
      <c r="AB47" s="354"/>
      <c r="AC47" s="354"/>
    </row>
    <row r="48" spans="2:29">
      <c r="B48" s="98"/>
      <c r="C48" s="106"/>
      <c r="D48" s="117"/>
      <c r="E48" s="95"/>
      <c r="F48" s="95"/>
      <c r="G48" s="95"/>
      <c r="H48" s="95"/>
      <c r="I48" s="117"/>
      <c r="J48" s="95"/>
      <c r="K48" s="95"/>
      <c r="L48" s="95"/>
      <c r="M48" s="95"/>
      <c r="N48" s="95"/>
      <c r="O48" s="95"/>
      <c r="P48" s="95"/>
      <c r="Q48" s="95"/>
      <c r="R48" s="95"/>
      <c r="S48" s="117"/>
      <c r="T48" s="95"/>
      <c r="U48" s="95"/>
      <c r="V48" s="95"/>
      <c r="W48" s="95"/>
      <c r="Z48" s="95"/>
      <c r="AB48" s="354"/>
      <c r="AC48" s="354"/>
    </row>
    <row r="49" spans="2:29" ht="14.25" customHeight="1">
      <c r="B49" s="389"/>
      <c r="C49" s="415"/>
      <c r="D49" s="117"/>
      <c r="E49" s="95"/>
      <c r="F49" s="95"/>
      <c r="G49" s="95"/>
      <c r="H49" s="95"/>
      <c r="I49" s="117"/>
      <c r="J49" s="95"/>
      <c r="K49" s="95"/>
      <c r="L49" s="95"/>
      <c r="M49" s="95"/>
      <c r="N49" s="95"/>
      <c r="O49" s="95"/>
      <c r="P49" s="95"/>
      <c r="Q49" s="95"/>
      <c r="R49" s="95"/>
      <c r="S49" s="117"/>
      <c r="T49" s="95"/>
      <c r="U49" s="95"/>
      <c r="V49" s="95"/>
      <c r="W49" s="95"/>
      <c r="Z49" s="95"/>
      <c r="AB49" s="354"/>
      <c r="AC49" s="354"/>
    </row>
    <row r="50" spans="2:29">
      <c r="B50" s="389"/>
      <c r="C50" s="415"/>
      <c r="D50" s="117"/>
      <c r="E50" s="95"/>
      <c r="F50" s="95"/>
      <c r="G50" s="95"/>
      <c r="H50" s="95"/>
      <c r="I50" s="117"/>
      <c r="J50" s="95"/>
      <c r="K50" s="95"/>
      <c r="L50" s="95"/>
      <c r="M50" s="95"/>
      <c r="N50" s="95"/>
      <c r="O50" s="95"/>
      <c r="P50" s="95"/>
      <c r="Q50" s="95"/>
      <c r="R50" s="95"/>
      <c r="S50" s="117"/>
      <c r="T50" s="95"/>
      <c r="U50" s="95"/>
      <c r="V50" s="95"/>
      <c r="W50" s="95"/>
      <c r="Z50" s="95"/>
      <c r="AB50" s="354"/>
      <c r="AC50" s="354"/>
    </row>
    <row r="51" spans="2:29">
      <c r="B51" s="98"/>
      <c r="C51" s="102"/>
      <c r="D51" s="117"/>
      <c r="E51" s="95"/>
      <c r="F51" s="95"/>
      <c r="G51" s="95"/>
      <c r="H51" s="95"/>
      <c r="I51" s="117"/>
      <c r="J51" s="95"/>
      <c r="K51" s="95"/>
      <c r="L51" s="95"/>
      <c r="M51" s="95"/>
      <c r="N51" s="95"/>
      <c r="O51" s="95"/>
      <c r="P51" s="95"/>
      <c r="Q51" s="95"/>
      <c r="R51" s="95"/>
      <c r="S51" s="117"/>
      <c r="T51" s="95"/>
      <c r="U51" s="95"/>
      <c r="V51" s="95"/>
      <c r="W51" s="95"/>
      <c r="Z51" s="95"/>
      <c r="AB51" s="354"/>
      <c r="AC51" s="354"/>
    </row>
    <row r="52" spans="2:29">
      <c r="B52" s="98"/>
      <c r="C52" s="102"/>
      <c r="D52" s="117"/>
      <c r="E52" s="95"/>
      <c r="F52" s="95"/>
      <c r="G52" s="95"/>
      <c r="H52" s="95"/>
      <c r="I52" s="117"/>
      <c r="J52" s="95"/>
      <c r="K52" s="95"/>
      <c r="L52" s="95"/>
      <c r="M52" s="95"/>
      <c r="N52" s="95"/>
      <c r="O52" s="95"/>
      <c r="P52" s="95"/>
      <c r="Q52" s="95"/>
      <c r="R52" s="95"/>
      <c r="S52" s="117"/>
      <c r="T52" s="95"/>
      <c r="U52" s="95"/>
      <c r="V52" s="95"/>
      <c r="W52" s="95"/>
      <c r="Z52" s="95"/>
      <c r="AB52" s="354"/>
      <c r="AC52" s="354"/>
    </row>
    <row r="53" spans="2:29">
      <c r="B53" s="98"/>
      <c r="C53" s="102"/>
      <c r="D53" s="117"/>
      <c r="E53" s="95"/>
      <c r="F53" s="95"/>
      <c r="G53" s="95"/>
      <c r="H53" s="95"/>
      <c r="I53" s="117"/>
      <c r="J53" s="95"/>
      <c r="K53" s="95"/>
      <c r="L53" s="95"/>
      <c r="M53" s="95"/>
      <c r="N53" s="95"/>
      <c r="O53" s="95"/>
      <c r="P53" s="95"/>
      <c r="Q53" s="95"/>
      <c r="R53" s="95"/>
      <c r="S53" s="117"/>
      <c r="T53" s="95"/>
      <c r="U53" s="95"/>
      <c r="V53" s="95"/>
      <c r="W53" s="95"/>
      <c r="Z53" s="95"/>
      <c r="AB53" s="354"/>
      <c r="AC53" s="354"/>
    </row>
    <row r="54" spans="2:29">
      <c r="B54" s="98"/>
      <c r="C54" s="102"/>
      <c r="D54" s="117"/>
      <c r="E54" s="95"/>
      <c r="F54" s="95"/>
      <c r="G54" s="95"/>
      <c r="H54" s="95"/>
      <c r="I54" s="117"/>
      <c r="J54" s="95"/>
      <c r="K54" s="95"/>
      <c r="L54" s="95"/>
      <c r="M54" s="95"/>
      <c r="N54" s="95"/>
      <c r="O54" s="95"/>
      <c r="P54" s="95"/>
      <c r="Q54" s="95"/>
      <c r="R54" s="95"/>
      <c r="S54" s="117"/>
      <c r="T54" s="95"/>
      <c r="U54" s="95"/>
      <c r="V54" s="95"/>
      <c r="W54" s="95"/>
      <c r="Z54" s="95"/>
      <c r="AB54" s="354"/>
      <c r="AC54" s="354"/>
    </row>
    <row r="55" spans="2:29">
      <c r="B55" s="98"/>
      <c r="C55" s="102"/>
      <c r="D55" s="117"/>
      <c r="E55" s="95"/>
      <c r="F55" s="95"/>
      <c r="G55" s="95"/>
      <c r="H55" s="95"/>
      <c r="I55" s="117"/>
      <c r="J55" s="95"/>
      <c r="K55" s="95"/>
      <c r="L55" s="95"/>
      <c r="M55" s="95"/>
      <c r="N55" s="95"/>
      <c r="O55" s="95"/>
      <c r="P55" s="95"/>
      <c r="Q55" s="95"/>
      <c r="R55" s="95"/>
      <c r="S55" s="117"/>
      <c r="T55" s="95"/>
      <c r="U55" s="95"/>
      <c r="V55" s="95"/>
      <c r="W55" s="95"/>
      <c r="Z55" s="95"/>
      <c r="AB55" s="354"/>
      <c r="AC55" s="354"/>
    </row>
    <row r="56" spans="2:29">
      <c r="B56" s="98"/>
      <c r="C56" s="102"/>
      <c r="D56" s="117"/>
      <c r="E56" s="95"/>
      <c r="F56" s="95"/>
      <c r="G56" s="95"/>
      <c r="H56" s="95"/>
      <c r="I56" s="117"/>
      <c r="J56" s="95"/>
      <c r="K56" s="95"/>
      <c r="L56" s="95"/>
      <c r="M56" s="95"/>
      <c r="N56" s="95"/>
      <c r="O56" s="95"/>
      <c r="P56" s="95"/>
      <c r="Q56" s="95"/>
      <c r="R56" s="95"/>
      <c r="S56" s="117"/>
      <c r="T56" s="95"/>
      <c r="U56" s="95"/>
      <c r="V56" s="95"/>
      <c r="W56" s="95"/>
      <c r="Z56" s="95"/>
      <c r="AB56" s="354"/>
      <c r="AC56" s="354"/>
    </row>
    <row r="57" spans="2:29">
      <c r="B57" s="98"/>
      <c r="C57" s="102"/>
      <c r="D57" s="117"/>
      <c r="E57" s="95"/>
      <c r="F57" s="95"/>
      <c r="G57" s="95"/>
      <c r="H57" s="95"/>
      <c r="I57" s="117"/>
      <c r="J57" s="95"/>
      <c r="K57" s="95"/>
      <c r="L57" s="95"/>
      <c r="M57" s="95"/>
      <c r="N57" s="95"/>
      <c r="O57" s="95"/>
      <c r="P57" s="95"/>
      <c r="Q57" s="95"/>
      <c r="R57" s="95"/>
      <c r="S57" s="117"/>
      <c r="T57" s="95"/>
      <c r="U57" s="95"/>
      <c r="V57" s="95"/>
      <c r="W57" s="95"/>
      <c r="Z57" s="95"/>
      <c r="AB57" s="354"/>
      <c r="AC57" s="354"/>
    </row>
    <row r="58" spans="2:29">
      <c r="B58" s="98"/>
      <c r="C58" s="102"/>
      <c r="D58" s="117"/>
      <c r="E58" s="95"/>
      <c r="F58" s="95"/>
      <c r="G58" s="95"/>
      <c r="H58" s="95"/>
      <c r="I58" s="117"/>
      <c r="J58" s="95"/>
      <c r="K58" s="95"/>
      <c r="L58" s="95"/>
      <c r="M58" s="95"/>
      <c r="N58" s="95"/>
      <c r="O58" s="95"/>
      <c r="P58" s="95"/>
      <c r="Q58" s="95"/>
      <c r="R58" s="95"/>
      <c r="S58" s="117"/>
      <c r="T58" s="95"/>
      <c r="U58" s="95"/>
      <c r="V58" s="95"/>
      <c r="W58" s="95"/>
      <c r="Z58" s="95"/>
      <c r="AB58" s="354"/>
      <c r="AC58" s="354"/>
    </row>
    <row r="59" spans="2:29">
      <c r="B59" s="98"/>
      <c r="C59" s="106"/>
      <c r="D59" s="118"/>
      <c r="I59" s="118"/>
      <c r="S59" s="118"/>
      <c r="W59" s="95"/>
      <c r="AB59" s="350"/>
      <c r="AC59" s="350"/>
    </row>
    <row r="60" spans="2:29">
      <c r="W60" s="95"/>
      <c r="AB60" s="350"/>
      <c r="AC60" s="350"/>
    </row>
    <row r="61" spans="2:29">
      <c r="W61" s="95"/>
      <c r="AB61" s="350"/>
      <c r="AC61" s="350"/>
    </row>
    <row r="62" spans="2:29">
      <c r="W62" s="95"/>
      <c r="AB62" s="350"/>
      <c r="AC62" s="350"/>
    </row>
    <row r="63" spans="2:29">
      <c r="W63" s="95"/>
      <c r="AB63" s="350"/>
      <c r="AC63" s="350"/>
    </row>
    <row r="64" spans="2:29">
      <c r="W64" s="95"/>
      <c r="AB64" s="350"/>
      <c r="AC64" s="350"/>
    </row>
    <row r="65" spans="23:29">
      <c r="W65" s="95"/>
      <c r="AB65" s="350"/>
      <c r="AC65" s="350"/>
    </row>
    <row r="66" spans="23:29">
      <c r="W66" s="95"/>
      <c r="AB66" s="350"/>
      <c r="AC66" s="350"/>
    </row>
    <row r="67" spans="23:29">
      <c r="W67" s="95"/>
      <c r="AB67" s="350"/>
      <c r="AC67" s="350"/>
    </row>
    <row r="68" spans="23:29">
      <c r="W68" s="95"/>
      <c r="AB68" s="350"/>
      <c r="AC68" s="350"/>
    </row>
    <row r="69" spans="23:29">
      <c r="AB69" s="350"/>
      <c r="AC69" s="350"/>
    </row>
    <row r="70" spans="23:29">
      <c r="AB70" s="350"/>
      <c r="AC70" s="350"/>
    </row>
    <row r="71" spans="23:29">
      <c r="AB71" s="350"/>
      <c r="AC71" s="350"/>
    </row>
    <row r="72" spans="23:29">
      <c r="AB72" s="350"/>
      <c r="AC72" s="350"/>
    </row>
    <row r="73" spans="23:29">
      <c r="AB73" s="350"/>
      <c r="AC73" s="350"/>
    </row>
    <row r="74" spans="23:29">
      <c r="AB74" s="350"/>
      <c r="AC74" s="350"/>
    </row>
    <row r="75" spans="23:29">
      <c r="AB75" s="350"/>
      <c r="AC75" s="350"/>
    </row>
    <row r="76" spans="23:29">
      <c r="AB76" s="350"/>
      <c r="AC76" s="350"/>
    </row>
    <row r="77" spans="23:29">
      <c r="AB77" s="350"/>
      <c r="AC77" s="350"/>
    </row>
    <row r="78" spans="23:29">
      <c r="AB78" s="350"/>
      <c r="AC78" s="350"/>
    </row>
    <row r="79" spans="23:29">
      <c r="AB79" s="350"/>
      <c r="AC79" s="350"/>
    </row>
    <row r="80" spans="23:29">
      <c r="AB80" s="350"/>
      <c r="AC80" s="350"/>
    </row>
    <row r="81" spans="14:29">
      <c r="AB81" s="350"/>
      <c r="AC81" s="350"/>
    </row>
    <row r="82" spans="14:29">
      <c r="AB82" s="350"/>
      <c r="AC82" s="350"/>
    </row>
    <row r="83" spans="14:29">
      <c r="AB83" s="350"/>
      <c r="AC83" s="350"/>
    </row>
    <row r="84" spans="14:29">
      <c r="AB84" s="350"/>
      <c r="AC84" s="350"/>
    </row>
    <row r="85" spans="14:29">
      <c r="AB85" s="350"/>
      <c r="AC85" s="350"/>
    </row>
    <row r="86" spans="14:29">
      <c r="AB86" s="350"/>
      <c r="AC86" s="350"/>
    </row>
    <row r="87" spans="14:29">
      <c r="N87" s="127" t="s">
        <v>474</v>
      </c>
      <c r="AB87" s="350"/>
      <c r="AC87" s="350"/>
    </row>
  </sheetData>
  <customSheetViews>
    <customSheetView guid="{67590F70-5005-492E-AD47-1C13C49F2D83}" scale="85" topLeftCell="O1">
      <selection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cale="85" topLeftCell="O1">
      <selection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cale="85">
      <selection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scale="85">
      <selection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cale="85">
      <selection activeCell="D8" sqref="D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9">
    <mergeCell ref="AB2:AC2"/>
    <mergeCell ref="B39:B42"/>
    <mergeCell ref="B43:B44"/>
    <mergeCell ref="B49:B50"/>
    <mergeCell ref="C2:C3"/>
    <mergeCell ref="C29:C30"/>
    <mergeCell ref="C43:C44"/>
    <mergeCell ref="C49:C50"/>
    <mergeCell ref="U2:V2"/>
    <mergeCell ref="X2:Y2"/>
    <mergeCell ref="S2:T2"/>
    <mergeCell ref="A4:A14"/>
    <mergeCell ref="B23:B24"/>
    <mergeCell ref="B29:B30"/>
    <mergeCell ref="Q2:R2"/>
    <mergeCell ref="A1:B1"/>
    <mergeCell ref="D2:F2"/>
    <mergeCell ref="I2:L2"/>
    <mergeCell ref="O2:P2"/>
  </mergeCells>
  <phoneticPr fontId="9" type="noConversion"/>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Y63"/>
  <sheetViews>
    <sheetView topLeftCell="L1" workbookViewId="0">
      <selection activeCell="R1" sqref="R1:S1048576"/>
    </sheetView>
  </sheetViews>
  <sheetFormatPr defaultColWidth="9.44140625" defaultRowHeight="15.6"/>
  <cols>
    <col min="1" max="1" width="9.44140625" style="81"/>
    <col min="2" max="2" width="29.44140625" style="81" customWidth="1"/>
    <col min="3" max="3" width="43" style="81" customWidth="1"/>
    <col min="4" max="15" width="31.44140625" style="82" customWidth="1"/>
    <col min="16" max="16" width="31.5546875" style="82" customWidth="1"/>
    <col min="17" max="25" width="31.44140625" style="82" customWidth="1"/>
    <col min="26" max="16384" width="9.44140625" style="81"/>
  </cols>
  <sheetData>
    <row r="1" spans="1:25" ht="41.4">
      <c r="A1" s="407" t="s">
        <v>61</v>
      </c>
      <c r="B1" s="408"/>
      <c r="C1" s="85" t="s">
        <v>404</v>
      </c>
      <c r="R1" s="350"/>
      <c r="S1" s="350"/>
    </row>
    <row r="2" spans="1:25">
      <c r="A2" s="407" t="s">
        <v>62</v>
      </c>
      <c r="B2" s="408"/>
      <c r="C2" s="86" t="s">
        <v>63</v>
      </c>
      <c r="D2" s="379" t="s">
        <v>5</v>
      </c>
      <c r="E2" s="409"/>
      <c r="F2" s="380"/>
      <c r="G2" s="88" t="s">
        <v>21</v>
      </c>
      <c r="H2" s="379" t="s">
        <v>14</v>
      </c>
      <c r="I2" s="409"/>
      <c r="J2" s="409"/>
      <c r="K2" s="380"/>
      <c r="L2" s="88" t="s">
        <v>20</v>
      </c>
      <c r="M2" s="109" t="s">
        <v>23</v>
      </c>
      <c r="N2" s="379" t="s">
        <v>25</v>
      </c>
      <c r="O2" s="380"/>
      <c r="P2" s="110" t="s">
        <v>32</v>
      </c>
      <c r="Q2" s="231" t="s">
        <v>846</v>
      </c>
      <c r="R2" s="416" t="s">
        <v>15</v>
      </c>
      <c r="S2" s="417"/>
      <c r="T2" s="109"/>
      <c r="U2" s="109"/>
      <c r="V2" s="109"/>
      <c r="W2" s="109"/>
      <c r="X2" s="109"/>
      <c r="Y2" s="109"/>
    </row>
    <row r="3" spans="1:25">
      <c r="A3" s="83"/>
      <c r="B3" s="84"/>
      <c r="C3" s="89"/>
      <c r="D3" s="88" t="s">
        <v>66</v>
      </c>
      <c r="E3" s="88" t="s">
        <v>67</v>
      </c>
      <c r="F3" s="88" t="s">
        <v>68</v>
      </c>
      <c r="G3" s="90" t="s">
        <v>74</v>
      </c>
      <c r="H3" s="88" t="s">
        <v>66</v>
      </c>
      <c r="I3" s="88" t="s">
        <v>67</v>
      </c>
      <c r="J3" s="88" t="s">
        <v>68</v>
      </c>
      <c r="K3" s="88" t="s">
        <v>69</v>
      </c>
      <c r="L3" s="88" t="s">
        <v>74</v>
      </c>
      <c r="M3" s="109" t="s">
        <v>66</v>
      </c>
      <c r="N3" s="88" t="s">
        <v>889</v>
      </c>
      <c r="O3" s="231" t="s">
        <v>885</v>
      </c>
      <c r="P3" s="110" t="s">
        <v>75</v>
      </c>
      <c r="Q3" s="231" t="s">
        <v>74</v>
      </c>
      <c r="R3" s="351" t="s">
        <v>66</v>
      </c>
      <c r="S3" s="351" t="s">
        <v>67</v>
      </c>
      <c r="T3" s="109"/>
      <c r="U3" s="109"/>
      <c r="V3" s="109"/>
      <c r="W3" s="109"/>
      <c r="X3" s="109"/>
      <c r="Y3" s="109"/>
    </row>
    <row r="4" spans="1:25" ht="60" customHeight="1">
      <c r="A4" s="402" t="s">
        <v>406</v>
      </c>
      <c r="B4" s="91" t="s">
        <v>475</v>
      </c>
      <c r="D4" s="92" t="s">
        <v>476</v>
      </c>
      <c r="E4" s="93" t="s">
        <v>891</v>
      </c>
      <c r="F4" s="92" t="s">
        <v>477</v>
      </c>
      <c r="G4" s="92" t="s">
        <v>476</v>
      </c>
      <c r="H4" s="92" t="s">
        <v>478</v>
      </c>
      <c r="I4" s="92" t="s">
        <v>479</v>
      </c>
      <c r="J4" s="92" t="s">
        <v>480</v>
      </c>
      <c r="K4" s="92" t="s">
        <v>481</v>
      </c>
      <c r="L4" s="93" t="s">
        <v>482</v>
      </c>
      <c r="M4" s="93" t="s">
        <v>482</v>
      </c>
      <c r="N4" s="92" t="s">
        <v>476</v>
      </c>
      <c r="O4" s="345" t="s">
        <v>892</v>
      </c>
      <c r="P4" s="111" t="s">
        <v>890</v>
      </c>
      <c r="Q4" s="325" t="s">
        <v>476</v>
      </c>
      <c r="R4" s="355" t="s">
        <v>920</v>
      </c>
      <c r="S4" s="356" t="s">
        <v>920</v>
      </c>
      <c r="T4" s="95"/>
      <c r="U4" s="95"/>
      <c r="V4" s="95"/>
      <c r="W4" s="95"/>
      <c r="X4" s="95"/>
      <c r="Y4" s="95"/>
    </row>
    <row r="5" spans="1:25" ht="34.200000000000003">
      <c r="A5" s="403"/>
      <c r="B5" s="91" t="s">
        <v>438</v>
      </c>
      <c r="C5" s="94"/>
      <c r="D5" s="93" t="s">
        <v>483</v>
      </c>
      <c r="E5" s="93" t="s">
        <v>483</v>
      </c>
      <c r="F5" s="95" t="s">
        <v>484</v>
      </c>
      <c r="G5" s="93" t="s">
        <v>485</v>
      </c>
      <c r="H5" s="93" t="s">
        <v>486</v>
      </c>
      <c r="I5" s="93" t="s">
        <v>486</v>
      </c>
      <c r="J5" s="95" t="s">
        <v>484</v>
      </c>
      <c r="K5" s="95" t="s">
        <v>484</v>
      </c>
      <c r="L5" s="93" t="s">
        <v>487</v>
      </c>
      <c r="M5" s="93" t="s">
        <v>485</v>
      </c>
      <c r="N5" s="93" t="s">
        <v>483</v>
      </c>
      <c r="O5" s="93" t="s">
        <v>894</v>
      </c>
      <c r="P5" s="111" t="s">
        <v>488</v>
      </c>
      <c r="Q5" s="312" t="s">
        <v>486</v>
      </c>
      <c r="R5" s="356" t="s">
        <v>921</v>
      </c>
      <c r="S5" s="356" t="s">
        <v>921</v>
      </c>
      <c r="T5" s="95"/>
      <c r="U5" s="95"/>
      <c r="V5" s="95"/>
      <c r="W5" s="95"/>
      <c r="X5" s="95"/>
      <c r="Y5" s="95"/>
    </row>
    <row r="6" spans="1:25">
      <c r="A6" s="404"/>
      <c r="B6" s="91" t="s">
        <v>489</v>
      </c>
      <c r="C6" s="94"/>
      <c r="D6" s="92" t="s">
        <v>490</v>
      </c>
      <c r="E6" s="92" t="s">
        <v>490</v>
      </c>
      <c r="F6" s="92" t="s">
        <v>491</v>
      </c>
      <c r="G6" s="92" t="s">
        <v>490</v>
      </c>
      <c r="H6" s="92" t="s">
        <v>492</v>
      </c>
      <c r="I6" s="92" t="s">
        <v>492</v>
      </c>
      <c r="J6" s="92" t="s">
        <v>493</v>
      </c>
      <c r="K6" s="92" t="s">
        <v>494</v>
      </c>
      <c r="L6" s="92" t="s">
        <v>490</v>
      </c>
      <c r="M6" s="92" t="s">
        <v>490</v>
      </c>
      <c r="N6" s="92" t="s">
        <v>490</v>
      </c>
      <c r="O6" s="345" t="s">
        <v>893</v>
      </c>
      <c r="P6" s="112" t="s">
        <v>492</v>
      </c>
      <c r="Q6" s="325" t="s">
        <v>490</v>
      </c>
      <c r="R6" s="357" t="s">
        <v>490</v>
      </c>
      <c r="S6" s="357" t="s">
        <v>490</v>
      </c>
      <c r="T6" s="95"/>
      <c r="U6" s="95"/>
      <c r="V6" s="95"/>
      <c r="W6" s="95"/>
      <c r="X6" s="95"/>
      <c r="Y6" s="95"/>
    </row>
    <row r="7" spans="1:25">
      <c r="A7" s="96"/>
      <c r="B7" s="91"/>
      <c r="C7" s="94"/>
      <c r="D7" s="95"/>
      <c r="E7" s="95"/>
      <c r="F7" s="95"/>
      <c r="G7" s="95"/>
      <c r="H7" s="95"/>
      <c r="I7" s="95"/>
      <c r="J7" s="95"/>
      <c r="K7" s="95"/>
      <c r="L7" s="95"/>
      <c r="M7" s="95"/>
      <c r="N7" s="95"/>
      <c r="O7" s="95"/>
      <c r="P7" s="111" t="s">
        <v>467</v>
      </c>
      <c r="Q7" s="95"/>
      <c r="R7" s="354"/>
      <c r="S7" s="354"/>
      <c r="T7" s="95"/>
      <c r="U7" s="95"/>
      <c r="V7" s="95"/>
      <c r="W7" s="95"/>
      <c r="X7" s="95"/>
      <c r="Y7" s="95"/>
    </row>
    <row r="8" spans="1:25">
      <c r="A8" s="96"/>
      <c r="B8" s="91"/>
      <c r="C8" s="94"/>
      <c r="D8" s="95"/>
      <c r="E8" s="95"/>
      <c r="F8" s="95"/>
      <c r="G8" s="95"/>
      <c r="H8" s="95"/>
      <c r="I8" s="95"/>
      <c r="J8" s="95"/>
      <c r="K8" s="95"/>
      <c r="L8" s="95"/>
      <c r="M8" s="95"/>
      <c r="N8" s="95"/>
      <c r="O8" s="95"/>
      <c r="P8" s="111" t="s">
        <v>467</v>
      </c>
      <c r="Q8" s="95"/>
      <c r="R8" s="354"/>
      <c r="S8" s="354"/>
      <c r="T8" s="95"/>
      <c r="U8" s="95"/>
      <c r="V8" s="95"/>
      <c r="W8" s="95"/>
      <c r="X8" s="95"/>
      <c r="Y8" s="95"/>
    </row>
    <row r="9" spans="1:25">
      <c r="A9" s="96"/>
      <c r="B9" s="91"/>
      <c r="C9" s="94"/>
      <c r="D9" s="95"/>
      <c r="E9" s="95"/>
      <c r="F9" s="95"/>
      <c r="G9" s="95"/>
      <c r="H9" s="95"/>
      <c r="I9" s="95"/>
      <c r="J9" s="95"/>
      <c r="K9" s="95"/>
      <c r="L9" s="95"/>
      <c r="M9" s="95"/>
      <c r="N9" s="95"/>
      <c r="O9" s="95"/>
      <c r="P9" s="111" t="s">
        <v>467</v>
      </c>
      <c r="Q9" s="95"/>
      <c r="R9" s="354"/>
      <c r="S9" s="354"/>
      <c r="T9" s="95"/>
      <c r="U9" s="95"/>
      <c r="V9" s="95"/>
      <c r="W9" s="95"/>
      <c r="X9" s="95"/>
      <c r="Y9" s="95"/>
    </row>
    <row r="10" spans="1:25" ht="60" customHeight="1">
      <c r="A10" s="96"/>
      <c r="B10" s="97"/>
      <c r="C10" s="98"/>
      <c r="D10" s="95"/>
      <c r="E10" s="95"/>
      <c r="F10" s="95"/>
      <c r="G10" s="95"/>
      <c r="H10" s="95"/>
      <c r="I10" s="95"/>
      <c r="J10" s="95"/>
      <c r="K10" s="95"/>
      <c r="L10" s="95"/>
      <c r="M10" s="95"/>
      <c r="N10" s="95"/>
      <c r="O10" s="95"/>
      <c r="P10" s="111" t="s">
        <v>467</v>
      </c>
      <c r="Q10" s="95"/>
      <c r="R10" s="354"/>
      <c r="S10" s="354"/>
      <c r="T10" s="95"/>
      <c r="U10" s="95"/>
      <c r="V10" s="95"/>
      <c r="W10" s="95"/>
      <c r="X10" s="95"/>
      <c r="Y10" s="95"/>
    </row>
    <row r="11" spans="1:25" ht="58.5" customHeight="1">
      <c r="A11" s="96"/>
      <c r="B11" s="97"/>
      <c r="C11" s="98"/>
      <c r="D11" s="95"/>
      <c r="E11" s="95"/>
      <c r="F11" s="95"/>
      <c r="G11" s="95"/>
      <c r="H11" s="95"/>
      <c r="I11" s="95"/>
      <c r="J11" s="95"/>
      <c r="K11" s="95"/>
      <c r="L11" s="95"/>
      <c r="M11" s="95"/>
      <c r="N11" s="95"/>
      <c r="O11" s="95"/>
      <c r="P11" s="95"/>
      <c r="Q11" s="95"/>
      <c r="R11" s="354"/>
      <c r="S11" s="354"/>
      <c r="T11" s="95"/>
      <c r="U11" s="95"/>
      <c r="V11" s="95"/>
      <c r="W11" s="95"/>
      <c r="X11" s="95"/>
      <c r="Y11" s="95"/>
    </row>
    <row r="12" spans="1:25">
      <c r="A12" s="96"/>
      <c r="B12" s="91"/>
      <c r="C12" s="94"/>
      <c r="D12" s="95"/>
      <c r="F12" s="95"/>
      <c r="G12" s="95"/>
      <c r="H12" s="95"/>
      <c r="I12" s="95"/>
      <c r="J12" s="95"/>
      <c r="K12" s="95"/>
      <c r="L12" s="95"/>
      <c r="M12" s="95"/>
      <c r="N12" s="95"/>
      <c r="O12" s="95"/>
      <c r="P12" s="95"/>
      <c r="Q12" s="95"/>
      <c r="R12" s="354"/>
      <c r="S12" s="350"/>
      <c r="T12" s="95"/>
      <c r="U12" s="95"/>
      <c r="V12" s="95"/>
      <c r="W12" s="95"/>
      <c r="X12" s="95"/>
      <c r="Y12" s="95"/>
    </row>
    <row r="13" spans="1:25">
      <c r="A13" s="96"/>
      <c r="B13" s="91"/>
      <c r="C13" s="94"/>
      <c r="D13" s="95"/>
      <c r="E13" s="95"/>
      <c r="F13" s="95"/>
      <c r="G13" s="95"/>
      <c r="H13" s="95"/>
      <c r="I13" s="95"/>
      <c r="J13" s="95"/>
      <c r="K13" s="95"/>
      <c r="L13" s="95"/>
      <c r="M13" s="95"/>
      <c r="N13" s="95"/>
      <c r="O13" s="95"/>
      <c r="P13" s="95"/>
      <c r="Q13" s="95"/>
      <c r="R13" s="354"/>
      <c r="S13" s="354"/>
      <c r="T13" s="95"/>
      <c r="U13" s="95"/>
      <c r="V13" s="95"/>
      <c r="W13" s="95"/>
      <c r="X13" s="95"/>
      <c r="Y13" s="95"/>
    </row>
    <row r="14" spans="1:25">
      <c r="A14" s="96"/>
      <c r="B14" s="91"/>
      <c r="C14" s="94"/>
      <c r="D14" s="95"/>
      <c r="E14" s="95"/>
      <c r="F14" s="95"/>
      <c r="G14" s="95"/>
      <c r="H14" s="95"/>
      <c r="I14" s="95"/>
      <c r="J14" s="95"/>
      <c r="K14" s="95"/>
      <c r="L14" s="95"/>
      <c r="M14" s="95"/>
      <c r="N14" s="95"/>
      <c r="O14" s="95"/>
      <c r="P14" s="95"/>
      <c r="Q14" s="95"/>
      <c r="R14" s="354"/>
      <c r="S14" s="354"/>
      <c r="T14" s="95"/>
      <c r="U14" s="95"/>
      <c r="V14" s="95"/>
      <c r="W14" s="95"/>
      <c r="X14" s="95"/>
      <c r="Y14" s="95"/>
    </row>
    <row r="15" spans="1:25" ht="24.75" customHeight="1">
      <c r="A15" s="96"/>
      <c r="B15" s="99"/>
      <c r="C15" s="94"/>
      <c r="D15" s="95"/>
      <c r="E15" s="95"/>
      <c r="F15" s="95"/>
      <c r="G15" s="95"/>
      <c r="H15" s="95"/>
      <c r="I15" s="95"/>
      <c r="J15" s="95"/>
      <c r="K15" s="95"/>
      <c r="L15" s="95"/>
      <c r="M15" s="95"/>
      <c r="N15" s="95"/>
      <c r="O15" s="95"/>
      <c r="P15" s="95"/>
      <c r="Q15" s="95"/>
      <c r="R15" s="354"/>
      <c r="S15" s="354"/>
      <c r="T15" s="95"/>
      <c r="U15" s="95"/>
      <c r="V15" s="95"/>
      <c r="W15" s="95"/>
      <c r="X15" s="95"/>
      <c r="Y15" s="95"/>
    </row>
    <row r="16" spans="1:25">
      <c r="A16" s="96"/>
      <c r="B16" s="100"/>
      <c r="C16" s="100"/>
      <c r="D16" s="95"/>
      <c r="E16" s="95"/>
      <c r="F16" s="95"/>
      <c r="G16" s="95"/>
      <c r="H16" s="95"/>
      <c r="I16" s="95"/>
      <c r="J16" s="95"/>
      <c r="K16" s="95"/>
      <c r="L16" s="95"/>
      <c r="M16" s="95"/>
      <c r="N16" s="95"/>
      <c r="O16" s="95"/>
      <c r="P16" s="95"/>
      <c r="Q16" s="95"/>
      <c r="R16" s="354"/>
      <c r="S16" s="354"/>
      <c r="T16" s="95"/>
      <c r="U16" s="95"/>
      <c r="V16" s="95"/>
      <c r="W16" s="95"/>
      <c r="X16" s="95"/>
      <c r="Y16" s="95"/>
    </row>
    <row r="17" spans="1:25">
      <c r="A17" s="96"/>
      <c r="B17" s="101"/>
      <c r="C17" s="102"/>
      <c r="D17" s="95"/>
      <c r="E17" s="95"/>
      <c r="F17" s="95"/>
      <c r="G17" s="95"/>
      <c r="H17" s="95"/>
      <c r="I17" s="95"/>
      <c r="J17" s="95"/>
      <c r="K17" s="95"/>
      <c r="L17" s="95"/>
      <c r="M17" s="95"/>
      <c r="N17" s="95"/>
      <c r="O17" s="95"/>
      <c r="P17" s="95"/>
      <c r="Q17" s="95"/>
      <c r="R17" s="354"/>
      <c r="S17" s="354"/>
      <c r="T17" s="95"/>
      <c r="U17" s="95"/>
      <c r="V17" s="95"/>
      <c r="W17" s="95"/>
      <c r="X17" s="95"/>
      <c r="Y17" s="95"/>
    </row>
    <row r="18" spans="1:25">
      <c r="A18" s="96"/>
      <c r="B18" s="103"/>
      <c r="C18" s="102"/>
      <c r="D18" s="95"/>
      <c r="E18" s="95"/>
      <c r="F18" s="95"/>
      <c r="G18" s="95"/>
      <c r="H18" s="95"/>
      <c r="I18" s="95"/>
      <c r="J18" s="95"/>
      <c r="K18" s="95"/>
      <c r="L18" s="95"/>
      <c r="M18" s="95"/>
      <c r="N18" s="95"/>
      <c r="O18" s="95"/>
      <c r="P18" s="95"/>
      <c r="Q18" s="95"/>
      <c r="R18" s="354"/>
      <c r="S18" s="354"/>
      <c r="T18" s="95"/>
      <c r="U18" s="95"/>
      <c r="V18" s="95"/>
      <c r="W18" s="95"/>
      <c r="X18" s="95"/>
      <c r="Y18" s="95"/>
    </row>
    <row r="19" spans="1:25">
      <c r="A19" s="96"/>
      <c r="B19" s="103"/>
      <c r="C19" s="102"/>
      <c r="D19" s="95"/>
      <c r="E19" s="95"/>
      <c r="F19" s="95"/>
      <c r="G19" s="95"/>
      <c r="H19" s="95"/>
      <c r="I19" s="95"/>
      <c r="J19" s="95"/>
      <c r="K19" s="95"/>
      <c r="L19" s="95"/>
      <c r="M19" s="95"/>
      <c r="N19" s="95"/>
      <c r="O19" s="95"/>
      <c r="P19" s="95"/>
      <c r="Q19" s="95"/>
      <c r="R19" s="354"/>
      <c r="S19" s="354"/>
      <c r="T19" s="95"/>
      <c r="U19" s="95"/>
      <c r="V19" s="95"/>
      <c r="W19" s="95"/>
      <c r="X19" s="95"/>
      <c r="Y19" s="95"/>
    </row>
    <row r="20" spans="1:25">
      <c r="A20" s="96"/>
      <c r="B20" s="103"/>
      <c r="C20" s="102"/>
      <c r="D20" s="95"/>
      <c r="E20" s="95"/>
      <c r="F20" s="95"/>
      <c r="G20" s="95"/>
      <c r="H20" s="95"/>
      <c r="I20" s="95"/>
      <c r="J20" s="95"/>
      <c r="K20" s="95"/>
      <c r="L20" s="95"/>
      <c r="M20" s="95"/>
      <c r="N20" s="95"/>
      <c r="O20" s="95"/>
      <c r="P20" s="95"/>
      <c r="Q20" s="95"/>
      <c r="R20" s="354"/>
      <c r="S20" s="354"/>
      <c r="T20" s="95"/>
      <c r="U20" s="95"/>
      <c r="V20" s="95"/>
      <c r="W20" s="95"/>
      <c r="X20" s="95"/>
      <c r="Y20" s="95"/>
    </row>
    <row r="21" spans="1:25">
      <c r="B21" s="104"/>
      <c r="C21" s="102"/>
      <c r="D21" s="95"/>
      <c r="E21" s="95"/>
      <c r="F21" s="95"/>
      <c r="G21" s="95"/>
      <c r="H21" s="95"/>
      <c r="I21" s="95"/>
      <c r="J21" s="95"/>
      <c r="K21" s="95"/>
      <c r="L21" s="95"/>
      <c r="M21" s="95"/>
      <c r="N21" s="95"/>
      <c r="O21" s="95"/>
      <c r="P21" s="95"/>
      <c r="Q21" s="95"/>
      <c r="R21" s="354"/>
      <c r="S21" s="354"/>
      <c r="T21" s="95"/>
      <c r="U21" s="95"/>
      <c r="V21" s="95"/>
      <c r="W21" s="95"/>
      <c r="X21" s="95"/>
      <c r="Y21" s="95"/>
    </row>
    <row r="22" spans="1:25">
      <c r="B22" s="104"/>
      <c r="C22" s="105"/>
      <c r="D22" s="95"/>
      <c r="E22" s="95"/>
      <c r="F22" s="95"/>
      <c r="G22" s="95"/>
      <c r="H22" s="95"/>
      <c r="I22" s="95"/>
      <c r="J22" s="95"/>
      <c r="K22" s="95"/>
      <c r="L22" s="95"/>
      <c r="M22" s="95"/>
      <c r="N22" s="95"/>
      <c r="O22" s="95"/>
      <c r="P22" s="95"/>
      <c r="Q22" s="95"/>
      <c r="R22" s="354"/>
      <c r="S22" s="354"/>
      <c r="T22" s="95"/>
      <c r="U22" s="95"/>
      <c r="V22" s="95"/>
      <c r="W22" s="95"/>
      <c r="X22" s="95"/>
      <c r="Y22" s="95"/>
    </row>
    <row r="23" spans="1:25">
      <c r="B23" s="98"/>
      <c r="C23" s="102"/>
      <c r="D23" s="95"/>
      <c r="E23" s="95"/>
      <c r="F23" s="95"/>
      <c r="G23" s="95"/>
      <c r="H23" s="95"/>
      <c r="I23" s="95"/>
      <c r="J23" s="95"/>
      <c r="K23" s="95"/>
      <c r="L23" s="95"/>
      <c r="M23" s="95"/>
      <c r="N23" s="95"/>
      <c r="O23" s="95"/>
      <c r="P23" s="95"/>
      <c r="Q23" s="95"/>
      <c r="R23" s="354"/>
      <c r="S23" s="354"/>
      <c r="T23" s="95"/>
      <c r="U23" s="95"/>
      <c r="V23" s="95"/>
      <c r="W23" s="95"/>
      <c r="X23" s="95"/>
      <c r="Y23" s="95"/>
    </row>
    <row r="24" spans="1:25">
      <c r="B24" s="406"/>
      <c r="C24" s="102"/>
      <c r="D24" s="95"/>
      <c r="E24" s="95"/>
      <c r="F24" s="95"/>
      <c r="G24" s="95"/>
      <c r="H24" s="95"/>
      <c r="I24" s="95"/>
      <c r="J24" s="95"/>
      <c r="K24" s="95"/>
      <c r="L24" s="95"/>
      <c r="M24" s="95"/>
      <c r="N24" s="95"/>
      <c r="O24" s="95"/>
      <c r="P24" s="95"/>
      <c r="Q24" s="95"/>
      <c r="R24" s="354"/>
      <c r="S24" s="354"/>
      <c r="T24" s="95"/>
      <c r="U24" s="95"/>
      <c r="V24" s="95"/>
      <c r="W24" s="95"/>
      <c r="X24" s="95"/>
      <c r="Y24" s="95"/>
    </row>
    <row r="25" spans="1:25">
      <c r="B25" s="406"/>
      <c r="C25" s="102"/>
      <c r="D25" s="95"/>
      <c r="E25" s="95"/>
      <c r="F25" s="95"/>
      <c r="G25" s="95"/>
      <c r="H25" s="95"/>
      <c r="I25" s="95"/>
      <c r="J25" s="95"/>
      <c r="K25" s="95"/>
      <c r="L25" s="95"/>
      <c r="M25" s="95"/>
      <c r="N25" s="95"/>
      <c r="O25" s="95"/>
      <c r="P25" s="95"/>
      <c r="Q25" s="95"/>
      <c r="R25" s="354"/>
      <c r="S25" s="354"/>
      <c r="T25" s="95"/>
      <c r="U25" s="95"/>
      <c r="V25" s="95"/>
      <c r="W25" s="95"/>
      <c r="X25" s="95"/>
      <c r="Y25" s="95"/>
    </row>
    <row r="26" spans="1:25">
      <c r="B26" s="104"/>
      <c r="C26" s="102"/>
      <c r="D26" s="95"/>
      <c r="E26" s="95"/>
      <c r="F26" s="95"/>
      <c r="G26" s="95"/>
      <c r="H26" s="95"/>
      <c r="I26" s="95"/>
      <c r="J26" s="95"/>
      <c r="K26" s="95"/>
      <c r="L26" s="95"/>
      <c r="M26" s="95"/>
      <c r="N26" s="95"/>
      <c r="O26" s="95"/>
      <c r="P26" s="95"/>
      <c r="Q26" s="95"/>
      <c r="R26" s="354"/>
      <c r="S26" s="354"/>
      <c r="T26" s="95"/>
      <c r="U26" s="95"/>
      <c r="V26" s="95"/>
      <c r="W26" s="95"/>
      <c r="X26" s="95"/>
      <c r="Y26" s="95"/>
    </row>
    <row r="27" spans="1:25">
      <c r="B27" s="104"/>
      <c r="C27" s="106"/>
      <c r="D27" s="95"/>
      <c r="E27" s="95"/>
      <c r="F27" s="95"/>
      <c r="G27" s="95"/>
      <c r="H27" s="95"/>
      <c r="I27" s="95"/>
      <c r="J27" s="95"/>
      <c r="K27" s="95"/>
      <c r="L27" s="95"/>
      <c r="M27" s="95"/>
      <c r="N27" s="95"/>
      <c r="O27" s="95"/>
      <c r="P27" s="95"/>
      <c r="Q27" s="95"/>
      <c r="R27" s="354"/>
      <c r="S27" s="354"/>
      <c r="T27" s="95"/>
      <c r="U27" s="95"/>
      <c r="V27" s="95"/>
      <c r="W27" s="95"/>
      <c r="X27" s="95"/>
      <c r="Y27" s="95"/>
    </row>
    <row r="28" spans="1:25">
      <c r="B28" s="104"/>
      <c r="C28" s="102"/>
      <c r="D28" s="95"/>
      <c r="E28" s="95"/>
      <c r="F28" s="95"/>
      <c r="G28" s="95"/>
      <c r="H28" s="95"/>
      <c r="I28" s="95"/>
      <c r="J28" s="95"/>
      <c r="K28" s="95"/>
      <c r="L28" s="95"/>
      <c r="M28" s="95"/>
      <c r="N28" s="95"/>
      <c r="O28" s="95"/>
      <c r="P28" s="95"/>
      <c r="Q28" s="95"/>
      <c r="R28" s="354"/>
      <c r="S28" s="354"/>
      <c r="T28" s="95"/>
      <c r="U28" s="95"/>
      <c r="V28" s="95"/>
      <c r="W28" s="95"/>
      <c r="X28" s="95"/>
      <c r="Y28" s="95"/>
    </row>
    <row r="29" spans="1:25">
      <c r="B29" s="104"/>
      <c r="C29" s="102"/>
      <c r="D29" s="95"/>
      <c r="E29" s="95"/>
      <c r="F29" s="95"/>
      <c r="G29" s="95"/>
      <c r="H29" s="95"/>
      <c r="I29" s="95"/>
      <c r="J29" s="95"/>
      <c r="K29" s="95"/>
      <c r="L29" s="95"/>
      <c r="M29" s="95"/>
      <c r="N29" s="95"/>
      <c r="O29" s="95"/>
      <c r="P29" s="95"/>
      <c r="Q29" s="95"/>
      <c r="R29" s="354"/>
      <c r="S29" s="354"/>
      <c r="T29" s="95"/>
      <c r="U29" s="95"/>
      <c r="V29" s="95"/>
      <c r="W29" s="95"/>
      <c r="X29" s="95"/>
      <c r="Y29" s="95"/>
    </row>
    <row r="30" spans="1:25">
      <c r="B30" s="406"/>
      <c r="C30" s="415"/>
      <c r="D30" s="95"/>
      <c r="E30" s="95"/>
      <c r="F30" s="95"/>
      <c r="G30" s="95"/>
      <c r="H30" s="95"/>
      <c r="I30" s="95"/>
      <c r="J30" s="95"/>
      <c r="K30" s="95"/>
      <c r="L30" s="95"/>
      <c r="M30" s="95"/>
      <c r="N30" s="95"/>
      <c r="O30" s="95"/>
      <c r="P30" s="95"/>
      <c r="Q30" s="95"/>
      <c r="R30" s="354"/>
      <c r="S30" s="354"/>
      <c r="T30" s="95"/>
      <c r="U30" s="95"/>
      <c r="V30" s="95"/>
      <c r="W30" s="95"/>
      <c r="X30" s="95"/>
      <c r="Y30" s="95"/>
    </row>
    <row r="31" spans="1:25">
      <c r="B31" s="406"/>
      <c r="C31" s="415"/>
      <c r="D31" s="95"/>
      <c r="E31" s="95"/>
      <c r="F31" s="95"/>
      <c r="G31" s="95"/>
      <c r="H31" s="95"/>
      <c r="I31" s="95"/>
      <c r="J31" s="95"/>
      <c r="K31" s="95"/>
      <c r="L31" s="95"/>
      <c r="M31" s="95"/>
      <c r="N31" s="95"/>
      <c r="O31" s="95"/>
      <c r="P31" s="95"/>
      <c r="Q31" s="95"/>
      <c r="R31" s="354"/>
      <c r="S31" s="354"/>
      <c r="T31" s="95"/>
      <c r="U31" s="95"/>
      <c r="V31" s="95"/>
      <c r="W31" s="95"/>
      <c r="X31" s="95"/>
      <c r="Y31" s="95"/>
    </row>
    <row r="32" spans="1:25">
      <c r="B32" s="104"/>
      <c r="C32" s="102"/>
      <c r="D32" s="95"/>
      <c r="E32" s="95"/>
      <c r="F32" s="95"/>
      <c r="G32" s="95"/>
      <c r="H32" s="95"/>
      <c r="I32" s="95"/>
      <c r="J32" s="95"/>
      <c r="K32" s="95"/>
      <c r="L32" s="95"/>
      <c r="M32" s="95"/>
      <c r="N32" s="95"/>
      <c r="O32" s="95"/>
      <c r="P32" s="95"/>
      <c r="Q32" s="95"/>
      <c r="R32" s="354"/>
      <c r="S32" s="354"/>
      <c r="T32" s="95"/>
      <c r="U32" s="95"/>
      <c r="V32" s="95"/>
      <c r="W32" s="95"/>
      <c r="X32" s="95"/>
      <c r="Y32" s="95"/>
    </row>
    <row r="33" spans="2:25">
      <c r="B33" s="104"/>
      <c r="C33" s="102"/>
      <c r="D33" s="95"/>
      <c r="E33" s="95"/>
      <c r="F33" s="95"/>
      <c r="G33" s="95"/>
      <c r="H33" s="95"/>
      <c r="I33" s="95"/>
      <c r="J33" s="95"/>
      <c r="K33" s="95"/>
      <c r="L33" s="95"/>
      <c r="M33" s="95"/>
      <c r="N33" s="95"/>
      <c r="O33" s="95"/>
      <c r="P33" s="95"/>
      <c r="Q33" s="95"/>
      <c r="R33" s="354"/>
      <c r="S33" s="354"/>
      <c r="T33" s="95"/>
      <c r="U33" s="95"/>
      <c r="V33" s="95"/>
      <c r="W33" s="95"/>
      <c r="X33" s="95"/>
      <c r="Y33" s="95"/>
    </row>
    <row r="34" spans="2:25">
      <c r="B34" s="104"/>
      <c r="C34" s="102"/>
      <c r="D34" s="95"/>
      <c r="E34" s="95"/>
      <c r="F34" s="95"/>
      <c r="G34" s="95"/>
      <c r="H34" s="95"/>
      <c r="I34" s="95"/>
      <c r="J34" s="95"/>
      <c r="K34" s="95"/>
      <c r="L34" s="95"/>
      <c r="M34" s="95"/>
      <c r="N34" s="95"/>
      <c r="O34" s="95"/>
      <c r="P34" s="95"/>
      <c r="Q34" s="95"/>
      <c r="R34" s="354"/>
      <c r="S34" s="354"/>
      <c r="T34" s="95"/>
      <c r="U34" s="95"/>
      <c r="V34" s="95"/>
      <c r="W34" s="95"/>
      <c r="X34" s="95"/>
      <c r="Y34" s="95"/>
    </row>
    <row r="35" spans="2:25">
      <c r="B35" s="104"/>
      <c r="C35" s="107"/>
      <c r="D35" s="95"/>
      <c r="E35" s="95"/>
      <c r="F35" s="95"/>
      <c r="G35" s="95"/>
      <c r="H35" s="95"/>
      <c r="I35" s="95"/>
      <c r="J35" s="95"/>
      <c r="K35" s="95"/>
      <c r="L35" s="95"/>
      <c r="M35" s="95"/>
      <c r="N35" s="95"/>
      <c r="O35" s="95"/>
      <c r="P35" s="95"/>
      <c r="Q35" s="95"/>
      <c r="R35" s="354"/>
      <c r="S35" s="354"/>
      <c r="T35" s="95"/>
      <c r="U35" s="95"/>
      <c r="V35" s="95"/>
      <c r="W35" s="95"/>
      <c r="X35" s="95"/>
      <c r="Y35" s="95"/>
    </row>
    <row r="36" spans="2:25">
      <c r="B36" s="104"/>
      <c r="C36" s="105"/>
      <c r="D36" s="95"/>
      <c r="E36" s="95"/>
      <c r="F36" s="95"/>
      <c r="G36" s="95"/>
      <c r="H36" s="95"/>
      <c r="I36" s="95"/>
      <c r="J36" s="95"/>
      <c r="K36" s="95"/>
      <c r="L36" s="95"/>
      <c r="M36" s="95"/>
      <c r="N36" s="95"/>
      <c r="O36" s="95"/>
      <c r="P36" s="95"/>
      <c r="Q36" s="95"/>
      <c r="R36" s="354"/>
      <c r="S36" s="354"/>
      <c r="T36" s="95"/>
      <c r="U36" s="95"/>
      <c r="V36" s="95"/>
      <c r="W36" s="95"/>
      <c r="X36" s="95"/>
      <c r="Y36" s="95"/>
    </row>
    <row r="37" spans="2:25">
      <c r="B37" s="104"/>
      <c r="C37" s="108"/>
      <c r="D37" s="95"/>
      <c r="E37" s="95"/>
      <c r="F37" s="95"/>
      <c r="G37" s="95"/>
      <c r="H37" s="95"/>
      <c r="I37" s="95"/>
      <c r="J37" s="95"/>
      <c r="K37" s="95"/>
      <c r="L37" s="95"/>
      <c r="M37" s="95"/>
      <c r="N37" s="95"/>
      <c r="O37" s="95"/>
      <c r="P37" s="95"/>
      <c r="Q37" s="95"/>
      <c r="R37" s="354"/>
      <c r="S37" s="354"/>
      <c r="T37" s="95"/>
      <c r="U37" s="95"/>
      <c r="V37" s="95"/>
      <c r="W37" s="95"/>
      <c r="X37" s="95"/>
      <c r="Y37" s="95"/>
    </row>
    <row r="38" spans="2:25">
      <c r="B38" s="104"/>
      <c r="C38" s="106"/>
      <c r="D38" s="95"/>
      <c r="E38" s="95"/>
      <c r="F38" s="95"/>
      <c r="G38" s="95"/>
      <c r="H38" s="95"/>
      <c r="I38" s="95"/>
      <c r="J38" s="95"/>
      <c r="K38" s="95"/>
      <c r="L38" s="95"/>
      <c r="M38" s="95"/>
      <c r="N38" s="95"/>
      <c r="O38" s="95"/>
      <c r="P38" s="95"/>
      <c r="Q38" s="95"/>
      <c r="R38" s="354"/>
      <c r="S38" s="354"/>
      <c r="T38" s="95"/>
      <c r="U38" s="95"/>
      <c r="V38" s="95"/>
      <c r="W38" s="95"/>
      <c r="X38" s="95"/>
      <c r="Y38" s="95"/>
    </row>
    <row r="39" spans="2:25">
      <c r="B39" s="104"/>
      <c r="C39" s="102"/>
      <c r="D39" s="95"/>
      <c r="E39" s="95"/>
      <c r="F39" s="95"/>
      <c r="G39" s="95"/>
      <c r="H39" s="95"/>
      <c r="I39" s="95"/>
      <c r="J39" s="95"/>
      <c r="K39" s="95"/>
      <c r="L39" s="95"/>
      <c r="M39" s="95"/>
      <c r="N39" s="95"/>
      <c r="O39" s="95"/>
      <c r="P39" s="95"/>
      <c r="Q39" s="95"/>
      <c r="R39" s="354"/>
      <c r="S39" s="354"/>
      <c r="T39" s="95"/>
      <c r="U39" s="95"/>
      <c r="V39" s="95"/>
      <c r="W39" s="95"/>
      <c r="X39" s="95"/>
      <c r="Y39" s="95"/>
    </row>
    <row r="40" spans="2:25">
      <c r="B40" s="406"/>
      <c r="C40" s="102"/>
      <c r="D40" s="95"/>
      <c r="E40" s="95"/>
      <c r="F40" s="95"/>
      <c r="G40" s="95"/>
      <c r="H40" s="95"/>
      <c r="I40" s="95"/>
      <c r="J40" s="95"/>
      <c r="K40" s="95"/>
      <c r="L40" s="95"/>
      <c r="M40" s="95"/>
      <c r="N40" s="95"/>
      <c r="O40" s="95"/>
      <c r="P40" s="95"/>
      <c r="Q40" s="95"/>
      <c r="R40" s="354"/>
      <c r="S40" s="354"/>
      <c r="T40" s="95"/>
      <c r="U40" s="95"/>
      <c r="V40" s="95"/>
      <c r="W40" s="95"/>
      <c r="X40" s="95"/>
      <c r="Y40" s="95"/>
    </row>
    <row r="41" spans="2:25">
      <c r="B41" s="406"/>
      <c r="C41" s="102"/>
      <c r="D41" s="95"/>
      <c r="E41" s="95"/>
      <c r="F41" s="95"/>
      <c r="G41" s="95"/>
      <c r="H41" s="95"/>
      <c r="I41" s="95"/>
      <c r="J41" s="95"/>
      <c r="K41" s="95"/>
      <c r="L41" s="95"/>
      <c r="M41" s="95"/>
      <c r="N41" s="95"/>
      <c r="O41" s="95"/>
      <c r="P41" s="95"/>
      <c r="Q41" s="95"/>
      <c r="R41" s="354"/>
      <c r="S41" s="354"/>
      <c r="T41" s="95"/>
      <c r="U41" s="95"/>
      <c r="V41" s="95"/>
      <c r="W41" s="95"/>
      <c r="X41" s="95"/>
      <c r="Y41" s="95"/>
    </row>
    <row r="42" spans="2:25">
      <c r="B42" s="406"/>
      <c r="C42" s="102"/>
      <c r="D42" s="95"/>
      <c r="E42" s="95"/>
      <c r="F42" s="95"/>
      <c r="G42" s="95"/>
      <c r="H42" s="95"/>
      <c r="I42" s="95"/>
      <c r="J42" s="95"/>
      <c r="K42" s="95"/>
      <c r="L42" s="95"/>
      <c r="M42" s="95"/>
      <c r="N42" s="95"/>
      <c r="O42" s="95"/>
      <c r="P42" s="95"/>
      <c r="Q42" s="95"/>
      <c r="R42" s="354"/>
      <c r="S42" s="354"/>
      <c r="T42" s="95"/>
      <c r="U42" s="95"/>
      <c r="V42" s="95"/>
      <c r="W42" s="95"/>
      <c r="X42" s="95"/>
      <c r="Y42" s="95"/>
    </row>
    <row r="43" spans="2:25">
      <c r="B43" s="406"/>
      <c r="C43" s="102"/>
      <c r="D43" s="95"/>
      <c r="E43" s="95"/>
      <c r="F43" s="95"/>
      <c r="G43" s="95"/>
      <c r="H43" s="95"/>
      <c r="I43" s="95"/>
      <c r="J43" s="95"/>
      <c r="K43" s="95"/>
      <c r="L43" s="95"/>
      <c r="M43" s="95"/>
      <c r="N43" s="95"/>
      <c r="O43" s="95"/>
      <c r="P43" s="95"/>
      <c r="Q43" s="95"/>
      <c r="R43" s="354"/>
      <c r="S43" s="354"/>
      <c r="T43" s="95"/>
      <c r="U43" s="95"/>
      <c r="V43" s="95"/>
      <c r="W43" s="95"/>
      <c r="X43" s="95"/>
      <c r="Y43" s="95"/>
    </row>
    <row r="44" spans="2:25">
      <c r="B44" s="412"/>
      <c r="C44" s="415"/>
      <c r="D44" s="95"/>
      <c r="E44" s="95"/>
      <c r="F44" s="95"/>
      <c r="G44" s="95"/>
      <c r="H44" s="95"/>
      <c r="I44" s="95"/>
      <c r="J44" s="95"/>
      <c r="K44" s="95"/>
      <c r="L44" s="95"/>
      <c r="M44" s="95"/>
      <c r="N44" s="95"/>
      <c r="O44" s="95"/>
      <c r="P44" s="95"/>
      <c r="Q44" s="95"/>
      <c r="R44" s="354"/>
      <c r="S44" s="354"/>
      <c r="T44" s="95"/>
      <c r="U44" s="95"/>
      <c r="V44" s="95"/>
      <c r="W44" s="95"/>
      <c r="X44" s="95"/>
      <c r="Y44" s="95"/>
    </row>
    <row r="45" spans="2:25">
      <c r="B45" s="412"/>
      <c r="C45" s="415"/>
      <c r="D45" s="95"/>
      <c r="E45" s="95"/>
      <c r="F45" s="95"/>
      <c r="G45" s="95"/>
      <c r="H45" s="95"/>
      <c r="I45" s="95"/>
      <c r="J45" s="95"/>
      <c r="K45" s="95"/>
      <c r="L45" s="95"/>
      <c r="M45" s="95"/>
      <c r="N45" s="95"/>
      <c r="O45" s="95"/>
      <c r="P45" s="95"/>
      <c r="Q45" s="95"/>
      <c r="R45" s="354"/>
      <c r="S45" s="354"/>
      <c r="T45" s="95"/>
      <c r="U45" s="95"/>
      <c r="V45" s="95"/>
      <c r="W45" s="95"/>
      <c r="X45" s="95"/>
      <c r="Y45" s="95"/>
    </row>
    <row r="46" spans="2:25">
      <c r="B46" s="98"/>
      <c r="C46" s="102"/>
      <c r="D46" s="95"/>
      <c r="E46" s="95"/>
      <c r="F46" s="95"/>
      <c r="G46" s="95"/>
      <c r="H46" s="95"/>
      <c r="I46" s="95"/>
      <c r="J46" s="95"/>
      <c r="K46" s="95"/>
      <c r="L46" s="95"/>
      <c r="M46" s="95"/>
      <c r="N46" s="95"/>
      <c r="O46" s="95"/>
      <c r="P46" s="95"/>
      <c r="Q46" s="95"/>
      <c r="R46" s="354"/>
      <c r="S46" s="354"/>
      <c r="T46" s="95"/>
      <c r="U46" s="95"/>
      <c r="V46" s="95"/>
      <c r="W46" s="95"/>
      <c r="X46" s="95"/>
      <c r="Y46" s="95"/>
    </row>
    <row r="47" spans="2:25">
      <c r="B47" s="98"/>
      <c r="C47" s="102"/>
      <c r="D47" s="95"/>
      <c r="E47" s="95"/>
      <c r="F47" s="95"/>
      <c r="G47" s="95"/>
      <c r="H47" s="95"/>
      <c r="I47" s="95"/>
      <c r="J47" s="95"/>
      <c r="K47" s="95"/>
      <c r="L47" s="95"/>
      <c r="M47" s="95"/>
      <c r="N47" s="95"/>
      <c r="O47" s="95"/>
      <c r="P47" s="95"/>
      <c r="Q47" s="95"/>
      <c r="R47" s="354"/>
      <c r="S47" s="354"/>
      <c r="T47" s="95"/>
      <c r="U47" s="95"/>
      <c r="V47" s="95"/>
      <c r="W47" s="95"/>
      <c r="X47" s="95"/>
      <c r="Y47" s="95"/>
    </row>
    <row r="48" spans="2:25">
      <c r="B48" s="98"/>
      <c r="C48" s="102"/>
      <c r="D48" s="95"/>
      <c r="E48" s="95"/>
      <c r="F48" s="95"/>
      <c r="G48" s="95"/>
      <c r="H48" s="95"/>
      <c r="I48" s="95"/>
      <c r="J48" s="95"/>
      <c r="K48" s="95"/>
      <c r="L48" s="95"/>
      <c r="M48" s="95"/>
      <c r="N48" s="95"/>
      <c r="O48" s="95"/>
      <c r="P48" s="95"/>
      <c r="Q48" s="95"/>
      <c r="R48" s="354"/>
      <c r="S48" s="354"/>
      <c r="T48" s="95"/>
      <c r="U48" s="95"/>
      <c r="V48" s="95"/>
      <c r="W48" s="95"/>
      <c r="X48" s="95"/>
      <c r="Y48" s="95"/>
    </row>
    <row r="49" spans="2:25">
      <c r="B49" s="98"/>
      <c r="C49" s="106"/>
      <c r="D49" s="95"/>
      <c r="E49" s="95"/>
      <c r="F49" s="95"/>
      <c r="G49" s="95"/>
      <c r="H49" s="95"/>
      <c r="I49" s="95"/>
      <c r="J49" s="95"/>
      <c r="K49" s="95"/>
      <c r="L49" s="95"/>
      <c r="M49" s="95"/>
      <c r="N49" s="95"/>
      <c r="O49" s="95"/>
      <c r="P49" s="95"/>
      <c r="Q49" s="95"/>
      <c r="R49" s="354"/>
      <c r="S49" s="354"/>
      <c r="T49" s="95"/>
      <c r="U49" s="95"/>
      <c r="V49" s="95"/>
      <c r="W49" s="95"/>
      <c r="X49" s="95"/>
      <c r="Y49" s="95"/>
    </row>
    <row r="50" spans="2:25" ht="14.25" customHeight="1">
      <c r="B50" s="389"/>
      <c r="C50" s="415"/>
      <c r="D50" s="95"/>
      <c r="E50" s="95"/>
      <c r="F50" s="95"/>
      <c r="G50" s="95"/>
      <c r="H50" s="95"/>
      <c r="I50" s="95"/>
      <c r="J50" s="95"/>
      <c r="K50" s="95"/>
      <c r="L50" s="95"/>
      <c r="M50" s="95"/>
      <c r="N50" s="95"/>
      <c r="O50" s="95"/>
      <c r="P50" s="95"/>
      <c r="Q50" s="95"/>
      <c r="R50" s="354"/>
      <c r="S50" s="354"/>
      <c r="T50" s="95"/>
      <c r="U50" s="95"/>
      <c r="V50" s="95"/>
      <c r="W50" s="95"/>
      <c r="X50" s="95"/>
      <c r="Y50" s="95"/>
    </row>
    <row r="51" spans="2:25">
      <c r="B51" s="389"/>
      <c r="C51" s="415"/>
      <c r="D51" s="95"/>
      <c r="E51" s="95"/>
      <c r="F51" s="95"/>
      <c r="G51" s="95"/>
      <c r="H51" s="95"/>
      <c r="I51" s="95"/>
      <c r="J51" s="95"/>
      <c r="K51" s="95"/>
      <c r="L51" s="95"/>
      <c r="M51" s="95"/>
      <c r="N51" s="95"/>
      <c r="O51" s="95"/>
      <c r="P51" s="95"/>
      <c r="Q51" s="95"/>
      <c r="R51" s="354"/>
      <c r="S51" s="354"/>
      <c r="T51" s="95"/>
      <c r="U51" s="95"/>
      <c r="V51" s="95"/>
      <c r="W51" s="95"/>
      <c r="X51" s="95"/>
      <c r="Y51" s="95"/>
    </row>
    <row r="52" spans="2:25">
      <c r="B52" s="98"/>
      <c r="C52" s="102"/>
      <c r="D52" s="95"/>
      <c r="E52" s="95"/>
      <c r="F52" s="95"/>
      <c r="G52" s="95"/>
      <c r="H52" s="95"/>
      <c r="I52" s="95"/>
      <c r="J52" s="95"/>
      <c r="K52" s="95"/>
      <c r="L52" s="95"/>
      <c r="M52" s="95"/>
      <c r="N52" s="95"/>
      <c r="O52" s="95"/>
      <c r="P52" s="95"/>
      <c r="Q52" s="95"/>
      <c r="R52" s="354"/>
      <c r="S52" s="354"/>
      <c r="T52" s="95"/>
      <c r="U52" s="95"/>
      <c r="V52" s="95"/>
      <c r="W52" s="95"/>
      <c r="X52" s="95"/>
      <c r="Y52" s="95"/>
    </row>
    <row r="53" spans="2:25">
      <c r="B53" s="98"/>
      <c r="C53" s="102"/>
      <c r="D53" s="95"/>
      <c r="E53" s="95"/>
      <c r="F53" s="95"/>
      <c r="G53" s="95"/>
      <c r="H53" s="95"/>
      <c r="I53" s="95"/>
      <c r="J53" s="95"/>
      <c r="K53" s="95"/>
      <c r="L53" s="95"/>
      <c r="M53" s="95"/>
      <c r="N53" s="95"/>
      <c r="O53" s="95"/>
      <c r="P53" s="95"/>
      <c r="Q53" s="95"/>
      <c r="R53" s="354"/>
      <c r="S53" s="354"/>
      <c r="T53" s="95"/>
      <c r="U53" s="95"/>
      <c r="V53" s="95"/>
      <c r="W53" s="95"/>
      <c r="X53" s="95"/>
      <c r="Y53" s="95"/>
    </row>
    <row r="54" spans="2:25">
      <c r="B54" s="98"/>
      <c r="C54" s="102"/>
      <c r="D54" s="95"/>
      <c r="E54" s="95"/>
      <c r="F54" s="95"/>
      <c r="G54" s="95"/>
      <c r="H54" s="95"/>
      <c r="I54" s="95"/>
      <c r="J54" s="95"/>
      <c r="K54" s="95"/>
      <c r="L54" s="95"/>
      <c r="M54" s="95"/>
      <c r="N54" s="95"/>
      <c r="O54" s="95"/>
      <c r="P54" s="95"/>
      <c r="Q54" s="95"/>
      <c r="R54" s="354"/>
      <c r="S54" s="354"/>
      <c r="T54" s="95"/>
      <c r="U54" s="95"/>
      <c r="V54" s="95"/>
      <c r="W54" s="95"/>
      <c r="X54" s="95"/>
      <c r="Y54" s="95"/>
    </row>
    <row r="55" spans="2:25">
      <c r="B55" s="98"/>
      <c r="C55" s="102"/>
      <c r="D55" s="95"/>
      <c r="E55" s="95"/>
      <c r="F55" s="95"/>
      <c r="G55" s="95"/>
      <c r="H55" s="95"/>
      <c r="I55" s="95"/>
      <c r="J55" s="95"/>
      <c r="K55" s="95"/>
      <c r="L55" s="95"/>
      <c r="M55" s="95"/>
      <c r="N55" s="95"/>
      <c r="O55" s="95"/>
      <c r="P55" s="95"/>
      <c r="Q55" s="95"/>
      <c r="R55" s="354"/>
      <c r="S55" s="354"/>
      <c r="T55" s="95"/>
      <c r="U55" s="95"/>
      <c r="V55" s="95"/>
      <c r="W55" s="95"/>
      <c r="X55" s="95"/>
      <c r="Y55" s="95"/>
    </row>
    <row r="56" spans="2:25">
      <c r="B56" s="98"/>
      <c r="C56" s="102"/>
      <c r="D56" s="95"/>
      <c r="E56" s="95"/>
      <c r="F56" s="95"/>
      <c r="G56" s="95"/>
      <c r="H56" s="95"/>
      <c r="I56" s="95"/>
      <c r="J56" s="95"/>
      <c r="K56" s="95"/>
      <c r="L56" s="95"/>
      <c r="M56" s="95"/>
      <c r="N56" s="95"/>
      <c r="O56" s="95"/>
      <c r="P56" s="95"/>
      <c r="Q56" s="95"/>
      <c r="R56" s="354"/>
      <c r="S56" s="354"/>
      <c r="T56" s="95"/>
      <c r="U56" s="95"/>
      <c r="V56" s="95"/>
      <c r="W56" s="95"/>
      <c r="X56" s="95"/>
      <c r="Y56" s="95"/>
    </row>
    <row r="57" spans="2:25">
      <c r="B57" s="98"/>
      <c r="C57" s="102"/>
      <c r="D57" s="95"/>
      <c r="E57" s="95"/>
      <c r="F57" s="95"/>
      <c r="G57" s="95"/>
      <c r="H57" s="95"/>
      <c r="I57" s="95"/>
      <c r="J57" s="95"/>
      <c r="K57" s="95"/>
      <c r="L57" s="95"/>
      <c r="M57" s="95"/>
      <c r="N57" s="95"/>
      <c r="O57" s="95"/>
      <c r="P57" s="95"/>
      <c r="Q57" s="95"/>
      <c r="R57" s="354"/>
      <c r="S57" s="354"/>
      <c r="T57" s="95"/>
      <c r="U57" s="95"/>
      <c r="V57" s="95"/>
      <c r="W57" s="95"/>
      <c r="X57" s="95"/>
      <c r="Y57" s="95"/>
    </row>
    <row r="58" spans="2:25">
      <c r="B58" s="98"/>
      <c r="C58" s="102"/>
      <c r="D58" s="95"/>
      <c r="E58" s="95"/>
      <c r="F58" s="95"/>
      <c r="G58" s="95"/>
      <c r="H58" s="95"/>
      <c r="I58" s="95"/>
      <c r="J58" s="95"/>
      <c r="K58" s="95"/>
      <c r="L58" s="95"/>
      <c r="M58" s="95"/>
      <c r="N58" s="95"/>
      <c r="O58" s="95"/>
      <c r="P58" s="95"/>
      <c r="Q58" s="95"/>
      <c r="R58" s="354"/>
      <c r="S58" s="354"/>
      <c r="T58" s="95"/>
      <c r="U58" s="95"/>
      <c r="V58" s="95"/>
      <c r="W58" s="95"/>
      <c r="X58" s="95"/>
      <c r="Y58" s="95"/>
    </row>
    <row r="59" spans="2:25">
      <c r="B59" s="98"/>
      <c r="C59" s="102"/>
      <c r="D59" s="95"/>
      <c r="E59" s="95"/>
      <c r="F59" s="95"/>
      <c r="G59" s="95"/>
      <c r="H59" s="95"/>
      <c r="I59" s="95"/>
      <c r="J59" s="95"/>
      <c r="K59" s="95"/>
      <c r="L59" s="95"/>
      <c r="M59" s="95"/>
      <c r="N59" s="95"/>
      <c r="O59" s="95"/>
      <c r="P59" s="95"/>
      <c r="Q59" s="95"/>
      <c r="R59" s="354"/>
      <c r="S59" s="354"/>
      <c r="T59" s="95"/>
      <c r="U59" s="95"/>
      <c r="V59" s="95"/>
      <c r="W59" s="95"/>
      <c r="X59" s="95"/>
      <c r="Y59" s="95"/>
    </row>
    <row r="60" spans="2:25">
      <c r="B60" s="98"/>
      <c r="C60" s="106"/>
      <c r="P60" s="95"/>
      <c r="R60" s="350"/>
      <c r="S60" s="350"/>
    </row>
    <row r="61" spans="2:25">
      <c r="P61" s="95"/>
      <c r="R61" s="350"/>
      <c r="S61" s="350"/>
    </row>
    <row r="62" spans="2:25">
      <c r="P62" s="95"/>
      <c r="R62" s="350"/>
      <c r="S62" s="350"/>
    </row>
    <row r="63" spans="2:25">
      <c r="P63" s="95"/>
      <c r="R63" s="350"/>
      <c r="S63" s="350"/>
    </row>
  </sheetData>
  <customSheetViews>
    <customSheetView guid="{67590F70-5005-492E-AD47-1C13C49F2D83}">
      <selection activeCell="D13" sqref="D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A0559F95-FBE7-4275-9B44-A293A1B62940}">
      <selection activeCell="D13" sqref="D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1FB768A-9BE5-454D-8324-F7BD8513C471}">
      <selection activeCell="D13" sqref="D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656CB8E5-9B79-4056-861F-BA0520B66BDB}">
      <selection activeCell="D13" sqref="D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3A76011A-5D7E-44CA-8EBC-D2C75FB686D2}">
      <selection activeCell="D13" sqref="D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5">
    <mergeCell ref="R2:S2"/>
    <mergeCell ref="N2:O2"/>
    <mergeCell ref="C30:C31"/>
    <mergeCell ref="C44:C45"/>
    <mergeCell ref="C50:C51"/>
    <mergeCell ref="B24:B25"/>
    <mergeCell ref="B30:B31"/>
    <mergeCell ref="B40:B43"/>
    <mergeCell ref="B44:B45"/>
    <mergeCell ref="B50:B51"/>
    <mergeCell ref="A1:B1"/>
    <mergeCell ref="A2:B2"/>
    <mergeCell ref="D2:F2"/>
    <mergeCell ref="H2:K2"/>
    <mergeCell ref="A4:A6"/>
  </mergeCells>
  <phoneticPr fontId="9" type="noConversion"/>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文档" ma:contentTypeID="0x010100AF9254F916046D47805269FA44C28805" ma:contentTypeVersion="11" ma:contentTypeDescription="新建文档。" ma:contentTypeScope="" ma:versionID="8e552e9faad47e1ac1cd93d3d0d27245">
  <xsd:schema xmlns:xsd="http://www.w3.org/2001/XMLSchema" xmlns:xs="http://www.w3.org/2001/XMLSchema" xmlns:p="http://schemas.microsoft.com/office/2006/metadata/properties" xmlns:ns2="25a9b192-4ffd-45fe-9f9b-78d47ef7d08b" xmlns:ns3="887e1eb4-d705-45f4-998c-aa955aed8a7f" targetNamespace="http://schemas.microsoft.com/office/2006/metadata/properties" ma:root="true" ma:fieldsID="7ea357d1f358b868c7854abeba98cd03" ns2:_="" ns3:_="">
    <xsd:import namespace="25a9b192-4ffd-45fe-9f9b-78d47ef7d08b"/>
    <xsd:import namespace="887e1eb4-d705-45f4-998c-aa955aed8a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192-4ffd-45fe-9f9b-78d47ef7d08b" elementFormDefault="qualified">
    <xsd:import namespace="http://schemas.microsoft.com/office/2006/documentManagement/types"/>
    <xsd:import namespace="http://schemas.microsoft.com/office/infopath/2007/PartnerControls"/>
    <xsd:element name="SharedWithUsers" ma:index="8" nillable="true" ma:displayName="共享对象:"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description="" ma:internalName="SharedWithDetails" ma:readOnly="true">
      <xsd:simpleType>
        <xsd:restriction base="dms:Note">
          <xsd:maxLength value="255"/>
        </xsd:restriction>
      </xsd:simpleType>
    </xsd:element>
    <xsd:element name="LastSharedByUser" ma:index="10" nillable="true" ma:displayName="上次共享用户" ma:description="" ma:internalName="LastSharedByUser" ma:readOnly="true">
      <xsd:simpleType>
        <xsd:restriction base="dms:Note">
          <xsd:maxLength value="255"/>
        </xsd:restriction>
      </xsd:simpleType>
    </xsd:element>
    <xsd:element name="LastSharedByTime" ma:index="11" nillable="true" ma:displayName="上次共享时间"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87e1eb4-d705-45f4-998c-aa955aed8a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89EEF-91FB-42B3-A3F2-5A53C39B2814}">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887e1eb4-d705-45f4-998c-aa955aed8a7f"/>
    <ds:schemaRef ds:uri="25a9b192-4ffd-45fe-9f9b-78d47ef7d08b"/>
    <ds:schemaRef ds:uri="http://purl.org/dc/terms/"/>
  </ds:schemaRefs>
</ds:datastoreItem>
</file>

<file path=customXml/itemProps2.xml><?xml version="1.0" encoding="utf-8"?>
<ds:datastoreItem xmlns:ds="http://schemas.openxmlformats.org/officeDocument/2006/customXml" ds:itemID="{C08F96B6-78AE-4DD6-860D-AF0AE369FECE}">
  <ds:schemaRefs/>
</ds:datastoreItem>
</file>

<file path=customXml/itemProps3.xml><?xml version="1.0" encoding="utf-8"?>
<ds:datastoreItem xmlns:ds="http://schemas.openxmlformats.org/officeDocument/2006/customXml" ds:itemID="{8AC80BEB-915D-43B1-9CAD-DCD3B95AF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Revision comments</vt:lpstr>
      <vt:lpstr>DL_Para_700MHz</vt:lpstr>
      <vt:lpstr>UL_Para_700MHz</vt:lpstr>
      <vt:lpstr>DL_Para_4GHz</vt:lpstr>
      <vt:lpstr>UL_Para_4GHz</vt:lpstr>
      <vt:lpstr>DL_Para_LMLC</vt:lpstr>
      <vt:lpstr>UL_Para_LMLC</vt:lpstr>
      <vt:lpstr>DL_OH_Para</vt:lpstr>
      <vt:lpstr>UL_OH_Para</vt:lpstr>
      <vt:lpstr>DL_OH</vt:lpstr>
      <vt:lpstr>UL_OH</vt:lpstr>
      <vt:lpstr>Results_700MHz</vt:lpstr>
      <vt:lpstr>Results_4GHz</vt:lpstr>
      <vt:lpstr>Results_LMLC</vt:lpstr>
      <vt:lpstr>Results_700MHz_LargerBW</vt:lpstr>
      <vt:lpstr>Results_4GHz_LargerBW</vt:lpstr>
      <vt:lpstr>Results_LMLC_LargerBW</vt:lpstr>
    </vt:vector>
  </TitlesOfParts>
  <Company>Ericsson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erafura</dc:creator>
  <cp:keywords>CTPClassification=CTP_IC:VisualMarkings=, CTPClassification=CTP_IC</cp:keywords>
  <cp:lastModifiedBy>Nakamura, Takaharu</cp:lastModifiedBy>
  <cp:lastPrinted>2011-08-15T04:23:00Z</cp:lastPrinted>
  <dcterms:created xsi:type="dcterms:W3CDTF">2009-04-02T17:18:00Z</dcterms:created>
  <dcterms:modified xsi:type="dcterms:W3CDTF">2019-11-27T07:57:05Z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NewReviewCycle">
    <vt:lpwstr/>
  </property>
  <property fmtid="{D5CDD505-2E9C-101B-9397-08002B2CF9AE}" pid="5" name="_ms_pID_725343">
    <vt:lpwstr>(3)ndg2hq9+vee9ZpH7NtmS+49bamYLNL7V3rHDIFvLz86GXp9LbdREafClwTNEMYP9z6o6SuU5_x000d_
riAauRvj5BB9BN2g+p0ZN+25KvgVK+sXmXpBkjC1K3xtKZ9dSdV4ubarm8JqGT3dAX33yrma_x000d_
00jB7Khe02XbVBs727JBFgoewPnCMADQuo86JbUuiKIrD96xvq4orXBS6TnzMH56sb+x9RdI_x000d_
s+XWGprl4Z/cH+R0+X</vt:lpwstr>
  </property>
  <property fmtid="{D5CDD505-2E9C-101B-9397-08002B2CF9AE}" pid="6" name="_ms_pID_7253432">
    <vt:lpwstr>5OJGb3f+mH1KzqZbnkYTVAeOjlSdIMeSlRi0_x000d_
T/acmNf7nIMFpuxj6DgIG5q3cKVhyUYcFSQiHVBrrxtrBHIJzns=</vt:lpwstr>
  </property>
  <property fmtid="{D5CDD505-2E9C-101B-9397-08002B2CF9AE}" pid="7" name="_ms_pID_7253431">
    <vt:lpwstr>JlkahCVCgBiAbbK2PRtN4TNI4Cf96TF9zAJtItSRPLOCiVFqgnXNQl_x000d_
0LnhEEKhALHOvwNRoXcsM2ckJ5D13XOkM8P1fLpGrFHRc0CQx1iCAp7/gi5Uz8nOixsjcCfI_x000d_
uoV6NsXdKtrq3EmqW2TT9jfetetwFR0R37eToZoHAhf5dSGLO3tteRe3/x8jUcBIZeKv29k5_x000d_
fPIkAJSS+OMNqGrmUpx/H+JDu4MZHHxAAMkB</vt:lpwstr>
  </property>
  <property fmtid="{D5CDD505-2E9C-101B-9397-08002B2CF9AE}" pid="8" name="_2015_ms_pID_725343">
    <vt:lpwstr>(3)MbTmMRvy/QYFybzCToZNrZ6xjBB+1Xp/0tL31KoBZm5Fe5vOX8o2P0p2nHm4jU8YxLp0wEHN
zHFFDpL9GyYzM3acpa90ADXEShtpwdRtm34oAz3J7Xlpttx+kh05ijVGVlplI0GhDGVJ29Ae
iwooKqSFWxFB+VdzuDjmoDnJGq5F8sptcrKFXSuGp1fOrQMtRxwVsHlGHp4QpmcQGtpMPG3j
OCgJpj/YJyXIHYkG2L</vt:lpwstr>
  </property>
  <property fmtid="{D5CDD505-2E9C-101B-9397-08002B2CF9AE}" pid="9" name="_2015_ms_pID_7253431">
    <vt:lpwstr>hvp/bPIRaxfWxH6fEt/ksLhM0UAhLb9bk9MzsnqlDpWot0EKBJBbPP
/NXisu28mI9zO994Q5IOvFl4S4L1arbj++w7zVBewW+1O8eu9T3TILJs8OOJzMbQnCiy/oRl
xgsCfzk/XhzQ4mI/FkSjlj4MSdDAwuKOktOlMm/eDM+RtVXl2mNALOVZyabjBU2dA5ny3pwu
hls6bRyvrIUM7zJZ8tOqp+CM30XvMO87k2yv</vt:lpwstr>
  </property>
  <property fmtid="{D5CDD505-2E9C-101B-9397-08002B2CF9AE}" pid="10" name="_2015_ms_pID_7253432">
    <vt:lpwstr>/2oHBGSRYMKIqQ6554E7bcM0QSYDuhwKmWE2
lRdLGaZQNdJKdkqY5xZmVQYCpr5Y/3KT7G0WT+sL0WHnUfhi9wc=</vt:lpwstr>
  </property>
  <property fmtid="{D5CDD505-2E9C-101B-9397-08002B2CF9AE}" pid="11" name="ContentTypeId">
    <vt:lpwstr>0x010100AF9254F916046D47805269FA44C28805</vt:lpwstr>
  </property>
  <property fmtid="{D5CDD505-2E9C-101B-9397-08002B2CF9AE}" pid="12" name="TitusGUID">
    <vt:lpwstr>fbf37dd8-1465-489a-801f-3cf9f9496f01</vt:lpwstr>
  </property>
  <property fmtid="{D5CDD505-2E9C-101B-9397-08002B2CF9AE}" pid="13" name="CTP_BU">
    <vt:lpwstr>NEXT GEN AND STANDARDS GROUP</vt:lpwstr>
  </property>
  <property fmtid="{D5CDD505-2E9C-101B-9397-08002B2CF9AE}" pid="14" name="CTP_TimeStamp">
    <vt:lpwstr>2018-02-05 18:52:22Z</vt:lpwstr>
  </property>
  <property fmtid="{D5CDD505-2E9C-101B-9397-08002B2CF9AE}" pid="15" name="CTPClassification">
    <vt:lpwstr>CTP_IC</vt:lpwstr>
  </property>
  <property fmtid="{D5CDD505-2E9C-101B-9397-08002B2CF9AE}" pid="16" name="KSOProductBuildVer">
    <vt:lpwstr>2052-10.8.0.6206</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1558400932</vt:lpwstr>
  </property>
</Properties>
</file>