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ydocuments\3GPP\ARIB\20B-AH\IMT2020_IEG\EvalRep(5GMF-IEG)\37910-g00\B.4.1_eMBB_SE\"/>
    </mc:Choice>
  </mc:AlternateContent>
  <bookViews>
    <workbookView xWindow="0" yWindow="0" windowWidth="28800" windowHeight="12048" tabRatio="889" firstSheet="7" activeTab="12"/>
  </bookViews>
  <sheets>
    <sheet name="Revision comments" sheetId="1" r:id="rId1"/>
    <sheet name="DL_Para_4GHz" sheetId="2" r:id="rId2"/>
    <sheet name="UL_Para_4GHz" sheetId="3" r:id="rId3"/>
    <sheet name="DL_Para_30GHz" sheetId="12" r:id="rId4"/>
    <sheet name="UL_Para_30GHz" sheetId="13" r:id="rId5"/>
    <sheet name="DL_OH_Para" sheetId="6" r:id="rId6"/>
    <sheet name="UL_OH_Para" sheetId="7" r:id="rId7"/>
    <sheet name="DL_OH" sheetId="8" r:id="rId8"/>
    <sheet name="UL_OH" sheetId="9" r:id="rId9"/>
    <sheet name="Results_4GHz" sheetId="10" r:id="rId10"/>
    <sheet name="Results_30GHz" sheetId="14" r:id="rId11"/>
    <sheet name="Results_4GHz_LargerBW" sheetId="11" r:id="rId12"/>
    <sheet name="Results_30GHz_largerBW" sheetId="16" r:id="rId13"/>
  </sheets>
  <definedNames>
    <definedName name="Z_02347D80_63DB_496D_935F_2CF95DC088FE_.wvu.Cols" localSheetId="5" hidden="1">DL_OH_Para!$C:$G</definedName>
    <definedName name="Z_0EBD1C52_A862_496E_88D9_4B6EAB1093EB_.wvu.Cols" localSheetId="5" hidden="1">DL_OH_Para!$C:$G</definedName>
    <definedName name="Z_0F2BBD7E_9334_44AA_B170_23CF20E0BAAC_.wvu.Cols" localSheetId="5" hidden="1">DL_OH_Para!$A:$I</definedName>
    <definedName name="Z_15D5C299_761A_4CBF_AA27_B17032FC4CEB_.wvu.Cols" localSheetId="5" hidden="1">DL_OH_Para!$A:$I</definedName>
    <definedName name="Z_279B0F34_BE9C_4778_A036_3ED8EAAF78FA_.wvu.Cols" localSheetId="5" hidden="1">DL_OH_Para!$C:$G</definedName>
    <definedName name="Z_35BB8162_AD08_4F19_B47C_5A1FD7B0567B_.wvu.Cols" localSheetId="5" hidden="1">DL_OH_Para!$A:$I</definedName>
    <definedName name="Z_FE13EA77_3511_4AB1_99FB_5446425992B9_.wvu.Cols" localSheetId="5" hidden="1">DL_OH_Para!$C:$G</definedName>
  </definedNames>
  <calcPr calcId="152511"/>
  <customWorkbookViews>
    <customWorkbookView name="FENG Ru - 个人视图" guid="{35BB8162-AD08-4F19-B47C-5A1FD7B0567B}" mergeInterval="0" personalView="1" maximized="1" xWindow="2248" yWindow="-8" windowWidth="1936" windowHeight="1056" tabRatio="889" activeSheetId="1"/>
    <customWorkbookView name="孙伟 - 个人视图" guid="{0F2BBD7E-9334-44AA-B170-23CF20E0BAAC}" mergeInterval="0" personalView="1" maximized="1" windowWidth="1916" windowHeight="795" tabRatio="889" activeSheetId="10"/>
    <customWorkbookView name="Yujian (Jason) - 个人视图" guid="{02347D80-63DB-496D-935F-2CF95DC088FE}" mergeInterval="0" personalView="1" maximized="1" xWindow="-8" yWindow="-8" windowWidth="1382" windowHeight="744" tabRatio="889" activeSheetId="1"/>
    <customWorkbookView name="yujian (G) - 个人视图" guid="{0EBD1C52-A862-496E-88D9-4B6EAB1093EB}" mergeInterval="0" personalView="1" maximized="1" xWindow="-8" yWindow="-8" windowWidth="1936" windowHeight="1096" tabRatio="889" activeSheetId="11"/>
    <customWorkbookView name="SunXiaodong - 个人视图" guid="{279B0F34-BE9C-4778-A036-3ED8EAAF78FA}" mergeInterval="0" personalView="1" maximized="1" windowWidth="1362" windowHeight="525" tabRatio="889" activeSheetId="1"/>
    <customWorkbookView name="张萌 - 个人视图" guid="{FE13EA77-3511-4AB1-99FB-5446425992B9}" mergeInterval="0" personalView="1" xWindow="-2161" yWindow="-1359" windowWidth="2154" windowHeight="1764" tabRatio="889" activeSheetId="11"/>
    <customWorkbookView name="彭莹 - 个人视图" guid="{15D5C299-761A-4CBF-AA27-B17032FC4CEB}" mergeInterval="0" personalView="1" maximized="1" windowWidth="1916" windowHeight="791" tabRatio="889"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66" i="16" l="1"/>
  <c r="N65" i="16"/>
  <c r="N64" i="16"/>
  <c r="N63" i="16"/>
  <c r="N62" i="16"/>
  <c r="N61" i="16"/>
  <c r="N40" i="16"/>
  <c r="N39" i="16"/>
  <c r="N38" i="16"/>
  <c r="N37" i="16"/>
  <c r="N36" i="16"/>
  <c r="N35" i="16"/>
  <c r="N33" i="16"/>
  <c r="N32" i="16"/>
  <c r="N31" i="16"/>
  <c r="N30" i="16"/>
  <c r="N29" i="16"/>
  <c r="N28" i="16"/>
  <c r="N27" i="16"/>
  <c r="N26" i="16"/>
  <c r="N25" i="16"/>
  <c r="N24" i="16"/>
  <c r="N23" i="16"/>
  <c r="N22" i="16"/>
  <c r="N20" i="16"/>
  <c r="N19" i="16"/>
  <c r="N18" i="16"/>
  <c r="N17" i="16"/>
  <c r="N16" i="16"/>
  <c r="N15" i="16"/>
  <c r="P70" i="16"/>
  <c r="P69" i="16"/>
  <c r="P68" i="16"/>
  <c r="P67" i="16"/>
  <c r="P66" i="16"/>
  <c r="P65" i="16"/>
  <c r="P64" i="16"/>
  <c r="P63" i="16"/>
  <c r="P62" i="16"/>
  <c r="P61" i="16"/>
  <c r="P52" i="16"/>
  <c r="P51" i="16"/>
  <c r="P50" i="16"/>
  <c r="P49" i="16"/>
  <c r="P48" i="16"/>
  <c r="P47" i="16"/>
  <c r="P46" i="16"/>
  <c r="P45" i="16"/>
  <c r="P44" i="16"/>
  <c r="P43" i="16"/>
  <c r="P42" i="16"/>
  <c r="P41" i="16"/>
  <c r="P40" i="16"/>
  <c r="P39" i="16"/>
  <c r="P38" i="16"/>
  <c r="P37" i="16"/>
  <c r="P36" i="16"/>
  <c r="P35" i="16"/>
  <c r="P33" i="16"/>
  <c r="P32" i="16"/>
  <c r="P31" i="16"/>
  <c r="P30" i="16"/>
  <c r="P29" i="16"/>
  <c r="P28" i="16"/>
  <c r="P27" i="16"/>
  <c r="P26" i="16"/>
  <c r="P25" i="16"/>
  <c r="P24" i="16"/>
  <c r="P23" i="16"/>
  <c r="P22" i="16"/>
  <c r="P20" i="16"/>
  <c r="P19" i="16"/>
  <c r="P18" i="16"/>
  <c r="P17" i="16"/>
  <c r="P16" i="16"/>
  <c r="P15" i="16"/>
  <c r="P14" i="16"/>
  <c r="P13" i="16"/>
  <c r="P12" i="16"/>
  <c r="P11" i="16"/>
  <c r="P9" i="16"/>
  <c r="P8" i="16"/>
  <c r="P7" i="16"/>
  <c r="P6" i="16"/>
  <c r="Z240" i="11"/>
  <c r="Z239" i="11"/>
  <c r="Z237" i="11"/>
  <c r="Z236" i="11"/>
  <c r="Z204" i="11"/>
  <c r="Z203" i="11"/>
  <c r="Z75" i="11"/>
  <c r="Z74" i="11"/>
  <c r="Z73" i="11"/>
  <c r="Z72" i="11"/>
  <c r="Z70" i="11"/>
  <c r="Z69" i="11"/>
  <c r="Z68" i="11"/>
  <c r="Z67" i="11"/>
  <c r="Z66" i="11"/>
  <c r="Z65" i="11"/>
  <c r="Z8" i="11"/>
  <c r="Z7" i="11"/>
  <c r="Z6" i="11"/>
  <c r="Z5" i="11"/>
  <c r="Z4" i="11"/>
  <c r="Z3" i="11"/>
  <c r="Y278" i="11"/>
  <c r="Y277" i="11"/>
  <c r="Y276" i="11"/>
  <c r="Y275" i="11"/>
  <c r="Y274" i="11"/>
  <c r="Y273" i="11"/>
  <c r="Y240" i="11"/>
  <c r="Y239" i="11"/>
  <c r="Y237" i="11"/>
  <c r="Y236" i="11"/>
  <c r="Y234" i="11"/>
  <c r="Y233" i="11"/>
  <c r="Y231" i="11"/>
  <c r="Y230" i="11"/>
  <c r="Y228" i="11"/>
  <c r="Y227" i="11"/>
  <c r="Y225" i="11"/>
  <c r="Y224" i="11"/>
  <c r="Y204" i="11"/>
  <c r="Y203" i="11"/>
  <c r="Y201" i="11"/>
  <c r="Y200" i="11"/>
  <c r="Y198" i="11"/>
  <c r="Y197" i="11"/>
  <c r="Y186" i="11"/>
  <c r="Y185" i="11"/>
  <c r="Y102" i="11"/>
  <c r="Y101" i="11"/>
  <c r="Y100" i="11"/>
  <c r="Y99" i="11"/>
  <c r="Y87" i="11"/>
  <c r="Y86" i="11"/>
  <c r="Y85" i="11"/>
  <c r="Y84" i="11"/>
  <c r="Y82" i="11"/>
  <c r="Y81" i="11"/>
  <c r="Y80" i="11"/>
  <c r="Y79" i="11"/>
  <c r="Y78" i="11"/>
  <c r="Y77" i="11"/>
  <c r="Y75" i="11"/>
  <c r="Y74" i="11"/>
  <c r="Y73" i="11"/>
  <c r="Y72" i="11"/>
  <c r="Y70" i="11"/>
  <c r="Y69" i="11"/>
  <c r="Y68" i="11"/>
  <c r="Y67" i="11"/>
  <c r="Y66" i="11"/>
  <c r="Y65" i="11"/>
  <c r="Y8" i="11"/>
  <c r="Y7" i="11"/>
  <c r="Y6" i="11"/>
  <c r="Y5" i="11"/>
  <c r="Y4" i="11"/>
  <c r="Y3" i="11"/>
  <c r="AA282" i="11"/>
  <c r="AA281" i="11"/>
  <c r="AA280" i="11"/>
  <c r="AA279" i="11"/>
  <c r="AA278" i="11"/>
  <c r="AA277" i="11"/>
  <c r="AA276" i="11"/>
  <c r="AA275" i="11"/>
  <c r="AA274" i="11"/>
  <c r="AA273" i="11"/>
  <c r="AA271" i="11"/>
  <c r="AA270" i="11"/>
  <c r="AA269" i="11"/>
  <c r="AA268" i="11"/>
  <c r="AA267" i="11"/>
  <c r="AA266" i="11"/>
  <c r="AA264" i="11"/>
  <c r="AA263" i="11"/>
  <c r="AA261" i="11"/>
  <c r="AA260" i="11"/>
  <c r="AA258" i="11"/>
  <c r="AA257" i="11"/>
  <c r="AA255" i="11"/>
  <c r="AA254" i="11"/>
  <c r="AA252" i="11"/>
  <c r="AA251" i="11"/>
  <c r="AA249" i="11"/>
  <c r="AA248" i="11"/>
  <c r="AA246" i="11"/>
  <c r="AA245" i="11"/>
  <c r="AA243" i="11"/>
  <c r="AA242" i="11"/>
  <c r="AA240" i="11"/>
  <c r="AA239" i="11"/>
  <c r="AA237" i="11"/>
  <c r="AA236" i="11"/>
  <c r="AA234" i="11"/>
  <c r="AA233" i="11"/>
  <c r="AA231" i="11"/>
  <c r="AA230" i="11"/>
  <c r="AA228" i="11"/>
  <c r="AA227" i="11"/>
  <c r="AA225" i="11"/>
  <c r="AA224" i="11"/>
  <c r="AA221" i="11"/>
  <c r="AA220" i="11"/>
  <c r="AA219" i="11"/>
  <c r="AA218" i="11"/>
  <c r="AA216" i="11"/>
  <c r="AA215" i="11"/>
  <c r="AA213" i="11"/>
  <c r="AA212" i="11"/>
  <c r="AA210" i="11"/>
  <c r="AA209" i="11"/>
  <c r="AA207" i="11"/>
  <c r="AA206" i="11"/>
  <c r="AA204" i="11"/>
  <c r="AA203" i="11"/>
  <c r="AA201" i="11"/>
  <c r="AA200" i="11"/>
  <c r="AA198" i="11"/>
  <c r="AA197" i="11"/>
  <c r="AA194" i="11"/>
  <c r="AA193" i="11"/>
  <c r="AA192" i="11"/>
  <c r="AA191" i="11"/>
  <c r="AA190" i="11"/>
  <c r="AA189" i="11"/>
  <c r="AA188" i="11"/>
  <c r="AA187" i="11"/>
  <c r="AA186" i="11"/>
  <c r="AA185" i="11"/>
  <c r="AA184" i="11"/>
  <c r="AA183" i="11"/>
  <c r="AA182" i="11"/>
  <c r="AA181" i="11"/>
  <c r="AA180" i="11"/>
  <c r="AA179" i="11"/>
  <c r="AA178" i="11"/>
  <c r="AA177" i="11"/>
  <c r="AA176" i="11"/>
  <c r="AA175" i="11"/>
  <c r="AA174" i="11"/>
  <c r="AA173" i="11"/>
  <c r="AA172" i="11"/>
  <c r="AA171" i="11"/>
  <c r="AA170" i="11"/>
  <c r="AA169" i="11"/>
  <c r="AA168" i="11"/>
  <c r="AA167" i="11"/>
  <c r="AA166" i="11"/>
  <c r="AA165" i="11"/>
  <c r="AA164" i="11"/>
  <c r="AA163" i="11"/>
  <c r="AA162" i="11"/>
  <c r="AA161" i="11"/>
  <c r="AA160" i="11"/>
  <c r="AA159" i="11"/>
  <c r="AA158" i="11"/>
  <c r="AA157" i="11"/>
  <c r="AA156" i="11"/>
  <c r="AA155" i="11"/>
  <c r="AA154" i="11"/>
  <c r="AA153" i="11"/>
  <c r="AA152" i="11"/>
  <c r="AA151" i="11"/>
  <c r="AA150" i="11"/>
  <c r="AA149" i="11"/>
  <c r="AA148" i="11"/>
  <c r="AA147" i="11"/>
  <c r="AA145" i="11"/>
  <c r="AA144" i="11"/>
  <c r="AA143" i="11"/>
  <c r="AA142" i="11"/>
  <c r="AA141" i="11"/>
  <c r="AA140" i="11"/>
  <c r="AA138" i="11"/>
  <c r="AA137" i="11"/>
  <c r="AA136" i="11"/>
  <c r="AA135" i="11"/>
  <c r="AA133" i="11"/>
  <c r="AA132" i="11"/>
  <c r="AA131" i="11"/>
  <c r="AA130" i="11"/>
  <c r="AA129" i="11"/>
  <c r="AA128" i="11"/>
  <c r="AA126" i="11"/>
  <c r="AA125" i="11"/>
  <c r="AA124" i="11"/>
  <c r="AA123" i="11"/>
  <c r="AA122" i="11"/>
  <c r="AA121" i="11"/>
  <c r="AA119" i="11"/>
  <c r="AA118" i="11"/>
  <c r="AA117" i="11"/>
  <c r="AA116" i="11"/>
  <c r="AA114" i="11"/>
  <c r="AA113" i="11"/>
  <c r="AA112" i="11"/>
  <c r="AA111" i="11"/>
  <c r="AA109" i="11"/>
  <c r="AA108" i="11"/>
  <c r="AA107" i="11"/>
  <c r="AA106" i="11"/>
  <c r="AA105" i="11"/>
  <c r="AA104" i="11"/>
  <c r="AA102" i="11"/>
  <c r="AA101" i="11"/>
  <c r="AA100" i="11"/>
  <c r="AA99" i="11"/>
  <c r="AA97" i="11"/>
  <c r="AA96" i="11"/>
  <c r="AA95" i="11"/>
  <c r="AA94" i="11"/>
  <c r="AA92" i="11"/>
  <c r="AA91" i="11"/>
  <c r="AA90" i="11"/>
  <c r="AA89" i="11"/>
  <c r="AA87" i="11"/>
  <c r="AA86" i="11"/>
  <c r="AA85" i="11"/>
  <c r="AA84" i="11"/>
  <c r="AA82" i="11"/>
  <c r="AA81" i="11"/>
  <c r="AA80" i="11"/>
  <c r="AA79" i="11"/>
  <c r="AA78" i="11"/>
  <c r="AA77" i="11"/>
  <c r="AA75" i="11"/>
  <c r="AA74" i="11"/>
  <c r="AA73" i="11"/>
  <c r="AA72" i="11"/>
  <c r="AA70" i="11"/>
  <c r="AA69" i="11"/>
  <c r="AA68" i="11"/>
  <c r="AA67" i="11"/>
  <c r="AA66" i="11"/>
  <c r="AA65" i="11"/>
  <c r="AA61" i="11"/>
  <c r="AA60" i="11"/>
  <c r="AA59" i="11"/>
  <c r="AA58" i="11"/>
  <c r="AA57" i="11"/>
  <c r="AA56" i="11"/>
  <c r="AA55" i="11"/>
  <c r="AA54" i="11"/>
  <c r="AA53" i="11"/>
  <c r="AA52" i="11"/>
  <c r="AA50" i="11"/>
  <c r="AA49" i="11"/>
  <c r="AA48" i="11"/>
  <c r="AA47" i="11"/>
  <c r="AA46" i="11"/>
  <c r="AA45" i="11"/>
  <c r="AA43" i="11"/>
  <c r="AA42" i="11"/>
  <c r="AA41" i="11"/>
  <c r="AA40" i="11"/>
  <c r="AA39" i="11"/>
  <c r="AA38" i="11"/>
  <c r="AA36" i="11"/>
  <c r="AA35" i="11"/>
  <c r="AA34" i="11"/>
  <c r="AA33" i="11"/>
  <c r="AA32" i="11"/>
  <c r="AA31" i="11"/>
  <c r="AA29" i="11"/>
  <c r="AA28" i="11"/>
  <c r="AA27" i="11"/>
  <c r="AA26" i="11"/>
  <c r="AA25" i="11"/>
  <c r="AA24" i="11"/>
  <c r="AA22" i="11"/>
  <c r="AA21" i="11"/>
  <c r="AA20" i="11"/>
  <c r="AA19" i="11"/>
  <c r="AA18" i="11"/>
  <c r="AA17" i="11"/>
  <c r="AA15" i="11"/>
  <c r="AA14" i="11"/>
  <c r="AA13" i="11"/>
  <c r="AA12" i="11"/>
  <c r="AA11" i="11"/>
  <c r="AA10" i="11"/>
  <c r="AA8" i="11"/>
  <c r="AA7" i="11"/>
  <c r="AA6" i="11"/>
  <c r="AA5" i="11"/>
  <c r="AA4" i="11"/>
  <c r="AA3" i="11"/>
  <c r="N278" i="11"/>
  <c r="N277" i="11"/>
  <c r="N258" i="11"/>
  <c r="N257" i="11"/>
  <c r="N240" i="11"/>
  <c r="N239" i="11"/>
  <c r="N237" i="11"/>
  <c r="N236" i="11"/>
  <c r="N234" i="11"/>
  <c r="N233" i="11"/>
  <c r="N231" i="11"/>
  <c r="N230" i="11"/>
  <c r="N228" i="11"/>
  <c r="N227" i="11"/>
  <c r="N225" i="11"/>
  <c r="N224" i="11"/>
  <c r="N204" i="11"/>
  <c r="N203" i="11"/>
  <c r="N201" i="11"/>
  <c r="N200" i="11"/>
  <c r="N198" i="11"/>
  <c r="N197" i="11"/>
  <c r="N186" i="11"/>
  <c r="N185" i="11"/>
  <c r="N138" i="11"/>
  <c r="N137" i="11"/>
  <c r="N136" i="11"/>
  <c r="N135" i="11"/>
  <c r="N102" i="11"/>
  <c r="N101" i="11"/>
  <c r="N100" i="11"/>
  <c r="N99" i="11"/>
  <c r="N87" i="11"/>
  <c r="N86" i="11"/>
  <c r="N85" i="11"/>
  <c r="N84" i="11"/>
  <c r="N82" i="11"/>
  <c r="N81" i="11"/>
  <c r="N80" i="11"/>
  <c r="N79" i="11"/>
  <c r="N78" i="11"/>
  <c r="N77" i="11"/>
  <c r="N75" i="11"/>
  <c r="N74" i="11"/>
  <c r="N73" i="11"/>
  <c r="N72" i="11"/>
  <c r="N70" i="11"/>
  <c r="N69" i="11"/>
  <c r="N68" i="11"/>
  <c r="N67" i="11"/>
  <c r="N66" i="11"/>
  <c r="N65" i="11"/>
  <c r="N15" i="11"/>
  <c r="N14" i="11"/>
  <c r="N13" i="11"/>
  <c r="N12" i="11"/>
  <c r="N11" i="11"/>
  <c r="N10" i="11"/>
  <c r="N8" i="11"/>
  <c r="N7" i="11"/>
  <c r="N6" i="11"/>
  <c r="N5" i="11"/>
  <c r="N4" i="11"/>
  <c r="N3" i="11"/>
  <c r="P282" i="11"/>
  <c r="P281" i="11"/>
  <c r="P280" i="11"/>
  <c r="P279" i="11"/>
  <c r="P278" i="11"/>
  <c r="P277" i="11"/>
  <c r="P276" i="11"/>
  <c r="P275" i="11"/>
  <c r="P274" i="11"/>
  <c r="P273" i="11"/>
  <c r="P271" i="11"/>
  <c r="P270" i="11"/>
  <c r="P269" i="11"/>
  <c r="P268" i="11"/>
  <c r="P267" i="11"/>
  <c r="P266" i="11"/>
  <c r="P264" i="11"/>
  <c r="P263" i="11"/>
  <c r="P261" i="11"/>
  <c r="P260" i="11"/>
  <c r="P258" i="11"/>
  <c r="P257" i="11"/>
  <c r="P255" i="11"/>
  <c r="P254" i="11"/>
  <c r="P252" i="11"/>
  <c r="P251" i="11"/>
  <c r="P249" i="11"/>
  <c r="P248" i="11"/>
  <c r="P246" i="11"/>
  <c r="P245" i="11"/>
  <c r="P243" i="11"/>
  <c r="P242" i="11"/>
  <c r="P240" i="11"/>
  <c r="P239" i="11"/>
  <c r="P237" i="11"/>
  <c r="P236" i="11"/>
  <c r="P234" i="11"/>
  <c r="P233" i="11"/>
  <c r="P231" i="11"/>
  <c r="P230" i="11"/>
  <c r="P228" i="11"/>
  <c r="P227" i="11"/>
  <c r="P225" i="11"/>
  <c r="P224" i="11"/>
  <c r="P221" i="11"/>
  <c r="P220" i="11"/>
  <c r="P219" i="11"/>
  <c r="P218" i="11"/>
  <c r="P216" i="11"/>
  <c r="P215" i="11"/>
  <c r="P213" i="11"/>
  <c r="P212" i="11"/>
  <c r="P210" i="11"/>
  <c r="P209" i="11"/>
  <c r="P207" i="11"/>
  <c r="P206" i="11"/>
  <c r="P204" i="11"/>
  <c r="P203" i="11"/>
  <c r="P201" i="11"/>
  <c r="P200" i="11"/>
  <c r="P198" i="11"/>
  <c r="P197" i="11"/>
  <c r="P194" i="11"/>
  <c r="P193" i="11"/>
  <c r="P192" i="11"/>
  <c r="P191" i="11"/>
  <c r="P190" i="11"/>
  <c r="P189" i="11"/>
  <c r="P188" i="11"/>
  <c r="P187" i="11"/>
  <c r="P186" i="11"/>
  <c r="P185" i="11"/>
  <c r="P184" i="11"/>
  <c r="P183" i="11"/>
  <c r="P182" i="11"/>
  <c r="P181" i="11"/>
  <c r="P180" i="11"/>
  <c r="P179" i="11"/>
  <c r="P178" i="11"/>
  <c r="P177" i="11"/>
  <c r="P176" i="11"/>
  <c r="P175" i="11"/>
  <c r="P174" i="11"/>
  <c r="P173" i="11"/>
  <c r="P172" i="11"/>
  <c r="P171" i="11"/>
  <c r="P170" i="11"/>
  <c r="P169" i="11"/>
  <c r="P168" i="11"/>
  <c r="P167" i="11"/>
  <c r="P166" i="11"/>
  <c r="P165" i="11"/>
  <c r="P164" i="11"/>
  <c r="P163" i="11"/>
  <c r="P162" i="11"/>
  <c r="P161" i="11"/>
  <c r="P160" i="11"/>
  <c r="P159" i="11"/>
  <c r="P158" i="11"/>
  <c r="P157" i="11"/>
  <c r="P156" i="11"/>
  <c r="P155" i="11"/>
  <c r="P154" i="11"/>
  <c r="P153" i="11"/>
  <c r="P152" i="11"/>
  <c r="P151" i="11"/>
  <c r="P150" i="11"/>
  <c r="P149" i="11"/>
  <c r="P148" i="11"/>
  <c r="P147" i="11"/>
  <c r="P145" i="11"/>
  <c r="P144" i="11"/>
  <c r="P143" i="11"/>
  <c r="P142" i="11"/>
  <c r="P141" i="11"/>
  <c r="P140" i="11"/>
  <c r="P138" i="11"/>
  <c r="P137" i="11"/>
  <c r="P136" i="11"/>
  <c r="P135" i="11"/>
  <c r="P133" i="11"/>
  <c r="P132" i="11"/>
  <c r="P131" i="11"/>
  <c r="P130" i="11"/>
  <c r="P129" i="11"/>
  <c r="P128" i="11"/>
  <c r="P126" i="11"/>
  <c r="P125" i="11"/>
  <c r="P124" i="11"/>
  <c r="P123" i="11"/>
  <c r="P122" i="11"/>
  <c r="P121" i="11"/>
  <c r="P119" i="11"/>
  <c r="P118" i="11"/>
  <c r="P117" i="11"/>
  <c r="P116" i="11"/>
  <c r="P114" i="11"/>
  <c r="P113" i="11"/>
  <c r="P112" i="11"/>
  <c r="P111" i="11"/>
  <c r="P109" i="11"/>
  <c r="P108" i="11"/>
  <c r="P107" i="11"/>
  <c r="P106" i="11"/>
  <c r="P105" i="11"/>
  <c r="P104" i="11"/>
  <c r="P102" i="11"/>
  <c r="P101" i="11"/>
  <c r="P100" i="11"/>
  <c r="P99" i="11"/>
  <c r="P97" i="11"/>
  <c r="P96" i="11"/>
  <c r="P95" i="11"/>
  <c r="P94" i="11"/>
  <c r="P92" i="11"/>
  <c r="P91" i="11"/>
  <c r="P90" i="11"/>
  <c r="P89" i="11"/>
  <c r="P87" i="11"/>
  <c r="P86" i="11"/>
  <c r="P85" i="11"/>
  <c r="P84" i="11"/>
  <c r="P82" i="11"/>
  <c r="P81" i="11"/>
  <c r="P80" i="11"/>
  <c r="P79" i="11"/>
  <c r="P78" i="11"/>
  <c r="P77" i="11"/>
  <c r="P75" i="11"/>
  <c r="P74" i="11"/>
  <c r="P73" i="11"/>
  <c r="P72" i="11"/>
  <c r="P70" i="11"/>
  <c r="P69" i="11"/>
  <c r="P68" i="11"/>
  <c r="P67" i="11"/>
  <c r="P66" i="11"/>
  <c r="P65" i="11"/>
  <c r="P61" i="11"/>
  <c r="P60" i="11"/>
  <c r="P59" i="11"/>
  <c r="P58" i="11"/>
  <c r="P57" i="11"/>
  <c r="P56" i="11"/>
  <c r="P55" i="11"/>
  <c r="P54" i="11"/>
  <c r="P53" i="11"/>
  <c r="P52" i="11"/>
  <c r="P50" i="11"/>
  <c r="P49" i="11"/>
  <c r="P48" i="11"/>
  <c r="P47" i="11"/>
  <c r="P46" i="11"/>
  <c r="P45" i="11"/>
  <c r="P43" i="11"/>
  <c r="P42" i="11"/>
  <c r="P41" i="11"/>
  <c r="P40" i="11"/>
  <c r="P39" i="11"/>
  <c r="P38" i="11"/>
  <c r="P36" i="11"/>
  <c r="P35" i="11"/>
  <c r="P34" i="11"/>
  <c r="P33" i="11"/>
  <c r="P32" i="11"/>
  <c r="P31" i="11"/>
  <c r="P29" i="11"/>
  <c r="P28" i="11"/>
  <c r="P27" i="11"/>
  <c r="P26" i="11"/>
  <c r="P25" i="11"/>
  <c r="P24" i="11"/>
  <c r="P22" i="11"/>
  <c r="P21" i="11"/>
  <c r="P20" i="11"/>
  <c r="P19" i="11"/>
  <c r="P18" i="11"/>
  <c r="P17" i="11"/>
  <c r="P15" i="11"/>
  <c r="P14" i="11"/>
  <c r="P13" i="11"/>
  <c r="P12" i="11"/>
  <c r="P11" i="11"/>
  <c r="P10" i="11"/>
  <c r="P8" i="11"/>
  <c r="P7" i="11"/>
  <c r="P6" i="11"/>
  <c r="P5" i="11"/>
  <c r="P4" i="11"/>
  <c r="P3" i="11"/>
  <c r="M37" i="14"/>
  <c r="M36" i="14"/>
  <c r="M35" i="14"/>
  <c r="M34" i="14"/>
  <c r="M33" i="14"/>
  <c r="M32" i="14"/>
  <c r="M21" i="14"/>
  <c r="M20" i="14"/>
  <c r="M18" i="14"/>
  <c r="M17" i="14"/>
  <c r="M16" i="14"/>
  <c r="M15" i="14"/>
  <c r="M14" i="14"/>
  <c r="M13" i="14"/>
  <c r="O41" i="14"/>
  <c r="O40" i="14"/>
  <c r="O39" i="14"/>
  <c r="O38" i="14"/>
  <c r="O37" i="14"/>
  <c r="O36" i="14"/>
  <c r="O35" i="14"/>
  <c r="O34" i="14"/>
  <c r="O33" i="14"/>
  <c r="O32" i="14"/>
  <c r="O25" i="14"/>
  <c r="O24" i="14"/>
  <c r="O23" i="14"/>
  <c r="O22" i="14"/>
  <c r="O21" i="14"/>
  <c r="O20" i="14"/>
  <c r="O18" i="14"/>
  <c r="O17" i="14"/>
  <c r="O16" i="14"/>
  <c r="O15" i="14"/>
  <c r="O14" i="14"/>
  <c r="O13" i="14"/>
  <c r="O12" i="14"/>
  <c r="O11" i="14"/>
  <c r="O9" i="14"/>
  <c r="O8" i="14"/>
  <c r="Y141" i="10"/>
  <c r="Y140" i="10"/>
  <c r="Y138" i="10"/>
  <c r="Y137" i="10"/>
  <c r="Y105" i="10"/>
  <c r="Y104" i="10"/>
  <c r="Y33" i="10"/>
  <c r="Y32" i="10"/>
  <c r="Y30" i="10"/>
  <c r="Y29" i="10"/>
  <c r="Y4" i="10"/>
  <c r="Y3" i="10"/>
  <c r="X178" i="10"/>
  <c r="X177" i="10"/>
  <c r="X176" i="10"/>
  <c r="X175" i="10"/>
  <c r="X174" i="10"/>
  <c r="X173" i="10"/>
  <c r="X141" i="10"/>
  <c r="X140" i="10"/>
  <c r="X138" i="10"/>
  <c r="X137" i="10"/>
  <c r="X135" i="10"/>
  <c r="X134" i="10"/>
  <c r="X132" i="10"/>
  <c r="X131" i="10"/>
  <c r="X129" i="10"/>
  <c r="X128" i="10"/>
  <c r="X126" i="10"/>
  <c r="X125" i="10"/>
  <c r="X105" i="10"/>
  <c r="X104" i="10"/>
  <c r="X102" i="10"/>
  <c r="X101" i="10"/>
  <c r="X99" i="10"/>
  <c r="X98" i="10"/>
  <c r="X86" i="10"/>
  <c r="X85" i="10"/>
  <c r="X48" i="10"/>
  <c r="X47" i="10"/>
  <c r="X39" i="10"/>
  <c r="X38" i="10"/>
  <c r="X36" i="10"/>
  <c r="X35" i="10"/>
  <c r="X33" i="10"/>
  <c r="X32" i="10"/>
  <c r="X30" i="10"/>
  <c r="X29" i="10"/>
  <c r="X4" i="10"/>
  <c r="X3" i="10"/>
  <c r="Z182" i="10"/>
  <c r="Z181" i="10"/>
  <c r="Z180" i="10"/>
  <c r="Z179" i="10"/>
  <c r="Z178" i="10"/>
  <c r="Z177" i="10"/>
  <c r="Z176" i="10"/>
  <c r="Z175" i="10"/>
  <c r="Z174" i="10"/>
  <c r="Z173" i="10"/>
  <c r="Z172" i="10"/>
  <c r="Z171" i="10"/>
  <c r="Z170" i="10"/>
  <c r="Z169" i="10"/>
  <c r="Z168" i="10"/>
  <c r="Z167" i="10"/>
  <c r="Z165" i="10"/>
  <c r="Z164" i="10"/>
  <c r="Z162" i="10"/>
  <c r="Z161" i="10"/>
  <c r="Z159" i="10"/>
  <c r="Z158" i="10"/>
  <c r="Z156" i="10"/>
  <c r="Z155" i="10"/>
  <c r="Z153" i="10"/>
  <c r="Z152" i="10"/>
  <c r="Z150" i="10"/>
  <c r="Z149" i="10"/>
  <c r="Z147" i="10"/>
  <c r="Z146" i="10"/>
  <c r="Z144" i="10"/>
  <c r="Z143" i="10"/>
  <c r="Z141" i="10"/>
  <c r="Z140" i="10"/>
  <c r="Z138" i="10"/>
  <c r="Z137" i="10"/>
  <c r="Z135" i="10"/>
  <c r="Z134" i="10"/>
  <c r="Z132" i="10"/>
  <c r="Z131" i="10"/>
  <c r="Z129" i="10"/>
  <c r="Z128" i="10"/>
  <c r="Z126" i="10"/>
  <c r="Z125" i="10"/>
  <c r="Z122" i="10"/>
  <c r="Z121" i="10"/>
  <c r="Z120" i="10"/>
  <c r="Z119" i="10"/>
  <c r="Z117" i="10"/>
  <c r="Z116" i="10"/>
  <c r="Z114" i="10"/>
  <c r="Z113" i="10"/>
  <c r="Z111" i="10"/>
  <c r="Z110" i="10"/>
  <c r="Z108" i="10"/>
  <c r="Z107" i="10"/>
  <c r="Z105" i="10"/>
  <c r="Z104" i="10"/>
  <c r="Z102" i="10"/>
  <c r="Z101" i="10"/>
  <c r="Z99" i="10"/>
  <c r="Z98" i="10"/>
  <c r="Z94" i="10"/>
  <c r="Z93" i="10"/>
  <c r="Z92" i="10"/>
  <c r="Z91" i="10"/>
  <c r="Z90" i="10"/>
  <c r="Z89" i="10"/>
  <c r="Z88" i="10"/>
  <c r="Z87" i="10"/>
  <c r="Z86" i="10"/>
  <c r="Z85" i="10"/>
  <c r="Z84" i="10"/>
  <c r="Z83" i="10"/>
  <c r="Z82" i="10"/>
  <c r="Z81" i="10"/>
  <c r="Z80" i="10"/>
  <c r="Z79" i="10"/>
  <c r="Z78" i="10"/>
  <c r="Z77" i="10"/>
  <c r="Z76" i="10"/>
  <c r="Z75" i="10"/>
  <c r="Z74" i="10"/>
  <c r="Z73" i="10"/>
  <c r="Z72" i="10"/>
  <c r="Z71" i="10"/>
  <c r="Z69" i="10"/>
  <c r="Z68" i="10"/>
  <c r="Z66" i="10"/>
  <c r="Z65" i="10"/>
  <c r="Z63" i="10"/>
  <c r="Z62" i="10"/>
  <c r="Z60" i="10"/>
  <c r="Z59" i="10"/>
  <c r="Z57" i="10"/>
  <c r="Z56" i="10"/>
  <c r="Z54" i="10"/>
  <c r="Z53" i="10"/>
  <c r="Z51" i="10"/>
  <c r="Z50" i="10"/>
  <c r="Z48" i="10"/>
  <c r="Z47" i="10"/>
  <c r="Z45" i="10"/>
  <c r="Z44" i="10"/>
  <c r="Z42" i="10"/>
  <c r="Z41" i="10"/>
  <c r="Z39" i="10"/>
  <c r="Z38" i="10"/>
  <c r="Z36" i="10"/>
  <c r="Z35" i="10"/>
  <c r="Z33" i="10"/>
  <c r="Z32" i="10"/>
  <c r="Z30" i="10"/>
  <c r="Z29" i="10"/>
  <c r="Z26" i="10"/>
  <c r="Z25" i="10"/>
  <c r="Z24" i="10"/>
  <c r="Z23" i="10"/>
  <c r="Z22" i="10"/>
  <c r="Z21" i="10"/>
  <c r="Z19" i="10"/>
  <c r="Z18" i="10"/>
  <c r="Z16" i="10"/>
  <c r="Z15" i="10"/>
  <c r="Z13" i="10"/>
  <c r="Z12" i="10"/>
  <c r="Z10" i="10"/>
  <c r="Z9" i="10"/>
  <c r="Z7" i="10"/>
  <c r="Z6" i="10"/>
  <c r="Z4" i="10"/>
  <c r="Z3" i="10"/>
  <c r="M178" i="10"/>
  <c r="M177" i="10"/>
  <c r="M159" i="10"/>
  <c r="M158" i="10"/>
  <c r="M141" i="10"/>
  <c r="M140" i="10"/>
  <c r="M138" i="10"/>
  <c r="M137" i="10"/>
  <c r="M135" i="10"/>
  <c r="M134" i="10"/>
  <c r="M132" i="10"/>
  <c r="M131" i="10"/>
  <c r="M129" i="10"/>
  <c r="M128" i="10"/>
  <c r="M126" i="10"/>
  <c r="M125" i="10"/>
  <c r="M105" i="10"/>
  <c r="M104" i="10"/>
  <c r="M102" i="10"/>
  <c r="M101" i="10"/>
  <c r="M99" i="10"/>
  <c r="M98" i="10"/>
  <c r="M86" i="10"/>
  <c r="M85" i="10"/>
  <c r="M66" i="10"/>
  <c r="M65" i="10"/>
  <c r="M48" i="10"/>
  <c r="M47" i="10"/>
  <c r="M39" i="10"/>
  <c r="M38" i="10"/>
  <c r="M36" i="10"/>
  <c r="M35" i="10"/>
  <c r="M33" i="10"/>
  <c r="M32" i="10"/>
  <c r="M30" i="10"/>
  <c r="M29" i="10"/>
  <c r="M7" i="10"/>
  <c r="M6" i="10"/>
  <c r="M4" i="10"/>
  <c r="M3" i="10"/>
  <c r="O182" i="10"/>
  <c r="O181" i="10"/>
  <c r="O180" i="10"/>
  <c r="O179" i="10"/>
  <c r="O178" i="10"/>
  <c r="O177" i="10"/>
  <c r="O176" i="10"/>
  <c r="O175" i="10"/>
  <c r="O174" i="10"/>
  <c r="O173" i="10"/>
  <c r="O172" i="10"/>
  <c r="O171" i="10"/>
  <c r="O170" i="10"/>
  <c r="O169" i="10"/>
  <c r="O168" i="10"/>
  <c r="O167" i="10"/>
  <c r="O165" i="10"/>
  <c r="O164" i="10"/>
  <c r="O162" i="10"/>
  <c r="O161" i="10"/>
  <c r="O159" i="10"/>
  <c r="O158" i="10"/>
  <c r="O156" i="10"/>
  <c r="O155" i="10"/>
  <c r="O153" i="10"/>
  <c r="O152" i="10"/>
  <c r="O150" i="10"/>
  <c r="O149" i="10"/>
  <c r="O147" i="10"/>
  <c r="O146" i="10"/>
  <c r="O144" i="10"/>
  <c r="O143" i="10"/>
  <c r="O141" i="10"/>
  <c r="O140" i="10"/>
  <c r="O138" i="10"/>
  <c r="O137" i="10"/>
  <c r="O135" i="10"/>
  <c r="O134" i="10"/>
  <c r="O132" i="10"/>
  <c r="O131" i="10"/>
  <c r="O129" i="10"/>
  <c r="O128" i="10"/>
  <c r="O126" i="10"/>
  <c r="O125" i="10"/>
  <c r="O122" i="10"/>
  <c r="O121" i="10"/>
  <c r="O120" i="10"/>
  <c r="O119" i="10"/>
  <c r="O117" i="10"/>
  <c r="O116" i="10"/>
  <c r="O114" i="10"/>
  <c r="O113" i="10"/>
  <c r="O111" i="10"/>
  <c r="O110" i="10"/>
  <c r="O108" i="10"/>
  <c r="O107" i="10"/>
  <c r="O105" i="10"/>
  <c r="O104" i="10"/>
  <c r="O102" i="10"/>
  <c r="O101" i="10"/>
  <c r="O99" i="10"/>
  <c r="O98" i="10"/>
  <c r="O94" i="10"/>
  <c r="O93" i="10"/>
  <c r="O92" i="10"/>
  <c r="O91" i="10"/>
  <c r="O90" i="10"/>
  <c r="O89" i="10"/>
  <c r="O88" i="10"/>
  <c r="O87" i="10"/>
  <c r="O86" i="10"/>
  <c r="O85" i="10"/>
  <c r="O84" i="10"/>
  <c r="O83" i="10"/>
  <c r="O82" i="10"/>
  <c r="O81" i="10"/>
  <c r="O80" i="10"/>
  <c r="O79" i="10"/>
  <c r="O78" i="10"/>
  <c r="O77" i="10"/>
  <c r="O76" i="10"/>
  <c r="O75" i="10"/>
  <c r="O74" i="10"/>
  <c r="O73" i="10"/>
  <c r="O72" i="10"/>
  <c r="O71" i="10"/>
  <c r="O69" i="10"/>
  <c r="O68" i="10"/>
  <c r="O66" i="10"/>
  <c r="O65" i="10"/>
  <c r="O63" i="10"/>
  <c r="O62" i="10"/>
  <c r="O60" i="10"/>
  <c r="O59" i="10"/>
  <c r="O57" i="10"/>
  <c r="O56" i="10"/>
  <c r="O54" i="10"/>
  <c r="O53" i="10"/>
  <c r="O51" i="10"/>
  <c r="O50" i="10"/>
  <c r="O48" i="10"/>
  <c r="O47" i="10"/>
  <c r="O45" i="10"/>
  <c r="O44" i="10"/>
  <c r="O42" i="10"/>
  <c r="O41" i="10"/>
  <c r="O39" i="10"/>
  <c r="O38" i="10"/>
  <c r="O36" i="10"/>
  <c r="O35" i="10"/>
  <c r="O33" i="10"/>
  <c r="O32" i="10"/>
  <c r="O30" i="10"/>
  <c r="O29" i="10"/>
  <c r="O26" i="10"/>
  <c r="O25" i="10"/>
  <c r="O24" i="10"/>
  <c r="O23" i="10"/>
  <c r="O22" i="10"/>
  <c r="O21" i="10"/>
  <c r="O19" i="10"/>
  <c r="O18" i="10"/>
  <c r="O16" i="10"/>
  <c r="O15" i="10"/>
  <c r="O13" i="10"/>
  <c r="O12" i="10"/>
  <c r="O10" i="10"/>
  <c r="O9" i="10"/>
  <c r="O7" i="10"/>
  <c r="O6" i="10"/>
  <c r="O4" i="10"/>
  <c r="O3" i="10"/>
  <c r="AA223" i="8" l="1"/>
  <c r="AB223" i="8" s="1"/>
  <c r="AC223" i="8" s="1"/>
  <c r="W223" i="8"/>
  <c r="X223" i="8" s="1"/>
  <c r="Y223" i="8" s="1"/>
  <c r="Z223" i="8"/>
  <c r="V223" i="8"/>
  <c r="AA222" i="8"/>
  <c r="AB222" i="8" s="1"/>
  <c r="AC222" i="8" s="1"/>
  <c r="Z222" i="8"/>
  <c r="W222" i="8"/>
  <c r="X222" i="8" s="1"/>
  <c r="Y222" i="8" s="1"/>
  <c r="V222" i="8"/>
  <c r="AA221" i="8"/>
  <c r="AB221" i="8" s="1"/>
  <c r="AC221" i="8" s="1"/>
  <c r="Z221" i="8"/>
  <c r="W221" i="8"/>
  <c r="X221" i="8" s="1"/>
  <c r="Y221" i="8" s="1"/>
  <c r="V221" i="8"/>
  <c r="AA220" i="8"/>
  <c r="AB220" i="8" s="1"/>
  <c r="AC220" i="8" s="1"/>
  <c r="W220" i="8"/>
  <c r="X220" i="8" s="1"/>
  <c r="Y220" i="8" s="1"/>
  <c r="Z220" i="8"/>
  <c r="V220" i="8"/>
  <c r="Z219" i="8"/>
  <c r="V219" i="8"/>
  <c r="AA219" i="8"/>
  <c r="W219" i="8"/>
  <c r="R223" i="8"/>
  <c r="O223" i="8"/>
  <c r="M223" i="8"/>
  <c r="K223" i="8"/>
  <c r="J223" i="8"/>
  <c r="I223" i="8"/>
  <c r="H223" i="8"/>
  <c r="F223" i="8"/>
  <c r="E223" i="8"/>
  <c r="P223" i="8" s="1"/>
  <c r="Q223" i="8" s="1"/>
  <c r="R222" i="8"/>
  <c r="O222" i="8"/>
  <c r="M222" i="8"/>
  <c r="K222" i="8"/>
  <c r="J222" i="8"/>
  <c r="I222" i="8"/>
  <c r="H222" i="8"/>
  <c r="F222" i="8"/>
  <c r="E222" i="8"/>
  <c r="S222" i="8" s="1"/>
  <c r="T222" i="8" s="1"/>
  <c r="R221" i="8"/>
  <c r="O221" i="8"/>
  <c r="M221" i="8"/>
  <c r="K221" i="8"/>
  <c r="J221" i="8"/>
  <c r="I221" i="8"/>
  <c r="H221" i="8"/>
  <c r="G221" i="8"/>
  <c r="F221" i="8"/>
  <c r="E221" i="8"/>
  <c r="P221" i="8" s="1"/>
  <c r="Q221" i="8" s="1"/>
  <c r="R220" i="8"/>
  <c r="O220" i="8"/>
  <c r="M220" i="8"/>
  <c r="K220" i="8"/>
  <c r="J220" i="8"/>
  <c r="I220" i="8"/>
  <c r="H220" i="8"/>
  <c r="F220" i="8"/>
  <c r="E220" i="8"/>
  <c r="P220" i="8" s="1"/>
  <c r="Q220" i="8" s="1"/>
  <c r="R219" i="8"/>
  <c r="O219" i="8"/>
  <c r="M219" i="8"/>
  <c r="K219" i="8"/>
  <c r="J219" i="8"/>
  <c r="I219" i="8"/>
  <c r="H219" i="8"/>
  <c r="F219" i="8"/>
  <c r="E219" i="8"/>
  <c r="P219" i="8" s="1"/>
  <c r="Q219" i="8" s="1"/>
  <c r="H80" i="9"/>
  <c r="L80" i="9" s="1"/>
  <c r="O80" i="9" s="1"/>
  <c r="G80" i="9"/>
  <c r="F80" i="9"/>
  <c r="M80" i="9" s="1"/>
  <c r="E80" i="9"/>
  <c r="D80" i="9"/>
  <c r="P80" i="9" s="1"/>
  <c r="Q80" i="9" s="1"/>
  <c r="M79" i="9"/>
  <c r="N79" i="9" s="1"/>
  <c r="H79" i="9"/>
  <c r="L79" i="9" s="1"/>
  <c r="O79" i="9" s="1"/>
  <c r="G79" i="9"/>
  <c r="F79" i="9"/>
  <c r="E79" i="9"/>
  <c r="D79" i="9"/>
  <c r="P79" i="9" s="1"/>
  <c r="Q79" i="9" s="1"/>
  <c r="H78" i="9"/>
  <c r="L78" i="9" s="1"/>
  <c r="O78" i="9" s="1"/>
  <c r="G78" i="9"/>
  <c r="F78" i="9"/>
  <c r="M78" i="9" s="1"/>
  <c r="N78" i="9" s="1"/>
  <c r="E78" i="9"/>
  <c r="D78" i="9"/>
  <c r="P78" i="9" s="1"/>
  <c r="Q78" i="9" s="1"/>
  <c r="S221" i="8" l="1"/>
  <c r="T221" i="8" s="1"/>
  <c r="U221" i="8" s="1"/>
  <c r="S223" i="8"/>
  <c r="T223" i="8" s="1"/>
  <c r="U223" i="8" s="1"/>
  <c r="S219" i="8"/>
  <c r="T219" i="8" s="1"/>
  <c r="U219" i="8" s="1"/>
  <c r="AB219" i="8"/>
  <c r="AC219" i="8" s="1"/>
  <c r="P222" i="8"/>
  <c r="Q222" i="8" s="1"/>
  <c r="U222" i="8" s="1"/>
  <c r="S220" i="8"/>
  <c r="T220" i="8" s="1"/>
  <c r="U220" i="8" s="1"/>
  <c r="X219" i="8"/>
  <c r="Y219" i="8" s="1"/>
  <c r="R78" i="9"/>
  <c r="R79" i="9"/>
  <c r="N80" i="9"/>
  <c r="R80" i="9"/>
  <c r="D17" i="9" l="1"/>
  <c r="L17" i="9"/>
  <c r="E17" i="9"/>
  <c r="F17" i="9"/>
  <c r="O17" i="9"/>
  <c r="F33" i="9"/>
  <c r="M43" i="8"/>
  <c r="P33" i="9"/>
  <c r="O33" i="9"/>
  <c r="M33" i="9"/>
  <c r="D33" i="9"/>
  <c r="P43" i="8"/>
  <c r="P17" i="9" l="1"/>
  <c r="Q17" i="9" s="1"/>
  <c r="M17" i="9"/>
  <c r="N17" i="9" s="1"/>
  <c r="R17" i="9" l="1"/>
  <c r="J161" i="8" l="1"/>
  <c r="P161" i="8"/>
  <c r="T161" i="8" s="1"/>
  <c r="M161" i="8"/>
  <c r="K161" i="8"/>
  <c r="F161" i="8"/>
  <c r="E161" i="8"/>
  <c r="N161" i="8" s="1"/>
  <c r="I161" i="8"/>
  <c r="H161" i="8"/>
  <c r="U161" i="8" s="1"/>
  <c r="L195" i="9"/>
  <c r="G195" i="9"/>
  <c r="O195" i="9" s="1"/>
  <c r="F195" i="9"/>
  <c r="E195" i="9"/>
  <c r="D195" i="9"/>
  <c r="M195" i="9" s="1"/>
  <c r="N195" i="9" s="1"/>
  <c r="Q250" i="8"/>
  <c r="N250" i="8"/>
  <c r="L250" i="8"/>
  <c r="K250" i="8"/>
  <c r="J250" i="8"/>
  <c r="F250" i="8"/>
  <c r="E250" i="8"/>
  <c r="P195" i="9" l="1"/>
  <c r="Q195" i="9" s="1"/>
  <c r="R195" i="9" s="1"/>
  <c r="O250" i="8"/>
  <c r="P250" i="8" s="1"/>
  <c r="R250" i="8"/>
  <c r="S250" i="8" s="1"/>
  <c r="V161" i="8" l="1"/>
  <c r="O161" i="8"/>
  <c r="Q161" i="8"/>
  <c r="R161" i="8" s="1"/>
  <c r="T250" i="8"/>
  <c r="W161" i="8" l="1"/>
  <c r="S161" i="8"/>
  <c r="L33" i="9"/>
  <c r="L30" i="9"/>
  <c r="G33" i="9" l="1"/>
  <c r="E33" i="9"/>
  <c r="N33" i="9" s="1"/>
  <c r="Q33" i="9"/>
  <c r="T43" i="8"/>
  <c r="K43" i="8"/>
  <c r="J43" i="8"/>
  <c r="I43" i="8"/>
  <c r="H43" i="8"/>
  <c r="G43" i="8"/>
  <c r="F43" i="8"/>
  <c r="E43" i="8"/>
  <c r="U43" i="8" l="1"/>
  <c r="N43" i="8"/>
  <c r="O43" i="8" s="1"/>
  <c r="V43" i="8"/>
  <c r="W43" i="8" s="1"/>
  <c r="Q43" i="8"/>
  <c r="R43" i="8" s="1"/>
  <c r="R33" i="9"/>
  <c r="S43" i="8" l="1"/>
  <c r="O32" i="9"/>
  <c r="L32" i="9"/>
  <c r="G32" i="9"/>
  <c r="F32" i="9"/>
  <c r="E32" i="9"/>
  <c r="D32" i="9"/>
  <c r="O31" i="9"/>
  <c r="L31" i="9"/>
  <c r="G31" i="9"/>
  <c r="F31" i="9"/>
  <c r="E31" i="9"/>
  <c r="D31" i="9"/>
  <c r="P42" i="8"/>
  <c r="T42" i="8" s="1"/>
  <c r="M42" i="8"/>
  <c r="K42" i="8"/>
  <c r="J42" i="8"/>
  <c r="I42" i="8"/>
  <c r="H42" i="8"/>
  <c r="F42" i="8"/>
  <c r="E42" i="8"/>
  <c r="P41" i="8"/>
  <c r="T41" i="8" s="1"/>
  <c r="M41" i="8"/>
  <c r="K41" i="8"/>
  <c r="J41" i="8"/>
  <c r="I41" i="8"/>
  <c r="H41" i="8"/>
  <c r="F41" i="8"/>
  <c r="E41" i="8"/>
  <c r="U42" i="8" l="1"/>
  <c r="V42" i="8" s="1"/>
  <c r="W42" i="8" s="1"/>
  <c r="M32" i="9"/>
  <c r="N32" i="9" s="1"/>
  <c r="U41" i="8"/>
  <c r="V41" i="8" s="1"/>
  <c r="N41" i="8"/>
  <c r="O41" i="8" s="1"/>
  <c r="N42" i="8"/>
  <c r="O42" i="8" s="1"/>
  <c r="M31" i="9"/>
  <c r="N31" i="9" s="1"/>
  <c r="P32" i="9"/>
  <c r="Q32" i="9" s="1"/>
  <c r="R32" i="9" s="1"/>
  <c r="P31" i="9"/>
  <c r="Q31" i="9" s="1"/>
  <c r="Q41" i="8"/>
  <c r="R41" i="8" s="1"/>
  <c r="Q42" i="8"/>
  <c r="R42" i="8" s="1"/>
  <c r="S42" i="8" l="1"/>
  <c r="W41" i="8"/>
  <c r="S41" i="8"/>
  <c r="R31" i="9"/>
  <c r="F249" i="8" l="1"/>
  <c r="F248" i="8"/>
  <c r="P180" i="8" l="1"/>
  <c r="K180" i="8"/>
  <c r="M180" i="8"/>
  <c r="O194" i="9"/>
  <c r="L194" i="9"/>
  <c r="G194" i="9"/>
  <c r="F194" i="9"/>
  <c r="E194" i="9"/>
  <c r="D194" i="9"/>
  <c r="L180" i="9"/>
  <c r="F180" i="9"/>
  <c r="E180" i="9"/>
  <c r="D180" i="9"/>
  <c r="J249" i="8"/>
  <c r="N249" i="8"/>
  <c r="Q249" i="8" s="1"/>
  <c r="L249" i="8"/>
  <c r="K249" i="8"/>
  <c r="E249" i="8"/>
  <c r="N248" i="8"/>
  <c r="Q248" i="8" s="1"/>
  <c r="L248" i="8"/>
  <c r="K248" i="8"/>
  <c r="J248" i="8"/>
  <c r="E248" i="8"/>
  <c r="M232" i="8"/>
  <c r="P232" i="8" s="1"/>
  <c r="K232" i="8"/>
  <c r="J232" i="8"/>
  <c r="F232" i="8"/>
  <c r="E232" i="8"/>
  <c r="L193" i="9"/>
  <c r="O193" i="9" s="1"/>
  <c r="G193" i="9"/>
  <c r="F193" i="9"/>
  <c r="E193" i="9"/>
  <c r="D193" i="9"/>
  <c r="G247" i="8"/>
  <c r="F247" i="8"/>
  <c r="O248" i="8" l="1"/>
  <c r="P248" i="8" s="1"/>
  <c r="M194" i="9"/>
  <c r="N194" i="9" s="1"/>
  <c r="N232" i="8"/>
  <c r="O232" i="8" s="1"/>
  <c r="M180" i="9"/>
  <c r="N180" i="9" s="1"/>
  <c r="M193" i="9"/>
  <c r="P193" i="9" s="1"/>
  <c r="Q193" i="9" s="1"/>
  <c r="P194" i="9"/>
  <c r="Q194" i="9" s="1"/>
  <c r="R194" i="9" s="1"/>
  <c r="O249" i="8"/>
  <c r="P249" i="8" s="1"/>
  <c r="R249" i="8"/>
  <c r="S249" i="8" s="1"/>
  <c r="R248" i="8"/>
  <c r="S248" i="8" s="1"/>
  <c r="Q232" i="8"/>
  <c r="R232" i="8" s="1"/>
  <c r="T248" i="8" l="1"/>
  <c r="T249" i="8"/>
  <c r="N193" i="9"/>
  <c r="R193" i="9" s="1"/>
  <c r="S232" i="8"/>
  <c r="N247" i="8"/>
  <c r="Q247" i="8"/>
  <c r="K247" i="8"/>
  <c r="L247" i="8" l="1"/>
  <c r="J247" i="8"/>
  <c r="E247" i="8"/>
  <c r="E127" i="9"/>
  <c r="D127" i="9"/>
  <c r="L127" i="9"/>
  <c r="F127" i="9"/>
  <c r="I147" i="8"/>
  <c r="L157" i="9"/>
  <c r="O157" i="9" s="1"/>
  <c r="G157" i="9"/>
  <c r="F157" i="9"/>
  <c r="E157" i="9"/>
  <c r="D157" i="9"/>
  <c r="L156" i="9"/>
  <c r="O156" i="9" s="1"/>
  <c r="G156" i="9"/>
  <c r="F156" i="9"/>
  <c r="E156" i="9"/>
  <c r="D156" i="9"/>
  <c r="J180" i="8"/>
  <c r="X180" i="8"/>
  <c r="F180" i="8"/>
  <c r="E180" i="8"/>
  <c r="I180" i="8"/>
  <c r="H180" i="8"/>
  <c r="P179" i="8"/>
  <c r="T179" i="8" s="1"/>
  <c r="E179" i="8"/>
  <c r="M179" i="8"/>
  <c r="K179" i="8"/>
  <c r="J179" i="8"/>
  <c r="F179" i="8"/>
  <c r="I179" i="8"/>
  <c r="H179" i="8"/>
  <c r="P178" i="8"/>
  <c r="T178" i="8" s="1"/>
  <c r="M178" i="8"/>
  <c r="K178" i="8"/>
  <c r="J178" i="8"/>
  <c r="F178" i="8"/>
  <c r="E178" i="8"/>
  <c r="I178" i="8"/>
  <c r="H178" i="8"/>
  <c r="I146" i="8"/>
  <c r="H145" i="8"/>
  <c r="I145" i="8"/>
  <c r="R247" i="8" l="1"/>
  <c r="S247" i="8" s="1"/>
  <c r="O247" i="8"/>
  <c r="P247" i="8" s="1"/>
  <c r="P127" i="9"/>
  <c r="Q127" i="9" s="1"/>
  <c r="M127" i="9"/>
  <c r="N127" i="9" s="1"/>
  <c r="R127" i="9" s="1"/>
  <c r="M157" i="9"/>
  <c r="N157" i="9" s="1"/>
  <c r="M156" i="9"/>
  <c r="N156" i="9" s="1"/>
  <c r="N179" i="8"/>
  <c r="O179" i="8" s="1"/>
  <c r="Y178" i="8"/>
  <c r="Y179" i="8"/>
  <c r="U178" i="8"/>
  <c r="X178" i="8"/>
  <c r="U179" i="8"/>
  <c r="V179" i="8" s="1"/>
  <c r="P157" i="9"/>
  <c r="Q157" i="9" s="1"/>
  <c r="R157" i="9" s="1"/>
  <c r="P156" i="9"/>
  <c r="Q156" i="9" s="1"/>
  <c r="Q180" i="8"/>
  <c r="R180" i="8" s="1"/>
  <c r="Y180" i="8"/>
  <c r="Z180" i="8" s="1"/>
  <c r="N180" i="8"/>
  <c r="O180" i="8" s="1"/>
  <c r="T180" i="8"/>
  <c r="U180" i="8"/>
  <c r="X179" i="8"/>
  <c r="Q179" i="8"/>
  <c r="R179" i="8" s="1"/>
  <c r="N178" i="8"/>
  <c r="O178" i="8" s="1"/>
  <c r="Q178" i="8"/>
  <c r="R178" i="8" s="1"/>
  <c r="I144" i="8"/>
  <c r="H144" i="8"/>
  <c r="D141" i="8"/>
  <c r="Z178" i="8" l="1"/>
  <c r="T247" i="8"/>
  <c r="R156" i="9"/>
  <c r="AA178" i="8"/>
  <c r="Z179" i="8"/>
  <c r="AA179" i="8" s="1"/>
  <c r="S178" i="8"/>
  <c r="E147" i="8"/>
  <c r="H147" i="8"/>
  <c r="J147" i="8"/>
  <c r="M147" i="8"/>
  <c r="P147" i="8" s="1"/>
  <c r="G147" i="8"/>
  <c r="F147" i="8"/>
  <c r="AA180" i="8"/>
  <c r="S180" i="8"/>
  <c r="V180" i="8"/>
  <c r="W180" i="8" s="1"/>
  <c r="S179" i="8"/>
  <c r="W179" i="8"/>
  <c r="V178" i="8"/>
  <c r="W178" i="8" s="1"/>
  <c r="E146" i="8"/>
  <c r="F145" i="8"/>
  <c r="G146" i="8"/>
  <c r="J145" i="8"/>
  <c r="H146" i="8"/>
  <c r="M145" i="8"/>
  <c r="P145" i="8" s="1"/>
  <c r="M146" i="8"/>
  <c r="P146" i="8" s="1"/>
  <c r="J146" i="8"/>
  <c r="F146" i="8"/>
  <c r="E145" i="8"/>
  <c r="E144" i="8"/>
  <c r="J144" i="8"/>
  <c r="M144" i="8"/>
  <c r="P144" i="8" s="1"/>
  <c r="F144" i="8"/>
  <c r="N147" i="8" l="1"/>
  <c r="U147" i="8"/>
  <c r="Y147" i="8"/>
  <c r="T147" i="8"/>
  <c r="X147" i="8"/>
  <c r="N145" i="8"/>
  <c r="Y145" i="8"/>
  <c r="U145" i="8"/>
  <c r="X145" i="8"/>
  <c r="T145" i="8"/>
  <c r="U144" i="8"/>
  <c r="N144" i="8"/>
  <c r="Y144" i="8"/>
  <c r="T146" i="8"/>
  <c r="X146" i="8"/>
  <c r="X144" i="8"/>
  <c r="T144" i="8"/>
  <c r="Y146" i="8"/>
  <c r="N146" i="8"/>
  <c r="U146" i="8"/>
  <c r="Z144" i="8" l="1"/>
  <c r="V147" i="8"/>
  <c r="Z146" i="8"/>
  <c r="Z147" i="8"/>
  <c r="V144" i="8"/>
  <c r="Z145" i="8"/>
  <c r="O147" i="8"/>
  <c r="Q147" i="8"/>
  <c r="R147" i="8" s="1"/>
  <c r="W147" i="8" s="1"/>
  <c r="V146" i="8"/>
  <c r="V145" i="8"/>
  <c r="Q146" i="8"/>
  <c r="R146" i="8" s="1"/>
  <c r="O146" i="8"/>
  <c r="O144" i="8"/>
  <c r="Q144" i="8"/>
  <c r="R144" i="8" s="1"/>
  <c r="W144" i="8" s="1"/>
  <c r="AA146" i="8"/>
  <c r="Q145" i="8"/>
  <c r="R145" i="8" s="1"/>
  <c r="O145" i="8"/>
  <c r="W146" i="8" l="1"/>
  <c r="S145" i="8"/>
  <c r="AA144" i="8"/>
  <c r="S147" i="8"/>
  <c r="AA147" i="8"/>
  <c r="W145" i="8"/>
  <c r="AA145" i="8"/>
  <c r="S144" i="8"/>
  <c r="S146" i="8"/>
  <c r="E28" i="9" l="1"/>
  <c r="E42" i="9"/>
  <c r="E11" i="9"/>
  <c r="E10" i="9"/>
  <c r="M30" i="9" l="1"/>
  <c r="G30" i="9"/>
  <c r="P30" i="9" s="1"/>
  <c r="M40" i="8"/>
  <c r="N40" i="8"/>
  <c r="K40" i="8"/>
  <c r="Q40" i="8" s="1"/>
  <c r="U40" i="8" s="1"/>
  <c r="N38" i="8"/>
  <c r="M38" i="8"/>
  <c r="O30" i="9" l="1"/>
  <c r="Q30" i="9" s="1"/>
  <c r="P40" i="8"/>
  <c r="T40" i="8" s="1"/>
  <c r="V40" i="8" s="1"/>
  <c r="N30" i="9"/>
  <c r="O40" i="8"/>
  <c r="L114" i="9"/>
  <c r="O114" i="9" s="1"/>
  <c r="F114" i="9"/>
  <c r="E114" i="9"/>
  <c r="D114" i="9"/>
  <c r="P91" i="9"/>
  <c r="O91" i="9"/>
  <c r="M91" i="9"/>
  <c r="N91" i="9" s="1"/>
  <c r="L68" i="9"/>
  <c r="H68" i="9"/>
  <c r="G68" i="9"/>
  <c r="F68" i="9"/>
  <c r="E68" i="9"/>
  <c r="D68" i="9"/>
  <c r="O67" i="9"/>
  <c r="H67" i="9"/>
  <c r="G67" i="9"/>
  <c r="F67" i="9"/>
  <c r="E67" i="9"/>
  <c r="D67" i="9"/>
  <c r="L54" i="9"/>
  <c r="H54" i="9"/>
  <c r="G54" i="9"/>
  <c r="F54" i="9"/>
  <c r="E54" i="9"/>
  <c r="D54" i="9"/>
  <c r="R53" i="9"/>
  <c r="H53" i="9"/>
  <c r="G53" i="9"/>
  <c r="F53" i="9"/>
  <c r="E53" i="9"/>
  <c r="D53" i="9"/>
  <c r="G44" i="9"/>
  <c r="O44" i="9" s="1"/>
  <c r="Q44" i="9" s="1"/>
  <c r="R44" i="9" s="1"/>
  <c r="L43" i="9"/>
  <c r="G43" i="9"/>
  <c r="F43" i="9"/>
  <c r="E43" i="9"/>
  <c r="D43" i="9"/>
  <c r="L42" i="9"/>
  <c r="G42" i="9"/>
  <c r="F42" i="9"/>
  <c r="D42" i="9"/>
  <c r="O41" i="9"/>
  <c r="G41" i="9"/>
  <c r="F41" i="9"/>
  <c r="E41" i="9"/>
  <c r="D41" i="9"/>
  <c r="L40" i="9"/>
  <c r="G40" i="9"/>
  <c r="F40" i="9"/>
  <c r="E40" i="9"/>
  <c r="D40" i="9"/>
  <c r="P29" i="9"/>
  <c r="O29" i="9"/>
  <c r="M29" i="9"/>
  <c r="L29" i="9"/>
  <c r="L28" i="9"/>
  <c r="G28" i="9"/>
  <c r="F28" i="9"/>
  <c r="D28" i="9"/>
  <c r="O27" i="9"/>
  <c r="G27" i="9"/>
  <c r="F27" i="9"/>
  <c r="E27" i="9"/>
  <c r="D27" i="9"/>
  <c r="L26" i="9"/>
  <c r="G26" i="9"/>
  <c r="F26" i="9"/>
  <c r="E26" i="9"/>
  <c r="D26" i="9"/>
  <c r="P16" i="9"/>
  <c r="O16" i="9"/>
  <c r="M16" i="9"/>
  <c r="N16" i="9" s="1"/>
  <c r="L15" i="9"/>
  <c r="O15" i="9" s="1"/>
  <c r="D15" i="9"/>
  <c r="M15" i="9" s="1"/>
  <c r="L14" i="9"/>
  <c r="O14" i="9" s="1"/>
  <c r="F14" i="9"/>
  <c r="E14" i="9"/>
  <c r="D14" i="9"/>
  <c r="L13" i="9"/>
  <c r="O13" i="9" s="1"/>
  <c r="F13" i="9"/>
  <c r="E13" i="9"/>
  <c r="D13" i="9"/>
  <c r="L12" i="9"/>
  <c r="O12" i="9" s="1"/>
  <c r="F12" i="9"/>
  <c r="E12" i="9"/>
  <c r="D12" i="9"/>
  <c r="L11" i="9"/>
  <c r="O11" i="9" s="1"/>
  <c r="F11" i="9"/>
  <c r="D11" i="9"/>
  <c r="L10" i="9"/>
  <c r="F10" i="9"/>
  <c r="D10" i="9"/>
  <c r="L9" i="9"/>
  <c r="O9" i="9" s="1"/>
  <c r="F9" i="9"/>
  <c r="E9" i="9"/>
  <c r="D9" i="9"/>
  <c r="L8" i="9"/>
  <c r="O8" i="9" s="1"/>
  <c r="F8" i="9"/>
  <c r="E8" i="9"/>
  <c r="D8" i="9"/>
  <c r="P109" i="8"/>
  <c r="R89" i="8"/>
  <c r="V89" i="8" s="1"/>
  <c r="O89" i="8"/>
  <c r="M89" i="8"/>
  <c r="K89" i="8"/>
  <c r="J89" i="8"/>
  <c r="I89" i="8"/>
  <c r="H89" i="8"/>
  <c r="F89" i="8"/>
  <c r="E89" i="8"/>
  <c r="R88" i="8"/>
  <c r="V88" i="8" s="1"/>
  <c r="O88" i="8"/>
  <c r="M88" i="8"/>
  <c r="K88" i="8"/>
  <c r="J88" i="8"/>
  <c r="I88" i="8"/>
  <c r="H88" i="8"/>
  <c r="G88" i="8"/>
  <c r="F88" i="8"/>
  <c r="E88" i="8"/>
  <c r="R87" i="8"/>
  <c r="V87" i="8" s="1"/>
  <c r="O87" i="8"/>
  <c r="M87" i="8"/>
  <c r="K87" i="8"/>
  <c r="J87" i="8"/>
  <c r="I87" i="8"/>
  <c r="H87" i="8"/>
  <c r="G87" i="8"/>
  <c r="F87" i="8"/>
  <c r="R86" i="8"/>
  <c r="V86" i="8" s="1"/>
  <c r="O86" i="8"/>
  <c r="M86" i="8"/>
  <c r="K86" i="8"/>
  <c r="J86" i="8"/>
  <c r="I86" i="8"/>
  <c r="H86" i="8"/>
  <c r="G86" i="8"/>
  <c r="F86" i="8"/>
  <c r="E86" i="8"/>
  <c r="R75" i="8"/>
  <c r="V75" i="8" s="1"/>
  <c r="O75" i="8"/>
  <c r="M75" i="8"/>
  <c r="K75" i="8"/>
  <c r="J75" i="8"/>
  <c r="I75" i="8"/>
  <c r="H75" i="8"/>
  <c r="G75" i="8"/>
  <c r="F75" i="8"/>
  <c r="R74" i="8"/>
  <c r="V74" i="8" s="1"/>
  <c r="O74" i="8"/>
  <c r="M74" i="8"/>
  <c r="K74" i="8"/>
  <c r="J74" i="8"/>
  <c r="I74" i="8"/>
  <c r="H74" i="8"/>
  <c r="G74" i="8"/>
  <c r="F74" i="8"/>
  <c r="E74" i="8"/>
  <c r="P61" i="8"/>
  <c r="T61" i="8" s="1"/>
  <c r="N61" i="8"/>
  <c r="M61" i="8"/>
  <c r="K61" i="8"/>
  <c r="Y61" i="8" s="1"/>
  <c r="P60" i="8"/>
  <c r="X60" i="8" s="1"/>
  <c r="M60" i="8"/>
  <c r="K60" i="8"/>
  <c r="J60" i="8"/>
  <c r="I60" i="8"/>
  <c r="H60" i="8"/>
  <c r="G60" i="8"/>
  <c r="F60" i="8"/>
  <c r="E60" i="8"/>
  <c r="P59" i="8"/>
  <c r="X59" i="8" s="1"/>
  <c r="M59" i="8"/>
  <c r="K59" i="8"/>
  <c r="J59" i="8"/>
  <c r="I59" i="8"/>
  <c r="H59" i="8"/>
  <c r="G59" i="8"/>
  <c r="F59" i="8"/>
  <c r="E59" i="8"/>
  <c r="P58" i="8"/>
  <c r="X58" i="8" s="1"/>
  <c r="M58" i="8"/>
  <c r="K58" i="8"/>
  <c r="J58" i="8"/>
  <c r="I58" i="8"/>
  <c r="H58" i="8"/>
  <c r="G58" i="8"/>
  <c r="F58" i="8"/>
  <c r="P57" i="8"/>
  <c r="T57" i="8" s="1"/>
  <c r="N57" i="8"/>
  <c r="M57" i="8"/>
  <c r="K57" i="8"/>
  <c r="P56" i="8"/>
  <c r="T56" i="8" s="1"/>
  <c r="M56" i="8"/>
  <c r="K56" i="8"/>
  <c r="J56" i="8"/>
  <c r="I56" i="8"/>
  <c r="H56" i="8"/>
  <c r="G56" i="8"/>
  <c r="F56" i="8"/>
  <c r="E56" i="8"/>
  <c r="P55" i="8"/>
  <c r="T55" i="8" s="1"/>
  <c r="M55" i="8"/>
  <c r="K55" i="8"/>
  <c r="J55" i="8"/>
  <c r="I55" i="8"/>
  <c r="H55" i="8"/>
  <c r="G55" i="8"/>
  <c r="F55" i="8"/>
  <c r="P54" i="8"/>
  <c r="X54" i="8" s="1"/>
  <c r="M54" i="8"/>
  <c r="K54" i="8"/>
  <c r="J54" i="8"/>
  <c r="I54" i="8"/>
  <c r="H54" i="8"/>
  <c r="G54" i="8"/>
  <c r="F54" i="8"/>
  <c r="E54" i="8"/>
  <c r="P53" i="8"/>
  <c r="X53" i="8" s="1"/>
  <c r="M53" i="8"/>
  <c r="K53" i="8"/>
  <c r="J53" i="8"/>
  <c r="I53" i="8"/>
  <c r="H53" i="8"/>
  <c r="G53" i="8"/>
  <c r="F53" i="8"/>
  <c r="E53" i="8"/>
  <c r="P52" i="8"/>
  <c r="X52" i="8" s="1"/>
  <c r="M52" i="8"/>
  <c r="K52" i="8"/>
  <c r="J52" i="8"/>
  <c r="I52" i="8"/>
  <c r="H52" i="8"/>
  <c r="G52" i="8"/>
  <c r="F52" i="8"/>
  <c r="E52" i="8"/>
  <c r="P39" i="8"/>
  <c r="T39" i="8" s="1"/>
  <c r="M39" i="8"/>
  <c r="K39" i="8"/>
  <c r="J39" i="8"/>
  <c r="E39" i="8"/>
  <c r="Q38" i="8"/>
  <c r="P38" i="8"/>
  <c r="T38" i="8" s="1"/>
  <c r="P37" i="8"/>
  <c r="T37" i="8" s="1"/>
  <c r="N37" i="8"/>
  <c r="M37" i="8"/>
  <c r="K37" i="8"/>
  <c r="U37" i="8" s="1"/>
  <c r="P36" i="8"/>
  <c r="T36" i="8" s="1"/>
  <c r="N36" i="8"/>
  <c r="K36" i="8"/>
  <c r="U36" i="8" s="1"/>
  <c r="P35" i="8"/>
  <c r="T35" i="8" s="1"/>
  <c r="M35" i="8"/>
  <c r="K35" i="8"/>
  <c r="J35" i="8"/>
  <c r="I35" i="8"/>
  <c r="H35" i="8"/>
  <c r="G35" i="8"/>
  <c r="F35" i="8"/>
  <c r="P34" i="8"/>
  <c r="T34" i="8" s="1"/>
  <c r="M34" i="8"/>
  <c r="K34" i="8"/>
  <c r="J34" i="8"/>
  <c r="I34" i="8"/>
  <c r="H34" i="8"/>
  <c r="G34" i="8"/>
  <c r="F34" i="8"/>
  <c r="P33" i="8"/>
  <c r="T33" i="8" s="1"/>
  <c r="M33" i="8"/>
  <c r="K33" i="8"/>
  <c r="J33" i="8"/>
  <c r="I33" i="8"/>
  <c r="H33" i="8"/>
  <c r="G33" i="8"/>
  <c r="F33" i="8"/>
  <c r="E33" i="8"/>
  <c r="P32" i="8"/>
  <c r="T32" i="8" s="1"/>
  <c r="M32" i="8"/>
  <c r="K32" i="8"/>
  <c r="J32" i="8"/>
  <c r="I32" i="8"/>
  <c r="H32" i="8"/>
  <c r="G32" i="8"/>
  <c r="F32" i="8"/>
  <c r="E32" i="8"/>
  <c r="P31" i="8"/>
  <c r="T31" i="8" s="1"/>
  <c r="M31" i="8"/>
  <c r="K31" i="8"/>
  <c r="J31" i="8"/>
  <c r="I31" i="8"/>
  <c r="H31" i="8"/>
  <c r="G31" i="8"/>
  <c r="F31" i="8"/>
  <c r="E31" i="8"/>
  <c r="P30" i="8"/>
  <c r="T30" i="8" s="1"/>
  <c r="M30" i="8"/>
  <c r="K30" i="8"/>
  <c r="J30" i="8"/>
  <c r="I30" i="8"/>
  <c r="H30" i="8"/>
  <c r="G30" i="8"/>
  <c r="F30" i="8"/>
  <c r="E30" i="8"/>
  <c r="P29" i="8"/>
  <c r="T29" i="8" s="1"/>
  <c r="M29" i="8"/>
  <c r="K29" i="8"/>
  <c r="J29" i="8"/>
  <c r="I29" i="8"/>
  <c r="H29" i="8"/>
  <c r="G29" i="8"/>
  <c r="F29" i="8"/>
  <c r="E29" i="8"/>
  <c r="N21" i="8"/>
  <c r="O21" i="8" s="1"/>
  <c r="S21" i="8" s="1"/>
  <c r="I20" i="8"/>
  <c r="O18" i="8"/>
  <c r="S18" i="8" s="1"/>
  <c r="I17" i="8"/>
  <c r="H17" i="8"/>
  <c r="I16" i="8"/>
  <c r="H16" i="8"/>
  <c r="I15" i="8"/>
  <c r="N14" i="8"/>
  <c r="I13" i="8"/>
  <c r="I12" i="8"/>
  <c r="I11" i="8"/>
  <c r="I10" i="8"/>
  <c r="I9" i="8"/>
  <c r="J8" i="8"/>
  <c r="I8" i="8"/>
  <c r="D5" i="8"/>
  <c r="R40" i="8" l="1"/>
  <c r="O57" i="8"/>
  <c r="O68" i="9"/>
  <c r="M11" i="9"/>
  <c r="N11" i="9" s="1"/>
  <c r="Q91" i="9"/>
  <c r="Q29" i="9"/>
  <c r="P12" i="9"/>
  <c r="Q12" i="9" s="1"/>
  <c r="O26" i="9"/>
  <c r="O28" i="9"/>
  <c r="J9" i="8"/>
  <c r="T10" i="8"/>
  <c r="X61" i="8"/>
  <c r="Z61" i="8" s="1"/>
  <c r="W40" i="8"/>
  <c r="U34" i="8"/>
  <c r="V34" i="8" s="1"/>
  <c r="X57" i="8"/>
  <c r="S89" i="8"/>
  <c r="T89" i="8" s="1"/>
  <c r="U59" i="8"/>
  <c r="T15" i="8"/>
  <c r="V37" i="8"/>
  <c r="R30" i="9"/>
  <c r="S40" i="8"/>
  <c r="H15" i="8"/>
  <c r="N33" i="8"/>
  <c r="O33" i="8" s="1"/>
  <c r="Q36" i="8"/>
  <c r="R36" i="8" s="1"/>
  <c r="S36" i="8" s="1"/>
  <c r="Q109" i="8"/>
  <c r="S109" i="8"/>
  <c r="T109" i="8" s="1"/>
  <c r="P13" i="9"/>
  <c r="P14" i="9"/>
  <c r="M42" i="9"/>
  <c r="N42" i="9" s="1"/>
  <c r="O43" i="9"/>
  <c r="P54" i="9"/>
  <c r="M12" i="8"/>
  <c r="J16" i="8"/>
  <c r="E20" i="8"/>
  <c r="Q34" i="8"/>
  <c r="R34" i="8" s="1"/>
  <c r="R38" i="8"/>
  <c r="Q60" i="8"/>
  <c r="R60" i="8" s="1"/>
  <c r="P15" i="9"/>
  <c r="Q15" i="9" s="1"/>
  <c r="S75" i="8"/>
  <c r="T75" i="8" s="1"/>
  <c r="M26" i="9"/>
  <c r="N26" i="9" s="1"/>
  <c r="R91" i="9"/>
  <c r="E16" i="8"/>
  <c r="T19" i="8"/>
  <c r="Q31" i="8"/>
  <c r="R31" i="8" s="1"/>
  <c r="U31" i="8"/>
  <c r="V31" i="8" s="1"/>
  <c r="Q33" i="8"/>
  <c r="R33" i="8" s="1"/>
  <c r="U39" i="8"/>
  <c r="V39" i="8" s="1"/>
  <c r="U60" i="8"/>
  <c r="S86" i="8"/>
  <c r="T86" i="8" s="1"/>
  <c r="P11" i="9"/>
  <c r="Q11" i="9" s="1"/>
  <c r="M14" i="9"/>
  <c r="N14" i="9" s="1"/>
  <c r="N15" i="9"/>
  <c r="N29" i="9"/>
  <c r="O40" i="9"/>
  <c r="P114" i="9"/>
  <c r="Q114" i="9" s="1"/>
  <c r="N54" i="8"/>
  <c r="O54" i="8" s="1"/>
  <c r="N55" i="8"/>
  <c r="O55" i="8" s="1"/>
  <c r="W75" i="8"/>
  <c r="X75" i="8" s="1"/>
  <c r="P86" i="8"/>
  <c r="Q86" i="8" s="1"/>
  <c r="W87" i="8"/>
  <c r="X87" i="8" s="1"/>
  <c r="P87" i="8"/>
  <c r="Q87" i="8" s="1"/>
  <c r="P89" i="8"/>
  <c r="Q89" i="8" s="1"/>
  <c r="M8" i="9"/>
  <c r="P8" i="9" s="1"/>
  <c r="Q8" i="9" s="1"/>
  <c r="Q14" i="9"/>
  <c r="O42" i="9"/>
  <c r="O54" i="9"/>
  <c r="W88" i="8"/>
  <c r="X88" i="8" s="1"/>
  <c r="U29" i="8"/>
  <c r="V29" i="8" s="1"/>
  <c r="F11" i="8"/>
  <c r="X12" i="8"/>
  <c r="T17" i="8"/>
  <c r="U33" i="8"/>
  <c r="V33" i="8" s="1"/>
  <c r="Q35" i="8"/>
  <c r="R35" i="8" s="1"/>
  <c r="O38" i="8"/>
  <c r="U58" i="8"/>
  <c r="N59" i="8"/>
  <c r="O59" i="8" s="1"/>
  <c r="W74" i="8"/>
  <c r="X74" i="8" s="1"/>
  <c r="W89" i="8"/>
  <c r="X89" i="8" s="1"/>
  <c r="P9" i="9"/>
  <c r="Q9" i="9" s="1"/>
  <c r="Q16" i="9"/>
  <c r="R16" i="9" s="1"/>
  <c r="Q29" i="8"/>
  <c r="R29" i="8" s="1"/>
  <c r="Q39" i="8"/>
  <c r="R39" i="8" s="1"/>
  <c r="N29" i="8"/>
  <c r="O29" i="8" s="1"/>
  <c r="N31" i="8"/>
  <c r="O31" i="8" s="1"/>
  <c r="Y58" i="8"/>
  <c r="Z58" i="8" s="1"/>
  <c r="Y21" i="8"/>
  <c r="U21" i="8"/>
  <c r="X20" i="8"/>
  <c r="T20" i="8"/>
  <c r="M20" i="8"/>
  <c r="G20" i="8"/>
  <c r="E19" i="8"/>
  <c r="U19" i="8" s="1"/>
  <c r="X18" i="8"/>
  <c r="T18" i="8"/>
  <c r="E17" i="8"/>
  <c r="X16" i="8"/>
  <c r="T16" i="8"/>
  <c r="M16" i="8"/>
  <c r="G16" i="8"/>
  <c r="E15" i="8"/>
  <c r="X14" i="8"/>
  <c r="T14" i="8"/>
  <c r="M14" i="8"/>
  <c r="O14" i="8" s="1"/>
  <c r="S14" i="8" s="1"/>
  <c r="X13" i="8"/>
  <c r="T13" i="8"/>
  <c r="M13" i="8"/>
  <c r="G13" i="8"/>
  <c r="E12" i="8"/>
  <c r="X11" i="8"/>
  <c r="T11" i="8"/>
  <c r="M11" i="8"/>
  <c r="G11" i="8"/>
  <c r="H10" i="8"/>
  <c r="E8" i="8"/>
  <c r="H20" i="8"/>
  <c r="J19" i="8"/>
  <c r="Y18" i="8"/>
  <c r="Z18" i="8" s="1"/>
  <c r="AA18" i="8" s="1"/>
  <c r="U18" i="8"/>
  <c r="V18" i="8" s="1"/>
  <c r="W18" i="8" s="1"/>
  <c r="J17" i="8"/>
  <c r="F17" i="8"/>
  <c r="J15" i="8"/>
  <c r="F15" i="8"/>
  <c r="Y14" i="8"/>
  <c r="U14" i="8"/>
  <c r="H13" i="8"/>
  <c r="J12" i="8"/>
  <c r="F12" i="8"/>
  <c r="H11" i="8"/>
  <c r="E10" i="8"/>
  <c r="E9" i="8"/>
  <c r="F8" i="8"/>
  <c r="J10" i="8"/>
  <c r="J13" i="8"/>
  <c r="F16" i="8"/>
  <c r="U32" i="8"/>
  <c r="V32" i="8" s="1"/>
  <c r="N35" i="8"/>
  <c r="O35" i="8" s="1"/>
  <c r="U38" i="8"/>
  <c r="V38" i="8" s="1"/>
  <c r="Y52" i="8"/>
  <c r="Z52" i="8" s="1"/>
  <c r="Q52" i="8"/>
  <c r="R52" i="8" s="1"/>
  <c r="U52" i="8"/>
  <c r="M8" i="8"/>
  <c r="P8" i="8" s="1"/>
  <c r="F9" i="8"/>
  <c r="F10" i="8"/>
  <c r="X10" i="8"/>
  <c r="T12" i="8"/>
  <c r="M15" i="8"/>
  <c r="X17" i="8"/>
  <c r="U30" i="8"/>
  <c r="V30" i="8" s="1"/>
  <c r="X56" i="8"/>
  <c r="Q58" i="8"/>
  <c r="R58" i="8" s="1"/>
  <c r="Y60" i="8"/>
  <c r="Z60" i="8" s="1"/>
  <c r="M10" i="9"/>
  <c r="N10" i="9" s="1"/>
  <c r="R10" i="9" s="1"/>
  <c r="P68" i="9"/>
  <c r="Q68" i="9" s="1"/>
  <c r="M68" i="9"/>
  <c r="N68" i="9" s="1"/>
  <c r="M40" i="9"/>
  <c r="N40" i="9" s="1"/>
  <c r="P40" i="9"/>
  <c r="G12" i="8"/>
  <c r="F20" i="8"/>
  <c r="T21" i="8"/>
  <c r="Y59" i="8"/>
  <c r="Z59" i="8" s="1"/>
  <c r="M28" i="9"/>
  <c r="N28" i="9" s="1"/>
  <c r="P28" i="9"/>
  <c r="Q28" i="9" s="1"/>
  <c r="M43" i="9"/>
  <c r="N43" i="9" s="1"/>
  <c r="P43" i="9"/>
  <c r="G8" i="8"/>
  <c r="M9" i="8"/>
  <c r="P9" i="8" s="1"/>
  <c r="M10" i="8"/>
  <c r="J11" i="8"/>
  <c r="H12" i="8"/>
  <c r="E13" i="8"/>
  <c r="X15" i="8"/>
  <c r="M17" i="8"/>
  <c r="M19" i="8"/>
  <c r="X19" i="8"/>
  <c r="Q32" i="8"/>
  <c r="R32" i="8" s="1"/>
  <c r="N34" i="8"/>
  <c r="O34" i="8" s="1"/>
  <c r="U35" i="8"/>
  <c r="V35" i="8" s="1"/>
  <c r="W35" i="8" s="1"/>
  <c r="Q37" i="8"/>
  <c r="R37" i="8" s="1"/>
  <c r="S37" i="8" s="1"/>
  <c r="N52" i="8"/>
  <c r="O52" i="8" s="1"/>
  <c r="Y53" i="8"/>
  <c r="Z53" i="8" s="1"/>
  <c r="Q53" i="8"/>
  <c r="R53" i="8" s="1"/>
  <c r="U53" i="8"/>
  <c r="H8" i="8"/>
  <c r="H9" i="8"/>
  <c r="G10" i="8"/>
  <c r="F13" i="8"/>
  <c r="G15" i="8"/>
  <c r="G17" i="8"/>
  <c r="J20" i="8"/>
  <c r="X21" i="8"/>
  <c r="Q30" i="8"/>
  <c r="R30" i="8" s="1"/>
  <c r="N53" i="8"/>
  <c r="O53" i="8" s="1"/>
  <c r="Y54" i="8"/>
  <c r="Z54" i="8" s="1"/>
  <c r="Q54" i="8"/>
  <c r="R54" i="8" s="1"/>
  <c r="U54" i="8"/>
  <c r="X55" i="8"/>
  <c r="Q59" i="8"/>
  <c r="R59" i="8" s="1"/>
  <c r="Q13" i="9"/>
  <c r="P41" i="9"/>
  <c r="Q41" i="9" s="1"/>
  <c r="R41" i="9" s="1"/>
  <c r="P42" i="9"/>
  <c r="Q42" i="9" s="1"/>
  <c r="N30" i="8"/>
  <c r="O30" i="8" s="1"/>
  <c r="N32" i="8"/>
  <c r="O32" i="8" s="1"/>
  <c r="N39" i="8"/>
  <c r="O39" i="8" s="1"/>
  <c r="Y55" i="8"/>
  <c r="Q56" i="8"/>
  <c r="R56" i="8" s="1"/>
  <c r="N56" i="8"/>
  <c r="O56" i="8" s="1"/>
  <c r="N58" i="8"/>
  <c r="O58" i="8" s="1"/>
  <c r="P74" i="8"/>
  <c r="Q74" i="8" s="1"/>
  <c r="W86" i="8"/>
  <c r="X86" i="8" s="1"/>
  <c r="P88" i="8"/>
  <c r="Q88" i="8" s="1"/>
  <c r="M9" i="9"/>
  <c r="N9" i="9" s="1"/>
  <c r="M12" i="9"/>
  <c r="N12" i="9" s="1"/>
  <c r="P67" i="9"/>
  <c r="Q67" i="9" s="1"/>
  <c r="R67" i="9" s="1"/>
  <c r="V36" i="8"/>
  <c r="Q55" i="8"/>
  <c r="R55" i="8" s="1"/>
  <c r="Y56" i="8"/>
  <c r="Y57" i="8"/>
  <c r="Z57" i="8" s="1"/>
  <c r="U57" i="8"/>
  <c r="V57" i="8" s="1"/>
  <c r="Q57" i="8"/>
  <c r="R57" i="8" s="1"/>
  <c r="N60" i="8"/>
  <c r="O60" i="8" s="1"/>
  <c r="S74" i="8"/>
  <c r="T74" i="8" s="1"/>
  <c r="P75" i="8"/>
  <c r="Q75" i="8" s="1"/>
  <c r="S87" i="8"/>
  <c r="T87" i="8" s="1"/>
  <c r="S88" i="8"/>
  <c r="T88" i="8" s="1"/>
  <c r="M13" i="9"/>
  <c r="N13" i="9" s="1"/>
  <c r="P26" i="9"/>
  <c r="Q26" i="9" s="1"/>
  <c r="R26" i="9" s="1"/>
  <c r="P27" i="9"/>
  <c r="Q27" i="9" s="1"/>
  <c r="R27" i="9" s="1"/>
  <c r="M54" i="9"/>
  <c r="N54" i="9" s="1"/>
  <c r="M114" i="9"/>
  <c r="N114" i="9" s="1"/>
  <c r="T53" i="8"/>
  <c r="U55" i="8"/>
  <c r="V55" i="8" s="1"/>
  <c r="W55" i="8" s="1"/>
  <c r="T59" i="8"/>
  <c r="T52" i="8"/>
  <c r="T54" i="8"/>
  <c r="U56" i="8"/>
  <c r="V56" i="8" s="1"/>
  <c r="T58" i="8"/>
  <c r="T60" i="8"/>
  <c r="Q61" i="8"/>
  <c r="R61" i="8" s="1"/>
  <c r="S61" i="8" s="1"/>
  <c r="U61" i="8"/>
  <c r="V61" i="8" s="1"/>
  <c r="V60" i="8" l="1"/>
  <c r="W38" i="8"/>
  <c r="R11" i="9"/>
  <c r="U109" i="8"/>
  <c r="AA52" i="8"/>
  <c r="W56" i="8"/>
  <c r="S57" i="8"/>
  <c r="W60" i="8"/>
  <c r="S35" i="8"/>
  <c r="U11" i="8"/>
  <c r="V11" i="8" s="1"/>
  <c r="W11" i="8" s="1"/>
  <c r="V14" i="8"/>
  <c r="W14" i="8" s="1"/>
  <c r="V54" i="8"/>
  <c r="W54" i="8" s="1"/>
  <c r="V59" i="8"/>
  <c r="W59" i="8" s="1"/>
  <c r="U88" i="8"/>
  <c r="U15" i="8"/>
  <c r="V15" i="8" s="1"/>
  <c r="W15" i="8" s="1"/>
  <c r="W33" i="8"/>
  <c r="W29" i="8"/>
  <c r="Y89" i="8"/>
  <c r="W61" i="8"/>
  <c r="U87" i="8"/>
  <c r="S55" i="8"/>
  <c r="U75" i="8"/>
  <c r="Q43" i="9"/>
  <c r="R43" i="9" s="1"/>
  <c r="Q40" i="9"/>
  <c r="R40" i="9" s="1"/>
  <c r="R29" i="9"/>
  <c r="N8" i="9"/>
  <c r="R8" i="9" s="1"/>
  <c r="R114" i="9"/>
  <c r="R14" i="9"/>
  <c r="R9" i="9"/>
  <c r="R12" i="9"/>
  <c r="Q54" i="9"/>
  <c r="R54" i="9" s="1"/>
  <c r="Z14" i="8"/>
  <c r="AA14" i="8" s="1"/>
  <c r="U16" i="8"/>
  <c r="V16" i="8" s="1"/>
  <c r="W16" i="8" s="1"/>
  <c r="S38" i="8"/>
  <c r="U89" i="8"/>
  <c r="Z56" i="8"/>
  <c r="AA56" i="8" s="1"/>
  <c r="W36" i="8"/>
  <c r="Y19" i="8"/>
  <c r="Z19" i="8" s="1"/>
  <c r="AA19" i="8" s="1"/>
  <c r="Y75" i="8"/>
  <c r="V19" i="8"/>
  <c r="W19" i="8" s="1"/>
  <c r="S31" i="8"/>
  <c r="V58" i="8"/>
  <c r="W58" i="8" s="1"/>
  <c r="S33" i="8"/>
  <c r="S58" i="8"/>
  <c r="S60" i="8"/>
  <c r="R15" i="9"/>
  <c r="Y8" i="8"/>
  <c r="S59" i="8"/>
  <c r="Y13" i="8"/>
  <c r="Z13" i="8" s="1"/>
  <c r="AA13" i="8" s="1"/>
  <c r="U9" i="8"/>
  <c r="R42" i="9"/>
  <c r="AA60" i="8"/>
  <c r="Y17" i="8"/>
  <c r="Z17" i="8" s="1"/>
  <c r="AA17" i="8" s="1"/>
  <c r="Y15" i="8"/>
  <c r="Z15" i="8" s="1"/>
  <c r="AA15" i="8" s="1"/>
  <c r="U86" i="8"/>
  <c r="W31" i="8"/>
  <c r="N10" i="8"/>
  <c r="O10" i="8" s="1"/>
  <c r="S10" i="8" s="1"/>
  <c r="Y10" i="8"/>
  <c r="Z10" i="8" s="1"/>
  <c r="AA10" i="8" s="1"/>
  <c r="S29" i="8"/>
  <c r="U13" i="8"/>
  <c r="V13" i="8" s="1"/>
  <c r="W13" i="8" s="1"/>
  <c r="N20" i="8"/>
  <c r="O20" i="8" s="1"/>
  <c r="S20" i="8" s="1"/>
  <c r="S32" i="8"/>
  <c r="N11" i="8"/>
  <c r="O11" i="8" s="1"/>
  <c r="S11" i="8" s="1"/>
  <c r="Y86" i="8"/>
  <c r="S56" i="8"/>
  <c r="U12" i="8"/>
  <c r="V12" i="8" s="1"/>
  <c r="W12" i="8" s="1"/>
  <c r="Y20" i="8"/>
  <c r="Z20" i="8" s="1"/>
  <c r="AA20" i="8" s="1"/>
  <c r="Z55" i="8"/>
  <c r="AA55" i="8" s="1"/>
  <c r="R13" i="9"/>
  <c r="S54" i="8"/>
  <c r="Y12" i="8"/>
  <c r="Z12" i="8" s="1"/>
  <c r="AA12" i="8" s="1"/>
  <c r="N16" i="8"/>
  <c r="O16" i="8" s="1"/>
  <c r="S16" i="8" s="1"/>
  <c r="S39" i="8"/>
  <c r="V21" i="8"/>
  <c r="W21" i="8" s="1"/>
  <c r="V53" i="8"/>
  <c r="W53" i="8" s="1"/>
  <c r="U74" i="8"/>
  <c r="Y9" i="8"/>
  <c r="AA53" i="8"/>
  <c r="U8" i="8"/>
  <c r="R28" i="9"/>
  <c r="S52" i="8"/>
  <c r="S34" i="8"/>
  <c r="N9" i="8"/>
  <c r="Y11" i="8"/>
  <c r="Z11" i="8" s="1"/>
  <c r="AA11" i="8" s="1"/>
  <c r="N8" i="8"/>
  <c r="N12" i="8"/>
  <c r="O12" i="8" s="1"/>
  <c r="S12" i="8" s="1"/>
  <c r="N15" i="8"/>
  <c r="O15" i="8" s="1"/>
  <c r="S15" i="8" s="1"/>
  <c r="N19" i="8"/>
  <c r="O19" i="8" s="1"/>
  <c r="S19" i="8" s="1"/>
  <c r="AA61" i="8"/>
  <c r="Y88" i="8"/>
  <c r="N17" i="8"/>
  <c r="O17" i="8" s="1"/>
  <c r="S17" i="8" s="1"/>
  <c r="N13" i="8"/>
  <c r="O13" i="8" s="1"/>
  <c r="S13" i="8" s="1"/>
  <c r="Y87" i="8"/>
  <c r="R68" i="9"/>
  <c r="X8" i="8"/>
  <c r="T8" i="8"/>
  <c r="U20" i="8"/>
  <c r="V20" i="8" s="1"/>
  <c r="W20" i="8" s="1"/>
  <c r="U10" i="8"/>
  <c r="V10" i="8" s="1"/>
  <c r="W10" i="8" s="1"/>
  <c r="Z21" i="8"/>
  <c r="AA21" i="8" s="1"/>
  <c r="W37" i="8"/>
  <c r="W34" i="8"/>
  <c r="W39" i="8"/>
  <c r="S30" i="8"/>
  <c r="W32" i="8"/>
  <c r="AA58" i="8"/>
  <c r="W57" i="8"/>
  <c r="AA57" i="8"/>
  <c r="AA54" i="8"/>
  <c r="S53" i="8"/>
  <c r="X9" i="8"/>
  <c r="T9" i="8"/>
  <c r="AA59" i="8"/>
  <c r="W30" i="8"/>
  <c r="V52" i="8"/>
  <c r="W52" i="8" s="1"/>
  <c r="U17" i="8"/>
  <c r="V17" i="8" s="1"/>
  <c r="W17" i="8" s="1"/>
  <c r="Y16" i="8"/>
  <c r="Z16" i="8" s="1"/>
  <c r="AA16" i="8" s="1"/>
  <c r="Y74" i="8"/>
  <c r="V9" i="8" l="1"/>
  <c r="Z8" i="8"/>
  <c r="O8" i="8"/>
  <c r="Q8" i="8"/>
  <c r="R8" i="8" s="1"/>
  <c r="V8" i="8"/>
  <c r="Z9" i="8"/>
  <c r="O9" i="8"/>
  <c r="Q9" i="8"/>
  <c r="R9" i="8" s="1"/>
  <c r="W8" i="8" l="1"/>
  <c r="W9" i="8"/>
  <c r="S8" i="8"/>
  <c r="S9" i="8"/>
  <c r="AA9" i="8"/>
  <c r="AA8" i="8"/>
</calcChain>
</file>

<file path=xl/sharedStrings.xml><?xml version="1.0" encoding="utf-8"?>
<sst xmlns="http://schemas.openxmlformats.org/spreadsheetml/2006/main" count="6760" uniqueCount="1145">
  <si>
    <t>Date</t>
  </si>
  <si>
    <t>Version</t>
  </si>
  <si>
    <t>Company</t>
  </si>
  <si>
    <t>Comments</t>
  </si>
  <si>
    <t>2018.7.24</t>
  </si>
  <si>
    <t>Huawei</t>
  </si>
  <si>
    <t>Document created.</t>
  </si>
  <si>
    <t>2018.8.9</t>
  </si>
  <si>
    <t>Intel</t>
  </si>
  <si>
    <t>Result Updated (4GHz)</t>
  </si>
  <si>
    <t>2018.8.13</t>
  </si>
  <si>
    <t>Mediatek</t>
  </si>
  <si>
    <t>Result Updated</t>
  </si>
  <si>
    <t>2018.8.15</t>
  </si>
  <si>
    <t>Motorola Mobility/Lenovo</t>
  </si>
  <si>
    <t>2018.8.16</t>
  </si>
  <si>
    <t>CATT</t>
  </si>
  <si>
    <t>Ericsson</t>
  </si>
  <si>
    <t>Results added</t>
  </si>
  <si>
    <t>No changes, revision only to complete version numbers compatible between Indoor  and Rural spreadsheets</t>
  </si>
  <si>
    <t>2018.8.17</t>
  </si>
  <si>
    <t>NTT DOCOMO</t>
  </si>
  <si>
    <t>No change, revision only to complete version numbers</t>
  </si>
  <si>
    <t>LGE</t>
  </si>
  <si>
    <t>2018.8.18</t>
  </si>
  <si>
    <t>NEC</t>
  </si>
  <si>
    <t>ITRI</t>
  </si>
  <si>
    <t>CAICT</t>
  </si>
  <si>
    <t>Rural Result Updated</t>
  </si>
  <si>
    <t>OPPO</t>
  </si>
  <si>
    <t>CMCC</t>
  </si>
  <si>
    <t>2018.8.19</t>
  </si>
  <si>
    <t>ZTE</t>
  </si>
  <si>
    <t>Upload results for 4GHz</t>
  </si>
  <si>
    <t>2018.8.20</t>
  </si>
  <si>
    <t>China Telecom</t>
  </si>
  <si>
    <t>Samsung</t>
  </si>
  <si>
    <t>Results updated</t>
  </si>
  <si>
    <t>1. Add results for TDD 15kHz SCS and update results for TDD 30kHz SCS based on non-precoded CSI-RS measurement
2. Add results for new antenna configuration, i.e. 4Tx for UL</t>
  </si>
  <si>
    <t>Nokia</t>
  </si>
  <si>
    <t>2018.8.21</t>
  </si>
  <si>
    <t>Add back some missing results and words</t>
  </si>
  <si>
    <t>2018.8.22</t>
  </si>
  <si>
    <t>Qualcomm</t>
  </si>
  <si>
    <t>Added Results (4GHz)</t>
  </si>
  <si>
    <t>2018.8.23</t>
  </si>
  <si>
    <t>Parameters updated</t>
  </si>
  <si>
    <t>Result Updated according to the updated OH and UL 30KHz SCS results updated</t>
  </si>
  <si>
    <t>2018.8.24</t>
  </si>
  <si>
    <t>2018.8.27</t>
  </si>
  <si>
    <t>1. Adjust formats and add a column to indicate the antenna and TXRU mapping in the result sheets.
2. Merge the overhead calculation sheet based on the newest version v36 into the result collection excel.</t>
  </si>
  <si>
    <t>2018.8.28</t>
  </si>
  <si>
    <t>Results Antenna config &amp; Tx scheme</t>
  </si>
  <si>
    <t>update UL OH parameters</t>
  </si>
  <si>
    <t>update OH parameter and corresponding results</t>
  </si>
  <si>
    <t>2018.8.29</t>
  </si>
  <si>
    <t>2018.8.30</t>
  </si>
  <si>
    <t>Updated</t>
  </si>
  <si>
    <t>2018.9.01</t>
  </si>
  <si>
    <t>1. Update the overhead calculation for larger bandwidth taking into account the guard band ratio and PDCCH overhead reduction in DL.
2. Add new sheets for the spectral efficiency results of the larger bandwidth.</t>
  </si>
  <si>
    <t>2018.9.03</t>
  </si>
  <si>
    <t>Remove the results that do not fulfill requirement</t>
  </si>
  <si>
    <t>Update the overhead information for UL 30 GHz for 80MHz BW</t>
  </si>
  <si>
    <t>Dense Urban - eMBB</t>
  </si>
  <si>
    <t>Technical configuration Parameters</t>
  </si>
  <si>
    <t>Reference value for NR</t>
  </si>
  <si>
    <t>NR FDD</t>
  </si>
  <si>
    <t>NR TDD</t>
  </si>
  <si>
    <t>Multiple access</t>
  </si>
  <si>
    <t>OFDMA</t>
  </si>
  <si>
    <t>Aligned with reference</t>
  </si>
  <si>
    <t>Duplexing</t>
  </si>
  <si>
    <t>FDD</t>
  </si>
  <si>
    <t>TDD</t>
  </si>
  <si>
    <t>Network synchronization</t>
  </si>
  <si>
    <t>Synchronized</t>
  </si>
  <si>
    <t>Modulation</t>
  </si>
  <si>
    <t>Up to 256 QAM</t>
  </si>
  <si>
    <t>Coding on PDSCH</t>
  </si>
  <si>
    <t>LDPC
Max code-block size=8448bit 
[with BP decoding]</t>
  </si>
  <si>
    <t>Numerology</t>
  </si>
  <si>
    <t>15KHz / 30kHz,
14 OFDM symbol slot</t>
  </si>
  <si>
    <t>15kHz SCS,
14 OFDM symbol slot</t>
  </si>
  <si>
    <t>15kHz/30kHz SCS,
14 OFDM symbol slot</t>
  </si>
  <si>
    <t>15 / 30kHz SCS,
14 OFDM symbol slot</t>
  </si>
  <si>
    <t>30kHz SCS,
14 OFDM symbol slot</t>
  </si>
  <si>
    <t>30 kHz SCS,
14 OFDM symbol slot</t>
  </si>
  <si>
    <t>15 kHz SCS,
14 OFDM symbol slot</t>
  </si>
  <si>
    <t>30 kHz SCS, 14 OFDM symbol slot</t>
  </si>
  <si>
    <t>Guard band ratio on simulation bandwidth</t>
  </si>
  <si>
    <t>FDD: 6.4% (for 10 MHz)
TDD: 8.2% (51 RB for 30kHz SCS and  20 MHz bandwidth)
TDD: 4.6% (106 RB for 15kHz SCS and  20 MHz bandwidth)</t>
  </si>
  <si>
    <t>TDD: 8.2% (51 RB for 30 kHz 20 MHz); 1.72% (273 RB for 30 kHz 100 MHz)</t>
  </si>
  <si>
    <t>54 RBs for 30 kHz SCS and 20 MHz BW</t>
  </si>
  <si>
    <t>Simulation bandwdith</t>
  </si>
  <si>
    <t>FDD: 10 MHz
TDD: 20 MHz</t>
  </si>
  <si>
    <t>10 MHz</t>
  </si>
  <si>
    <t>20MHz</t>
  </si>
  <si>
    <t>TDD: 20 MHz</t>
  </si>
  <si>
    <t>Frame structure</t>
  </si>
  <si>
    <t>Full downlink</t>
  </si>
  <si>
    <t>DDDSU</t>
  </si>
  <si>
    <t>DSUUD</t>
  </si>
  <si>
    <t xml:space="preserve">TDD Config 1: [DDDDDDDSUU], S(6DL:4GP:4UL) 
TDD Config 2: [DDSUUUUUUU], S(6DL:4GP:4UL) </t>
  </si>
  <si>
    <t>FDD: Full downlink</t>
  </si>
  <si>
    <t>DDSU</t>
  </si>
  <si>
    <t>Transmission scheme</t>
  </si>
  <si>
    <t>Closed SU/MU-MIMO adaptation</t>
  </si>
  <si>
    <t>Closed SU-MIMO adaptation</t>
  </si>
  <si>
    <t>closed SU/MU-MIMO adaptation</t>
  </si>
  <si>
    <t>MU-MIMO</t>
  </si>
  <si>
    <t>DL CSI measurement</t>
  </si>
  <si>
    <t>Non-precoded CSI-RS  based</t>
  </si>
  <si>
    <t>For 32T: Non-precoded CSI-RS  based
For 64T: Precoded CSI-RS based</t>
  </si>
  <si>
    <t>Non-precoded CSI-RS based</t>
  </si>
  <si>
    <t xml:space="preserve"> -- Precoded CSI-RS based
 -- Non-precoded CSI-RS based</t>
  </si>
  <si>
    <t>Precoded CSI-RS based, non-PMI</t>
  </si>
  <si>
    <t>Precoded CSI-RS based</t>
  </si>
  <si>
    <t>SRS-based</t>
  </si>
  <si>
    <t>CSI-RS based</t>
  </si>
  <si>
    <t>DL codebook</t>
  </si>
  <si>
    <t>Type II codebook;
4 beams, WB+SB amplitude quantization, 8 PSK phase quantization</t>
  </si>
  <si>
    <t>For 32T: Type II codebook;
4 beams, WB+SB amplitude quantization, 8 PSK phase quantization;
For 64T: non-PMI transmission</t>
  </si>
  <si>
    <t>Type II codebook;
4beam, wb+sb, 8psk</t>
  </si>
  <si>
    <t xml:space="preserve"> -- For precoded CSI-RS based, non-PMI, N.A.
 -- For non-precoded CSI-RS, Type II codebook;4 beams, WB+SB, 8 PSK</t>
  </si>
  <si>
    <t>Ideal</t>
  </si>
  <si>
    <t>Type II codebook;
4beam, wb only, 8psk</t>
  </si>
  <si>
    <t>Type I codebook;</t>
  </si>
  <si>
    <t>N/A</t>
  </si>
  <si>
    <t>Type I codebook (single panel) ;</t>
  </si>
  <si>
    <t>Type II codebook</t>
  </si>
  <si>
    <t>PRB bundling</t>
  </si>
  <si>
    <t>4 PRBs</t>
  </si>
  <si>
    <t>MU dimension</t>
  </si>
  <si>
    <t>Up to 12 layers</t>
  </si>
  <si>
    <t>Up to 8 layers</t>
  </si>
  <si>
    <t>Upto 12 layers</t>
  </si>
  <si>
    <t>SU dimension</t>
  </si>
  <si>
    <t>For 4Rx: Up to 4 layers</t>
  </si>
  <si>
    <t>For 4Rx: Up to 2 layers (according to current Type II CSI)</t>
  </si>
  <si>
    <t>For 4Rx: Up to 2 layers</t>
  </si>
  <si>
    <t>1 layer</t>
  </si>
  <si>
    <t>Codeword (CW)-to-layer mapping</t>
  </si>
  <si>
    <t>For 1~4 layers, CW1;
For 5 layers or more, two CWs</t>
  </si>
  <si>
    <t>SRS transmission</t>
  </si>
  <si>
    <t>Companies to Report:
• Precoded or non-precoded SRS transmission;
• SRS switch or not for 1T4R/2T4R/1T2R
• SRS bandwidth
• Number of OFDM symbols within 1 slot for SRS transmission per UE</t>
  </si>
  <si>
    <t>For UE 4 Tx ports: Non-precoded SRS, 4 SRS ports (with 4 SRS resources),
2 symbols in every 10 slots,</t>
  </si>
  <si>
    <t>For UE 4 Tx ports: Non-precoded SRS, 4 SRS ports (with 4 SRS resources),
2 symbols in every 10 slots</t>
  </si>
  <si>
    <t>For UE 4 Tx ports: Non-precoded SRS, 4 SRS ports (with 4 SRS resources),
2 symbols in special slot for SRS,
8 PRBs per symbol</t>
  </si>
  <si>
    <t>• non-precoded SRS transmission;
• SRS switch for 2T4R
• adaptive SRS bandwidth per UE 
• 2 symbols within 1 slot for SRS transmission per UE</t>
  </si>
  <si>
    <t>• non-precoded SRS transmission;</t>
  </si>
  <si>
    <t>Non precoded SRS, 4 SRS ports, 1 symbol per S/U subframe</t>
  </si>
  <si>
    <t>CSI feedback</t>
  </si>
  <si>
    <t xml:space="preserve">PMI, CQI: every 5 slot; RI: every 5 slot;
Subband based </t>
  </si>
  <si>
    <t xml:space="preserve">CQI: every 5 slot; RI: every 5 slot, CRI: every 5 slot
Subband based </t>
  </si>
  <si>
    <t xml:space="preserve">PMI, CQI: every 10 slot; RI: every 10 slot;
Subband based </t>
  </si>
  <si>
    <t xml:space="preserve">CQI: every 10 slot; RI: every 10 slot, CRI: every 10 slot; PMI: every 10 slot; 
Subband based </t>
  </si>
  <si>
    <t xml:space="preserve">CQI: every 10 slot; RI: every 10 slot, CRI: every 10 slot
Subband based </t>
  </si>
  <si>
    <t>PMI, CQI: every 5 slots; RI: every 5 slots;
Subband based , 5 slot delay</t>
  </si>
  <si>
    <t>CQI: every 10 slots; RI: every 10 slots;
Subband based, 5 slot delay</t>
  </si>
  <si>
    <t>Every S/U subframe</t>
  </si>
  <si>
    <t>Interference measurement</t>
  </si>
  <si>
    <t>SU-CQI; CSI-IM for inter-cell interference measurement</t>
  </si>
  <si>
    <t>CSI-IM for inter-cell interference measurement</t>
  </si>
  <si>
    <t>Max CBG number</t>
  </si>
  <si>
    <t>ACK/NACK delay</t>
  </si>
  <si>
    <t>UE capability 1</t>
  </si>
  <si>
    <t>The next available UL slot</t>
  </si>
  <si>
    <t>1 slot</t>
  </si>
  <si>
    <t>Re-transmission delay</t>
  </si>
  <si>
    <t>The next available DL slot after receiving NACK</t>
  </si>
  <si>
    <t>-</t>
  </si>
  <si>
    <t>3 slots</t>
  </si>
  <si>
    <t>Antenna configuration at TRxP</t>
  </si>
  <si>
    <t>(M, N, P, Mg, Ng; Mp, Np)
- M: Number of vertical antenna elements within a panel, on one polarization
- N: Number of horizontal antenna elements within a panel, on one polarization
- P: Number of polarizations
- Mg: Number of panels in a column;
- Ng: Number of panels in a row;
- Mp: Number of vertical TXRUs within a panel, on one polarization
- Np: Number of horizontal TXRUs within a panel, on one polarization</t>
  </si>
  <si>
    <t>For 32T: (M,N,P,Mg,Ng; Mp,Np) = (8,8,2,1,1;2,8)
(dH, dV)=(0.5, 0.8)λ</t>
  </si>
  <si>
    <t>For 32T:  (M,N,P,Mg,Ng; Mp,Np) = (8,8,2,1,1;2,8)
(dH, dV)=(0.5, 0.8)λ;
For 64T:  (M,N,P,Mg,Ng; Mp,Np) = (12,8,2,1,1;4,8)
(dH, dV)=(0.5, 0.8)λ;</t>
  </si>
  <si>
    <t>For 32T: (M,N,P,Mg,Ng; Mp,Np) = (8,16,2,1,1;1,16)
(dH, dV)=(0.5, 0.8)λ</t>
  </si>
  <si>
    <r>
      <rPr>
        <sz val="9"/>
        <rFont val="Arial"/>
        <family val="2"/>
      </rPr>
      <t>For 32T: (M,N,P,Mg,Ng; Mp,Np) = (8,8,2,1,1;</t>
    </r>
    <r>
      <rPr>
        <sz val="9"/>
        <color theme="1"/>
        <rFont val="Arial"/>
        <family val="2"/>
      </rPr>
      <t>2,8</t>
    </r>
    <r>
      <rPr>
        <sz val="9"/>
        <rFont val="Arial"/>
        <family val="2"/>
      </rPr>
      <t>)
(dH, dV)=(0.5, 0.8)λ</t>
    </r>
  </si>
  <si>
    <t>For 32T:  (M,N,P,Mg,Ng; Mp,Np) = (8,8,2,1,1;2,8)
(dH, dV)=(0.5, 0.8)λ</t>
  </si>
  <si>
    <t>For 32T:  (M,N,P,Mg,Ng; Mp,Np) = (8,8,2,1,1;2,8)
(dH, dV)=(0.5, 0.8)λ;</t>
  </si>
  <si>
    <t>For 64T:  (M,N,P,Mg,Ng; Mp,Np) = (12,8,2,1,1;4,8)
(dH, dV)=(0.5, 0.8)λ;</t>
  </si>
  <si>
    <r>
      <rPr>
        <sz val="9"/>
        <rFont val="Arial"/>
        <family val="2"/>
      </rPr>
      <t>For 64T: (M,N,P,Mg,Ng; Mp,Np) = (12,8,2,1,1;</t>
    </r>
    <r>
      <rPr>
        <sz val="9"/>
        <color theme="1"/>
        <rFont val="Arial"/>
        <family val="2"/>
      </rPr>
      <t>4,8</t>
    </r>
    <r>
      <rPr>
        <sz val="9"/>
        <rFont val="Arial"/>
        <family val="2"/>
      </rPr>
      <t>)
(dH, dV)=(0.5, 0.8)λ</t>
    </r>
  </si>
  <si>
    <t>For 128T: (M,N,P, Mg,Ng,Mp,Np) = (8, 16, 2, 1, 1, 4, 16)</t>
  </si>
  <si>
    <t>Antenna configuration at UE</t>
  </si>
  <si>
    <t>(M, N, P, Mg, Ng; Mp, Np)
- M: Number of vertical antenna elements within a panel, on one polarization
- N: Number of horizontal antenna elements within a panel, on one polarization
- P: Number of polarizations
- Mg: Number of panels;
- Ng: default: 1
- Mp: Number of vertical TXRUs within a panel, on one polarization
- Np: Number of horizontal TXRUs within a panel, on one polarization</t>
  </si>
  <si>
    <t>For 4R:  (M,N,P,Mg,Ng; Mp,Np)= (1,2,2,1,1; 1,2)
(dH, dV)=(0.5, N/A)λ</t>
  </si>
  <si>
    <t>For 4R:  (M,N,P,Mg,Ng; Mp,Np)= (1,2,2,1,1; 1,2)
(dH, dV)=(0.5, 0.5)λ</t>
  </si>
  <si>
    <t>For 4 R: (M, N, P, Mg, Ng, Mp, Np) = (1, 2, 2, 1, 1, 1, 2)</t>
  </si>
  <si>
    <t>Scheduling</t>
  </si>
  <si>
    <t>PF</t>
  </si>
  <si>
    <t>Receiver</t>
  </si>
  <si>
    <t>MMSE-IRC</t>
  </si>
  <si>
    <t>MMSE</t>
  </si>
  <si>
    <t>Channel estimation</t>
  </si>
  <si>
    <t>Non-ideal</t>
  </si>
  <si>
    <t>ideal</t>
  </si>
  <si>
    <t>System configuration parameters</t>
  </si>
  <si>
    <t>Reference Value</t>
  </si>
  <si>
    <t xml:space="preserve">Mechanic tilt </t>
  </si>
  <si>
    <t>90° in GCS (pointing to horizontal direction)</t>
  </si>
  <si>
    <t>Electronic tilt</t>
  </si>
  <si>
    <t>105 degree</t>
  </si>
  <si>
    <t>102 degree</t>
  </si>
  <si>
    <t>108 degree</t>
  </si>
  <si>
    <t>100 degrees</t>
  </si>
  <si>
    <t>Handover margin (dB)</t>
  </si>
  <si>
    <t>UT attachment</t>
  </si>
  <si>
    <t>Based on RSRP (formula (8.1-1) in TR36.873) from port 0</t>
  </si>
  <si>
    <t>Wrapping around method</t>
  </si>
  <si>
    <t>Geographical distance based wrapping</t>
  </si>
  <si>
    <t>Beam set at TRxP
(Constraints for the range of selective analog beams per TRxP)</t>
  </si>
  <si>
    <t>Beam set at UE
(Constraints for the range of selective analog beams for UE)</t>
  </si>
  <si>
    <t>Criteria for selection for serving TRxP</t>
  </si>
  <si>
    <t xml:space="preserve">Maximizing RSRP where the digital beamforming is not considered </t>
  </si>
  <si>
    <t>Criteria for analog beam selection for serving TRxP</t>
  </si>
  <si>
    <t>Criteria for analog beam selection for interfering TRxP</t>
  </si>
  <si>
    <t>Other system configuration parameters align with Report ITU-R M.2412</t>
  </si>
  <si>
    <t>Reference value</t>
  </si>
  <si>
    <t>Motorola Mobility / Lenovo</t>
  </si>
  <si>
    <t>Up to 256QAM</t>
  </si>
  <si>
    <t>Coding on PUSCH</t>
  </si>
  <si>
    <t>30 KHz SCS, 14 OFDM symbol slot</t>
  </si>
  <si>
    <t>FDD: 6.4% (for 10 MHz)
TDD: 8.2% (51 RB for 30 kHz 20 MHz)
TDD: 4.6% (106 RB for 15 kHz 20 MHz)</t>
  </si>
  <si>
    <t>54 RBs 30 KHz SCS for 20 MHz</t>
  </si>
  <si>
    <t>20 MHz</t>
  </si>
  <si>
    <t>Full uplink</t>
  </si>
  <si>
    <t xml:space="preserve">Full uplink </t>
  </si>
  <si>
    <t xml:space="preserve">UL codebook based SU-MIMO / MU-MIMO </t>
  </si>
  <si>
    <t>UL SU-MIMO with rank adaptation</t>
  </si>
  <si>
    <t>UL SU/MU-MIMO with rank adaptation</t>
  </si>
  <si>
    <t>Closed-loop UL MU-MIMO with rank adaptation</t>
  </si>
  <si>
    <t xml:space="preserve">UL codebook-based MU-MIMO </t>
  </si>
  <si>
    <t>UL codebook</t>
  </si>
  <si>
    <t>For 2Tx: NR 2Tx codebook;
For 4Tx: NR 4Tx codebook;</t>
  </si>
  <si>
    <t>For 4Tx: NR 4Tx codebook</t>
  </si>
  <si>
    <t>For 2Tx: NR 2Tx codebook</t>
  </si>
  <si>
    <t>For 16Tx: Ideal</t>
  </si>
  <si>
    <t>NR R15 4 Tx codebook (fully-coherent)</t>
  </si>
  <si>
    <t>Up to 12 layers at gNB</t>
  </si>
  <si>
    <t>Up to 6 users</t>
  </si>
  <si>
    <t>For 2Tx/4Tx: Up to 2 layers</t>
  </si>
  <si>
    <t>For 4Tx: Up to 4 layers</t>
  </si>
  <si>
    <t>For 2Tx: Up to 2 layers</t>
  </si>
  <si>
    <t>For 4Tx: Up to 2 layers</t>
  </si>
  <si>
    <t>For 16Tx: Up to 4 layers</t>
  </si>
  <si>
    <t>Up to 2 layers per user</t>
  </si>
  <si>
    <t>Up to 4 layers per user</t>
  </si>
  <si>
    <t>For UE 2 Tx ports: Non-precoded SRS, 2 SRS ports (with 2 SRS resources);
For UE 4 Tx ports: Non-precoded SRS, 4 SRS ports (with 4 SRS resources);
2 symbols for SRS in every 5 slots,
8 PRBs per symbol</t>
  </si>
  <si>
    <t>4 port non-precoded SRS 
(1 SRS resource)</t>
  </si>
  <si>
    <t>4 port non-precoded 
(1 SRS resource)</t>
  </si>
  <si>
    <t>For UE 2 Tx ports: Non-precoded SRS, 2 SRS ports (with 2 SRS resources),
2 symbols for SRS in every 5 slots,
8 PRBs per symbol</t>
  </si>
  <si>
    <t>For UE 4 Tx ports: Non-precoded SRS, 4 SRS ports (with 2 SRS resources),
2 symbols for SRS in every 10 slots</t>
  </si>
  <si>
    <t>For UE 4 Tx ports: Non-precoded SRS, 4 SRS ports (with 2 SRS resources),
2 symbols in every 10 slots</t>
  </si>
  <si>
    <t>Non-precoded SRS</t>
  </si>
  <si>
    <t>2 SRS ports : Non-precoded SRS, 
2 symbols for SRS in every 10 slots,</t>
  </si>
  <si>
    <t>For UE 4Tx ports: Non-precoded SRS, 4 SRS ports
4 symbols every 10ms</t>
  </si>
  <si>
    <t>For 16R:  (M,N,P,Mg,Ng; Mp,Np)= (8,8,2,1,1; 1,8)
(dH, dV)=(0.5, 0.8)λ;
For 32R:  (M,N,P,Mg,Ng; Mp,Np)= (8,8,2,1,1; 2,8)
(dH, dV)=(0.5, 0.8)λ;</t>
  </si>
  <si>
    <t>For 32R: (M,N,P,Mg,Ng; Mp,Np)= (8,8,2,1,1; 2,8)
(dH, dV)=(0.5, 0.8)λ;
For 64R: (M,N,P,Mg,Ng; Mp,Np)= (12,8,2,1,1; 4,8)
(dH, dV)=(0.5, 0.8)λ;</t>
  </si>
  <si>
    <t>For 32R: (M,N,P,Mg,Ng; Mp,Np) = (8,16,2,1,1;1,16)
(dH, dV)=(0.5, 0.8)λ</t>
  </si>
  <si>
    <t>For 16R:  (M,N,P,Mg,Ng; Mp,Np)= (8,8,2,1,1; 1,8)
(dH, dV)=(0.5, 0.8)λ</t>
  </si>
  <si>
    <t xml:space="preserve">For 16R:  (M,N,P,Mg,Ng; Mp,Np)= (8,8,2,1,1; 1,8)
(dH, dV)=(0.5, 0.8)λ;
</t>
  </si>
  <si>
    <t>For 16R:  (M,N,P,Mg,Ng; Mp,Np)= (8,8,2,1,1; 1,8)
(dH, dV)=(0.5, 0.8)λ;</t>
  </si>
  <si>
    <t xml:space="preserve">For 32R:  (M,N,P,Mg,Ng; Mp,Np)= (8,8,2,1,1; 2,8)
(dH, dV)=(0.5, 0.8)λ;
</t>
  </si>
  <si>
    <t>For 64R: (M,N,P,Mg,Ng; Mp,Np) = (12,8,2,1,1;4,8)                                       For 32R: (M,N,P,Mg,Ng; Mp,Np) = (12,8,2,1,1;4,4)
(dH, dV)=(0.5, 0.8)λ</t>
  </si>
  <si>
    <t>For 32R, (M,N,P,Mg,Ng; Mp,Np) = (16,8,2,1,1;2,8)
 (dH,dV) = (0.5, 0.8)λ</t>
  </si>
  <si>
    <r>
      <rPr>
        <sz val="9"/>
        <rFont val="Arial"/>
        <family val="2"/>
      </rPr>
      <t>128R (M, N, P, Mg, Ng, Mp, Np) = (8, 16, 2, 1, 1, 4, 16)
(dH, dV) = (0.5, 0.8)</t>
    </r>
    <r>
      <rPr>
        <sz val="9"/>
        <rFont val="Calibri"/>
        <family val="2"/>
      </rPr>
      <t>λ</t>
    </r>
  </si>
  <si>
    <t>For 4T:  (M,N,P,Mg,Ng; Mp,Np)= (1,2,2,1,1; 1,2)
(dH, dV)=(0.5, N/A)λ</t>
  </si>
  <si>
    <t>For 2T: (M,N,P,Mg,Ng; Mp,Np)=  (1,1,2,1,1; 1,1)
(dH, dV)=( 0.5, 0.5)λ</t>
  </si>
  <si>
    <t>For 2T: (M,N,P,Mg,Ng; Mp,Np)=  (1,1,2,1,1; 1,1)
(dH, dV)=( N/A, N/A)λ</t>
  </si>
  <si>
    <t>For 4T: (M,N,P,Mg,Ng; Mp,Np)=  (1,2,2,1,1; 1,2)
(dH, dV)=( 0.5, N/A)λ</t>
  </si>
  <si>
    <t>For 16T:  (M,N,P,Mg,Ng; Mp,Np)= (2,4,2,1,1; 2.4)
(dH, dV)=(0.5, N/A)λ</t>
  </si>
  <si>
    <t>For 4T, (M,N,P,Mg,Ng; Mp,Np) = (1,2,2,1,1; 1,2)
(dH, dV)=( 0.5, - )λ</t>
  </si>
  <si>
    <t>4T: (M, N, P, Mg, Ng, Mp, Np) = (1, 2, 2, 1, 1, 1, 2)</t>
  </si>
  <si>
    <t>UL re-transmission delay</t>
  </si>
  <si>
    <t>Next available UL slot after reiving retransmission indication</t>
  </si>
  <si>
    <t>n+4 UL slot after reiving retransmission indication</t>
  </si>
  <si>
    <t>Next available UL slot after receiving retransmission indication</t>
  </si>
  <si>
    <t>Next available UL slot after 2 slot processing delay</t>
  </si>
  <si>
    <t>Power control parameter</t>
  </si>
  <si>
    <t>P0=-86, alpha = 0.9</t>
  </si>
  <si>
    <t>P0=-60, alpha = 0.6</t>
  </si>
  <si>
    <t>P0=-80, alpha = 0.8</t>
  </si>
  <si>
    <t>P0=-80, alpha = 0.7</t>
  </si>
  <si>
    <t>P0=-95, alpha = 0.8</t>
  </si>
  <si>
    <t>P0=-105.4, alpha = 0.9</t>
  </si>
  <si>
    <t>Power backoff model</t>
  </si>
  <si>
    <t>Continuous RB allocation: follow TS 38.101 for FR1;
Non-continuous RB allocation: additional 2 dB reduction</t>
  </si>
  <si>
    <t>Non power backoff model</t>
  </si>
  <si>
    <t>Continuous RB allocation: follow TS 38.101 for FR1;
Non-continuous RB allocation:[R1-1806322]</t>
  </si>
  <si>
    <t>Continuous RB allocation: follow TS 38.101 for FR1;</t>
  </si>
  <si>
    <t>N.A.</t>
  </si>
  <si>
    <t>NOTE: This table is a place-holder. The content will be from Intel's excel sheet on overhead.</t>
  </si>
  <si>
    <t>Overhead assumption</t>
  </si>
  <si>
    <t>Motorola/Lenovo</t>
  </si>
  <si>
    <t>Sasmung</t>
  </si>
  <si>
    <t>FR1</t>
  </si>
  <si>
    <t>PDCCH</t>
  </si>
  <si>
    <t>2 symbols</t>
  </si>
  <si>
    <t>2 complete symbols</t>
  </si>
  <si>
    <t>SSB</t>
  </si>
  <si>
    <t>1 SSB / 20ms</t>
  </si>
  <si>
    <t>1 SSB/20ms</t>
  </si>
  <si>
    <t>4 SSB / 20ms</t>
  </si>
  <si>
    <t>8 SSB / 20ms</t>
  </si>
  <si>
    <t>CSI-RS for CM</t>
  </si>
  <si>
    <t>5 slots period;
32 ports for 32Tx;</t>
  </si>
  <si>
    <t xml:space="preserve">
For 64T: 4*10 ports with 5 slots period (4 ports per UE);
For 32T: 32 ports with 5 slots period </t>
  </si>
  <si>
    <t>5 slots period;
36 ports for 32Tx;</t>
  </si>
  <si>
    <t>10 slots period;
32 ports for 32Tx;</t>
  </si>
  <si>
    <t xml:space="preserve"> -- Precoded CSI-RS: 4*10 ports with 10 slots period (UE-specific beformed csi-rs, 4 ports per UE)
 -- Non-precoded CSI-RS: 32 ports with 10 slots period</t>
  </si>
  <si>
    <t>32  ports with 5slots period</t>
  </si>
  <si>
    <t>10*4ports per 5 slots for 4Rx</t>
  </si>
  <si>
    <t xml:space="preserve">
4*10 ports with 5 slots period (4 ports per UE)</t>
  </si>
  <si>
    <t>5 ms period;
32 ports for 32Tx, 1RE/port/PRB</t>
  </si>
  <si>
    <t>5 ms period;
4*10 ports, 1RE/port/PRB</t>
  </si>
  <si>
    <t xml:space="preserve">
4*8 ports with 5ms(10 slots) period (4 ports beamformed csi-rs)</t>
  </si>
  <si>
    <t>8*4 ports with 10 slots period</t>
  </si>
  <si>
    <t>CSI-RS for IM</t>
  </si>
  <si>
    <t>ZP CSI-RS with 5 slots period;
4 RE/PRB/5 slots</t>
  </si>
  <si>
    <t>ZP CSI-RS with 5 slots period;
4 RE/PRB/10 slots</t>
  </si>
  <si>
    <t>ZP CSI-RS with 10 slots period;
4 RE/PRB/10 slots</t>
  </si>
  <si>
    <t>4 RE/PRB/10slots</t>
  </si>
  <si>
    <t>ZP CSI-RS with 5 ms period;
4 REs/PRB/5 ms</t>
  </si>
  <si>
    <t>ZP CSI-RS with 5 ms(10 slots) period;
4 RE/PRB/5 ms(10 slots)</t>
  </si>
  <si>
    <t>DMRS</t>
  </si>
  <si>
    <t>Type II, up to 12 ports, dynamic</t>
  </si>
  <si>
    <t>24 RE/PRB/slot</t>
  </si>
  <si>
    <t>Type II, 12 ports</t>
  </si>
  <si>
    <r>
      <rPr>
        <sz val="11"/>
        <color theme="1"/>
        <rFont val="Times New Roman"/>
        <family val="1"/>
      </rPr>
      <t xml:space="preserve">Type </t>
    </r>
    <r>
      <rPr>
        <sz val="10"/>
        <rFont val="宋体"/>
        <family val="3"/>
        <charset val="134"/>
      </rPr>
      <t>Ⅱ，</t>
    </r>
    <r>
      <rPr>
        <sz val="10"/>
        <rFont val="Times New Roman"/>
        <family val="1"/>
      </rPr>
      <t>24RE/PRB/slot</t>
    </r>
  </si>
  <si>
    <t>TRS</t>
  </si>
  <si>
    <t>20ms period;
maximal bandwidth with 52 PRB;
burst length with 2 slots
12 RE/PRB/20ms</t>
  </si>
  <si>
    <t>2 consecutive slots per 20ms, 1 port, 50 PRB</t>
  </si>
  <si>
    <t>8 RE/PRB/20ms with 52 RBs</t>
  </si>
  <si>
    <t>Four periodic NZP CSI-RS resources with 80ms period, bandwidth 52 PRB
12 RE/PRB/80ms</t>
  </si>
  <si>
    <t>4 CSI-RS resource in 2 consecutive slots per 20ms, 50PRB</t>
  </si>
  <si>
    <t>2(burst length)*4 RE/PRB/periodicity;
8 RE/PRB/20ms</t>
  </si>
  <si>
    <t>20ms period;
maximal bandwidth with 51 PRB;
burst length with 2 slots
12 RE/PRB/20ms</t>
  </si>
  <si>
    <t>12 REs/PRB with 20ms period;
maximal bandwidth with 52 PRB;</t>
  </si>
  <si>
    <t>12 REs/PRB with 20ms period;
maximal bandwidth with 51 PRB;</t>
  </si>
  <si>
    <t>20ms period;
maximal bandwidth with 52 PRB;
burst length with 2 slots
6 RE/PRB/20ms</t>
  </si>
  <si>
    <t>GP</t>
  </si>
  <si>
    <t>2 symbols in 10ms</t>
  </si>
  <si>
    <t>4 symbols per 5ms(10 slot)</t>
  </si>
  <si>
    <t>SRS</t>
  </si>
  <si>
    <t>12 SSB / 20ms</t>
  </si>
  <si>
    <t>FR2</t>
  </si>
  <si>
    <t>2 symbol</t>
  </si>
  <si>
    <t>FFS</t>
  </si>
  <si>
    <t>12 SSBs / 20ms</t>
  </si>
  <si>
    <t>20 ports with 5 slots period (UE-specific beformed csi-rs, 4 ports per UE)</t>
  </si>
  <si>
    <t>40 ports with 10slots period (UE-specific beformed csi-rs, 4 ports per UE)</t>
  </si>
  <si>
    <t>CSI-RS for BM</t>
  </si>
  <si>
    <t>PTRS on: Type II (dynamic)
[6 layers]</t>
  </si>
  <si>
    <t>PTRS on: Type II, 6 ports</t>
  </si>
  <si>
    <r>
      <rPr>
        <sz val="10"/>
        <rFont val="Times New Roman"/>
        <family val="1"/>
      </rPr>
      <t>Four periodic NZP CSI-RS resources with 10ms period, bandwidth N</t>
    </r>
    <r>
      <rPr>
        <vertAlign val="superscript"/>
        <sz val="10"/>
        <rFont val="Times New Roman"/>
        <family val="1"/>
      </rPr>
      <t xml:space="preserve">BWP </t>
    </r>
    <r>
      <rPr>
        <sz val="10"/>
        <rFont val="Times New Roman"/>
        <family val="1"/>
      </rPr>
      <t>, 12 RE/PRB/10ms</t>
    </r>
  </si>
  <si>
    <t>PTRS</t>
  </si>
  <si>
    <t>2 ports PT-RS, (L,K) = (1,4) 
L: time density
K: frequency density</t>
  </si>
  <si>
    <t>1 ports PT-RS, (L,K) = (4,4) 
L: time density
K: frequency density</t>
  </si>
  <si>
    <t>time desity is 4OS, frequency density is 4PRB</t>
  </si>
  <si>
    <t>Motorola / Lenovo</t>
  </si>
  <si>
    <t>PUCCH</t>
  </si>
  <si>
    <t xml:space="preserve">2 PRBs and 14 OS for the slots without SRS transmission; 2 PRBs and 12 OS for the slots with SRS transmission  </t>
  </si>
  <si>
    <t>2 PRBs and 14 OS for 30kHz SCS for the slots without SRS transmission;
4 PRBs and 14 OS for 15kHz  SCS for the slots without SRS transmission</t>
  </si>
  <si>
    <t xml:space="preserve">2 PRBs and 14 OS for the slots without SRS transmission; 2 PRBs and 12 OS for the slots with SRS transmission  
</t>
  </si>
  <si>
    <t xml:space="preserve">1 slot with (3 PRB, 14 OS) and  3 slots with (1 PRB, 2 OS) </t>
  </si>
  <si>
    <t>2 PRBs and 14 OS for the slots without SRS transmission</t>
  </si>
  <si>
    <t>4 PRBs, 14 OS</t>
  </si>
  <si>
    <t>Type II, 2  symbols, multiplexing with PUSCH</t>
  </si>
  <si>
    <t>Type II, 2  symbols (including one additional DMRS symbol), multiplexing with PUSCH</t>
  </si>
  <si>
    <t>Type II, 1 additional DMRS symbol, and no FDM with PUSCH</t>
  </si>
  <si>
    <t xml:space="preserve">Type II, 2  symbols, multiplexing with PUSCH
</t>
  </si>
  <si>
    <t>Type II, 2  symbols</t>
  </si>
  <si>
    <t>Type II, 1 symbol, multiplexing with PUSCH</t>
  </si>
  <si>
    <t>TypeII, 2 ports</t>
  </si>
  <si>
    <t>2 symbols per 5 slots</t>
  </si>
  <si>
    <t xml:space="preserve">2 symbols per 5 slots, 8 RBs per symbols
</t>
  </si>
  <si>
    <t>2 symbols per 10 slots</t>
  </si>
  <si>
    <t>4 PRBs and 14 OS for 15kHz  SCS for the slots without SRS transmission</t>
  </si>
  <si>
    <t>Type II, 2 symbols, multiplexing with PUSCH</t>
  </si>
  <si>
    <r>
      <rPr>
        <sz val="9"/>
        <rFont val="Arial"/>
        <family val="2"/>
      </rPr>
      <t xml:space="preserve">time desity is 4OS, frequency density is 4PRB </t>
    </r>
  </si>
  <si>
    <t>Frequency Range 1 - FDD</t>
  </si>
  <si>
    <t>Assumption: 10MHz BW, 15kHz SCS, 10ms duration</t>
  </si>
  <si>
    <t>Simulation BW&amp;RB#</t>
  </si>
  <si>
    <t>Scale BW1&amp;RB#</t>
  </si>
  <si>
    <t>Scale BW2&amp;RB#</t>
  </si>
  <si>
    <t>Total bandwidth</t>
  </si>
  <si>
    <t>TOTAL PRBs</t>
  </si>
  <si>
    <t>Antenna configuration</t>
  </si>
  <si>
    <t>CSI-RS</t>
  </si>
  <si>
    <t>CSI-IM</t>
  </si>
  <si>
    <t>Total RE
w/ OH1</t>
  </si>
  <si>
    <t>Total OH RE w/ OH1</t>
  </si>
  <si>
    <t>Total OH (%) w/ OH1</t>
  </si>
  <si>
    <t>Total RE
w/ OH2</t>
  </si>
  <si>
    <t>Total OH RE
w/ OH2</t>
  </si>
  <si>
    <t>Total OH (%) w/ OH2</t>
  </si>
  <si>
    <t>Adjust factor for OH1 and OH2</t>
  </si>
  <si>
    <t>Total RE
w/ OH3 (20MHz)</t>
  </si>
  <si>
    <t>Total OH RE
w/ OH3
(20MHz)</t>
  </si>
  <si>
    <t>Total OH (%) w/ OH3 (20MHz)</t>
  </si>
  <si>
    <t>Adjust factor for OH2 and OH3</t>
  </si>
  <si>
    <t>Total RE
w/ OH4 (40MHz)</t>
  </si>
  <si>
    <t>Total OH RE
w/ OH4
(40MHz)</t>
  </si>
  <si>
    <t>Total OH (%) w/ OH4 (40MHz)</t>
  </si>
  <si>
    <t>Adjust factor for OH2 and OH4</t>
  </si>
  <si>
    <t>32T4R</t>
  </si>
  <si>
    <t>32T8R</t>
  </si>
  <si>
    <t>4T4R</t>
  </si>
  <si>
    <t>Frequency Range 1 - TDD</t>
  </si>
  <si>
    <t>Assumption: 20 MHz BW, 15kHz SCS, 10ms duration</t>
  </si>
  <si>
    <t>Total PRBs</t>
  </si>
  <si>
    <t>TDD Frame Structure</t>
  </si>
  <si>
    <t>GP(50%)</t>
  </si>
  <si>
    <t>Total RE
w/ OH3 (40MHz)</t>
  </si>
  <si>
    <t>Total OH RE
w/ OH3
(40MHz)</t>
  </si>
  <si>
    <t>Total OH (%) w/ OH3 (40MHz)</t>
  </si>
  <si>
    <t>DSUUD; S (6D,2G,6U)</t>
  </si>
  <si>
    <t>CATT(non-precoded CSIRS)</t>
  </si>
  <si>
    <t>DSUUD; S (11D,1G,2U)</t>
  </si>
  <si>
    <t>CATT(precoded CSIRS)</t>
  </si>
  <si>
    <t>32T4R / 64T4R</t>
  </si>
  <si>
    <t>DDDSU; S (10D,2G,2U)</t>
  </si>
  <si>
    <t>64T4R</t>
  </si>
  <si>
    <t>DDDSU;S(10D,2G,2U)</t>
  </si>
  <si>
    <t>Ericsson (100 PRBs)</t>
  </si>
  <si>
    <t>Assumption: 20 MHz BW, 30kHz SCS, 10ms duration</t>
  </si>
  <si>
    <t>Total bandwidth [MHz]</t>
  </si>
  <si>
    <t>Total RE
w/ OH4 (100MHz)</t>
  </si>
  <si>
    <t>Total OH RE
w/ OH4
(100MHz)</t>
  </si>
  <si>
    <t>Total OH (%) w/ OH4 (100MHz)</t>
  </si>
  <si>
    <t>DDDSU; S (11D,1G,2U)</t>
  </si>
  <si>
    <t xml:space="preserve">DDDDD DDSUU;  S(6D,4G,4U) </t>
  </si>
  <si>
    <t>128T4R</t>
  </si>
  <si>
    <t>DDSU; S(10D,2G,2U)</t>
  </si>
  <si>
    <t>Frequency Range 2 - TDD</t>
  </si>
  <si>
    <t>Assumption: 100MHz BW, 60kHz SCS, 10ms duration</t>
  </si>
  <si>
    <t>Antenna Configuration</t>
  </si>
  <si>
    <t>CSI-RS BM</t>
  </si>
  <si>
    <t>GP (50%)</t>
  </si>
  <si>
    <t>32T32R / 64T32R</t>
  </si>
  <si>
    <t>8T8R</t>
  </si>
  <si>
    <t>Assumption: 80MHz BW, 60kHz SCS, 10ms duration</t>
  </si>
  <si>
    <t>Total RE
w/ OH3 (200MHz)</t>
  </si>
  <si>
    <t>Total OH RE
w/ OH3
(200MHz)</t>
  </si>
  <si>
    <t>Total OH (%) w/ OH3 (200MHz)</t>
  </si>
  <si>
    <t>Frequency Range 2 - FDD</t>
  </si>
  <si>
    <t>Assumption: 100MHz BW, 120kHz SCS, 10ms duration</t>
  </si>
  <si>
    <t>Total OH (%) OH2</t>
  </si>
  <si>
    <t>Assumption: 40MHz BW, 120kHz SCS, 10ms duration</t>
  </si>
  <si>
    <t>32T32R</t>
  </si>
  <si>
    <t>Assumption: 50MHz BW, 60kHz SCS, 10ms duration</t>
  </si>
  <si>
    <t>Assumption: 40MHz BW, 60kHz SCS, 10ms duration</t>
  </si>
  <si>
    <t>Assumption: 10 MHz BW, 15kHz SCS, 10ms duration</t>
  </si>
  <si>
    <t>DDSU; S (10D,2G,2U)</t>
  </si>
  <si>
    <t xml:space="preserve"> </t>
  </si>
  <si>
    <t>Assumption: 80MHz BW, 120kHz SCS, 10ms duration</t>
  </si>
  <si>
    <t>Channel model A</t>
  </si>
  <si>
    <t>RIT</t>
  </si>
  <si>
    <t>Antenna and TXRU mapping</t>
  </si>
  <si>
    <t>Antenna config &amp; Tx scheme</t>
  </si>
  <si>
    <t>Req.</t>
  </si>
  <si>
    <t>Mean</t>
  </si>
  <si>
    <t>Var</t>
  </si>
  <si>
    <t>Number of samples</t>
  </si>
  <si>
    <t>Channel model B</t>
  </si>
  <si>
    <t>DL Spectral efficiency</t>
  </si>
  <si>
    <t>NR</t>
  </si>
  <si>
    <t xml:space="preserve"> gNB: (M,N,P,Mg,Ng; Mp,Np) = (8,8,2,1,1;2,8)</t>
  </si>
  <si>
    <t>32x4 MU-MIMO Type II Codebook
(128Tx@gNB)</t>
  </si>
  <si>
    <t>15 kHz SCS</t>
  </si>
  <si>
    <t>Average [bit/s/Hz/TRxP]</t>
  </si>
  <si>
    <t>5th percentile [bit/s/Hz]</t>
  </si>
  <si>
    <t>32x4 MU-MIMO Type I Codebook
(128Tx@gNB)</t>
  </si>
  <si>
    <t xml:space="preserve"> gNB: (M,N,P,Mg,Ng; Mp,Np) = (8,16,2,1,1;1,16)</t>
  </si>
  <si>
    <t xml:space="preserve">32x4 MU-MIMO Type II Codebook
((256Tx@gNB)) </t>
  </si>
  <si>
    <t xml:space="preserve"> gNB: (M,N,P,Mg,Ng; Mp,Np) = (16,8,2,1,1;2,8)</t>
  </si>
  <si>
    <t>32x4 MU-MIMO
Ideal CSI feedback
(128Tx@gNB)</t>
  </si>
  <si>
    <t>gNB: (M,N,P,Mg,Ng; Mp,Np) = (8,8,2,1,1;2,1)</t>
  </si>
  <si>
    <t>4x4 MU-MIMO Type II Codebook 
(128Tx@gNB)</t>
  </si>
  <si>
    <t>gNB: (M,N,P,Mg,Ng; Mp,Np) = (12,8,2,1,1;4,8)</t>
  </si>
  <si>
    <t>64x4 MU-MIMO Type II Codebook (192Tx@gNB)</t>
  </si>
  <si>
    <t>32x8 MU-MIMO Type II Codebook
(256Tx@gNB)</t>
  </si>
  <si>
    <t>32x4 MU-MIMO,  4T SRS
(128Tx@gNB)</t>
  </si>
  <si>
    <t>30 kHz SCS</t>
  </si>
  <si>
    <t>64x4 MU-MIMO,  4T SRS
(192Tx@gNB)</t>
  </si>
  <si>
    <t>32x4 MU-MIMO,  Type II Codebook
(256Tx@gNB)</t>
  </si>
  <si>
    <t>64x4 MU-MIMO,  4T SRS (192Tx@gNB)</t>
  </si>
  <si>
    <t>gNB: (M,N,P,Mg,Ng; Mp,Np) = (16,8,2,1,1;4,8)</t>
  </si>
  <si>
    <t>64x4 MU-MIMO,  4T SRS (256Tx@gNB)</t>
  </si>
  <si>
    <t>gNB: (M,N,P,Mg,Ng; Mp,Np) = (4,32,2,1,1;1,32)</t>
  </si>
  <si>
    <t>64x8 MU-MIMO,   4T SRS (256Tx@gNB)</t>
  </si>
  <si>
    <t>DDDDD DDSUU</t>
  </si>
  <si>
    <t>gNB:  (M,N,P, Mg,Ng,Mp,Np) = (8,16,2,1,1;4,16)</t>
  </si>
  <si>
    <t>128x4, MU-MIMO, 4T SRS</t>
  </si>
  <si>
    <t>UL spectral efficiency</t>
  </si>
  <si>
    <t xml:space="preserve"> gNB: (M,N,P,Mg,Ng; Mp,Np) = (8,8,2,1,1;1,8)</t>
  </si>
  <si>
    <t>2x16 SU-MIMO, OFDMA</t>
  </si>
  <si>
    <t>2x32 SU-MIMO, OFDMA</t>
  </si>
  <si>
    <t>4x32 SU-MIMO, OFDMA</t>
  </si>
  <si>
    <t>4x32 MU-MIMO, OFDMA</t>
  </si>
  <si>
    <t>4x16 SU-MIMO, OFDMA</t>
  </si>
  <si>
    <t>16x16 SU-MIMO, OFDMA</t>
  </si>
  <si>
    <t xml:space="preserve"> gNB: (M,N,P,Mg,Ng; Mp,Np) = (8,8,2,1,1;2,1)</t>
  </si>
  <si>
    <t>4x4 SU-MIMO, OFDMA</t>
  </si>
  <si>
    <t>2x32 SU-MIMO, Codebook based, OFDMA</t>
  </si>
  <si>
    <t>2x64 SU-MIMO, Codebook based, OFDMA</t>
  </si>
  <si>
    <t>4x32 SU-MIMO, Codebook based, OFDMA</t>
  </si>
  <si>
    <t>4x32 MU-MIMO, Codebook based, OFDMA</t>
  </si>
  <si>
    <t>4x16 SU-MIMO, Non-codebook based,OFDMA</t>
  </si>
  <si>
    <t>4x16 SU-MIMO, codebook based,OFDMA</t>
  </si>
  <si>
    <t>8x64 MU-MIMO, Codebook based, OFDMA</t>
  </si>
  <si>
    <t>gNB: (M,N,P,Mg,Ng; Mp,Np) = (12,8,2,1,1;4,4)</t>
  </si>
  <si>
    <t>4x128, MU-MIMO, Codebook based, OFDMA</t>
  </si>
  <si>
    <t>DL Spectral efficienc</t>
  </si>
  <si>
    <t xml:space="preserve">Average [bit/s/Hz/TRxP] </t>
  </si>
  <si>
    <r>
      <t>2</t>
    </r>
    <r>
      <rPr>
        <sz val="10"/>
        <rFont val="Arial"/>
        <family val="2"/>
      </rPr>
      <t>018.9.03</t>
    </r>
    <phoneticPr fontId="15" type="noConversion"/>
  </si>
  <si>
    <r>
      <t>Z</t>
    </r>
    <r>
      <rPr>
        <sz val="10"/>
        <rFont val="Arial"/>
        <family val="2"/>
      </rPr>
      <t>TE</t>
    </r>
    <phoneticPr fontId="15" type="noConversion"/>
  </si>
  <si>
    <r>
      <t>F</t>
    </r>
    <r>
      <rPr>
        <sz val="10"/>
        <rFont val="Arial"/>
        <family val="2"/>
      </rPr>
      <t>ix our UL 4G results and antenna configurations</t>
    </r>
    <phoneticPr fontId="15" type="noConversion"/>
  </si>
  <si>
    <t>Average [bit/s/Hz/TRxP]</t>
    <phoneticPr fontId="25" type="noConversion"/>
  </si>
  <si>
    <t>5th percentile [bit/s/Hz]</t>
    <phoneticPr fontId="25" type="noConversion"/>
  </si>
  <si>
    <r>
      <t>2</t>
    </r>
    <r>
      <rPr>
        <sz val="10"/>
        <rFont val="Arial"/>
        <family val="2"/>
      </rPr>
      <t>018.9.03</t>
    </r>
    <phoneticPr fontId="15" type="noConversion"/>
  </si>
  <si>
    <t>Huawei</t>
    <phoneticPr fontId="15" type="noConversion"/>
  </si>
  <si>
    <t>Add scaling up results of 100 MHz for Qualcomm DL SE results for 4 GHz</t>
    <phoneticPr fontId="51" type="noConversion"/>
  </si>
  <si>
    <t>2018.9.04</t>
    <phoneticPr fontId="51" type="noConversion"/>
  </si>
  <si>
    <t>Mediatek</t>
    <phoneticPr fontId="51" type="noConversion"/>
  </si>
  <si>
    <t>Update DL_OH parameter and PDCCH ratio</t>
    <phoneticPr fontId="51" type="noConversion"/>
  </si>
  <si>
    <t>update DL&amp;UL results for 4GHz and 4GHz larger BW</t>
  </si>
  <si>
    <t>2018.9.07</t>
  </si>
  <si>
    <t>Adjust formats</t>
    <phoneticPr fontId="15" type="noConversion"/>
  </si>
  <si>
    <t>32x4 MU-MIMO, Type II Codebook
(256Tx@gNB)</t>
    <phoneticPr fontId="15" type="noConversion"/>
  </si>
  <si>
    <t>For 2T: (M,N,P,Mg,Ng; Mp,Np)=  (1,1,2,1,1; 1,1); (dH, dV)=( N/A, N/A)λ
For 4T: (M,N,P,Mg,Ng; Mp,Np)=  (1,2,2,1,1; 1,2); (dH, dV)=( 0.5, N/A)λ</t>
    <phoneticPr fontId="15" type="noConversion"/>
  </si>
  <si>
    <t>DDDSU</t>
    <phoneticPr fontId="15" type="noConversion"/>
  </si>
  <si>
    <t>Huawei</t>
    <phoneticPr fontId="51" type="noConversion"/>
  </si>
  <si>
    <t>32x4 MU-MIMO,  Type II Codebook
(256Tx@gNB)</t>
    <phoneticPr fontId="15" type="noConversion"/>
  </si>
  <si>
    <t>For UE 4 Tx ports: Non-precoded SRS, 4 SRS ports (with 4 SRS resources),
4 symbols per 5 slots for 15kHz SCS;
2 symbols per 5 slots for 30kHz SCS;</t>
    <phoneticPr fontId="15" type="noConversion"/>
  </si>
  <si>
    <t>Guard band ratio</t>
    <phoneticPr fontId="15" type="noConversion"/>
  </si>
  <si>
    <t>gNB: (M,N,P,Mg,Ng; Mp,Np) = (4,32,2,1,1;1,32)</t>
    <phoneticPr fontId="15" type="noConversion"/>
  </si>
  <si>
    <t xml:space="preserve">1 slot with (3 PRB, 14 OS) and 9 slots with (1 PRB, 2 OS) </t>
    <phoneticPr fontId="15" type="noConversion"/>
  </si>
  <si>
    <r>
      <t>Note: OH1 is the or</t>
    </r>
    <r>
      <rPr>
        <sz val="10"/>
        <rFont val="Arial"/>
        <family val="2"/>
      </rPr>
      <t>i</t>
    </r>
    <r>
      <rPr>
        <sz val="10"/>
        <rFont val="Arial"/>
        <family val="2"/>
      </rPr>
      <t>ginal overhead provided by each company. OH2 is the adjusted overhead according to the agreed GP (50% for UL) and PUCCH assumption.</t>
    </r>
    <phoneticPr fontId="15" type="noConversion"/>
  </si>
  <si>
    <t xml:space="preserve">
Note 1. OH1 is the original overhead provided by each company. OH2 is the adjusted overhead according to the agreed GP and PDCCH assumption. 
Note 2. OH3 and OH4 is the further adjusted overhead for the larger bandwidth taking into account the guard band ratio and PDCCH overhead reduction. OH3 and OH4 is only used in DL.</t>
  </si>
  <si>
    <r>
      <rPr>
        <strike/>
        <sz val="9"/>
        <color rgb="FF00B050"/>
        <rFont val="Arial"/>
        <family val="2"/>
      </rPr>
      <t>Ideal</t>
    </r>
    <r>
      <rPr>
        <sz val="9"/>
        <color rgb="FF00B050"/>
        <rFont val="Arial"/>
        <family val="2"/>
      </rPr>
      <t xml:space="preserve">
Non-ideal</t>
    </r>
    <phoneticPr fontId="15" type="noConversion"/>
  </si>
  <si>
    <t>2018.4.09</t>
  </si>
  <si>
    <r>
      <t>4</t>
    </r>
    <r>
      <rPr>
        <sz val="10"/>
        <rFont val="Arial"/>
        <family val="2"/>
      </rPr>
      <t>7</t>
    </r>
    <r>
      <rPr>
        <sz val="10"/>
        <rFont val="Arial"/>
        <family val="2"/>
      </rPr>
      <t>_r1</t>
    </r>
    <phoneticPr fontId="15" type="noConversion"/>
  </si>
  <si>
    <t>gNB: (M,N,P,Mg,Ng; Mp,Np) = (1,8,2,1,1;4,8)</t>
    <phoneticPr fontId="15" type="noConversion"/>
  </si>
  <si>
    <r>
      <t>1</t>
    </r>
    <r>
      <rPr>
        <sz val="10"/>
        <rFont val="Arial"/>
        <family val="2"/>
      </rPr>
      <t>6T4R/</t>
    </r>
    <r>
      <rPr>
        <sz val="10"/>
        <rFont val="Arial"/>
        <family val="2"/>
      </rPr>
      <t>32T4R</t>
    </r>
    <r>
      <rPr>
        <sz val="10"/>
        <rFont val="Arial"/>
        <family val="2"/>
      </rPr>
      <t>/64T4R</t>
    </r>
    <r>
      <rPr>
        <sz val="10"/>
        <rFont val="Arial"/>
        <family val="2"/>
      </rPr>
      <t xml:space="preserve"> </t>
    </r>
    <phoneticPr fontId="15" type="noConversion"/>
  </si>
  <si>
    <r>
      <t>For 32T:  (M,N,P,Mg,Ng; Mp,Np) = (8,8,2,1,1;2,8)</t>
    </r>
    <r>
      <rPr>
        <sz val="9"/>
        <rFont val="宋体"/>
        <family val="3"/>
        <charset val="134"/>
      </rPr>
      <t>；</t>
    </r>
    <r>
      <rPr>
        <sz val="9"/>
        <rFont val="Arial"/>
        <family val="2"/>
      </rPr>
      <t xml:space="preserve"> 
</t>
    </r>
    <r>
      <rPr>
        <sz val="9"/>
        <color theme="9"/>
        <rFont val="Arial"/>
        <family val="2"/>
      </rPr>
      <t>For 16T: (M,N,P,Mg,Ng; Mp,Np) = (8,8,2,1,1;1,8);
For 64T:  (M,N,P,Mg,Ng; Mp,Np) = (8,8,2,1,1;4,8)</t>
    </r>
    <r>
      <rPr>
        <sz val="9"/>
        <rFont val="Arial"/>
        <family val="2"/>
      </rPr>
      <t xml:space="preserve">
(dH, dV)=(0.5, 0.8)λ</t>
    </r>
    <phoneticPr fontId="15" type="noConversion"/>
  </si>
  <si>
    <t>NR FDD</t>
    <phoneticPr fontId="15" type="noConversion"/>
  </si>
  <si>
    <t>FDD</t>
    <phoneticPr fontId="15" type="noConversion"/>
  </si>
  <si>
    <t>For 4Rx: Up to 4 layers</t>
    <phoneticPr fontId="15" type="noConversion"/>
  </si>
  <si>
    <r>
      <t>For 32T:  (M,N,P,Mg,Ng; Mp,Np) = (8,8,2,1,1;2,8)</t>
    </r>
    <r>
      <rPr>
        <sz val="9"/>
        <rFont val="宋体"/>
        <family val="3"/>
        <charset val="134"/>
      </rPr>
      <t xml:space="preserve">；
</t>
    </r>
    <r>
      <rPr>
        <sz val="9"/>
        <rFont val="Arial"/>
        <family val="2"/>
      </rPr>
      <t>(dH, dV)=(0.5, 0.8)</t>
    </r>
    <r>
      <rPr>
        <sz val="9"/>
        <rFont val="宋体"/>
        <family val="3"/>
        <charset val="134"/>
      </rPr>
      <t>λ</t>
    </r>
    <r>
      <rPr>
        <sz val="9"/>
        <rFont val="Arial"/>
        <family val="2"/>
      </rPr>
      <t xml:space="preserve"> </t>
    </r>
    <phoneticPr fontId="15" type="noConversion"/>
  </si>
  <si>
    <t>102 degree</t>
    <phoneticPr fontId="15" type="noConversion"/>
  </si>
  <si>
    <t>CEWiT</t>
  </si>
  <si>
    <t>CEWiT</t>
    <phoneticPr fontId="15" type="noConversion"/>
  </si>
  <si>
    <t xml:space="preserve">Type II codebook;
</t>
    <phoneticPr fontId="15" type="noConversion"/>
  </si>
  <si>
    <t>Overhead calculation for additional configuration after the first submission</t>
    <phoneticPr fontId="15" type="noConversion"/>
  </si>
  <si>
    <t>Guard band ratio</t>
    <phoneticPr fontId="15" type="noConversion"/>
  </si>
  <si>
    <t>64T4R</t>
    <phoneticPr fontId="15" type="noConversion"/>
  </si>
  <si>
    <t>32T4R</t>
    <phoneticPr fontId="15" type="noConversion"/>
  </si>
  <si>
    <t>Non-precoded CSI-RS  based</t>
    <phoneticPr fontId="15" type="noConversion"/>
  </si>
  <si>
    <r>
      <t xml:space="preserve">For 64T: non-PMI feedback'
</t>
    </r>
    <r>
      <rPr>
        <sz val="10"/>
        <color theme="9" tint="-0.249977111117893"/>
        <rFont val="Times New Roman"/>
        <family val="1"/>
      </rPr>
      <t>For 32T: Non-precoded CSI-RS  based</t>
    </r>
    <phoneticPr fontId="15" type="noConversion"/>
  </si>
  <si>
    <r>
      <t>For 64T: (M,N,P,Mg,Ng; Mp,Np) = (12,8,2,1,1;</t>
    </r>
    <r>
      <rPr>
        <sz val="9"/>
        <color theme="1"/>
        <rFont val="Arial"/>
        <family val="2"/>
      </rPr>
      <t>4,8</t>
    </r>
    <r>
      <rPr>
        <sz val="9"/>
        <rFont val="Arial"/>
        <family val="2"/>
      </rPr>
      <t xml:space="preserve">);
</t>
    </r>
    <r>
      <rPr>
        <sz val="9"/>
        <color theme="9" tint="-0.249977111117893"/>
        <rFont val="Arial"/>
        <family val="2"/>
      </rPr>
      <t>For 32T: (M,N,P,Mg,Ng; Mp,Np) = (8,8,2,1,1;2,8)</t>
    </r>
    <r>
      <rPr>
        <sz val="9"/>
        <rFont val="Arial"/>
        <family val="2"/>
      </rPr>
      <t xml:space="preserve">
(dH, dV)=(0.5, 0.8)λ</t>
    </r>
    <phoneticPr fontId="15" type="noConversion"/>
  </si>
  <si>
    <t>ZTE</t>
    <phoneticPr fontId="15" type="noConversion"/>
  </si>
  <si>
    <t>32T4R</t>
    <phoneticPr fontId="15" type="noConversion"/>
  </si>
  <si>
    <t>32T4R</t>
    <phoneticPr fontId="15" type="noConversion"/>
  </si>
  <si>
    <r>
      <t>DDDSU</t>
    </r>
    <r>
      <rPr>
        <sz val="10"/>
        <rFont val="Arial"/>
        <family val="2"/>
      </rPr>
      <t>DDSUU</t>
    </r>
    <r>
      <rPr>
        <sz val="10"/>
        <rFont val="Arial"/>
        <family val="2"/>
      </rPr>
      <t>;S(10D,2G,2U)</t>
    </r>
    <phoneticPr fontId="15" type="noConversion"/>
  </si>
  <si>
    <t>32T4R/64T4R</t>
    <phoneticPr fontId="15" type="noConversion"/>
  </si>
  <si>
    <t>gNB: (M,N,P,Mg,Ng; Mp,Np) = (8,8,2,1,1;2,8)</t>
    <phoneticPr fontId="15" type="noConversion"/>
  </si>
  <si>
    <t>32x4 MU-MIMO,  4T SRS (128Tx@gNB)</t>
    <phoneticPr fontId="15" type="noConversion"/>
  </si>
  <si>
    <t>gNB: (M,N,P,Mg,Ng; Mp,Np) = (12,8,2,1,1;4,8)</t>
    <phoneticPr fontId="15" type="noConversion"/>
  </si>
  <si>
    <t>DDDSU DDSUU</t>
    <phoneticPr fontId="15" type="noConversion"/>
  </si>
  <si>
    <t>64x4 MU-MIMO,  4T SRS (192Tx@gNB)</t>
    <phoneticPr fontId="15" type="noConversion"/>
  </si>
  <si>
    <t>gNB: (M,N,P,Mg,Ng; Mp,Np) = (4,8,2,1,1;4,8)</t>
    <phoneticPr fontId="15" type="noConversion"/>
  </si>
  <si>
    <t>64x4 MU-MIMO,  4T SRS
(128Tx@gNB)</t>
    <phoneticPr fontId="15" type="noConversion"/>
  </si>
  <si>
    <t>16x4 MU-MIMO,  4T SRS
(128Tx@gNB)</t>
    <phoneticPr fontId="15" type="noConversion"/>
  </si>
  <si>
    <r>
      <t xml:space="preserve">DDDSU;
DSUUD;
</t>
    </r>
    <r>
      <rPr>
        <sz val="9"/>
        <color theme="9" tint="-0.249977111117893"/>
        <rFont val="Arial"/>
        <family val="2"/>
      </rPr>
      <t>DDDSUDDSUU;
DDDDDDDSUU</t>
    </r>
    <phoneticPr fontId="15" type="noConversion"/>
  </si>
  <si>
    <t>Overhead calculation for additional configuration after the first submission</t>
    <phoneticPr fontId="15" type="noConversion"/>
  </si>
  <si>
    <t>DDDSUDDSUU; S (10D,2G,2U)</t>
    <phoneticPr fontId="25" type="noConversion"/>
  </si>
  <si>
    <t>DDDDDDDSUU; S (6D,4G,4U)</t>
    <phoneticPr fontId="25" type="noConversion"/>
  </si>
  <si>
    <t>ZTE</t>
    <phoneticPr fontId="25" type="noConversion"/>
  </si>
  <si>
    <t>ZTE</t>
    <phoneticPr fontId="25" type="noConversion"/>
  </si>
  <si>
    <t>DDDSUDDSUU</t>
    <phoneticPr fontId="25" type="noConversion"/>
  </si>
  <si>
    <t>DDDDDDDSUU</t>
    <phoneticPr fontId="25" type="noConversion"/>
  </si>
  <si>
    <t>vivo</t>
    <phoneticPr fontId="15" type="noConversion"/>
  </si>
  <si>
    <t>vivo</t>
    <phoneticPr fontId="15" type="noConversion"/>
  </si>
  <si>
    <t>Up to 2 layers</t>
    <phoneticPr fontId="15" type="noConversion"/>
  </si>
  <si>
    <t>NR 2Tx codebook;</t>
    <phoneticPr fontId="15" type="noConversion"/>
  </si>
  <si>
    <t>Up to 2 layers</t>
    <phoneticPr fontId="15" type="noConversion"/>
  </si>
  <si>
    <t xml:space="preserve">For UE 2 Tx ports: Non-precoded SRS, 2 SRS ports (with 2 SRS resources);
</t>
    <phoneticPr fontId="15" type="noConversion"/>
  </si>
  <si>
    <t>For 32R:  (M,N,P,Mg,Ng; Mp,Np)= (8,8,2,1,1; 2,8)
(dH, dV)=(0.5, 0.8)λ;</t>
    <phoneticPr fontId="15" type="noConversion"/>
  </si>
  <si>
    <t>For 2T: (M,N,P,Mg,Ng; Mp,Np)=  (1,1,2,1,1; 1,1); (dH, dV)=( N/A, N/A)λ</t>
    <phoneticPr fontId="15" type="noConversion"/>
  </si>
  <si>
    <t>N/A</t>
    <phoneticPr fontId="15" type="noConversion"/>
  </si>
  <si>
    <t>vivo</t>
    <phoneticPr fontId="15" type="noConversion"/>
  </si>
  <si>
    <t>LTE TDD</t>
  </si>
  <si>
    <t>LTE TDD</t>
    <phoneticPr fontId="15" type="noConversion"/>
  </si>
  <si>
    <t>15kHz
14 OFDM symbol slot</t>
    <phoneticPr fontId="15" type="noConversion"/>
  </si>
  <si>
    <t>DSUDD</t>
    <phoneticPr fontId="15" type="noConversion"/>
  </si>
  <si>
    <t xml:space="preserve">
For 64T: Precoded CSI-RS based</t>
    <phoneticPr fontId="15" type="noConversion"/>
  </si>
  <si>
    <t xml:space="preserve">
For 64T: non-PMI transmission</t>
    <phoneticPr fontId="15" type="noConversion"/>
  </si>
  <si>
    <t>2 PRBs</t>
    <phoneticPr fontId="15" type="noConversion"/>
  </si>
  <si>
    <t>Up to 8 layers</t>
    <phoneticPr fontId="15" type="noConversion"/>
  </si>
  <si>
    <t>At least N+4</t>
    <phoneticPr fontId="15" type="noConversion"/>
  </si>
  <si>
    <t xml:space="preserve">
For 64T:  (M,N,P,Mg,Ng; Mp,Np) = (12,8,2,1,1;4,8)
(dH, dV)=(0.5, 0.8)λ;</t>
    <phoneticPr fontId="15" type="noConversion"/>
  </si>
  <si>
    <t>SCFDMA</t>
  </si>
  <si>
    <t>SCFDMA</t>
    <phoneticPr fontId="15" type="noConversion"/>
  </si>
  <si>
    <t>DSUDD</t>
    <phoneticPr fontId="15" type="noConversion"/>
  </si>
  <si>
    <t>For 2Tx: LTE 2Tx codebook;</t>
    <phoneticPr fontId="15" type="noConversion"/>
  </si>
  <si>
    <t>For 2Tx: Up to 2 layers</t>
    <phoneticPr fontId="15" type="noConversion"/>
  </si>
  <si>
    <t xml:space="preserve">
For 64R: (M,N,P,Mg,Ng; Mp,Np)= (12,8,2,1,1; 4,8)
(dH, dV)=(0.5, 0.8)λ;</t>
    <phoneticPr fontId="15" type="noConversion"/>
  </si>
  <si>
    <t xml:space="preserve">For 2T: (M,N,P,Mg,Ng; Mp,Np)=  (1,1,2,1,1; 1,1); (dH, dV)=( N/A, N/A)λ
</t>
    <phoneticPr fontId="15" type="noConversion"/>
  </si>
  <si>
    <t>Continuous RB allocation: follow TS 36.101</t>
    <phoneticPr fontId="15" type="noConversion"/>
  </si>
  <si>
    <t>Frequency Range 1 - FDD (LTE)</t>
    <phoneticPr fontId="15" type="noConversion"/>
  </si>
  <si>
    <t>PSS/SSS</t>
    <phoneticPr fontId="15" type="noConversion"/>
  </si>
  <si>
    <t>PBCH</t>
    <phoneticPr fontId="15" type="noConversion"/>
  </si>
  <si>
    <t>CRS</t>
    <phoneticPr fontId="15" type="noConversion"/>
  </si>
  <si>
    <t>Frequency Range 1 - TDD (LTE)</t>
    <phoneticPr fontId="15" type="noConversion"/>
  </si>
  <si>
    <r>
      <t>6</t>
    </r>
    <r>
      <rPr>
        <sz val="10"/>
        <rFont val="Arial"/>
        <family val="2"/>
      </rPr>
      <t>4T2R</t>
    </r>
    <phoneticPr fontId="15" type="noConversion"/>
  </si>
  <si>
    <t>DSUDD ;S(10D,2G,2U)</t>
    <phoneticPr fontId="15" type="noConversion"/>
  </si>
  <si>
    <t>GP(50%)</t>
    <phoneticPr fontId="15" type="noConversion"/>
  </si>
  <si>
    <t>Huawei</t>
    <phoneticPr fontId="15" type="noConversion"/>
  </si>
  <si>
    <t>LTE</t>
    <phoneticPr fontId="15" type="noConversion"/>
  </si>
  <si>
    <t xml:space="preserve"> gNB: (M,N,P,Mg,Ng; Mp,Np) = (12,8,2,1,1;4,8)</t>
    <phoneticPr fontId="15" type="noConversion"/>
  </si>
  <si>
    <t>DSUDD</t>
    <phoneticPr fontId="15" type="noConversion"/>
  </si>
  <si>
    <t>64x2 MU-MIMO,  2T SRS
(192Tx@gNB)</t>
    <phoneticPr fontId="15" type="noConversion"/>
  </si>
  <si>
    <t xml:space="preserve">For UE 2 Tx ports: Non-precoded SRS, 2 SRS ports
</t>
    <phoneticPr fontId="15" type="noConversion"/>
  </si>
  <si>
    <t>At least N+8</t>
    <phoneticPr fontId="15" type="noConversion"/>
  </si>
  <si>
    <t>Turbo</t>
  </si>
  <si>
    <t>Turbo</t>
    <phoneticPr fontId="15" type="noConversion"/>
  </si>
  <si>
    <t>For larger than or equal to 2 layers, two CWs.</t>
  </si>
  <si>
    <t>4x128, MU-MIMO, Codebook based, OFDMA</t>
    <phoneticPr fontId="15" type="noConversion"/>
  </si>
  <si>
    <t>2x64 SU-MIMO,   Codebook based, DFT-S-OFDM</t>
    <phoneticPr fontId="15" type="noConversion"/>
  </si>
  <si>
    <t>LTE FDD</t>
    <phoneticPr fontId="25" type="noConversion"/>
  </si>
  <si>
    <t xml:space="preserve">LTE TDD </t>
    <phoneticPr fontId="25" type="noConversion"/>
  </si>
  <si>
    <t>DSUUD</t>
    <phoneticPr fontId="25" type="noConversion"/>
  </si>
  <si>
    <t>3 PRBs</t>
    <phoneticPr fontId="25" type="noConversion"/>
  </si>
  <si>
    <t>2 PRBs</t>
    <phoneticPr fontId="25" type="noConversion"/>
  </si>
  <si>
    <t>Up to 8 layers</t>
    <phoneticPr fontId="25" type="noConversion"/>
  </si>
  <si>
    <t>Up to 8 layers</t>
    <phoneticPr fontId="25" type="noConversion"/>
  </si>
  <si>
    <t>For UE 4 Tx ports: Non-precoded SRS</t>
    <phoneticPr fontId="25" type="noConversion"/>
  </si>
  <si>
    <t xml:space="preserve">PMI, CQI: every 10 slot; RI: every 10 slot;
Subband based </t>
    <phoneticPr fontId="25" type="noConversion"/>
  </si>
  <si>
    <t xml:space="preserve">CQI: every 10 slot; RI: every 10 slot, CRI: every 10 slot; PMI: every 10 slot; 
Subband based </t>
    <phoneticPr fontId="25" type="noConversion"/>
  </si>
  <si>
    <t>N+4</t>
  </si>
  <si>
    <t>At least N+4</t>
    <phoneticPr fontId="25" type="noConversion"/>
  </si>
  <si>
    <t>N+8</t>
  </si>
  <si>
    <t>For 32T: (M,N,P,Mg,Ng; Mp,Np) = (16,8,2,1,1;2,8)
For 32T: (M,N,P,Mg,Ng; Mp,Np) = (8,8,2,1,1;2,8)
(dH, dV)=(0.5, 0.8)λ</t>
    <phoneticPr fontId="15" type="noConversion"/>
  </si>
  <si>
    <t>LTE FDD</t>
  </si>
  <si>
    <t>SU-MIMO with rank adaptation</t>
  </si>
  <si>
    <t>For 4Tx: LTE 4Tx codebook</t>
    <phoneticPr fontId="25" type="noConversion"/>
  </si>
  <si>
    <r>
      <rPr>
        <sz val="10"/>
        <rFont val="Arial"/>
        <family val="2"/>
      </rPr>
      <t>N</t>
    </r>
    <r>
      <rPr>
        <sz val="10"/>
        <rFont val="Arial"/>
        <family val="2"/>
      </rPr>
      <t>/A</t>
    </r>
  </si>
  <si>
    <t>For 4 Tx: Up to 4 layers</t>
    <phoneticPr fontId="25" type="noConversion"/>
  </si>
  <si>
    <t>For 4 Tx: Up to 4 layers</t>
    <phoneticPr fontId="25" type="noConversion"/>
  </si>
  <si>
    <t xml:space="preserve">For UE 4 Tx ports: Non-precoded SRS, 4 SRS ports </t>
    <phoneticPr fontId="25" type="noConversion"/>
  </si>
  <si>
    <t>at leat N+8</t>
  </si>
  <si>
    <t>LTE advanced CSI codebook based; 2 beam basis, WB+SB and 4PSK quantification</t>
    <phoneticPr fontId="25" type="noConversion"/>
  </si>
  <si>
    <t>CATT</t>
    <phoneticPr fontId="63" type="noConversion"/>
  </si>
  <si>
    <t>32T4R</t>
    <phoneticPr fontId="63" type="noConversion"/>
  </si>
  <si>
    <t>DSUUD ;S(11D,1G,2U)</t>
    <phoneticPr fontId="15" type="noConversion"/>
  </si>
  <si>
    <t>CATT</t>
    <phoneticPr fontId="15" type="noConversion"/>
  </si>
  <si>
    <t>DSUUD ;S(11D,1G,2U)</t>
    <phoneticPr fontId="15" type="noConversion"/>
  </si>
  <si>
    <t>32x4 MU-MIMO Advanced CSI Codebook
(128Tx@gNB)</t>
    <phoneticPr fontId="15" type="noConversion"/>
  </si>
  <si>
    <t>DSUUD</t>
    <phoneticPr fontId="15" type="noConversion"/>
  </si>
  <si>
    <t>64x4 MU-MIMO,  4T SRS
(192Tx@gNB)</t>
    <phoneticPr fontId="15" type="noConversion"/>
  </si>
  <si>
    <t>64x4 MU-MIMO,  4T SRS
(256Tx@gNB)</t>
    <phoneticPr fontId="15" type="noConversion"/>
  </si>
  <si>
    <t>4x32 SU-MIMO, DFT-S-OFDM</t>
    <phoneticPr fontId="15" type="noConversion"/>
  </si>
  <si>
    <t>4x32 SU-MIMO, Codebook based, DFT-S-OFDM</t>
    <phoneticPr fontId="15" type="noConversion"/>
  </si>
  <si>
    <t>eNB: (M,N,P,Mg,Ng; Mp,Np) = (8,8,2,1,1;2,8)</t>
    <phoneticPr fontId="15" type="noConversion"/>
  </si>
  <si>
    <t xml:space="preserve"> eNB: (M,N,P,Mg,Ng; Mp,Np) = (12,8,2,1,1;4,8)</t>
    <phoneticPr fontId="15" type="noConversion"/>
  </si>
  <si>
    <t xml:space="preserve"> eNB: (M,N,P,Mg,Ng; Mp,Np) = (16,8,2,1,1;4,8)</t>
    <phoneticPr fontId="15" type="noConversion"/>
  </si>
  <si>
    <t xml:space="preserve"> eNB: (M,N,P,Mg,Ng; Mp,Np) = (16,8,2,1,1;2,8)</t>
    <phoneticPr fontId="15" type="noConversion"/>
  </si>
  <si>
    <t xml:space="preserve"> Non-precoded CSI-RS based</t>
    <phoneticPr fontId="25" type="noConversion"/>
  </si>
  <si>
    <t xml:space="preserve"> -- For precoded CSI-RS based, non-PMI, N.A.
 -- For non-precoded CSI-RS, LTE advanced CSI codebook based; 2 beam basis, WB+SB and 4PSK quantification</t>
    <phoneticPr fontId="15" type="noConversion"/>
  </si>
  <si>
    <t>SU-CQI; CRS for inter-cell interference measurement</t>
    <phoneticPr fontId="15" type="noConversion"/>
  </si>
  <si>
    <t>China Telecom</t>
    <phoneticPr fontId="15" type="noConversion"/>
  </si>
  <si>
    <t>15 kHz SCS,
14 OFDM symbol per subframe</t>
    <phoneticPr fontId="25" type="noConversion"/>
  </si>
  <si>
    <t>15 kHz SCS,
14 OFDM symbol per subframe</t>
    <phoneticPr fontId="25" type="noConversion"/>
  </si>
  <si>
    <t>This is a temp version used to update the results after the first submission. The ideal channel estimation results are updated marked by green color. The results for the existing configuration are updated marked by purple color. The results for the new configuration are updated marked by orange color. The values marked by red color are still needed to be further updated by contributors.</t>
    <phoneticPr fontId="15" type="noConversion"/>
  </si>
  <si>
    <t>1. Add results for new antenna configuration (64Tx; 32/64Rx) for 4GHz
2. Update UL results for 4GHz with reduced DMRS overhead, by taking into account the tradeoff between the DMRS overhead and the accuracy of channel estimation.</t>
  </si>
  <si>
    <t>1. Update the overhead calculation according to the agreed GP/PDCCH/PUCCH assumption in the overhead sheet.
2. Update the spectral efficiency results according to the adjusted overhead.</t>
  </si>
  <si>
    <t>1. Update the overhead for DL FR2 for NTT DOCOMO. It's already based on 2 PDCCH OFDM Symbols, So it doesn't need to be adjusted by a factor. 
2. Update the frame structure DDDSU and the overhead calculation for Ericsson. The SE results are also updated.</t>
    <phoneticPr fontId="15" type="noConversion"/>
  </si>
  <si>
    <t>2019.5.05</t>
  </si>
  <si>
    <t>47_r2</t>
  </si>
  <si>
    <t>vivo</t>
  </si>
  <si>
    <t>2 symbols</t>
    <phoneticPr fontId="15" type="noConversion"/>
  </si>
  <si>
    <t>Type II, 2  symbols</t>
    <phoneticPr fontId="15" type="noConversion"/>
  </si>
  <si>
    <t>1.Update DL 4GHz configuration parameter marked by orange color.
2.Add DL and UL OH assumption parameters.</t>
  </si>
  <si>
    <t>47_r3</t>
  </si>
  <si>
    <r>
      <t>2019.5.0</t>
    </r>
    <r>
      <rPr>
        <sz val="10"/>
        <rFont val="Arial"/>
        <family val="2"/>
      </rPr>
      <t>7</t>
    </r>
    <phoneticPr fontId="15" type="noConversion"/>
  </si>
  <si>
    <t>China Telecom</t>
    <phoneticPr fontId="15" type="noConversion"/>
  </si>
  <si>
    <t>Non-precoded CSI-RS  based</t>
    <phoneticPr fontId="15" type="noConversion"/>
  </si>
  <si>
    <t>Non-precoded CSI-RS  based</t>
    <phoneticPr fontId="15" type="noConversion"/>
  </si>
  <si>
    <t>32x4 MU-MIMO Advanced CSI Codebook
(256Tx@gNB)</t>
    <phoneticPr fontId="15" type="noConversion"/>
  </si>
  <si>
    <t>32x4 MU-MIMO,  4T SRS
(256Tx@gNB)</t>
    <phoneticPr fontId="15" type="noConversion"/>
  </si>
  <si>
    <t>For 32T:  (M,N,P,Mg,Ng; Mp,Np) = (16,8,2,1,1;2,8)
(dH, dV)=(0.5, 0.8)λ;
For 64T:  (M,N,P,Mg,Ng; Mp,Np) = (12,8,2,1,1;4,8)
For 64T:  (M,N,P,Mg,Ng; Mp,Np) = (16,8,2,1,1;4,8)
(dH, dV)=(0.5, 0.8)λ;</t>
    <phoneticPr fontId="15" type="noConversion"/>
  </si>
  <si>
    <r>
      <t xml:space="preserve">For 32T: </t>
    </r>
    <r>
      <rPr>
        <sz val="9"/>
        <color theme="9" tint="-0.249977111117893"/>
        <rFont val="Arial"/>
        <family val="2"/>
      </rPr>
      <t>(M,N,P,Mg,Ng; Mp,Np) = (16,8,2,1,1;2,8)</t>
    </r>
    <r>
      <rPr>
        <sz val="9"/>
        <rFont val="Arial"/>
        <family val="2"/>
      </rPr>
      <t xml:space="preserve">
For 64T:  (M,N,P,Mg,Ng; Mp,Np) = (12,8,2,1,1;4,8)
For 64T:  (M,N,P,Mg,Ng; Mp,Np) = (16,8,2,1,1;4,8)
(dH, dV)=(0.5, 0.8)λ;</t>
    </r>
    <phoneticPr fontId="15" type="noConversion"/>
  </si>
  <si>
    <t>CATT(non-precoded CSIRS)</t>
    <phoneticPr fontId="15" type="noConversion"/>
  </si>
  <si>
    <t>CATT(precoded CSIRS)</t>
    <phoneticPr fontId="15" type="noConversion"/>
  </si>
  <si>
    <r>
      <t>3</t>
    </r>
    <r>
      <rPr>
        <sz val="10"/>
        <rFont val="Arial"/>
        <family val="2"/>
      </rPr>
      <t>2</t>
    </r>
    <r>
      <rPr>
        <sz val="10"/>
        <rFont val="Arial"/>
        <family val="2"/>
      </rPr>
      <t>T</t>
    </r>
    <r>
      <rPr>
        <sz val="10"/>
        <rFont val="Arial"/>
        <family val="2"/>
      </rPr>
      <t>4</t>
    </r>
    <r>
      <rPr>
        <sz val="10"/>
        <rFont val="Arial"/>
        <family val="2"/>
      </rPr>
      <t>R</t>
    </r>
    <phoneticPr fontId="15" type="noConversion"/>
  </si>
  <si>
    <t>32T4R / 64T4R</t>
    <phoneticPr fontId="15" type="noConversion"/>
  </si>
  <si>
    <r>
      <t>For 32R:  (M,N,P,Mg,Ng; Mp,Np)= (</t>
    </r>
    <r>
      <rPr>
        <sz val="9"/>
        <color theme="9" tint="-0.249977111117893"/>
        <rFont val="Arial"/>
        <family val="2"/>
      </rPr>
      <t>16</t>
    </r>
    <r>
      <rPr>
        <sz val="9"/>
        <rFont val="Arial"/>
        <family val="2"/>
      </rPr>
      <t>,8,2,1,1; 2,8)
(dH, dV)=(0.5, 0.8)λ;</t>
    </r>
    <phoneticPr fontId="15" type="noConversion"/>
  </si>
  <si>
    <r>
      <t>2</t>
    </r>
    <r>
      <rPr>
        <sz val="10"/>
        <rFont val="Arial"/>
        <family val="2"/>
      </rPr>
      <t>019.5.13</t>
    </r>
    <phoneticPr fontId="15" type="noConversion"/>
  </si>
  <si>
    <t>47_r4</t>
    <phoneticPr fontId="15" type="noConversion"/>
  </si>
  <si>
    <t>CATT</t>
    <phoneticPr fontId="15" type="noConversion"/>
  </si>
  <si>
    <r>
      <t xml:space="preserve">For 32T: (M,N,P,Mg,Ng; Mp,Np) = (8,8,2,1,1;2,8)
</t>
    </r>
    <r>
      <rPr>
        <sz val="9"/>
        <color theme="9" tint="-0.249977111117893"/>
        <rFont val="Arial"/>
        <family val="2"/>
      </rPr>
      <t>For 32T: (M,N,P,Mg,Ng; Mp,Np) = (16,8,2,1,1;2,8)</t>
    </r>
    <phoneticPr fontId="15" type="noConversion"/>
  </si>
  <si>
    <t>32x4 MU-MIMO,  4T SRS
(256Tx@gNB)</t>
    <phoneticPr fontId="15" type="noConversion"/>
  </si>
  <si>
    <t>eNB: (M,N,P,Mg,Ng; Mp,Np) = (16,8,2,1,1;2,8)</t>
    <phoneticPr fontId="15" type="noConversion"/>
  </si>
  <si>
    <t xml:space="preserve"> gNB: (M,N,P,Mg,Ng; Mp,Np) = (16,8,2,1,1;2,8)</t>
    <phoneticPr fontId="15" type="noConversion"/>
  </si>
  <si>
    <t xml:space="preserve"> eNB: (M,N,P,Mg,Ng; Mp,Np) = (16,8,2,1,1;2,8)</t>
    <phoneticPr fontId="15" type="noConversion"/>
  </si>
  <si>
    <t>1. DL_OH: LTE CSI-RS OH was not correctly captured in the last version, which has been corrected and highlighted in yellow
2. LTE 4GHz&amp;4GHz_largerBW: some antenna configuraitons and evaluation results were not correctly captured in the last version, which have been corrected and highlighted in yellow; also found evaluation results of one antenna configuration were missed which has been complemented and highlighted in yellow; 4GHz_largerBW were not updated
3. LTE 4GHz: evaluation results for channel model B have been complemented for both FDD&amp;TDD, and UL&amp;DL
4. LTE UL_para_4GHz, FDD&amp;TDD: antenna configuration has been corrected in red</t>
    <phoneticPr fontId="15" type="noConversion"/>
  </si>
  <si>
    <t>47_r5</t>
    <phoneticPr fontId="15" type="noConversion"/>
  </si>
  <si>
    <t>2019.5.15</t>
    <phoneticPr fontId="15" type="noConversion"/>
  </si>
  <si>
    <t>NR TDD</t>
    <phoneticPr fontId="15" type="noConversion"/>
  </si>
  <si>
    <t>TDD</t>
    <phoneticPr fontId="15" type="noConversion"/>
  </si>
  <si>
    <t>DSUUD
DDDSU</t>
    <phoneticPr fontId="25" type="noConversion"/>
  </si>
  <si>
    <t>Non-ideal</t>
    <phoneticPr fontId="15" type="noConversion"/>
  </si>
  <si>
    <t>DSUUD
DDDSU</t>
    <phoneticPr fontId="15" type="noConversion"/>
  </si>
  <si>
    <t>NTT DOCOMO</t>
    <phoneticPr fontId="25" type="noConversion"/>
  </si>
  <si>
    <t>32T4R (&lt;6 port)</t>
    <phoneticPr fontId="63" type="noConversion"/>
  </si>
  <si>
    <t>DSUUD; S (11D,1G,2U)</t>
    <phoneticPr fontId="25" type="noConversion"/>
  </si>
  <si>
    <t>DDDSU; S (10D,2G,2U)</t>
    <phoneticPr fontId="25" type="noConversion"/>
  </si>
  <si>
    <t>32T4R DSUUD; S (11D,1G,2U)</t>
    <phoneticPr fontId="63" type="noConversion"/>
  </si>
  <si>
    <t xml:space="preserve"> gNB: (M,N,P,Mg,Ng; Mp,Np) = (8,8,2,1,1;2,8)</t>
    <phoneticPr fontId="15" type="noConversion"/>
  </si>
  <si>
    <t>4x32 SU-MIMO, Non-codebook based,OFDMA</t>
    <phoneticPr fontId="15" type="noConversion"/>
  </si>
  <si>
    <t>DDDSU</t>
    <phoneticPr fontId="25" type="noConversion"/>
  </si>
  <si>
    <t>NR TDD</t>
    <phoneticPr fontId="15" type="noConversion"/>
  </si>
  <si>
    <t>15kHz SCS,
14 OFDM symbol slot</t>
    <phoneticPr fontId="15" type="noConversion"/>
  </si>
  <si>
    <t>For UE 4 Tx ports: Non-precoded SRS, 4 SRS ports (with 4 SRS resources),
4 symbols per 5 slots for 15kHz SCS</t>
    <phoneticPr fontId="15" type="noConversion"/>
  </si>
  <si>
    <t xml:space="preserve">CQI: every 5 slot; RI: every 5 slot, 
Subband based </t>
    <phoneticPr fontId="15" type="noConversion"/>
  </si>
  <si>
    <t>DDDSU;</t>
    <phoneticPr fontId="15" type="noConversion"/>
  </si>
  <si>
    <t>For 32R:  (M,N,P,Mg,Ng; Mp,Np) = (8,8,2,1,1;2,8)
(dH, dV)=(0.5, 0.8)λ;</t>
    <phoneticPr fontId="15" type="noConversion"/>
  </si>
  <si>
    <t>P0=-100, alpha = 0.9</t>
    <phoneticPr fontId="15" type="noConversion"/>
  </si>
  <si>
    <t>20ms period;
maximal bandwidth with 52 PRB;
burst length with 2 slots
12 RE/PRB/20ms</t>
    <phoneticPr fontId="15" type="noConversion"/>
  </si>
  <si>
    <t>TDD</t>
    <phoneticPr fontId="15" type="noConversion"/>
  </si>
  <si>
    <t>4 PRBs and 14 OS for 15kHz  SCS for the slots without SRS transmission</t>
    <phoneticPr fontId="15" type="noConversion"/>
  </si>
  <si>
    <t>Type II, 2  symbols (including one additional DMRS symbol), multiplexing with PUSCH</t>
    <phoneticPr fontId="15" type="noConversion"/>
  </si>
  <si>
    <t>2 symbols per 5 slots</t>
    <phoneticPr fontId="15" type="noConversion"/>
  </si>
  <si>
    <t>ITRI</t>
    <phoneticPr fontId="15" type="noConversion"/>
  </si>
  <si>
    <t>ITRI</t>
    <phoneticPr fontId="15" type="noConversion"/>
  </si>
  <si>
    <t>32T4R  DDDSU; S (10D,2G,2U)</t>
    <phoneticPr fontId="63" type="noConversion"/>
  </si>
  <si>
    <t>DDDSU; S (10D,2G,2U)</t>
    <phoneticPr fontId="15" type="noConversion"/>
  </si>
  <si>
    <r>
      <t xml:space="preserve">For 4R:  (M,N,P,Mg,Ng; Mp,Np)= (8,8,2,1,1; 2,1)
(dH, dV)=(0.5, 0.8)λ
</t>
    </r>
    <r>
      <rPr>
        <sz val="9"/>
        <color theme="9" tint="-0.249977111117893"/>
        <rFont val="Arial"/>
        <family val="2"/>
      </rPr>
      <t>For 32R:  (M,N,P,Mg,Ng; Mp,Np) = (8,8,2,1,1;2,8)
(dH, dV)=(0.5, 0.8)λ;</t>
    </r>
    <phoneticPr fontId="15" type="noConversion"/>
  </si>
  <si>
    <t>For 32T:  (M,N,P,Mg,Ng; Mp,Np) = (8,8,2,1,1;2,8)
(dH, dV)=(0.5, 0.8)λ;</t>
    <phoneticPr fontId="15" type="noConversion"/>
  </si>
  <si>
    <r>
      <t xml:space="preserve">For 4T: (M,N,P,Mg,Ng; Mp,Np) = (8,8,2,1,1;2,1)
(dH, dV)=(0.5, 0.8)λ
</t>
    </r>
    <r>
      <rPr>
        <sz val="9"/>
        <color theme="9" tint="-0.249977111117893"/>
        <rFont val="Arial"/>
        <family val="2"/>
      </rPr>
      <t>For 32T:  (M,N,P,Mg,Ng; Mp,Np) = (8,8,2,1,1;2,8)
(dH, dV)=(0.5, 0.8)λ;</t>
    </r>
    <phoneticPr fontId="15" type="noConversion"/>
  </si>
  <si>
    <r>
      <t>2</t>
    </r>
    <r>
      <rPr>
        <sz val="10"/>
        <rFont val="Arial"/>
        <family val="2"/>
      </rPr>
      <t>019.5.17</t>
    </r>
    <phoneticPr fontId="15" type="noConversion"/>
  </si>
  <si>
    <t>47_r6</t>
  </si>
  <si>
    <r>
      <t>I</t>
    </r>
    <r>
      <rPr>
        <sz val="10"/>
        <rFont val="Arial"/>
        <family val="2"/>
      </rPr>
      <t>TRI</t>
    </r>
    <phoneticPr fontId="15" type="noConversion"/>
  </si>
  <si>
    <t>add TDD results under non-ideal channel estimation</t>
    <phoneticPr fontId="15" type="noConversion"/>
  </si>
  <si>
    <t>Update simulation assumptions in red; Mark channel model B simulation results as non-ideal in orange.</t>
    <phoneticPr fontId="15" type="noConversion"/>
  </si>
  <si>
    <t>Add TDD simulation assumptions and results. Add FDD simulation assumptions in orange.</t>
    <phoneticPr fontId="15" type="noConversion"/>
  </si>
  <si>
    <t>NR TDD</t>
    <phoneticPr fontId="15" type="noConversion"/>
  </si>
  <si>
    <t>2018.9.09</t>
  </si>
  <si>
    <t>2019.5.17</t>
  </si>
  <si>
    <t>47_r7</t>
  </si>
  <si>
    <t>Updated results and parameters</t>
  </si>
  <si>
    <t>Radio-distance based wrapping</t>
  </si>
  <si>
    <t>For UE 4 Tx ports: Non-precoded SRS, 4 SRS ports (with 4 SRS resources);
2 symbols for SRS in every 5 slots,
8 PRBs per symbol</t>
  </si>
  <si>
    <t>For 32R:  (M, N, P, Mg, Ng; Mp, Np) = (8,8,2,1,1; 2,8)
(dH, dV)=(0.5, 0.8)λ</t>
  </si>
  <si>
    <t xml:space="preserve">For 4T: (M,N,P,Mg,Ng; Mp,Np) =  (1,2,2,1,1; 1,2)
dH, dV)=( 0.5, N/A)λ;
</t>
  </si>
  <si>
    <t>Type II, 24RE/PRB/slot</t>
  </si>
  <si>
    <t>2 symbols per 5ms</t>
  </si>
  <si>
    <t xml:space="preserve">32 ports with 5 slots period </t>
  </si>
  <si>
    <t>2 PRBs and 14 OS for the slots without SRS transmission, and 14-number of slots for SRS when SRS is used</t>
  </si>
  <si>
    <t xml:space="preserve">Type II, 2  symbols </t>
  </si>
  <si>
    <t>1 symbol per 10 slots</t>
  </si>
  <si>
    <r>
      <t>2019.5.1</t>
    </r>
    <r>
      <rPr>
        <sz val="10"/>
        <rFont val="Arial"/>
        <family val="2"/>
      </rPr>
      <t>8</t>
    </r>
    <phoneticPr fontId="15" type="noConversion"/>
  </si>
  <si>
    <r>
      <t>47_r</t>
    </r>
    <r>
      <rPr>
        <sz val="10"/>
        <rFont val="Arial"/>
        <family val="2"/>
      </rPr>
      <t>8</t>
    </r>
    <phoneticPr fontId="15" type="noConversion"/>
  </si>
  <si>
    <t>Samsung</t>
    <phoneticPr fontId="15" type="noConversion"/>
  </si>
  <si>
    <t>P0=-80, alpha = 0.8</t>
    <phoneticPr fontId="15" type="noConversion"/>
  </si>
  <si>
    <t>DSUUD</t>
    <phoneticPr fontId="15" type="noConversion"/>
  </si>
  <si>
    <t xml:space="preserve">
For 32T: non-Precoded CSI-RS based</t>
    <phoneticPr fontId="15" type="noConversion"/>
  </si>
  <si>
    <t>Up to 4 layers</t>
    <phoneticPr fontId="15" type="noConversion"/>
  </si>
  <si>
    <t xml:space="preserve">CQI: every 10 slot; RI: every 10 slot, CRI: every 10 slot
Subband based </t>
    <phoneticPr fontId="15" type="noConversion"/>
  </si>
  <si>
    <t xml:space="preserve">
For 32T:  (M,N,P,Mg,Ng; Mp,Np) = (16,8,2,1,1;4,4)
(dH, dV)=(0.5, 0.8)λ;</t>
    <phoneticPr fontId="15" type="noConversion"/>
  </si>
  <si>
    <t>For 4R:  (M,N,P,Mg,Ng; Mp,Np)= (1,2,2,1,1; 1,2)
(dH, dV)=(0.5, 0.5)λ</t>
    <phoneticPr fontId="15" type="noConversion"/>
  </si>
  <si>
    <t>For 2R:  (M,N,P,Mg,Ng; Mp,Np)= (1,1,2,1,1; 1,1)
(dH, dV)=(0.5, N/A)λ</t>
    <phoneticPr fontId="15" type="noConversion"/>
  </si>
  <si>
    <t>For 2R:  (M,N,P,Mg,Ng; Mp,Np)= (1,1,2,1,1; 1,2)
(dH, dV)=(0.5, N/A)λ</t>
    <phoneticPr fontId="15" type="noConversion"/>
  </si>
  <si>
    <t>DSUUD</t>
    <phoneticPr fontId="15" type="noConversion"/>
  </si>
  <si>
    <t>64QAM</t>
    <phoneticPr fontId="15" type="noConversion"/>
  </si>
  <si>
    <t xml:space="preserve">
For 32R: (M,N,P,Mg,Ng; Mp,Np)= (16,8,2,1,1; 4,4)
(dH, dV)=(0.5, 0.8)λ;</t>
    <phoneticPr fontId="15" type="noConversion"/>
  </si>
  <si>
    <t>ZTE</t>
    <phoneticPr fontId="15" type="noConversion"/>
  </si>
  <si>
    <t>32T2R</t>
    <phoneticPr fontId="15" type="noConversion"/>
  </si>
  <si>
    <r>
      <t>DSUUD ;S(</t>
    </r>
    <r>
      <rPr>
        <sz val="10"/>
        <rFont val="Arial"/>
        <family val="2"/>
      </rPr>
      <t>6</t>
    </r>
    <r>
      <rPr>
        <sz val="10"/>
        <rFont val="Arial"/>
        <family val="2"/>
      </rPr>
      <t>D,</t>
    </r>
    <r>
      <rPr>
        <sz val="10"/>
        <rFont val="Arial"/>
        <family val="2"/>
      </rPr>
      <t>2</t>
    </r>
    <r>
      <rPr>
        <sz val="10"/>
        <rFont val="Arial"/>
        <family val="2"/>
      </rPr>
      <t>G,</t>
    </r>
    <r>
      <rPr>
        <sz val="10"/>
        <rFont val="Arial"/>
        <family val="2"/>
      </rPr>
      <t>6</t>
    </r>
    <r>
      <rPr>
        <sz val="10"/>
        <rFont val="Arial"/>
        <family val="2"/>
      </rPr>
      <t>U)</t>
    </r>
    <phoneticPr fontId="15" type="noConversion"/>
  </si>
  <si>
    <t>ZTE</t>
    <phoneticPr fontId="15" type="noConversion"/>
  </si>
  <si>
    <r>
      <t>DSUUD ;S(</t>
    </r>
    <r>
      <rPr>
        <sz val="10"/>
        <rFont val="Arial"/>
        <family val="2"/>
      </rPr>
      <t>6</t>
    </r>
    <r>
      <rPr>
        <sz val="10"/>
        <rFont val="Arial"/>
        <family val="2"/>
      </rPr>
      <t>D,</t>
    </r>
    <r>
      <rPr>
        <sz val="10"/>
        <rFont val="Arial"/>
        <family val="2"/>
      </rPr>
      <t>2</t>
    </r>
    <r>
      <rPr>
        <sz val="10"/>
        <rFont val="Arial"/>
        <family val="2"/>
      </rPr>
      <t>G,</t>
    </r>
    <r>
      <rPr>
        <sz val="10"/>
        <rFont val="Arial"/>
        <family val="2"/>
      </rPr>
      <t>6</t>
    </r>
    <r>
      <rPr>
        <sz val="10"/>
        <rFont val="Arial"/>
        <family val="2"/>
      </rPr>
      <t>U)</t>
    </r>
    <phoneticPr fontId="15" type="noConversion"/>
  </si>
  <si>
    <t>32x2 MU-MIMO,  4T SRS
(256Tx@gNB)</t>
    <phoneticPr fontId="15" type="noConversion"/>
  </si>
  <si>
    <t>For 4 or 8 UE ports: Non-precoded SRS, 2 SRS ports, 4 symbols per frame</t>
  </si>
  <si>
    <t>For 32Tx/8Rx: (M,N,P,Mg,Ng; Mp,Np) = (16,8,2,1,1;2,8)
For 32Tx/4Rx:  (M,N,P,Mg,Ng;Mp,Np) = (8,8,2,1,1;2,8)
(dH, dV)=(0.5, 0.8)λ</t>
  </si>
  <si>
    <t>For 32Tx/8Rx:  (M,N,P,Mg,Ng; Mp,Np) = (16,8,2,1,1;2,8)
For 32Tx/4Rx:  (M,N,P,Mg,Ng; Mp,Np) = (8,8,2,1,1;2,8)
(dH, dV)=(0.5, 0.8)λ;</t>
  </si>
  <si>
    <t>For 8Rx:  (M,N,P,Mg,Ng; Mp,Np)= (1,4,2,1,1; 1,4)
For 4Rx:  (M,N,P,Mg,Ng; Mp,Np) = (1,2,2,1,1; 1,2)
(dH, dV)=(0.5, N/A)λ</t>
  </si>
  <si>
    <t>32x8 MU-MIMO,  2T SRS 
(256Tx@gNB)</t>
    <phoneticPr fontId="15" type="noConversion"/>
  </si>
  <si>
    <t>32x4 MU-MIMO,  2T SRS 
(256Tx@gNB)</t>
    <phoneticPr fontId="15" type="noConversion"/>
  </si>
  <si>
    <t>ITRI (4T32R)</t>
    <phoneticPr fontId="15" type="noConversion"/>
  </si>
  <si>
    <t>2019.5.22</t>
  </si>
  <si>
    <t>47_r9</t>
    <phoneticPr fontId="15" type="noConversion"/>
  </si>
  <si>
    <t>2019.5.23</t>
    <phoneticPr fontId="15" type="noConversion"/>
  </si>
  <si>
    <t>Huawei</t>
    <phoneticPr fontId="15" type="noConversion"/>
  </si>
  <si>
    <t>Update results (especially the results in large bandwidth) and parameters according to the new input in RAN1#97.</t>
    <phoneticPr fontId="15" type="noConversion"/>
  </si>
  <si>
    <t>47_r10</t>
    <phoneticPr fontId="15" type="noConversion"/>
  </si>
  <si>
    <t xml:space="preserve"> eNB: (M,N,P,Mg,Ng; Mp,Np) = (16,8,2,1,1;4,4)</t>
    <phoneticPr fontId="15" type="noConversion"/>
  </si>
  <si>
    <t>32x2 MU-MIMO,  2T SRS
(256Tx@gNB)</t>
    <phoneticPr fontId="15" type="noConversion"/>
  </si>
  <si>
    <t>2x32 SU-MIMO, Codebook based, DFT-S-OFDM</t>
    <phoneticPr fontId="15" type="noConversion"/>
  </si>
  <si>
    <t>2019.5.28</t>
  </si>
  <si>
    <t>47_r11</t>
  </si>
  <si>
    <t>Update UL SE Results based on contiguous scheduling</t>
  </si>
  <si>
    <t>Continuous RB allocation: follow TS 38.101 for FR1; Mean IOT&lt;10dB</t>
  </si>
  <si>
    <t>P0=-90, alpha = 0.8</t>
  </si>
  <si>
    <t>2019.05.29</t>
    <phoneticPr fontId="15" type="noConversion"/>
  </si>
  <si>
    <r>
      <t>H</t>
    </r>
    <r>
      <rPr>
        <sz val="10"/>
        <rFont val="Arial"/>
        <family val="2"/>
      </rPr>
      <t>uawei</t>
    </r>
    <phoneticPr fontId="15" type="noConversion"/>
  </si>
  <si>
    <t>44_r12</t>
    <phoneticPr fontId="15" type="noConversion"/>
  </si>
  <si>
    <t>Update the averaged results. Some samples are not calculated into averaged results.</t>
  </si>
  <si>
    <t>2019.05.31</t>
    <phoneticPr fontId="15" type="noConversion"/>
  </si>
  <si>
    <t>44_r13</t>
    <phoneticPr fontId="15" type="noConversion"/>
  </si>
  <si>
    <t>Huawei</t>
    <phoneticPr fontId="25" type="noConversion"/>
  </si>
  <si>
    <t>Mediatek</t>
    <phoneticPr fontId="25" type="noConversion"/>
  </si>
  <si>
    <t>CATT</t>
    <phoneticPr fontId="25" type="noConversion"/>
  </si>
  <si>
    <t>NTT DOCOMO</t>
    <phoneticPr fontId="25" type="noConversion"/>
  </si>
  <si>
    <t>CAICT</t>
    <phoneticPr fontId="25" type="noConversion"/>
  </si>
  <si>
    <t>Qualcomm</t>
    <phoneticPr fontId="15" type="noConversion"/>
  </si>
  <si>
    <t>NR TDD (w/ beam management)</t>
    <phoneticPr fontId="25" type="noConversion"/>
  </si>
  <si>
    <t>NR FDD</t>
    <phoneticPr fontId="25" type="noConversion"/>
  </si>
  <si>
    <t>TDD</t>
    <phoneticPr fontId="25" type="noConversion"/>
  </si>
  <si>
    <t>FDD</t>
    <phoneticPr fontId="25" type="noConversion"/>
  </si>
  <si>
    <t>60KHz / 120kHz,
14 OFDM symbol slot</t>
  </si>
  <si>
    <t>60kHz SCS,
14 OFDM symbol slot</t>
    <phoneticPr fontId="25" type="noConversion"/>
  </si>
  <si>
    <t>60 KHz SCS,
14 OFDM symbol slot</t>
    <phoneticPr fontId="25" type="noConversion"/>
  </si>
  <si>
    <t>120kHz SCS,
14 OFDM symbol slot</t>
  </si>
  <si>
    <t>5.5% (for 80 MHz)</t>
    <phoneticPr fontId="25" type="noConversion"/>
  </si>
  <si>
    <t>5.5% (for 80 MHz)</t>
  </si>
  <si>
    <t>5% (for 80 MHz)</t>
    <phoneticPr fontId="15" type="noConversion"/>
  </si>
  <si>
    <t>80 MHz</t>
  </si>
  <si>
    <t>100MHz</t>
    <phoneticPr fontId="15" type="noConversion"/>
  </si>
  <si>
    <t>80MHz</t>
    <phoneticPr fontId="15" type="noConversion"/>
  </si>
  <si>
    <t>UE antenna panel selection for data transmission and UE attachment</t>
  </si>
  <si>
    <t>The UE panel with the best receive SNR is chosen for transmission and reception</t>
  </si>
  <si>
    <t>Two UE panels are used for transmission and reception</t>
  </si>
  <si>
    <t xml:space="preserve">
DDDSU</t>
    <phoneticPr fontId="25" type="noConversion"/>
  </si>
  <si>
    <t>Full downlink</t>
    <phoneticPr fontId="25" type="noConversion"/>
  </si>
  <si>
    <t>DSUUD</t>
    <phoneticPr fontId="25" type="noConversion"/>
  </si>
  <si>
    <t>DDDSU/DSUUD</t>
    <phoneticPr fontId="15" type="noConversion"/>
  </si>
  <si>
    <t>DDDU</t>
    <phoneticPr fontId="15" type="noConversion"/>
  </si>
  <si>
    <t>Analog beam selection based</t>
  </si>
  <si>
    <t>Closed SU/MU-MIMO adaptation</t>
    <phoneticPr fontId="25" type="noConversion"/>
  </si>
  <si>
    <t>Closed SU-MIMO adaptation</t>
    <phoneticPr fontId="25" type="noConversion"/>
  </si>
  <si>
    <t>Combined SU- and MU-MIMO</t>
  </si>
  <si>
    <t>SU/MU-MIMO adaptation</t>
    <phoneticPr fontId="15" type="noConversion"/>
  </si>
  <si>
    <t xml:space="preserve">
Precoded CSI-RS based, non-PMI</t>
    <phoneticPr fontId="25" type="noConversion"/>
  </si>
  <si>
    <t>Non-precoded CSI-RS  based</t>
    <phoneticPr fontId="25" type="noConversion"/>
  </si>
  <si>
    <t>Precoded CSI-RS based</t>
    <phoneticPr fontId="25" type="noConversion"/>
  </si>
  <si>
    <t>Precoded CSI-RS  based</t>
  </si>
  <si>
    <t>Non-precoded CSI-RS  based</t>
    <phoneticPr fontId="15" type="noConversion"/>
  </si>
  <si>
    <t>N/A</t>
    <phoneticPr fontId="25" type="noConversion"/>
  </si>
  <si>
    <t>Type II codebook;
4beam, wb+sb, 8psk</t>
    <phoneticPr fontId="25" type="noConversion"/>
  </si>
  <si>
    <t>4 PRBs</t>
    <phoneticPr fontId="25" type="noConversion"/>
  </si>
  <si>
    <r>
      <t>Up to 6 layers (</t>
    </r>
    <r>
      <rPr>
        <b/>
        <sz val="10"/>
        <rFont val="Arial"/>
        <family val="2"/>
      </rPr>
      <t>with PTRS transmitted</t>
    </r>
    <r>
      <rPr>
        <sz val="10"/>
        <rFont val="Arial"/>
        <family val="2"/>
      </rPr>
      <t>)</t>
    </r>
    <phoneticPr fontId="25" type="noConversion"/>
  </si>
  <si>
    <t>Up to 6 layers</t>
    <phoneticPr fontId="25" type="noConversion"/>
  </si>
  <si>
    <r>
      <t>Up to 6 layers</t>
    </r>
    <r>
      <rPr>
        <b/>
        <sz val="10"/>
        <rFont val="Arial"/>
        <family val="2"/>
      </rPr>
      <t xml:space="preserve"> </t>
    </r>
    <r>
      <rPr>
        <sz val="10"/>
        <rFont val="Arial"/>
        <family val="2"/>
      </rPr>
      <t>(with PTRS transmitted)</t>
    </r>
    <phoneticPr fontId="25" type="noConversion"/>
  </si>
  <si>
    <t>Up to 6 layers</t>
  </si>
  <si>
    <t>Up to 2 layers</t>
    <phoneticPr fontId="15" type="noConversion"/>
  </si>
  <si>
    <t>For 4Rx with the best receive panel: Up to 4 layers</t>
    <phoneticPr fontId="25" type="noConversion"/>
  </si>
  <si>
    <t>Up to 4 layers</t>
    <phoneticPr fontId="25" type="noConversion"/>
  </si>
  <si>
    <t>For 32Rx with the best receive panel: Up to 4 layers</t>
    <phoneticPr fontId="25" type="noConversion"/>
  </si>
  <si>
    <t>Up to 4 layers</t>
    <phoneticPr fontId="15" type="noConversion"/>
  </si>
  <si>
    <t>Up to 2 layers</t>
  </si>
  <si>
    <t>For UE 4 Tx ports: Non-precoded SRS, 4 SRS ports (with 4 SRS resources),
2 symbols in special slot for SRS,
8 PRBs per symbol</t>
    <phoneticPr fontId="25" type="noConversion"/>
  </si>
  <si>
    <r>
      <rPr>
        <sz val="9"/>
        <color rgb="FFFF0000"/>
        <rFont val="Arial"/>
        <family val="2"/>
      </rPr>
      <t>For UE 32 Tx ports: Non-precoded SRS, 32 SRS ports (with 4 SRS resources, SRS antenna switching</t>
    </r>
    <r>
      <rPr>
        <sz val="9"/>
        <rFont val="Arial"/>
        <family val="2"/>
      </rPr>
      <t>),
2 symbols in every 10 slots,</t>
    </r>
    <phoneticPr fontId="25" type="noConversion"/>
  </si>
  <si>
    <t>For UE 4 Tx ports: Non-precoded SRS, 2 OFDM symbols per 5 slots</t>
    <phoneticPr fontId="25" type="noConversion"/>
  </si>
  <si>
    <t>For UE two tx ports, prec-coded SRS, one symbol in 10 slots</t>
  </si>
  <si>
    <t xml:space="preserve">For UE 2 Tx ports: Non-precoded SRS, 2 SRS ports </t>
    <phoneticPr fontId="15" type="noConversion"/>
  </si>
  <si>
    <t xml:space="preserve">
CQI: every 5 slot; RI: every 5 slot, CRI: every 5 slot
Subband based </t>
    <phoneticPr fontId="25" type="noConversion"/>
  </si>
  <si>
    <t xml:space="preserve">
CQI: every 10 slot; RI: every 10 slot, CRI: every 10 slot; PMI: every 10 slot; 
Subband based </t>
    <phoneticPr fontId="25" type="noConversion"/>
  </si>
  <si>
    <t xml:space="preserve">
CQI: every 5 ms; RI: every 5 ms, CRI: every 5 ms
Subband based </t>
    <phoneticPr fontId="15" type="noConversion"/>
  </si>
  <si>
    <t xml:space="preserve">
CQI: every 5 slot; RI: every 5 slot, CRI: every 5 slot
Subband based </t>
  </si>
  <si>
    <t xml:space="preserve">
CQI: every 25 slot; RI: every 25 slot, CRI: every 25 slot
Subband based </t>
    <phoneticPr fontId="15" type="noConversion"/>
  </si>
  <si>
    <t xml:space="preserve">
CQI: every 8 slot; RI: every 8 slot, CRI: every 8 slot
Subband based </t>
    <phoneticPr fontId="15" type="noConversion"/>
  </si>
  <si>
    <t>SU-CQI; CSI-IM for inter-cell interference measurement</t>
    <phoneticPr fontId="25" type="noConversion"/>
  </si>
  <si>
    <t>The next available UL slot</t>
    <phoneticPr fontId="25" type="noConversion"/>
  </si>
  <si>
    <t>The next available DL slot after receiving NACK</t>
    <phoneticPr fontId="25" type="noConversion"/>
  </si>
  <si>
    <t>For 8T,  (M,N,P,Mg,Ng; Mp,Np) = (4,8,2,2,2; 1,1)
(dH, dV)=(0.5, 0.5)λ
(dg,H,dg,V) = (4.0, 2.0)λ</t>
    <phoneticPr fontId="25" type="noConversion"/>
  </si>
  <si>
    <t>For 32T,  (M,N,P,Mg,Ng; Mp,Np) = (8,16,2,1,1; 1,16)
For 64T,  (M,N,P,Mg,Ng; Mp,Np) = (8,16,2,1,1; 2,16)
(dH, dV)=(0.5, 0.5)λ</t>
    <phoneticPr fontId="25" type="noConversion"/>
  </si>
  <si>
    <t>For 32T,  (M,N,P,Mg,Ng; Mp,Np) = (4,8,2,2,2;); 32TXRU, (Mp,Np,P,Mg,Ng) = (2,8,2,1,1)
(dH, dV)=(0.5, 0.5)λ
(dg,H,dg,V) = (4.0, 2.0)λ</t>
    <phoneticPr fontId="25" type="noConversion"/>
  </si>
  <si>
    <t xml:space="preserve">For 128T,  (M,N,P,Mg,Ng; Mp,Np) = (8,16,2,1,1; 4,16)
(dH, dV)=(0.5, 0.5)λ
</t>
  </si>
  <si>
    <t>For 8T,  (M,N,P,Mg,Ng; Mp,Np) = (4,8,2,2,2; 1,1)
(dH, dV)=(0.5, 0.5)λ
(dg,H,dg,V) = (4.0, 2.0)λ</t>
  </si>
  <si>
    <t>For 8T,  (M,N,P,Mg,Ng; Mp,Np) = (16,8,2,1,1; 2,2)
(dH, dV)=(0.5, 0.5)λ
(dg,H,dg,V) = (4.0, 2.0)λ</t>
    <phoneticPr fontId="15" type="noConversion"/>
  </si>
  <si>
    <t>For 8R, (M,N,P,Mg,Ng; Mp,Np) =  (2,4,2,1,2; 1,2)
(dH,dV) = (0.5, 0.5)λ
(dg,V,dg,H) = (0, 0)λ</t>
    <phoneticPr fontId="25" type="noConversion"/>
  </si>
  <si>
    <t>For 32R, (M,N,P,Mg,Ng; Mp,Np) =  (2,8,2,1,1; 2,8)
(dH,dV) = (0.5, 0.5)λ</t>
    <phoneticPr fontId="25" type="noConversion"/>
  </si>
  <si>
    <t>(M,N,P,Mg,Ng; Mp,Np) = (2,4,2,1,2; 2,4)</t>
  </si>
  <si>
    <t>For 4R, (M,N,P,Mg,Ng; Mp,Np) =  (2,4,2,1,2; 1,1)
(dH,dV) = (0.5, 0.5)λ
(dg,V,dg,H) = (0, 0)λ</t>
    <phoneticPr fontId="15" type="noConversion"/>
  </si>
  <si>
    <t>For 2R, (M,N,P,Mg,Ng; Mp,Np) =  (4,4,2,1,1; 1,1)
(dH,dV) = (0.5, 0.5)λ
(dg,V,dg,H) = (0, 0)λ</t>
    <phoneticPr fontId="15" type="noConversion"/>
  </si>
  <si>
    <t>(dH, dV)=(0.5, 0.5)λ</t>
  </si>
  <si>
    <t>(dg,H,dg,V) = (4.0, 2.0)λ</t>
  </si>
  <si>
    <t>Non-ideal</t>
    <phoneticPr fontId="25" type="noConversion"/>
  </si>
  <si>
    <t>(According to Zenith angle in "Beam set at TRxP")</t>
  </si>
  <si>
    <t>Based on RSRP (formula as shown in Appendix 3 of RP-180524) from port 0
The UE panel with the best receive SNR is chosen. i.e. no combining is done between panels.</t>
  </si>
  <si>
    <t>Aligned with reference</t>
    <phoneticPr fontId="25" type="noConversion"/>
  </si>
  <si>
    <t>For direction of TRxP analog beam steering (in LCS):
Azimuth angle φi = [-5*pi/16, -3*pi/16, -pi/16, pi/16, 3*pi/16, 5*pi/16]
Zenith angle θj = [5*pi/8, 7*pi/8]
NOTE: (azimuth, zenith)=(0, pi/2) is the direction perpendicular to the array.
Precoder for beam at (φi, θj) is given by equation 1 in Appendix 1 of RP-180524 (2D DFT beam)</t>
  </si>
  <si>
    <t>Azimuth angle φi = [0]
Zenith angle θj :
 [7*pi/12, 2*pi/3, 3*pi/4, 5*pi/6]</t>
    <phoneticPr fontId="25" type="noConversion"/>
  </si>
  <si>
    <t xml:space="preserve">Azimuth angle φi = [-5*pi/16, -3*pi/16, -pi/16, pi/16, 3*pi/16, 5*pi/16] 
Zenith angle θj = [7*pi/12, 2*pi/3, 3*pi/4, 5*pi/6]
</t>
    <phoneticPr fontId="15" type="noConversion"/>
  </si>
  <si>
    <t>N/A</t>
    <phoneticPr fontId="15" type="noConversion"/>
  </si>
  <si>
    <t>For direction of UE analog beam steering (in LCS):
Azimuth angle φi = [-3*pi/8, -pi/8, pi/8, 3*pi/8];
Zenith angle θj = [pi/4, 3*pi/4];
NOTE: (azimuth, zenith)=(0, pi/2) is the direction perpendicular to the array.
Precoder for beam at (φi, θj) is given by equation 1 in Appendix 1 (2D DFT beam)</t>
  </si>
  <si>
    <t>Azimuth angle φi = [-pi/4, pi/4]
Zenith angle θj = [pi/4, 3*pi/4];</t>
    <phoneticPr fontId="25" type="noConversion"/>
  </si>
  <si>
    <t>Azimuth angle φi = [0]
Zenith angle θj = [0]:</t>
    <phoneticPr fontId="25" type="noConversion"/>
  </si>
  <si>
    <t>Azimuth angle φi = [-3*pi/8, -pi/8, pi/8, 3*pi/8]
Zenith angle θj = [pi/4, 3*pi/4];</t>
    <phoneticPr fontId="25" type="noConversion"/>
  </si>
  <si>
    <t>Maximizing RSRP with best analog beam pair, where the digital beamforming is not considered</t>
  </si>
  <si>
    <t>Select the best beam pair among the limited set of DFT analog beams, based on the criteria of maximizing receive power after beamforming.</t>
  </si>
  <si>
    <t>Based on the analog beam selection according to scheduling results of non-serving TRxP</t>
  </si>
  <si>
    <t>Huawei</t>
    <phoneticPr fontId="25" type="noConversion"/>
  </si>
  <si>
    <t>Mediatek</t>
    <phoneticPr fontId="25" type="noConversion"/>
  </si>
  <si>
    <t>NTT DOCOMO</t>
    <phoneticPr fontId="25" type="noConversion"/>
  </si>
  <si>
    <t>Samsung</t>
    <phoneticPr fontId="15" type="noConversion"/>
  </si>
  <si>
    <t>Qualcomm</t>
    <phoneticPr fontId="15" type="noConversion"/>
  </si>
  <si>
    <t>NR TDD (w/ beam management)</t>
    <phoneticPr fontId="25" type="noConversion"/>
  </si>
  <si>
    <t>NR FDD</t>
    <phoneticPr fontId="25" type="noConversion"/>
  </si>
  <si>
    <t>NR TDD</t>
    <phoneticPr fontId="15" type="noConversion"/>
  </si>
  <si>
    <t>NR TDD (w/ beam management)</t>
  </si>
  <si>
    <t>TDD</t>
    <phoneticPr fontId="25" type="noConversion"/>
  </si>
  <si>
    <t>FDD</t>
    <phoneticPr fontId="25" type="noConversion"/>
  </si>
  <si>
    <t>60kHz SCS,
14 OFDM symbol slot</t>
    <phoneticPr fontId="25" type="noConversion"/>
  </si>
  <si>
    <t>60KHz 
14 OFDM symbol slot</t>
    <phoneticPr fontId="25" type="noConversion"/>
  </si>
  <si>
    <t>120KHz 
14 OFDM symbol slot</t>
    <phoneticPr fontId="25" type="noConversion"/>
  </si>
  <si>
    <t>120kHz SCS,
14 OFDM symbol slot</t>
    <phoneticPr fontId="15" type="noConversion"/>
  </si>
  <si>
    <t>120KHz 
14 OFDM symbol slot</t>
  </si>
  <si>
    <t>5.5% (for 80 MHz)</t>
    <phoneticPr fontId="25" type="noConversion"/>
  </si>
  <si>
    <t>5% (for 80 MHz)</t>
    <phoneticPr fontId="15" type="noConversion"/>
  </si>
  <si>
    <t>Aligned with reference</t>
    <phoneticPr fontId="25" type="noConversion"/>
  </si>
  <si>
    <t>100MHz</t>
    <phoneticPr fontId="15" type="noConversion"/>
  </si>
  <si>
    <t>DDDSU</t>
    <phoneticPr fontId="25" type="noConversion"/>
  </si>
  <si>
    <t>Full uplink</t>
    <phoneticPr fontId="25" type="noConversion"/>
  </si>
  <si>
    <t>DSUUD</t>
    <phoneticPr fontId="25" type="noConversion"/>
  </si>
  <si>
    <t>DDDSU/DSUUD</t>
    <phoneticPr fontId="15" type="noConversion"/>
  </si>
  <si>
    <t>DDDSU</t>
    <phoneticPr fontId="15" type="noConversion"/>
  </si>
  <si>
    <t>DDDU</t>
    <phoneticPr fontId="15" type="noConversion"/>
  </si>
  <si>
    <t>UL SU-MIMO with rank adaptation</t>
    <phoneticPr fontId="25" type="noConversion"/>
  </si>
  <si>
    <t>UL SU-MIMO with rank adaptation</t>
    <phoneticPr fontId="25" type="noConversion"/>
  </si>
  <si>
    <t>UL MU-MIMO with rank adaptation</t>
    <phoneticPr fontId="15" type="noConversion"/>
  </si>
  <si>
    <t>SU/MU-MIMO  adaptation</t>
    <phoneticPr fontId="15" type="noConversion"/>
  </si>
  <si>
    <t>For 4Tx with the best Tx panel: NR 4Tx codebook</t>
    <phoneticPr fontId="25" type="noConversion"/>
  </si>
  <si>
    <t>For 2Tx: NR 2Tx codebook</t>
    <phoneticPr fontId="25" type="noConversion"/>
  </si>
  <si>
    <t>N/A</t>
    <phoneticPr fontId="25" type="noConversion"/>
  </si>
  <si>
    <t>For 4Tx with the best Tx panel: Ideal</t>
    <phoneticPr fontId="25" type="noConversion"/>
  </si>
  <si>
    <t>For 2Tx with the best Tx panel</t>
  </si>
  <si>
    <t xml:space="preserve"> 2Tx codebook</t>
    <phoneticPr fontId="15" type="noConversion"/>
  </si>
  <si>
    <t>up to 4 layer</t>
    <phoneticPr fontId="15" type="noConversion"/>
  </si>
  <si>
    <t>up to 2 layer</t>
    <phoneticPr fontId="15" type="noConversion"/>
  </si>
  <si>
    <t>Up to 2 layers</t>
    <phoneticPr fontId="15" type="noConversion"/>
  </si>
  <si>
    <t>For 4Tx with the best Tx panel: Up to 4 layers</t>
    <phoneticPr fontId="25" type="noConversion"/>
  </si>
  <si>
    <t>For 2Tx: Up to 2 layers</t>
    <phoneticPr fontId="25" type="noConversion"/>
  </si>
  <si>
    <t>For 4Tx with the best Tx panel: Up to 4 layers</t>
  </si>
  <si>
    <t>For 2Tx with the best Tx panel: Up to 2 layers</t>
  </si>
  <si>
    <t>For UE 4 Tx ports: Non-precoded SRS, 4 SRS ports (with 4 SRS resources),
2 symbols in special slot for SRS,
8 PRBs per symbol</t>
    <phoneticPr fontId="25" type="noConversion"/>
  </si>
  <si>
    <t>For UE 2 Tx ports: Non-precoded SRS, 2 SRS ports (with 2 SRS resources),
2 symbols for SRS in every 5 slots,
8 PRBs per symbol</t>
    <phoneticPr fontId="25" type="noConversion"/>
  </si>
  <si>
    <t>For UE 4 Tx ports: Non-precoded SRS, 4 SRS ports (with 4 SRS resources),
2 symbols for SRS in every 5 slots,
8 PRBs per symbol</t>
    <phoneticPr fontId="25" type="noConversion"/>
  </si>
  <si>
    <t>For UE 4 Tx ports: Non-precoded SRS, 
2 symbols for SRS in every 5 slots</t>
    <phoneticPr fontId="15" type="noConversion"/>
  </si>
  <si>
    <t>For UE 2 Tx ports: precoded SRS, 1 symbol for SRS in every 10 slots</t>
  </si>
  <si>
    <t>For UE 4 Tx ports: Non-precoded SRS, 4 SRS ports (with 4 SRS resources),
2 symbols for SRS in every 5 slots,
8 PRBs per symbol</t>
  </si>
  <si>
    <t>For UE 2 Tx ports: non-precoded SRS, 1 symbol for SRS in every 2 UL slots</t>
    <phoneticPr fontId="15" type="noConversion"/>
  </si>
  <si>
    <t>For 8R,  (M,N,P,Mg,Ng; Mp,Np) = (4,8,2,2,2; 1,1)
(dH, dV)=(0.5, 0.5)λ
(dg,H,dg,V) = (4.0, 2.0)λ</t>
    <phoneticPr fontId="25" type="noConversion"/>
  </si>
  <si>
    <t>For 32R,  (M,N,P,Mg,Ng; Mp,Np) = (4,8,2,2,2; 1,4)
(dH, dV)=(0.5, 0.5)λ
(dg,H,dg,V) = (4.0, 2.0)λ</t>
    <phoneticPr fontId="25" type="noConversion"/>
  </si>
  <si>
    <t>For 32R,  (M,N,P,Mg,Ng; Mp,Np) = (4,8,2,2,2;); 32TXRU, (Mp,Np,P,Mg,Ng) = (2,8,2,1,1)
(dH, dV)=(0.5, 0.5)λ
(dg,H,dg,V) = (4.0, 2.0)λ</t>
    <phoneticPr fontId="25" type="noConversion"/>
  </si>
  <si>
    <t xml:space="preserve">For 128R,  (M,N,P,Mg,Ng; Mp,Np) = (8,16,2,1,1; 4,16)
(dH,dV) = (0.5, 0.5)λ
</t>
  </si>
  <si>
    <t xml:space="preserve">For 2R,  (M,N,P,Mg,Ng; Mp,Np) = (16,8,2,1,1; 1,1)
(dH,dV) = (0.5, 0.5)λ
</t>
    <phoneticPr fontId="15" type="noConversion"/>
  </si>
  <si>
    <t>For 8T, (M,N,P,Mg,Ng; Mp,Np) =  (2,4,2,1,2; 1,2)
(dH,dV) = (0.5, 0.5)λ
(dg,V,dg,H) = (0, 0)λ</t>
    <phoneticPr fontId="25" type="noConversion"/>
  </si>
  <si>
    <t>For 4T, (M,N,P,Mg,Ng; Mp,Np) =  (2,2,2,1,2; 1,1)
(dH,dV) = (0.5, 0.5)λ
(dg,V,dg,H) = (0, 0)λ</t>
    <phoneticPr fontId="25" type="noConversion"/>
  </si>
  <si>
    <t>For 8T, (M,N,P,Mg,Ng; Mp,Np) =  (2,4,2,1,2; 1,2)
(dH,dV) = (0.5, 0.5)λ
(dg,V,dg,H) = (0, 0)λ
For 32T,  (M,N,P,Mg,Ng; Mp,Np) = (2,4,2,1,2; 2,4)
(dH, dV)=(0.5, 0.5)λ
(dg,H,dg,V) = (4.0, 2.0)λ</t>
    <phoneticPr fontId="25" type="noConversion"/>
  </si>
  <si>
    <t>(M,N,P,Mg,Ng; Mp,Np) = (2,4,2,1,2; 2,4)
(dH, dV)=(0.5, 0.5)λ
(dg,H,dg,V) = (4.0, 2.0)λ</t>
  </si>
  <si>
    <t>For 4R, (M,N,P,Mg,Ng; Mp,Np) =  (2,4,2,1,2; 1,1)
(dH,dV) = (0.5, 0.5)λ
(dg,V,dg,H) = (0, 0)λ</t>
    <phoneticPr fontId="15" type="noConversion"/>
  </si>
  <si>
    <t>(M,N,P,Mg,Ng; Mp,Np) = (4,4,2,1,1; 1,1)
(dH, dV)=(0.5, 0.5)λ
(dg,H,dg,V) = (4.0, 2.0)λ</t>
    <phoneticPr fontId="15" type="noConversion"/>
  </si>
  <si>
    <t>Next available UL slot after reiving retransmission indication</t>
    <phoneticPr fontId="25" type="noConversion"/>
  </si>
  <si>
    <t>Non-ideal</t>
    <phoneticPr fontId="25" type="noConversion"/>
  </si>
  <si>
    <t>ideal</t>
    <phoneticPr fontId="25" type="noConversion"/>
  </si>
  <si>
    <t>P0=-86, alpha = 0.9</t>
    <phoneticPr fontId="25" type="noConversion"/>
  </si>
  <si>
    <t>For 8T, P0=-60, alpha = 0.6
For 32T,  P0=-70, alpha = 0.7</t>
    <phoneticPr fontId="25" type="noConversion"/>
  </si>
  <si>
    <t>alpha = 0.8</t>
  </si>
  <si>
    <t>P0=-80, alpha = 0.8</t>
    <phoneticPr fontId="15" type="noConversion"/>
  </si>
  <si>
    <t>N/A</t>
    <phoneticPr fontId="15" type="noConversion"/>
  </si>
  <si>
    <t>Continuous RB allocation: follow TS 38.101 in Section 6.2.2;
Non-continuous RB allocation: additional 2 dB reduction</t>
    <phoneticPr fontId="25" type="noConversion"/>
  </si>
  <si>
    <t>Continuous RB allocation: follow TS 38.101 for FR1;
Non-continuous RB allocation: additional 2 dB reduction</t>
    <phoneticPr fontId="25" type="noConversion"/>
  </si>
  <si>
    <t>Continuous RB allocation: follow TS 38.101 for FR1;</t>
    <phoneticPr fontId="25" type="noConversion"/>
  </si>
  <si>
    <t>Continuous RB allocation: follow TS 38.101 in Section 6.2.2;
Non-continuous RB allocation: additional 2 dB reduction</t>
  </si>
  <si>
    <t xml:space="preserve">Azimuth angle φi = [-5*pi/16, -3*pi/16, -pi/16, pi/16, 3*pi/16, 5*pi/16] 
Zenith angle θj = [7*pi/12, 2*pi/3, 3*pi/4, 5*pi/6]
</t>
    <phoneticPr fontId="15" type="noConversion"/>
  </si>
  <si>
    <t>Azimuth angle φi = [-pi/4, pi/4]
Zenith angle θj = [pi/4, 3*pi/4];</t>
    <phoneticPr fontId="25" type="noConversion"/>
  </si>
  <si>
    <t>Channel model A/B</t>
  </si>
  <si>
    <t>Modified assumption (not defined in Report M.2412)</t>
    <phoneticPr fontId="70" type="noConversion"/>
  </si>
  <si>
    <t>NR</t>
    <phoneticPr fontId="25" type="noConversion"/>
  </si>
  <si>
    <t>60 kHz SCS</t>
    <phoneticPr fontId="25" type="noConversion"/>
  </si>
  <si>
    <t>Average [bit/s/Hz/TRxP]</t>
    <phoneticPr fontId="25" type="noConversion"/>
  </si>
  <si>
    <t>5th percentile [bit/s/Hz]</t>
    <phoneticPr fontId="25" type="noConversion"/>
  </si>
  <si>
    <t>gNB: (M,N,P,Mg,Ng; Mp,Np) = (8,16,2,1,1; 1,16)
UE: (M,N,P,Mg,Ng; Mp,Np) =  (2,8,2,1,1; 2,8)</t>
    <phoneticPr fontId="25" type="noConversion"/>
  </si>
  <si>
    <t>32x32 MU-MIMO,  4T SRS (1 panel@UE)</t>
    <phoneticPr fontId="25" type="noConversion"/>
  </si>
  <si>
    <t>gNB: (M,N,P,Mg,Ng; Mp,Np) = (8,16,2,1,1; 2,16)
UE: (M,N,P,Mg,Ng; Mp,Np) =  (2,8,2,1,1; 2,8)</t>
    <phoneticPr fontId="25" type="noConversion"/>
  </si>
  <si>
    <t>64x32 MU-MIMO,  4T SRS (1 panel@UE)</t>
    <phoneticPr fontId="25" type="noConversion"/>
  </si>
  <si>
    <t xml:space="preserve"> gNB: (M,N,P,Mg,Ng; Mp,Np) = (8,16,2,1,1;4,16)
UE: (M,N,P,Mg,Ng; Mp,Np) =   (2,4,2,1,2; 1,2)</t>
    <phoneticPr fontId="15" type="noConversion"/>
  </si>
  <si>
    <t xml:space="preserve">128x8 MU-MIMO,  4T SRS
</t>
  </si>
  <si>
    <t>120 kHz SCS</t>
  </si>
  <si>
    <t>128x8 MU-MIMO,  Type I codebook, wideband</t>
    <phoneticPr fontId="15" type="noConversion"/>
  </si>
  <si>
    <t>100% low loss</t>
    <phoneticPr fontId="70" type="noConversion"/>
  </si>
  <si>
    <t xml:space="preserve"> gNB: (M,N,P,Mg,Ng; Mp,Np) = (4,8,2,2,2;1,1)
UE: (M,N,P,Mg,Ng; Mp,Np) =  (2,4,2,1,2,1,1)</t>
    <phoneticPr fontId="70" type="noConversion"/>
  </si>
  <si>
    <t xml:space="preserve">8x4 MU-MIMO,  4T SRS
</t>
    <phoneticPr fontId="70" type="noConversion"/>
  </si>
  <si>
    <t xml:space="preserve">Admission control with pathloss 125dB </t>
    <phoneticPr fontId="70" type="noConversion"/>
  </si>
  <si>
    <t xml:space="preserve"> gNB: (M,N,P,Mg,Ng; Mp,Np) = (16,8,2,1,1;2,2)
UE:  (M,N,P,Mg,Ng; Mp,Np) =(4,4,2,1,1; 1,1)</t>
    <phoneticPr fontId="70" type="noConversion"/>
  </si>
  <si>
    <t xml:space="preserve">8x2 MU-MIMO,  2T SRS
</t>
    <phoneticPr fontId="70" type="noConversion"/>
  </si>
  <si>
    <t>DDDU</t>
    <phoneticPr fontId="70" type="noConversion"/>
  </si>
  <si>
    <t>Admission control with pathloss 128dB</t>
    <phoneticPr fontId="70" type="noConversion"/>
  </si>
  <si>
    <t xml:space="preserve"> gNB: (M,N,P,Mg,Ng; Mp,Np) = (8,16,2,1,1;4,16)
UE Config =  (2,4,2,1,2; 1,2)</t>
    <phoneticPr fontId="15" type="noConversion"/>
  </si>
  <si>
    <t>8x128 MU-MIMO, OFDMA</t>
  </si>
  <si>
    <t xml:space="preserve"> gNB: (M,N,P,Mg,Ng; Mp,Np) = (4,8,2,2,2;1,1) 
UE: (M,N,P,Mg,Ng; Mp,Np) = (2,4,2,1,2;1,1)</t>
    <phoneticPr fontId="70" type="noConversion"/>
  </si>
  <si>
    <t>4x8 MU-MIMO, OFDMA</t>
    <phoneticPr fontId="70" type="noConversion"/>
  </si>
  <si>
    <t>Admission control with pathloss 125dB</t>
    <phoneticPr fontId="70" type="noConversion"/>
  </si>
  <si>
    <t xml:space="preserve"> gNB: (M,N,P,Mg,Ng; Mp,Np) = (16,8,2,1,1;1,1)
UE:  (M,N,P,Mg,Ng; Mp,Np) =(4,4,2,1,1; 1,1)</t>
    <phoneticPr fontId="70" type="noConversion"/>
  </si>
  <si>
    <t>2x2 MU-MIMO, OFDMA</t>
    <phoneticPr fontId="70" type="noConversion"/>
  </si>
  <si>
    <t>Add resutls and parameters in Dense Urban 30GHz and adjust some formats.</t>
    <phoneticPr fontId="15" type="noConversion"/>
  </si>
  <si>
    <t>1 symbol</t>
    <phoneticPr fontId="15" type="noConversion"/>
  </si>
  <si>
    <t>Type II, based on MU-layer (dynamic in simulation)</t>
    <phoneticPr fontId="15" type="noConversion"/>
  </si>
  <si>
    <t>2 symbols per 10 slots</t>
    <phoneticPr fontId="15" type="noConversion"/>
  </si>
  <si>
    <t xml:space="preserve">2 ports PT-RS, (L,K) = (1,4) 
L is time density and K is frequency density
</t>
    <phoneticPr fontId="15" type="noConversion"/>
  </si>
  <si>
    <t>NTT DOCOMO</t>
    <phoneticPr fontId="15" type="noConversion"/>
  </si>
  <si>
    <r>
      <t>S</t>
    </r>
    <r>
      <rPr>
        <sz val="10"/>
        <color theme="9" tint="-0.249977111117893"/>
        <rFont val="Arial"/>
        <family val="2"/>
      </rPr>
      <t>amsung</t>
    </r>
    <phoneticPr fontId="15" type="noConversion"/>
  </si>
  <si>
    <t>Total RE
w/ OH4 (400MHz)</t>
  </si>
  <si>
    <t>Total OH RE
w/ OH4
(400MHz)</t>
  </si>
  <si>
    <t>Total OH (%) w/ OH4 (400MHz)</t>
  </si>
  <si>
    <t>Assumption: 100MHz BW, 120kHz SCS, 10ms duration</t>
    <phoneticPr fontId="15" type="noConversion"/>
  </si>
  <si>
    <t>Guard band ratio</t>
  </si>
  <si>
    <t>8T4R</t>
    <phoneticPr fontId="15" type="noConversion"/>
  </si>
  <si>
    <t>Frequency Range 2 - FDD</t>
    <phoneticPr fontId="15" type="noConversion"/>
  </si>
  <si>
    <t>NTT DOCOMO</t>
    <phoneticPr fontId="25" type="noConversion"/>
  </si>
  <si>
    <t>DSUUD; S (11D,1G,2U)</t>
    <phoneticPr fontId="25" type="noConversion"/>
  </si>
  <si>
    <t>NTT DOCOMO</t>
    <phoneticPr fontId="25" type="noConversion"/>
  </si>
  <si>
    <t>DDDSU; S (10D,2G,2U)</t>
    <phoneticPr fontId="25" type="noConversion"/>
  </si>
  <si>
    <t>Ericsson</t>
    <phoneticPr fontId="15" type="noConversion"/>
  </si>
  <si>
    <t>32T8R</t>
    <phoneticPr fontId="15" type="noConversion"/>
  </si>
  <si>
    <t>Qaulcomm</t>
    <phoneticPr fontId="15" type="noConversion"/>
  </si>
  <si>
    <t>8T2R</t>
    <phoneticPr fontId="15" type="noConversion"/>
  </si>
  <si>
    <t>DDSU; S(10D,2G,2U)</t>
    <phoneticPr fontId="15" type="noConversion"/>
  </si>
  <si>
    <t>Channel model A/B</t>
    <phoneticPr fontId="25" type="noConversion"/>
  </si>
  <si>
    <t>RIT</t>
    <phoneticPr fontId="25" type="noConversion"/>
  </si>
  <si>
    <t>Antenna and TXRU mapping</t>
    <phoneticPr fontId="25" type="noConversion"/>
  </si>
  <si>
    <t>Antenna config &amp; Tx scheme</t>
    <phoneticPr fontId="25" type="noConversion"/>
  </si>
  <si>
    <t>Numerology</t>
    <phoneticPr fontId="25" type="noConversion"/>
  </si>
  <si>
    <t>Frame structure</t>
    <phoneticPr fontId="25" type="noConversion"/>
  </si>
  <si>
    <t>Modified assumption (not defined in Report M.2412)</t>
    <phoneticPr fontId="70" type="noConversion"/>
  </si>
  <si>
    <t>Bandwidth</t>
    <phoneticPr fontId="25" type="noConversion"/>
  </si>
  <si>
    <t>Req.</t>
    <phoneticPr fontId="25" type="noConversion"/>
  </si>
  <si>
    <t>DL Spectral efficiency</t>
    <phoneticPr fontId="25" type="noConversion"/>
  </si>
  <si>
    <t>FDD</t>
    <phoneticPr fontId="25" type="noConversion"/>
  </si>
  <si>
    <t>NR</t>
    <phoneticPr fontId="25" type="noConversion"/>
  </si>
  <si>
    <t>gNB: (M,N,P,Mg,Ng; Mp,Np) = (4,8,2,2,2; 1,1)
UE: (M,N,P,Mg,Ng; Mp,Np) =  (2,4,2,1,2; 1,2)</t>
    <phoneticPr fontId="25" type="noConversion"/>
  </si>
  <si>
    <t>Average [bit/s/Hz/TRxP]</t>
    <phoneticPr fontId="25" type="noConversion"/>
  </si>
  <si>
    <t>5th percentile [bit/s/Hz]</t>
    <phoneticPr fontId="25" type="noConversion"/>
  </si>
  <si>
    <t>TDD</t>
    <phoneticPr fontId="25" type="noConversion"/>
  </si>
  <si>
    <t>NR</t>
    <phoneticPr fontId="25" type="noConversion"/>
  </si>
  <si>
    <t>60 kHz SCS</t>
    <phoneticPr fontId="25" type="noConversion"/>
  </si>
  <si>
    <t>Average [bit/s/Hz/TRxP]</t>
    <phoneticPr fontId="25" type="noConversion"/>
  </si>
  <si>
    <t>5th percentile [bit/s/Hz]</t>
    <phoneticPr fontId="25" type="noConversion"/>
  </si>
  <si>
    <t>gNB: (M,N,P,Mg,Ng; Mp,Np) = (8,16,2,1,1; 1,16)
UE: (M,N,P,Mg,Ng; Mp,Np) =  (2,8,2,1,1; 2,8)</t>
    <phoneticPr fontId="25" type="noConversion"/>
  </si>
  <si>
    <t>32x32 MU-MIMO,  4T SRS (1 panel@UE)</t>
    <phoneticPr fontId="25" type="noConversion"/>
  </si>
  <si>
    <t>DSUUD</t>
    <phoneticPr fontId="25" type="noConversion"/>
  </si>
  <si>
    <t>gNB: (M,N,P,Mg,Ng; Mp,Np) = (8,16,2,1,1; 2,16)
UE: (M,N,P,Mg,Ng; Mp,Np) =  (2,8,2,1,1; 2,8)</t>
    <phoneticPr fontId="25" type="noConversion"/>
  </si>
  <si>
    <t>64x32 MU-MIMO,  4T SRS (1 panel@UE)</t>
    <phoneticPr fontId="25" type="noConversion"/>
  </si>
  <si>
    <t>120 kHz SCS</t>
    <phoneticPr fontId="25" type="noConversion"/>
  </si>
  <si>
    <t>DSUUD</t>
    <phoneticPr fontId="25" type="noConversion"/>
  </si>
  <si>
    <t xml:space="preserve"> gNB: (M,N,P,Mg,Ng; Mp,Np) = (8,16,2,1,1;4,16)
UE Config =  (2,4,2,1,2; 1,2)</t>
    <phoneticPr fontId="15" type="noConversion"/>
  </si>
  <si>
    <t>128x8 MU-MIMO,  Type I codebook, wideband</t>
    <phoneticPr fontId="15" type="noConversion"/>
  </si>
  <si>
    <t>100% low loss</t>
    <phoneticPr fontId="70" type="noConversion"/>
  </si>
  <si>
    <t xml:space="preserve"> gNB: (M,N,P,Mg,Ng; Mp,Np) = (4,8,2,2,2;1,1)
UE: (M,N,P,Mg,Ng; Mp,Np) =  (2,4,2,1,2,1,1)</t>
    <phoneticPr fontId="70" type="noConversion"/>
  </si>
  <si>
    <t xml:space="preserve">8x4 MU-MIMO,  4T SRS
</t>
    <phoneticPr fontId="70" type="noConversion"/>
  </si>
  <si>
    <t xml:space="preserve">Admission control with pathloss 125dB </t>
    <phoneticPr fontId="70" type="noConversion"/>
  </si>
  <si>
    <t xml:space="preserve"> gNB: (M,N,P,Mg,Ng; Mp,Np) = (16,8,2,1,1;2,2)
UE:  (M,N,P,Mg,Ng; Mp,Np) =(4,4,2,1,1; 1,1)</t>
    <phoneticPr fontId="70" type="noConversion"/>
  </si>
  <si>
    <t xml:space="preserve">8x2 MU-MIMO,  2T SRS
</t>
    <phoneticPr fontId="70" type="noConversion"/>
  </si>
  <si>
    <t>DDDU</t>
    <phoneticPr fontId="70" type="noConversion"/>
  </si>
  <si>
    <t>Admission control with pathloss 128dB</t>
    <phoneticPr fontId="70" type="noConversion"/>
  </si>
  <si>
    <t>UL spectral efficiency</t>
    <phoneticPr fontId="25" type="noConversion"/>
  </si>
  <si>
    <t>TDD</t>
    <phoneticPr fontId="25" type="noConversion"/>
  </si>
  <si>
    <t>8x32 SU-MIMO,
Codebook based, OFDMA (2 panel@UE)</t>
    <phoneticPr fontId="25" type="noConversion"/>
  </si>
  <si>
    <t xml:space="preserve"> gNB: (M,N,P,Mg,Ng; Mp,Np) = (8,16,2,1,1;4,16)
UE Config =  (2,4,2,1,2; 1,2)</t>
    <phoneticPr fontId="15" type="noConversion"/>
  </si>
  <si>
    <t>100% low loss</t>
    <phoneticPr fontId="70" type="noConversion"/>
  </si>
  <si>
    <t xml:space="preserve"> gNB: (M,N,P,Mg,Ng; Mp,Np) = (4,8,2,2,2;1,1) 
UE: (M,N,P,Mg,Ng; Mp,Np) = (2,4,2,1,2;1,1)</t>
    <phoneticPr fontId="70" type="noConversion"/>
  </si>
  <si>
    <t>4x8 MU-MIMO, OFDMA</t>
    <phoneticPr fontId="70" type="noConversion"/>
  </si>
  <si>
    <t>Admission control with pathloss 125dB</t>
    <phoneticPr fontId="70" type="noConversion"/>
  </si>
  <si>
    <t xml:space="preserve"> gNB: (M,N,P,Mg,Ng; Mp,Np) = (16,8,2,1,1;1,1)
UE:  (M,N,P,Mg,Ng; Mp,Np) =(4,4,2,1,1; 1,1)</t>
    <phoneticPr fontId="70" type="noConversion"/>
  </si>
  <si>
    <t>2x2 MU-MIMO, OFDMA</t>
    <phoneticPr fontId="70" type="noConversion"/>
  </si>
  <si>
    <t>Admission control with pathloss 125dB</t>
    <phoneticPr fontId="70" type="noConversion"/>
  </si>
  <si>
    <t>2019.06.05</t>
    <phoneticPr fontId="15" type="noConversion"/>
  </si>
  <si>
    <t>44_r14</t>
    <phoneticPr fontId="15" type="noConversion"/>
  </si>
  <si>
    <t xml:space="preserve">Delete the results that both average spectral efficiency and 5%-tile spectral efficiency of 30GHz cannot meet the requirements. </t>
    <phoneticPr fontId="15" type="noConversion"/>
  </si>
  <si>
    <t>vs. Req.</t>
    <phoneticPr fontId="15" type="noConversion"/>
  </si>
  <si>
    <t>GRET</t>
    <phoneticPr fontId="15" type="noConversion"/>
  </si>
  <si>
    <t>GRET</t>
    <phoneticPr fontId="15" type="noConversion"/>
  </si>
  <si>
    <t>GRET</t>
    <phoneticPr fontId="15" type="noConversion"/>
  </si>
  <si>
    <t>GRET</t>
    <phoneticPr fontId="15" type="noConversion"/>
  </si>
  <si>
    <t>--- N/A ---</t>
    <phoneticPr fontId="15" type="noConversion"/>
  </si>
  <si>
    <t>--- N/A ---</t>
    <phoneticPr fontId="15" type="noConversion"/>
  </si>
  <si>
    <t>--- N/A ---</t>
    <phoneticPr fontId="15" type="noConversion"/>
  </si>
  <si>
    <t>--- N/A ---</t>
    <phoneticPr fontId="15" type="noConversion"/>
  </si>
  <si>
    <t>GRET</t>
    <phoneticPr fontId="15" type="noConversion"/>
  </si>
  <si>
    <t>GRET</t>
    <phoneticPr fontId="15" type="noConversion"/>
  </si>
  <si>
    <t>--- N/A ---</t>
    <phoneticPr fontId="15" type="noConversion"/>
  </si>
  <si>
    <t>--- N/A ---</t>
    <phoneticPr fontId="15" type="noConversion"/>
  </si>
  <si>
    <t>--- N/A ---</t>
    <phoneticPr fontId="15" type="noConversion"/>
  </si>
  <si>
    <t>GRET</t>
    <phoneticPr fontId="15" type="noConversion"/>
  </si>
  <si>
    <t>--- N/A ---</t>
    <phoneticPr fontId="15" type="noConversion"/>
  </si>
  <si>
    <t>GRET</t>
    <phoneticPr fontId="15" type="noConversion"/>
  </si>
  <si>
    <t>GRET</t>
    <phoneticPr fontId="15" type="noConversion"/>
  </si>
  <si>
    <t>GRET</t>
    <phoneticPr fontId="15" type="noConversion"/>
  </si>
  <si>
    <t>--- N/A ---</t>
    <phoneticPr fontId="15" type="noConversion"/>
  </si>
  <si>
    <t>LESS</t>
    <phoneticPr fontId="15" type="noConversion"/>
  </si>
  <si>
    <t>--- N/A ---</t>
    <phoneticPr fontId="15" type="noConversion"/>
  </si>
  <si>
    <t>vs. Req.</t>
    <phoneticPr fontId="15" type="noConversion"/>
  </si>
  <si>
    <t>GRET</t>
    <phoneticPr fontId="15" type="noConversion"/>
  </si>
  <si>
    <t>--- N/A ---</t>
    <phoneticPr fontId="15" type="noConversion"/>
  </si>
  <si>
    <t>GRET</t>
    <phoneticPr fontId="15" type="noConversion"/>
  </si>
  <si>
    <t>GRET</t>
    <phoneticPr fontId="15" type="noConversion"/>
  </si>
  <si>
    <t>--- N/A ---</t>
    <phoneticPr fontId="15" type="noConversion"/>
  </si>
  <si>
    <t>--- N/A ---</t>
    <phoneticPr fontId="15" type="noConversion"/>
  </si>
  <si>
    <t>GRET</t>
    <phoneticPr fontId="15" type="noConversion"/>
  </si>
  <si>
    <t>--- N/A ---</t>
    <phoneticPr fontId="15" type="noConversion"/>
  </si>
  <si>
    <t>GRET</t>
    <phoneticPr fontId="15" type="noConversion"/>
  </si>
  <si>
    <t>GRET</t>
    <phoneticPr fontId="15" type="noConversion"/>
  </si>
  <si>
    <t>LESS</t>
    <phoneticPr fontId="15" type="noConversion"/>
  </si>
  <si>
    <t>vs. Req.</t>
    <phoneticPr fontId="15" type="noConversion"/>
  </si>
  <si>
    <t>--- N/A ---</t>
    <phoneticPr fontId="15" type="noConversion"/>
  </si>
  <si>
    <t>--- N/A ---</t>
    <phoneticPr fontId="15" type="noConversion"/>
  </si>
  <si>
    <t>LESS</t>
    <phoneticPr fontId="15" type="noConversion"/>
  </si>
  <si>
    <t>GRET</t>
    <phoneticPr fontId="15" type="noConversion"/>
  </si>
  <si>
    <t>vs. Req.</t>
    <phoneticPr fontId="15" type="noConversion"/>
  </si>
  <si>
    <t>GRET</t>
    <phoneticPr fontId="15" type="noConversion"/>
  </si>
  <si>
    <t>GRET</t>
    <phoneticPr fontId="15" type="noConversion"/>
  </si>
  <si>
    <t>--- N/A ---</t>
    <phoneticPr fontId="15" type="noConversion"/>
  </si>
  <si>
    <t>--- N/A ---</t>
    <phoneticPr fontId="15" type="noConversion"/>
  </si>
  <si>
    <t>GRET</t>
    <phoneticPr fontId="15" type="noConversion"/>
  </si>
  <si>
    <t>--- N/A ---</t>
    <phoneticPr fontId="15" type="noConversion"/>
  </si>
  <si>
    <t>GRET</t>
    <phoneticPr fontId="15" type="noConversion"/>
  </si>
  <si>
    <t>--- N/A ---</t>
    <phoneticPr fontId="15" type="noConversion"/>
  </si>
  <si>
    <t>--- N/A ---</t>
    <phoneticPr fontId="15" type="noConversion"/>
  </si>
  <si>
    <t>vs. Req.</t>
    <phoneticPr fontId="15" type="noConversion"/>
  </si>
  <si>
    <t>--- N/A ---</t>
    <phoneticPr fontId="15" type="noConversion"/>
  </si>
  <si>
    <t>--- N/A ---</t>
    <phoneticPr fontId="15" type="noConversion"/>
  </si>
  <si>
    <t>--- N/A ---</t>
    <phoneticPr fontId="15" type="noConversion"/>
  </si>
  <si>
    <t>GRET</t>
    <phoneticPr fontId="15" type="noConversion"/>
  </si>
  <si>
    <t>vs. Req.</t>
    <phoneticPr fontId="15" type="noConversion"/>
  </si>
  <si>
    <t>--- N/A ---</t>
    <phoneticPr fontId="15" type="noConversion"/>
  </si>
  <si>
    <t>--- N/A ---</t>
    <phoneticPr fontId="15" type="noConversion"/>
  </si>
  <si>
    <t>--- N/A ---</t>
    <phoneticPr fontId="15" type="noConversion"/>
  </si>
  <si>
    <t>GRET</t>
    <phoneticPr fontId="15" type="noConversion"/>
  </si>
  <si>
    <t>LESS</t>
    <phoneticPr fontId="15" type="noConversion"/>
  </si>
  <si>
    <t>LESS</t>
    <phoneticPr fontId="15" type="noConversion"/>
  </si>
  <si>
    <t>LESS</t>
    <phoneticPr fontId="15" type="noConversion"/>
  </si>
  <si>
    <t>LESS</t>
    <phoneticPr fontId="15" type="noConversion"/>
  </si>
  <si>
    <t>--- N/A ---</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</si>
</sst>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7" formatCode="0.00_ "/>
    <numFmt numFmtId="178" formatCode="0.000_);[Red]\(0.000\)"/>
    <numFmt numFmtId="179" formatCode="0_ "/>
    <numFmt numFmtId="180" formatCode="0.000"/>
    <numFmt numFmtId="181" formatCode="0.000_ "/>
    <numFmt numFmtId="182" formatCode="0.0_);[Red]\(0.0\)"/>
    <numFmt numFmtId="183" formatCode="0_);[Red]\(0\)"/>
  </numFmts>
  <fonts count="72">
    <font>
      <sz val="10"/>
      <name val="Arial"/>
      <charset val="134"/>
    </font>
    <font>
      <sz val="11"/>
      <color theme="1"/>
      <name val="ＭＳ Ｐゴシック"/>
      <family val="2"/>
      <charset val="134"/>
      <scheme val="minor"/>
    </font>
    <font>
      <sz val="11"/>
      <color theme="1"/>
      <name val="ＭＳ Ｐゴシック"/>
      <family val="2"/>
      <charset val="134"/>
      <scheme val="minor"/>
    </font>
    <font>
      <sz val="10"/>
      <color rgb="FFFF0000"/>
      <name val="Arial"/>
      <family val="2"/>
    </font>
    <font>
      <b/>
      <sz val="10"/>
      <name val="Arial"/>
      <family val="2"/>
    </font>
    <font>
      <sz val="10"/>
      <color theme="1"/>
      <name val="Arial"/>
      <family val="2"/>
    </font>
    <font>
      <sz val="10"/>
      <name val="Arial"/>
      <family val="2"/>
    </font>
    <font>
      <sz val="11"/>
      <color rgb="FFFF0000"/>
      <name val="ＭＳ Ｐゴシック"/>
      <family val="3"/>
      <charset val="134"/>
      <scheme val="minor"/>
    </font>
    <font>
      <b/>
      <sz val="11"/>
      <color theme="1"/>
      <name val="ＭＳ Ｐゴシック"/>
      <family val="3"/>
      <charset val="134"/>
      <scheme val="minor"/>
    </font>
    <font>
      <sz val="11"/>
      <color theme="1"/>
      <name val="ＭＳ Ｐゴシック"/>
      <family val="3"/>
      <charset val="134"/>
      <scheme val="minor"/>
    </font>
    <font>
      <sz val="11"/>
      <color theme="1"/>
      <name val="ＭＳ Ｐゴシック"/>
      <family val="3"/>
      <charset val="134"/>
      <scheme val="minor"/>
    </font>
    <font>
      <sz val="11"/>
      <color theme="1"/>
      <name val="Arial"/>
      <family val="2"/>
    </font>
    <font>
      <b/>
      <sz val="11"/>
      <color theme="1"/>
      <name val="Arial"/>
      <family val="2"/>
    </font>
    <font>
      <sz val="11"/>
      <color rgb="FFC00000"/>
      <name val="Arial"/>
      <family val="2"/>
    </font>
    <font>
      <sz val="12"/>
      <name val="宋体"/>
      <family val="3"/>
      <charset val="134"/>
    </font>
    <font>
      <sz val="9"/>
      <name val="Arial"/>
      <family val="2"/>
    </font>
    <font>
      <b/>
      <sz val="9"/>
      <color rgb="FF0000FF"/>
      <name val="Arial"/>
      <family val="2"/>
    </font>
    <font>
      <b/>
      <sz val="11"/>
      <color rgb="FFFF0000"/>
      <name val="Arial"/>
      <family val="2"/>
    </font>
    <font>
      <sz val="9"/>
      <color theme="1"/>
      <name val="Arial"/>
      <family val="2"/>
    </font>
    <font>
      <b/>
      <sz val="9"/>
      <name val="Arial"/>
      <family val="2"/>
    </font>
    <font>
      <b/>
      <sz val="9"/>
      <color rgb="FFFF0000"/>
      <name val="Arial"/>
      <family val="2"/>
    </font>
    <font>
      <sz val="9"/>
      <name val="Arial"/>
      <family val="2"/>
    </font>
    <font>
      <sz val="9"/>
      <color rgb="FF000000"/>
      <name val="Arial"/>
      <family val="2"/>
    </font>
    <font>
      <sz val="10"/>
      <name val="Times New Roman"/>
      <family val="1"/>
    </font>
    <font>
      <sz val="11"/>
      <color theme="1"/>
      <name val="Times New Roman"/>
      <family val="1"/>
    </font>
    <font>
      <sz val="9"/>
      <name val="宋体"/>
      <family val="3"/>
      <charset val="134"/>
    </font>
    <font>
      <sz val="11"/>
      <color theme="0"/>
      <name val="ＭＳ Ｐゴシック"/>
      <family val="3"/>
      <charset val="134"/>
      <scheme val="minor"/>
    </font>
    <font>
      <sz val="11"/>
      <color rgb="FF3F3F76"/>
      <name val="ＭＳ Ｐゴシック"/>
      <family val="3"/>
      <charset val="134"/>
      <scheme val="minor"/>
    </font>
    <font>
      <sz val="11"/>
      <color rgb="FF9C0006"/>
      <name val="ＭＳ Ｐゴシック"/>
      <family val="3"/>
      <charset val="134"/>
      <scheme val="minor"/>
    </font>
    <font>
      <b/>
      <sz val="18"/>
      <color theme="3"/>
      <name val="ＭＳ Ｐゴシック"/>
      <family val="3"/>
      <charset val="134"/>
      <scheme val="major"/>
    </font>
    <font>
      <b/>
      <sz val="15"/>
      <color theme="3"/>
      <name val="ＭＳ Ｐゴシック"/>
      <family val="3"/>
      <charset val="134"/>
      <scheme val="minor"/>
    </font>
    <font>
      <i/>
      <sz val="11"/>
      <color rgb="FF7F7F7F"/>
      <name val="ＭＳ Ｐゴシック"/>
      <family val="3"/>
      <charset val="134"/>
      <scheme val="minor"/>
    </font>
    <font>
      <b/>
      <sz val="11"/>
      <color theme="3"/>
      <name val="ＭＳ Ｐゴシック"/>
      <family val="3"/>
      <charset val="134"/>
      <scheme val="minor"/>
    </font>
    <font>
      <b/>
      <sz val="13"/>
      <color theme="3"/>
      <name val="ＭＳ Ｐゴシック"/>
      <family val="3"/>
      <charset val="134"/>
      <scheme val="minor"/>
    </font>
    <font>
      <b/>
      <sz val="11"/>
      <color rgb="FF3F3F3F"/>
      <name val="ＭＳ Ｐゴシック"/>
      <family val="3"/>
      <charset val="134"/>
      <scheme val="minor"/>
    </font>
    <font>
      <sz val="12"/>
      <color theme="1"/>
      <name val="ＭＳ Ｐゴシック"/>
      <family val="3"/>
      <charset val="134"/>
      <scheme val="minor"/>
    </font>
    <font>
      <sz val="11"/>
      <color rgb="FF006100"/>
      <name val="ＭＳ Ｐゴシック"/>
      <family val="3"/>
      <charset val="134"/>
      <scheme val="minor"/>
    </font>
    <font>
      <b/>
      <sz val="11"/>
      <color theme="0"/>
      <name val="ＭＳ Ｐゴシック"/>
      <family val="3"/>
      <charset val="134"/>
      <scheme val="minor"/>
    </font>
    <font>
      <b/>
      <sz val="11"/>
      <color rgb="FFFA7D00"/>
      <name val="ＭＳ Ｐゴシック"/>
      <family val="3"/>
      <charset val="134"/>
      <scheme val="minor"/>
    </font>
    <font>
      <sz val="11"/>
      <color rgb="FFFA7D00"/>
      <name val="ＭＳ Ｐゴシック"/>
      <family val="3"/>
      <charset val="134"/>
      <scheme val="minor"/>
    </font>
    <font>
      <sz val="11"/>
      <color rgb="FF006100"/>
      <name val="ＭＳ Ｐゴシック"/>
      <family val="3"/>
      <charset val="134"/>
      <scheme val="minor"/>
    </font>
    <font>
      <sz val="12"/>
      <color theme="1"/>
      <name val="ＭＳ Ｐゴシック"/>
      <family val="3"/>
      <charset val="134"/>
      <scheme val="minor"/>
    </font>
    <font>
      <sz val="11"/>
      <color rgb="FF9C6500"/>
      <name val="ＭＳ Ｐゴシック"/>
      <family val="3"/>
      <charset val="134"/>
      <scheme val="minor"/>
    </font>
    <font>
      <sz val="12"/>
      <color rgb="FF000000"/>
      <name val="ＭＳ Ｐゴシック"/>
      <family val="2"/>
    </font>
    <font>
      <sz val="11"/>
      <color rgb="FF000000"/>
      <name val="ＭＳ Ｐゴシック"/>
      <family val="2"/>
    </font>
    <font>
      <sz val="11"/>
      <color rgb="FF9C0006"/>
      <name val="ＭＳ Ｐゴシック"/>
      <family val="3"/>
      <charset val="134"/>
      <scheme val="minor"/>
    </font>
    <font>
      <sz val="10"/>
      <name val="Droid Sans"/>
      <family val="1"/>
    </font>
    <font>
      <sz val="10"/>
      <name val="宋体"/>
      <family val="3"/>
      <charset val="134"/>
    </font>
    <font>
      <vertAlign val="superscript"/>
      <sz val="10"/>
      <name val="Times New Roman"/>
      <family val="1"/>
    </font>
    <font>
      <sz val="9"/>
      <name val="Calibri"/>
      <family val="2"/>
    </font>
    <font>
      <sz val="10"/>
      <name val="Arial"/>
      <family val="2"/>
    </font>
    <font>
      <sz val="9"/>
      <name val="細明體"/>
      <family val="3"/>
      <charset val="136"/>
    </font>
    <font>
      <sz val="9"/>
      <color rgb="FFC00000"/>
      <name val="Arial"/>
      <family val="2"/>
    </font>
    <font>
      <sz val="9"/>
      <color rgb="FF00B050"/>
      <name val="Arial"/>
      <family val="2"/>
    </font>
    <font>
      <strike/>
      <sz val="9"/>
      <color rgb="FF00B050"/>
      <name val="Arial"/>
      <family val="2"/>
    </font>
    <font>
      <sz val="9"/>
      <color theme="9"/>
      <name val="Arial"/>
      <family val="2"/>
    </font>
    <font>
      <sz val="10"/>
      <color theme="9" tint="-0.249977111117893"/>
      <name val="Arial"/>
      <family val="2"/>
    </font>
    <font>
      <sz val="9"/>
      <color theme="9" tint="-0.249977111117893"/>
      <name val="Arial"/>
      <family val="2"/>
    </font>
    <font>
      <b/>
      <sz val="9"/>
      <color theme="9" tint="-0.249977111117893"/>
      <name val="Arial"/>
      <family val="2"/>
    </font>
    <font>
      <sz val="11"/>
      <color theme="9" tint="-0.249977111117893"/>
      <name val="ＭＳ Ｐゴシック"/>
      <family val="3"/>
      <charset val="134"/>
      <scheme val="minor"/>
    </font>
    <font>
      <sz val="11"/>
      <name val="ＭＳ Ｐゴシック"/>
      <family val="3"/>
      <charset val="134"/>
      <scheme val="minor"/>
    </font>
    <font>
      <sz val="10"/>
      <color theme="9" tint="-0.249977111117893"/>
      <name val="Times New Roman"/>
      <family val="1"/>
    </font>
    <font>
      <sz val="10"/>
      <color rgb="FF7030A0"/>
      <name val="Arial"/>
      <family val="2"/>
    </font>
    <font>
      <sz val="9"/>
      <name val="ＭＳ Ｐゴシック"/>
      <family val="3"/>
      <charset val="134"/>
      <scheme val="minor"/>
    </font>
    <font>
      <b/>
      <sz val="9"/>
      <color theme="9"/>
      <name val="Arial"/>
      <family val="2"/>
    </font>
    <font>
      <sz val="9"/>
      <color rgb="FFFF0000"/>
      <name val="Arial"/>
      <family val="2"/>
    </font>
    <font>
      <sz val="12"/>
      <color theme="9" tint="-0.249977111117893"/>
      <name val="宋体"/>
      <family val="3"/>
      <charset val="134"/>
    </font>
    <font>
      <sz val="12"/>
      <color rgb="FF7030A0"/>
      <name val="宋体"/>
      <family val="3"/>
      <charset val="134"/>
    </font>
    <font>
      <sz val="11"/>
      <color theme="9" tint="-0.249977111117893"/>
      <name val="Arial"/>
      <family val="2"/>
    </font>
    <font>
      <sz val="10"/>
      <color rgb="FFC00000"/>
      <name val="Arial"/>
      <family val="2"/>
    </font>
    <font>
      <sz val="8"/>
      <name val="돋움"/>
      <family val="3"/>
      <charset val="129"/>
    </font>
    <font>
      <b/>
      <sz val="10"/>
      <color rgb="FFC00000"/>
      <name val="Arial"/>
      <family val="2"/>
    </font>
  </fonts>
  <fills count="39">
    <fill>
      <patternFill patternType="none"/>
    </fill>
    <fill>
      <patternFill patternType="gray125"/>
    </fill>
    <fill>
      <patternFill patternType="solid">
        <fgColor theme="9" tint="0.59999389629810485"/>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0.14993743705557422"/>
        <bgColor indexed="64"/>
      </patternFill>
    </fill>
    <fill>
      <patternFill patternType="solid">
        <fgColor theme="6" tint="0.59999389629810485"/>
        <bgColor indexed="64"/>
      </patternFill>
    </fill>
    <fill>
      <patternFill patternType="solid">
        <fgColor theme="6" tint="0.79995117038483843"/>
        <bgColor indexed="64"/>
      </patternFill>
    </fill>
    <fill>
      <patternFill patternType="solid">
        <fgColor theme="8" tint="0.79995117038483843"/>
        <bgColor indexed="64"/>
      </patternFill>
    </fill>
    <fill>
      <patternFill patternType="solid">
        <fgColor theme="0"/>
        <bgColor indexed="64"/>
      </patternFill>
    </fill>
    <fill>
      <patternFill patternType="solid">
        <fgColor rgb="FFD8D8D8"/>
        <bgColor indexed="64"/>
      </patternFill>
    </fill>
    <fill>
      <patternFill patternType="solid">
        <fgColor theme="5" tint="0.7999511703848384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theme="4" tint="0.39994506668294322"/>
        <bgColor indexed="64"/>
      </patternFill>
    </fill>
    <fill>
      <patternFill patternType="solid">
        <fgColor theme="7" tint="0.59999389629810485"/>
        <bgColor indexed="64"/>
      </patternFill>
    </fill>
    <fill>
      <patternFill patternType="solid">
        <fgColor rgb="FFFFCC99"/>
        <bgColor indexed="64"/>
      </patternFill>
    </fill>
    <fill>
      <patternFill patternType="solid">
        <fgColor theme="5"/>
        <bgColor indexed="64"/>
      </patternFill>
    </fill>
    <fill>
      <patternFill patternType="solid">
        <fgColor theme="9" tint="0.79995117038483843"/>
        <bgColor indexed="64"/>
      </patternFill>
    </fill>
    <fill>
      <patternFill patternType="solid">
        <fgColor rgb="FFFFC7CE"/>
        <bgColor indexed="64"/>
      </patternFill>
    </fill>
    <fill>
      <patternFill patternType="solid">
        <fgColor theme="7" tint="0.3999450666829432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rgb="FFF2F2F2"/>
        <bgColor indexed="64"/>
      </patternFill>
    </fill>
    <fill>
      <patternFill patternType="solid">
        <fgColor theme="5" tint="0.39994506668294322"/>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theme="9" tint="0.39994506668294322"/>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rgb="FFFFEB9C"/>
        <bgColor indexed="64"/>
      </patternFill>
    </fill>
    <fill>
      <patternFill patternType="solid">
        <fgColor theme="0" tint="-0.14999847407452621"/>
        <bgColor indexed="64"/>
      </patternFill>
    </fill>
    <fill>
      <patternFill patternType="solid">
        <fgColor theme="8" tint="0.39997558519241921"/>
        <bgColor indexed="64"/>
      </patternFill>
    </fill>
  </fills>
  <borders count="26">
    <border>
      <left/>
      <right/>
      <top/>
      <bottom/>
      <diagonal/>
    </border>
    <border>
      <left/>
      <right/>
      <top/>
      <bottom style="medium">
        <color auto="1"/>
      </bottom>
      <diagonal/>
    </border>
    <border>
      <left/>
      <right/>
      <top style="medium">
        <color auto="1"/>
      </top>
      <bottom/>
      <diagonal/>
    </border>
    <border>
      <left/>
      <right/>
      <top style="thin">
        <color theme="4"/>
      </top>
      <bottom style="double">
        <color theme="4"/>
      </bottom>
      <diagonal/>
    </border>
    <border>
      <left/>
      <right/>
      <top/>
      <bottom style="thin">
        <color theme="4"/>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medium">
        <color theme="4" tint="0.39994506668294322"/>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auto="1"/>
      </top>
      <bottom style="thin">
        <color auto="1"/>
      </bottom>
      <diagonal/>
    </border>
    <border>
      <left/>
      <right/>
      <top style="thin">
        <color auto="1"/>
      </top>
      <bottom/>
      <diagonal/>
    </border>
  </borders>
  <cellStyleXfs count="540">
    <xf numFmtId="0" fontId="0" fillId="0" borderId="0"/>
    <xf numFmtId="0" fontId="10" fillId="8"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24" borderId="0" applyNumberFormat="0" applyBorder="0" applyAlignment="0" applyProtection="0">
      <alignment vertical="center"/>
    </xf>
    <xf numFmtId="0" fontId="9" fillId="15" borderId="0" applyNumberFormat="0" applyBorder="0" applyAlignment="0" applyProtection="0"/>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50" fillId="0" borderId="0"/>
    <xf numFmtId="0" fontId="9" fillId="23" borderId="20" applyNumberFormat="0" applyFont="0" applyAlignment="0" applyProtection="0"/>
    <xf numFmtId="0" fontId="36" fillId="28" borderId="0" applyNumberFormat="0" applyBorder="0" applyAlignment="0" applyProtection="0"/>
    <xf numFmtId="0" fontId="9" fillId="7" borderId="0" applyNumberFormat="0" applyBorder="0" applyAlignment="0" applyProtection="0"/>
    <xf numFmtId="0" fontId="9" fillId="20" borderId="0" applyNumberFormat="0" applyBorder="0" applyAlignment="0" applyProtection="0">
      <alignment vertical="center"/>
    </xf>
    <xf numFmtId="0" fontId="9" fillId="11" borderId="0" applyNumberFormat="0" applyBorder="0" applyAlignment="0" applyProtection="0"/>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23" borderId="20" applyNumberFormat="0" applyFont="0" applyAlignment="0" applyProtection="0"/>
    <xf numFmtId="0" fontId="9" fillId="11" borderId="0" applyNumberFormat="0" applyBorder="0" applyAlignment="0" applyProtection="0"/>
    <xf numFmtId="0" fontId="9" fillId="11" borderId="0" applyNumberFormat="0" applyBorder="0" applyAlignment="0" applyProtection="0">
      <alignment vertical="center"/>
    </xf>
    <xf numFmtId="0" fontId="9" fillId="7" borderId="0" applyNumberFormat="0" applyBorder="0" applyAlignment="0" applyProtection="0"/>
    <xf numFmtId="0" fontId="9" fillId="23" borderId="20" applyNumberFormat="0" applyFont="0" applyAlignment="0" applyProtection="0"/>
    <xf numFmtId="0" fontId="9" fillId="7" borderId="0" applyNumberFormat="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23" borderId="20" applyNumberFormat="0" applyFont="0" applyAlignment="0" applyProtection="0"/>
    <xf numFmtId="0" fontId="9" fillId="6" borderId="0" applyNumberFormat="0" applyBorder="0" applyAlignment="0" applyProtection="0"/>
    <xf numFmtId="0" fontId="9" fillId="8" borderId="0" applyNumberFormat="0" applyBorder="0" applyAlignment="0" applyProtection="0">
      <alignment vertical="center"/>
    </xf>
    <xf numFmtId="0" fontId="9" fillId="11" borderId="0" applyNumberFormat="0" applyBorder="0" applyAlignment="0" applyProtection="0"/>
    <xf numFmtId="0" fontId="9" fillId="6" borderId="0" applyNumberFormat="0" applyBorder="0" applyAlignment="0" applyProtection="0">
      <alignment vertical="center"/>
    </xf>
    <xf numFmtId="0" fontId="9" fillId="17"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 borderId="0" applyNumberFormat="0" applyBorder="0" applyAlignment="0" applyProtection="0"/>
    <xf numFmtId="0" fontId="9" fillId="12" borderId="0" applyNumberFormat="0" applyBorder="0" applyAlignment="0" applyProtection="0"/>
    <xf numFmtId="0" fontId="9" fillId="20" borderId="0" applyNumberFormat="0" applyBorder="0" applyAlignment="0" applyProtection="0">
      <alignment vertical="center"/>
    </xf>
    <xf numFmtId="0" fontId="9" fillId="11" borderId="0" applyNumberFormat="0" applyBorder="0" applyAlignment="0" applyProtection="0"/>
    <xf numFmtId="0" fontId="9" fillId="11" borderId="0" applyNumberFormat="0" applyBorder="0" applyAlignment="0" applyProtection="0">
      <alignment vertical="center"/>
    </xf>
    <xf numFmtId="0" fontId="8" fillId="0" borderId="3" applyNumberFormat="0" applyFill="0" applyAlignment="0" applyProtection="0"/>
    <xf numFmtId="0" fontId="9" fillId="0" borderId="0"/>
    <xf numFmtId="0" fontId="9" fillId="20" borderId="0" applyNumberFormat="0" applyBorder="0" applyAlignment="0" applyProtection="0"/>
    <xf numFmtId="0" fontId="9" fillId="0" borderId="0"/>
    <xf numFmtId="0" fontId="9" fillId="7" borderId="0" applyNumberFormat="0" applyBorder="0" applyAlignment="0" applyProtection="0"/>
    <xf numFmtId="0" fontId="9" fillId="7" borderId="0" applyNumberFormat="0" applyBorder="0" applyAlignment="0" applyProtection="0">
      <alignment vertical="center"/>
    </xf>
    <xf numFmtId="0" fontId="9" fillId="0" borderId="0"/>
    <xf numFmtId="0" fontId="9" fillId="17" borderId="0" applyNumberFormat="0" applyBorder="0" applyAlignment="0" applyProtection="0"/>
    <xf numFmtId="0" fontId="9" fillId="14" borderId="0" applyNumberFormat="0" applyBorder="0" applyAlignment="0" applyProtection="0"/>
    <xf numFmtId="0" fontId="9" fillId="2" borderId="0" applyNumberFormat="0" applyBorder="0" applyAlignment="0" applyProtection="0"/>
    <xf numFmtId="0" fontId="9" fillId="0" borderId="0"/>
    <xf numFmtId="0" fontId="9" fillId="11" borderId="0" applyNumberFormat="0" applyBorder="0" applyAlignment="0" applyProtection="0"/>
    <xf numFmtId="0" fontId="9" fillId="1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4" borderId="0" applyNumberFormat="0" applyBorder="0" applyAlignment="0" applyProtection="0"/>
    <xf numFmtId="0" fontId="9" fillId="14" borderId="0" applyNumberFormat="0" applyBorder="0" applyAlignment="0" applyProtection="0">
      <alignment vertical="center"/>
    </xf>
    <xf numFmtId="0" fontId="9" fillId="8" borderId="0" applyNumberFormat="0" applyBorder="0" applyAlignment="0" applyProtection="0"/>
    <xf numFmtId="0" fontId="9" fillId="14" borderId="0" applyNumberFormat="0" applyBorder="0" applyAlignment="0" applyProtection="0"/>
    <xf numFmtId="0" fontId="9" fillId="0" borderId="0"/>
    <xf numFmtId="0" fontId="9" fillId="17" borderId="0" applyNumberFormat="0" applyBorder="0" applyAlignment="0" applyProtection="0"/>
    <xf numFmtId="0" fontId="9" fillId="24" borderId="0" applyNumberFormat="0" applyBorder="0" applyAlignment="0" applyProtection="0">
      <alignment vertical="center"/>
    </xf>
    <xf numFmtId="0" fontId="9" fillId="14" borderId="0" applyNumberFormat="0" applyBorder="0" applyAlignment="0" applyProtection="0"/>
    <xf numFmtId="0" fontId="9" fillId="14" borderId="0" applyNumberFormat="0" applyBorder="0" applyAlignment="0" applyProtection="0">
      <alignment vertical="center"/>
    </xf>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xf numFmtId="0" fontId="9" fillId="14" borderId="0" applyNumberFormat="0" applyBorder="0" applyAlignment="0" applyProtection="0">
      <alignment vertical="center"/>
    </xf>
    <xf numFmtId="0" fontId="9" fillId="8"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alignment vertical="center"/>
    </xf>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alignment vertical="center"/>
    </xf>
    <xf numFmtId="0" fontId="9" fillId="6"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xf numFmtId="0" fontId="9" fillId="14" borderId="0" applyNumberFormat="0" applyBorder="0" applyAlignment="0" applyProtection="0">
      <alignment vertical="center"/>
    </xf>
    <xf numFmtId="0" fontId="9" fillId="2" borderId="0" applyNumberFormat="0" applyBorder="0" applyAlignment="0" applyProtection="0"/>
    <xf numFmtId="0" fontId="10" fillId="14" borderId="0" applyNumberFormat="0" applyBorder="0" applyAlignment="0" applyProtection="0"/>
    <xf numFmtId="0" fontId="9" fillId="14" borderId="0" applyNumberFormat="0" applyBorder="0" applyAlignment="0" applyProtection="0"/>
    <xf numFmtId="0" fontId="9" fillId="0" borderId="0"/>
    <xf numFmtId="0" fontId="9" fillId="11" borderId="0" applyNumberFormat="0" applyBorder="0" applyAlignment="0" applyProtection="0"/>
    <xf numFmtId="0" fontId="10" fillId="15" borderId="0" applyNumberFormat="0" applyBorder="0" applyAlignment="0" applyProtection="0"/>
    <xf numFmtId="0" fontId="9" fillId="11" borderId="0" applyNumberFormat="0" applyBorder="0" applyAlignment="0" applyProtection="0">
      <alignment vertical="center"/>
    </xf>
    <xf numFmtId="0" fontId="9" fillId="11" borderId="0" applyNumberFormat="0" applyBorder="0" applyAlignment="0" applyProtection="0"/>
    <xf numFmtId="0" fontId="9" fillId="11" borderId="0" applyNumberFormat="0" applyBorder="0" applyAlignment="0" applyProtection="0">
      <alignment vertical="center"/>
    </xf>
    <xf numFmtId="0" fontId="9" fillId="13"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2"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xf numFmtId="0" fontId="9" fillId="7" borderId="0" applyNumberFormat="0" applyBorder="0" applyAlignment="0" applyProtection="0">
      <alignment vertical="center"/>
    </xf>
    <xf numFmtId="0" fontId="10" fillId="7" borderId="0" applyNumberFormat="0" applyBorder="0" applyAlignment="0" applyProtection="0"/>
    <xf numFmtId="0" fontId="9" fillId="0" borderId="0"/>
    <xf numFmtId="0" fontId="9" fillId="23" borderId="20" applyNumberFormat="0" applyFont="0" applyAlignment="0" applyProtection="0"/>
    <xf numFmtId="0" fontId="26" fillId="16" borderId="0" applyNumberFormat="0" applyBorder="0" applyAlignment="0" applyProtection="0">
      <alignment vertical="center"/>
    </xf>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xf numFmtId="0" fontId="9" fillId="15" borderId="0" applyNumberFormat="0" applyBorder="0" applyAlignment="0" applyProtection="0">
      <alignment vertical="center"/>
    </xf>
    <xf numFmtId="0" fontId="26" fillId="27" borderId="0" applyNumberFormat="0" applyBorder="0" applyAlignment="0" applyProtection="0">
      <alignment vertical="center"/>
    </xf>
    <xf numFmtId="0" fontId="9" fillId="0" borderId="0"/>
    <xf numFmtId="0" fontId="9" fillId="7"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2"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alignment vertical="center"/>
    </xf>
    <xf numFmtId="0" fontId="9" fillId="8" borderId="0" applyNumberFormat="0" applyBorder="0" applyAlignment="0" applyProtection="0"/>
    <xf numFmtId="0" fontId="9" fillId="8" borderId="0" applyNumberFormat="0" applyBorder="0" applyAlignment="0" applyProtection="0">
      <alignment vertical="center"/>
    </xf>
    <xf numFmtId="0" fontId="9" fillId="8" borderId="0" applyNumberFormat="0" applyBorder="0" applyAlignment="0" applyProtection="0"/>
    <xf numFmtId="0" fontId="9" fillId="8" borderId="0" applyNumberFormat="0" applyBorder="0" applyAlignment="0" applyProtection="0">
      <alignment vertical="center"/>
    </xf>
    <xf numFmtId="0" fontId="10" fillId="0" borderId="0"/>
    <xf numFmtId="0" fontId="9" fillId="8" borderId="0" applyNumberFormat="0" applyBorder="0" applyAlignment="0" applyProtection="0"/>
    <xf numFmtId="0" fontId="9" fillId="8" borderId="0" applyNumberFormat="0" applyBorder="0" applyAlignment="0" applyProtection="0">
      <alignment vertical="center"/>
    </xf>
    <xf numFmtId="0" fontId="26" fillId="25" borderId="0" applyNumberFormat="0" applyBorder="0" applyAlignment="0" applyProtection="0">
      <alignment vertical="center"/>
    </xf>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0" borderId="0"/>
    <xf numFmtId="0" fontId="9" fillId="8" borderId="0" applyNumberFormat="0" applyBorder="0" applyAlignment="0" applyProtection="0"/>
    <xf numFmtId="0" fontId="9" fillId="2" borderId="0" applyNumberFormat="0" applyBorder="0" applyAlignment="0" applyProtection="0">
      <alignment vertical="center"/>
    </xf>
    <xf numFmtId="0" fontId="9" fillId="20" borderId="0" applyNumberFormat="0" applyBorder="0" applyAlignment="0" applyProtection="0"/>
    <xf numFmtId="0" fontId="9" fillId="20" borderId="0" applyNumberFormat="0" applyBorder="0" applyAlignment="0" applyProtection="0">
      <alignment vertical="center"/>
    </xf>
    <xf numFmtId="0" fontId="10" fillId="6"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alignment vertical="center"/>
    </xf>
    <xf numFmtId="0" fontId="9" fillId="20" borderId="0" applyNumberFormat="0" applyBorder="0" applyAlignment="0" applyProtection="0"/>
    <xf numFmtId="0" fontId="9" fillId="20" borderId="0" applyNumberFormat="0" applyBorder="0" applyAlignment="0" applyProtection="0">
      <alignment vertical="center"/>
    </xf>
    <xf numFmtId="0" fontId="9" fillId="20" borderId="0" applyNumberFormat="0" applyBorder="0" applyAlignment="0" applyProtection="0"/>
    <xf numFmtId="0" fontId="9" fillId="20" borderId="0" applyNumberFormat="0" applyBorder="0" applyAlignment="0" applyProtection="0">
      <alignment vertical="center"/>
    </xf>
    <xf numFmtId="0" fontId="9" fillId="8" borderId="0" applyNumberFormat="0" applyBorder="0" applyAlignment="0" applyProtection="0">
      <alignment vertical="center"/>
    </xf>
    <xf numFmtId="0" fontId="9" fillId="20" borderId="0" applyNumberFormat="0" applyBorder="0" applyAlignment="0" applyProtection="0"/>
    <xf numFmtId="0" fontId="9" fillId="20" borderId="0" applyNumberFormat="0" applyBorder="0" applyAlignment="0" applyProtection="0">
      <alignment vertical="center"/>
    </xf>
    <xf numFmtId="0" fontId="9" fillId="20" borderId="0" applyNumberFormat="0" applyBorder="0" applyAlignment="0" applyProtection="0"/>
    <xf numFmtId="0" fontId="9" fillId="20" borderId="0" applyNumberFormat="0" applyBorder="0" applyAlignment="0" applyProtection="0">
      <alignment vertical="center"/>
    </xf>
    <xf numFmtId="0" fontId="10" fillId="20" borderId="0" applyNumberFormat="0" applyBorder="0" applyAlignment="0" applyProtection="0"/>
    <xf numFmtId="0" fontId="26" fillId="22" borderId="0" applyNumberFormat="0" applyBorder="0" applyAlignment="0" applyProtection="0">
      <alignment vertical="center"/>
    </xf>
    <xf numFmtId="0" fontId="9" fillId="2" borderId="0" applyNumberFormat="0" applyBorder="0" applyAlignment="0" applyProtection="0">
      <alignment vertical="center"/>
    </xf>
    <xf numFmtId="0" fontId="9" fillId="20" borderId="0" applyNumberFormat="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xf numFmtId="0" fontId="9" fillId="23" borderId="20" applyNumberFormat="0" applyFont="0" applyAlignment="0" applyProtection="0"/>
    <xf numFmtId="0" fontId="9" fillId="13" borderId="0" applyNumberFormat="0" applyBorder="0" applyAlignment="0" applyProtection="0">
      <alignment vertical="center"/>
    </xf>
    <xf numFmtId="0" fontId="9" fillId="14" borderId="0" applyNumberFormat="0" applyBorder="0" applyAlignment="0" applyProtection="0"/>
    <xf numFmtId="0" fontId="9" fillId="23" borderId="20" applyNumberFormat="0" applyFont="0" applyAlignment="0" applyProtection="0"/>
    <xf numFmtId="0" fontId="9" fillId="17" borderId="0" applyNumberFormat="0" applyBorder="0" applyAlignment="0" applyProtection="0"/>
    <xf numFmtId="0" fontId="9" fillId="14" borderId="0" applyNumberFormat="0" applyBorder="0" applyAlignment="0" applyProtection="0"/>
    <xf numFmtId="0" fontId="9" fillId="23" borderId="20" applyNumberFormat="0" applyFont="0" applyAlignment="0" applyProtection="0"/>
    <xf numFmtId="0" fontId="9" fillId="15" borderId="0" applyNumberFormat="0" applyBorder="0" applyAlignment="0" applyProtection="0"/>
    <xf numFmtId="0" fontId="9" fillId="14" borderId="0" applyNumberFormat="0" applyBorder="0" applyAlignment="0" applyProtection="0"/>
    <xf numFmtId="0" fontId="9" fillId="23" borderId="20" applyNumberFormat="0" applyFont="0" applyAlignment="0" applyProtection="0"/>
    <xf numFmtId="0" fontId="9" fillId="13" borderId="0" applyNumberFormat="0" applyBorder="0" applyAlignment="0" applyProtection="0">
      <alignment vertical="center"/>
    </xf>
    <xf numFmtId="0" fontId="9" fillId="14"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0" borderId="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7"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24" borderId="0" applyNumberFormat="0" applyBorder="0" applyAlignment="0" applyProtection="0">
      <alignment vertical="center"/>
    </xf>
    <xf numFmtId="0" fontId="9" fillId="15" borderId="0" applyNumberFormat="0" applyBorder="0" applyAlignment="0" applyProtection="0"/>
    <xf numFmtId="0" fontId="10" fillId="13" borderId="0" applyNumberFormat="0" applyBorder="0" applyAlignment="0" applyProtection="0"/>
    <xf numFmtId="0" fontId="9" fillId="14" borderId="0" applyNumberFormat="0" applyBorder="0" applyAlignment="0" applyProtection="0">
      <alignment vertical="center"/>
    </xf>
    <xf numFmtId="0" fontId="9" fillId="8" borderId="0" applyNumberFormat="0" applyBorder="0" applyAlignment="0" applyProtection="0"/>
    <xf numFmtId="0" fontId="9" fillId="14" borderId="0" applyNumberFormat="0" applyBorder="0" applyAlignment="0" applyProtection="0">
      <alignment vertical="center"/>
    </xf>
    <xf numFmtId="0" fontId="9" fillId="8" borderId="0" applyNumberFormat="0" applyBorder="0" applyAlignment="0" applyProtection="0"/>
    <xf numFmtId="0" fontId="9" fillId="13" borderId="0" applyNumberFormat="0" applyBorder="0" applyAlignment="0" applyProtection="0">
      <alignment vertical="center"/>
    </xf>
    <xf numFmtId="0" fontId="9" fillId="8" borderId="0" applyNumberFormat="0" applyBorder="0" applyAlignment="0" applyProtection="0"/>
    <xf numFmtId="0" fontId="9" fillId="13" borderId="0" applyNumberFormat="0" applyBorder="0" applyAlignment="0" applyProtection="0">
      <alignment vertical="center"/>
    </xf>
    <xf numFmtId="0" fontId="9" fillId="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14" borderId="0" applyNumberFormat="0" applyBorder="0" applyAlignment="0" applyProtection="0">
      <alignment vertical="center"/>
    </xf>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6" borderId="0" applyNumberFormat="0" applyBorder="0" applyAlignment="0" applyProtection="0"/>
    <xf numFmtId="0" fontId="9" fillId="14" borderId="0" applyNumberFormat="0" applyBorder="0" applyAlignment="0" applyProtection="0">
      <alignment vertical="center"/>
    </xf>
    <xf numFmtId="0" fontId="9" fillId="20" borderId="0" applyNumberFormat="0" applyBorder="0" applyAlignment="0" applyProtection="0"/>
    <xf numFmtId="0" fontId="9" fillId="6" borderId="0" applyNumberFormat="0" applyBorder="0" applyAlignment="0" applyProtection="0">
      <alignment vertical="center"/>
    </xf>
    <xf numFmtId="0" fontId="9" fillId="20" borderId="0" applyNumberFormat="0" applyBorder="0" applyAlignment="0" applyProtection="0"/>
    <xf numFmtId="0" fontId="10" fillId="0" borderId="0"/>
    <xf numFmtId="0" fontId="9" fillId="6" borderId="0" applyNumberFormat="0" applyBorder="0" applyAlignment="0" applyProtection="0">
      <alignment vertical="center"/>
    </xf>
    <xf numFmtId="0" fontId="9" fillId="20" borderId="0" applyNumberFormat="0" applyBorder="0" applyAlignment="0" applyProtection="0"/>
    <xf numFmtId="0" fontId="9" fillId="0" borderId="0"/>
    <xf numFmtId="0" fontId="9" fillId="24" borderId="0" applyNumberFormat="0" applyBorder="0" applyAlignment="0" applyProtection="0">
      <alignment vertical="center"/>
    </xf>
    <xf numFmtId="0" fontId="9" fillId="14" borderId="0" applyNumberFormat="0" applyBorder="0" applyAlignment="0" applyProtection="0"/>
    <xf numFmtId="0" fontId="9" fillId="0" borderId="0"/>
    <xf numFmtId="0" fontId="9" fillId="14" borderId="0" applyNumberFormat="0" applyBorder="0" applyAlignment="0" applyProtection="0"/>
    <xf numFmtId="0" fontId="9" fillId="13" borderId="0" applyNumberFormat="0" applyBorder="0" applyAlignment="0" applyProtection="0"/>
    <xf numFmtId="0" fontId="9" fillId="0" borderId="0"/>
    <xf numFmtId="0" fontId="9" fillId="17" borderId="0" applyNumberFormat="0" applyBorder="0" applyAlignment="0" applyProtection="0">
      <alignment vertical="center"/>
    </xf>
    <xf numFmtId="0" fontId="9" fillId="14" borderId="0" applyNumberFormat="0" applyBorder="0" applyAlignment="0" applyProtection="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2" borderId="0" applyNumberFormat="0" applyBorder="0" applyAlignment="0" applyProtection="0"/>
    <xf numFmtId="0" fontId="9" fillId="7" borderId="0" applyNumberFormat="0" applyBorder="0" applyAlignment="0" applyProtection="0">
      <alignment vertical="center"/>
    </xf>
    <xf numFmtId="0" fontId="9" fillId="2" borderId="0" applyNumberFormat="0" applyBorder="0" applyAlignment="0" applyProtection="0"/>
    <xf numFmtId="0" fontId="9" fillId="7" borderId="0" applyNumberFormat="0" applyBorder="0" applyAlignment="0" applyProtection="0">
      <alignment vertical="center"/>
    </xf>
    <xf numFmtId="0" fontId="9" fillId="6" borderId="0" applyNumberFormat="0" applyBorder="0" applyAlignment="0" applyProtection="0"/>
    <xf numFmtId="0" fontId="9" fillId="15" borderId="0" applyNumberFormat="0" applyBorder="0" applyAlignment="0" applyProtection="0"/>
    <xf numFmtId="0" fontId="9" fillId="7" borderId="0" applyNumberFormat="0" applyBorder="0" applyAlignment="0" applyProtection="0">
      <alignment vertical="center"/>
    </xf>
    <xf numFmtId="0" fontId="9" fillId="6" borderId="0" applyNumberFormat="0" applyBorder="0" applyAlignment="0" applyProtection="0"/>
    <xf numFmtId="0" fontId="9" fillId="15" borderId="0" applyNumberFormat="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xf numFmtId="0" fontId="9" fillId="8" borderId="0" applyNumberFormat="0" applyBorder="0" applyAlignment="0" applyProtection="0"/>
    <xf numFmtId="0" fontId="10" fillId="0" borderId="0"/>
    <xf numFmtId="0" fontId="9" fillId="8" borderId="0" applyNumberFormat="0" applyBorder="0" applyAlignment="0" applyProtection="0"/>
    <xf numFmtId="0" fontId="9" fillId="8" borderId="0" applyNumberFormat="0" applyBorder="0" applyAlignment="0" applyProtection="0"/>
    <xf numFmtId="0" fontId="9" fillId="20"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alignment vertical="center"/>
    </xf>
    <xf numFmtId="0" fontId="9" fillId="24" borderId="0" applyNumberFormat="0" applyBorder="0" applyAlignment="0" applyProtection="0"/>
    <xf numFmtId="0" fontId="9" fillId="20" borderId="0" applyNumberFormat="0" applyBorder="0" applyAlignment="0" applyProtection="0">
      <alignment vertical="center"/>
    </xf>
    <xf numFmtId="0" fontId="9" fillId="2" borderId="0" applyNumberFormat="0" applyBorder="0" applyAlignment="0" applyProtection="0"/>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7" borderId="0" applyNumberFormat="0" applyBorder="0" applyAlignment="0" applyProtection="0">
      <alignment vertical="center"/>
    </xf>
    <xf numFmtId="0" fontId="9" fillId="14"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alignment vertical="center"/>
    </xf>
    <xf numFmtId="0" fontId="9" fillId="11" borderId="0" applyNumberFormat="0" applyBorder="0" applyAlignment="0" applyProtection="0"/>
    <xf numFmtId="0" fontId="9" fillId="0" borderId="0">
      <alignment vertical="center"/>
    </xf>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13"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2" borderId="0" applyNumberFormat="0" applyBorder="0" applyAlignment="0" applyProtection="0"/>
    <xf numFmtId="0" fontId="9" fillId="13"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10" fillId="12" borderId="0" applyNumberFormat="0" applyBorder="0" applyAlignment="0" applyProtection="0"/>
    <xf numFmtId="0" fontId="9" fillId="17" borderId="0" applyNumberFormat="0" applyBorder="0" applyAlignment="0" applyProtection="0"/>
    <xf numFmtId="0" fontId="10"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2" borderId="0" applyNumberFormat="0" applyBorder="0" applyAlignment="0" applyProtection="0"/>
    <xf numFmtId="0" fontId="9"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0" borderId="0"/>
    <xf numFmtId="0" fontId="9" fillId="12" borderId="0" applyNumberFormat="0" applyBorder="0" applyAlignment="0" applyProtection="0"/>
    <xf numFmtId="0" fontId="9" fillId="0" borderId="0"/>
    <xf numFmtId="0" fontId="9" fillId="1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12" borderId="0" applyNumberFormat="0" applyBorder="0" applyAlignment="0" applyProtection="0"/>
    <xf numFmtId="0" fontId="10" fillId="2" borderId="0" applyNumberFormat="0" applyBorder="0" applyAlignment="0" applyProtection="0"/>
    <xf numFmtId="0" fontId="9" fillId="2" borderId="0" applyNumberFormat="0" applyBorder="0" applyAlignment="0" applyProtection="0"/>
    <xf numFmtId="0" fontId="9" fillId="24" borderId="0" applyNumberFormat="0" applyBorder="0" applyAlignment="0" applyProtection="0">
      <alignment vertical="center"/>
    </xf>
    <xf numFmtId="0" fontId="9" fillId="0" borderId="0"/>
    <xf numFmtId="0" fontId="9" fillId="17" borderId="0" applyNumberFormat="0" applyBorder="0" applyAlignment="0" applyProtection="0">
      <alignment vertical="center"/>
    </xf>
    <xf numFmtId="0" fontId="9" fillId="2" borderId="0" applyNumberFormat="0" applyBorder="0" applyAlignment="0" applyProtection="0"/>
    <xf numFmtId="0" fontId="9" fillId="17" borderId="0" applyNumberFormat="0" applyBorder="0" applyAlignment="0" applyProtection="0">
      <alignment vertical="center"/>
    </xf>
    <xf numFmtId="0" fontId="9" fillId="2" borderId="0" applyNumberFormat="0" applyBorder="0" applyAlignment="0" applyProtection="0"/>
    <xf numFmtId="0" fontId="9" fillId="6" borderId="0" applyNumberFormat="0" applyBorder="0" applyAlignment="0" applyProtection="0">
      <alignment vertical="center"/>
    </xf>
    <xf numFmtId="0" fontId="9" fillId="24" borderId="0" applyNumberFormat="0" applyBorder="0" applyAlignment="0" applyProtection="0"/>
    <xf numFmtId="0" fontId="9" fillId="24" borderId="0" applyNumberFormat="0" applyBorder="0" applyAlignment="0" applyProtection="0"/>
    <xf numFmtId="0" fontId="9" fillId="6" borderId="0" applyNumberFormat="0" applyBorder="0" applyAlignment="0" applyProtection="0">
      <alignment vertical="center"/>
    </xf>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24" borderId="0" applyNumberFormat="0" applyBorder="0" applyAlignment="0" applyProtection="0"/>
    <xf numFmtId="0" fontId="9" fillId="13" borderId="0" applyNumberFormat="0" applyBorder="0" applyAlignment="0" applyProtection="0"/>
    <xf numFmtId="0" fontId="9" fillId="23" borderId="20" applyNumberFormat="0" applyFont="0" applyAlignment="0" applyProtection="0"/>
    <xf numFmtId="0" fontId="9" fillId="24" borderId="0" applyNumberFormat="0" applyBorder="0" applyAlignment="0" applyProtection="0"/>
    <xf numFmtId="0" fontId="9" fillId="13" borderId="0" applyNumberFormat="0" applyBorder="0" applyAlignment="0" applyProtection="0"/>
    <xf numFmtId="0" fontId="9" fillId="2" borderId="0" applyNumberFormat="0" applyBorder="0" applyAlignment="0" applyProtection="0">
      <alignment vertical="center"/>
    </xf>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17" borderId="0" applyNumberFormat="0" applyBorder="0" applyAlignment="0" applyProtection="0"/>
    <xf numFmtId="0" fontId="9" fillId="0" borderId="0"/>
    <xf numFmtId="0" fontId="9" fillId="17" borderId="0" applyNumberFormat="0" applyBorder="0" applyAlignment="0" applyProtection="0"/>
    <xf numFmtId="0" fontId="9" fillId="0" borderId="0"/>
    <xf numFmtId="0" fontId="9" fillId="17" borderId="0" applyNumberFormat="0" applyBorder="0" applyAlignment="0" applyProtection="0"/>
    <xf numFmtId="0" fontId="9" fillId="17"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2" borderId="0" applyNumberFormat="0" applyBorder="0" applyAlignment="0" applyProtection="0"/>
    <xf numFmtId="0" fontId="10" fillId="0" borderId="0"/>
    <xf numFmtId="0" fontId="9" fillId="2" borderId="0" applyNumberFormat="0" applyBorder="0" applyAlignment="0" applyProtection="0"/>
    <xf numFmtId="0" fontId="9" fillId="2" borderId="0" applyNumberFormat="0" applyBorder="0" applyAlignment="0" applyProtection="0"/>
    <xf numFmtId="0" fontId="9" fillId="23" borderId="20" applyNumberFormat="0" applyFont="0" applyAlignment="0" applyProtection="0">
      <alignment vertical="center"/>
    </xf>
    <xf numFmtId="0" fontId="9" fillId="2" borderId="0" applyNumberFormat="0" applyBorder="0" applyAlignment="0" applyProtection="0"/>
    <xf numFmtId="0" fontId="9" fillId="24" borderId="0" applyNumberFormat="0" applyBorder="0" applyAlignment="0" applyProtection="0"/>
    <xf numFmtId="0" fontId="9" fillId="0" borderId="0"/>
    <xf numFmtId="0" fontId="9" fillId="17" borderId="0" applyNumberFormat="0" applyBorder="0" applyAlignment="0" applyProtection="0">
      <alignment vertical="center"/>
    </xf>
    <xf numFmtId="0" fontId="9" fillId="24" borderId="0" applyNumberFormat="0" applyBorder="0" applyAlignment="0" applyProtection="0">
      <alignment vertical="center"/>
    </xf>
    <xf numFmtId="0" fontId="9" fillId="17" borderId="0" applyNumberFormat="0" applyBorder="0" applyAlignment="0" applyProtection="0">
      <alignment vertical="center"/>
    </xf>
    <xf numFmtId="0" fontId="9" fillId="24" borderId="0" applyNumberFormat="0" applyBorder="0" applyAlignment="0" applyProtection="0"/>
    <xf numFmtId="0" fontId="9" fillId="17" borderId="0" applyNumberFormat="0" applyBorder="0" applyAlignment="0" applyProtection="0">
      <alignment vertical="center"/>
    </xf>
    <xf numFmtId="0" fontId="9" fillId="24" borderId="0" applyNumberFormat="0" applyBorder="0" applyAlignment="0" applyProtection="0"/>
    <xf numFmtId="0" fontId="9" fillId="24" borderId="0" applyNumberFormat="0" applyBorder="0" applyAlignment="0" applyProtection="0">
      <alignment vertical="center"/>
    </xf>
    <xf numFmtId="0" fontId="9" fillId="0" borderId="0"/>
    <xf numFmtId="0" fontId="9" fillId="24" borderId="0" applyNumberFormat="0" applyBorder="0" applyAlignment="0" applyProtection="0">
      <alignment vertical="center"/>
    </xf>
    <xf numFmtId="0" fontId="9" fillId="0" borderId="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xf numFmtId="0" fontId="9" fillId="2" borderId="0" applyNumberFormat="0" applyBorder="0" applyAlignment="0" applyProtection="0">
      <alignment vertical="center"/>
    </xf>
    <xf numFmtId="0" fontId="9" fillId="13" borderId="0" applyNumberFormat="0" applyBorder="0" applyAlignment="0" applyProtection="0"/>
    <xf numFmtId="0" fontId="9" fillId="17"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31" fillId="0" borderId="0" applyNumberFormat="0" applyFill="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xf numFmtId="0" fontId="9" fillId="17"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xf numFmtId="0" fontId="9" fillId="6" borderId="0" applyNumberFormat="0" applyBorder="0" applyAlignment="0" applyProtection="0"/>
    <xf numFmtId="0" fontId="9" fillId="17" borderId="0" applyNumberFormat="0" applyBorder="0" applyAlignment="0" applyProtection="0"/>
    <xf numFmtId="0" fontId="9" fillId="2" borderId="0" applyNumberFormat="0" applyBorder="0" applyAlignment="0" applyProtection="0"/>
    <xf numFmtId="0" fontId="26" fillId="3" borderId="0" applyNumberFormat="0" applyBorder="0" applyAlignment="0" applyProtection="0">
      <alignment vertical="center"/>
    </xf>
    <xf numFmtId="0" fontId="26" fillId="32" borderId="0" applyNumberFormat="0" applyBorder="0" applyAlignment="0" applyProtection="0">
      <alignment vertical="center"/>
    </xf>
    <xf numFmtId="0" fontId="9" fillId="23" borderId="20" applyNumberFormat="0" applyFont="0" applyAlignment="0" applyProtection="0"/>
    <xf numFmtId="0" fontId="9" fillId="23" borderId="20" applyNumberFormat="0" applyFont="0" applyAlignment="0" applyProtection="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50" fillId="0" borderId="0"/>
    <xf numFmtId="0" fontId="9" fillId="0" borderId="0"/>
    <xf numFmtId="0" fontId="9" fillId="0" borderId="0"/>
    <xf numFmtId="0" fontId="10" fillId="0" borderId="0"/>
    <xf numFmtId="0" fontId="9" fillId="0" borderId="0"/>
    <xf numFmtId="0" fontId="9" fillId="0" borderId="0"/>
    <xf numFmtId="0" fontId="9" fillId="0" borderId="0"/>
    <xf numFmtId="0" fontId="8" fillId="0" borderId="3" applyNumberFormat="0" applyFill="0" applyAlignment="0" applyProtection="0">
      <alignment vertical="center"/>
    </xf>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10" fillId="0" borderId="0"/>
    <xf numFmtId="0" fontId="43" fillId="0" borderId="0">
      <alignment vertical="center"/>
    </xf>
    <xf numFmtId="0" fontId="44" fillId="0" borderId="0">
      <alignment vertical="center"/>
    </xf>
    <xf numFmtId="0" fontId="30" fillId="0" borderId="17" applyNumberFormat="0" applyFill="0" applyAlignment="0" applyProtection="0">
      <alignment vertical="center"/>
    </xf>
    <xf numFmtId="0" fontId="33" fillId="0" borderId="19"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21" borderId="0" applyNumberFormat="0" applyBorder="0" applyAlignment="0" applyProtection="0">
      <alignment vertical="center"/>
    </xf>
    <xf numFmtId="0" fontId="45" fillId="21" borderId="0" applyNumberFormat="0" applyBorder="0" applyAlignment="0" applyProtection="0"/>
    <xf numFmtId="0" fontId="14"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6" fillId="0" borderId="0"/>
    <xf numFmtId="0" fontId="40" fillId="28" borderId="0" applyNumberFormat="0" applyBorder="0" applyAlignment="0" applyProtection="0">
      <alignment vertical="center"/>
    </xf>
    <xf numFmtId="0" fontId="38" fillId="26" borderId="16" applyNumberFormat="0" applyAlignment="0" applyProtection="0">
      <alignment vertical="center"/>
    </xf>
    <xf numFmtId="0" fontId="37" fillId="29" borderId="22" applyNumberFormat="0" applyAlignment="0" applyProtection="0">
      <alignment vertical="center"/>
    </xf>
    <xf numFmtId="0" fontId="7" fillId="0" borderId="0" applyNumberFormat="0" applyFill="0" applyBorder="0" applyAlignment="0" applyProtection="0">
      <alignment vertical="center"/>
    </xf>
    <xf numFmtId="0" fontId="39" fillId="0" borderId="23" applyNumberFormat="0" applyFill="0" applyAlignment="0" applyProtection="0">
      <alignment vertical="center"/>
    </xf>
    <xf numFmtId="0" fontId="26" fillId="31" borderId="0" applyNumberFormat="0" applyBorder="0" applyAlignment="0" applyProtection="0">
      <alignment vertical="center"/>
    </xf>
    <xf numFmtId="0" fontId="26" fillId="19" borderId="0" applyNumberFormat="0" applyBorder="0" applyAlignment="0" applyProtection="0">
      <alignment vertical="center"/>
    </xf>
    <xf numFmtId="0" fontId="26" fillId="34" borderId="0" applyNumberFormat="0" applyBorder="0" applyAlignment="0" applyProtection="0">
      <alignment vertical="center"/>
    </xf>
    <xf numFmtId="0" fontId="26" fillId="30" borderId="0" applyNumberFormat="0" applyBorder="0" applyAlignment="0" applyProtection="0">
      <alignment vertical="center"/>
    </xf>
    <xf numFmtId="0" fontId="26" fillId="33" borderId="0" applyNumberFormat="0" applyBorder="0" applyAlignment="0" applyProtection="0">
      <alignment vertical="center"/>
    </xf>
    <xf numFmtId="0" fontId="26" fillId="35" borderId="0" applyNumberFormat="0" applyBorder="0" applyAlignment="0" applyProtection="0">
      <alignment vertical="center"/>
    </xf>
    <xf numFmtId="0" fontId="42" fillId="36" borderId="0" applyNumberFormat="0" applyBorder="0" applyAlignment="0" applyProtection="0">
      <alignment vertical="center"/>
    </xf>
    <xf numFmtId="0" fontId="34" fillId="26" borderId="21" applyNumberFormat="0" applyAlignment="0" applyProtection="0">
      <alignment vertical="center"/>
    </xf>
    <xf numFmtId="0" fontId="27" fillId="18" borderId="16" applyNumberFormat="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41" fillId="0" borderId="0">
      <alignment vertical="center"/>
    </xf>
    <xf numFmtId="0" fontId="35" fillId="0" borderId="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9" fillId="23" borderId="20" applyNumberFormat="0" applyFont="0" applyAlignment="0" applyProtection="0">
      <alignment vertical="center"/>
    </xf>
    <xf numFmtId="0" fontId="6"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435">
    <xf numFmtId="0" fontId="0" fillId="0" borderId="0" xfId="0"/>
    <xf numFmtId="0" fontId="0" fillId="0" borderId="1" xfId="0" applyFont="1" applyFill="1" applyBorder="1" applyAlignment="1">
      <alignment vertical="center" wrapText="1"/>
    </xf>
    <xf numFmtId="178"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vertical="center" wrapText="1"/>
    </xf>
    <xf numFmtId="0" fontId="4" fillId="3" borderId="0" xfId="0" applyFont="1" applyFill="1" applyBorder="1" applyAlignment="1">
      <alignment vertical="center" wrapText="1"/>
    </xf>
    <xf numFmtId="0" fontId="0" fillId="2" borderId="0" xfId="0" applyFont="1" applyFill="1" applyBorder="1" applyAlignment="1">
      <alignment horizontal="center" vertical="center" wrapText="1"/>
    </xf>
    <xf numFmtId="0" fontId="0" fillId="4" borderId="0" xfId="0" applyFont="1" applyFill="1" applyBorder="1" applyAlignment="1">
      <alignment vertical="center" wrapText="1"/>
    </xf>
    <xf numFmtId="0" fontId="0" fillId="0" borderId="0" xfId="0" applyFill="1" applyBorder="1" applyAlignment="1">
      <alignment vertical="center" wrapText="1"/>
    </xf>
    <xf numFmtId="0" fontId="5" fillId="0" borderId="0" xfId="495" applyFont="1" applyFill="1" applyBorder="1" applyAlignment="1">
      <alignment vertical="center" wrapText="1"/>
    </xf>
    <xf numFmtId="0" fontId="0" fillId="3" borderId="0" xfId="0" applyFont="1" applyFill="1" applyBorder="1" applyAlignment="1">
      <alignment vertical="center" wrapText="1"/>
    </xf>
    <xf numFmtId="178" fontId="0" fillId="4" borderId="0" xfId="0" applyNumberFormat="1"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0" fillId="0" borderId="0" xfId="0" applyFill="1"/>
    <xf numFmtId="0" fontId="7" fillId="0" borderId="0" xfId="0" applyFont="1"/>
    <xf numFmtId="0" fontId="0" fillId="0" borderId="0" xfId="0" applyAlignment="1">
      <alignment horizontal="center"/>
    </xf>
    <xf numFmtId="0" fontId="0" fillId="0" borderId="0" xfId="0" applyAlignment="1">
      <alignment horizontal="left"/>
    </xf>
    <xf numFmtId="0" fontId="8" fillId="0" borderId="0" xfId="0" applyFont="1" applyAlignment="1">
      <alignment horizontal="center"/>
    </xf>
    <xf numFmtId="0" fontId="8" fillId="0" borderId="3" xfId="43" applyAlignment="1">
      <alignment horizontal="center"/>
    </xf>
    <xf numFmtId="0" fontId="8" fillId="0" borderId="3" xfId="43" applyAlignment="1">
      <alignment horizontal="left"/>
    </xf>
    <xf numFmtId="0" fontId="9" fillId="0" borderId="0" xfId="291" applyFill="1" applyAlignment="1">
      <alignment horizontal="center"/>
    </xf>
    <xf numFmtId="0" fontId="9" fillId="0" borderId="0" xfId="291" applyFill="1" applyAlignment="1">
      <alignment horizontal="left"/>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xf numFmtId="0" fontId="0" fillId="0" borderId="0" xfId="0" applyFill="1" applyAlignment="1">
      <alignment horizontal="center"/>
    </xf>
    <xf numFmtId="0" fontId="0" fillId="0" borderId="0" xfId="0" applyFont="1" applyFill="1" applyBorder="1"/>
    <xf numFmtId="0" fontId="0" fillId="0" borderId="0" xfId="0" applyFont="1" applyFill="1" applyAlignment="1">
      <alignment horizontal="center"/>
    </xf>
    <xf numFmtId="0" fontId="0" fillId="0" borderId="0" xfId="0" applyFont="1" applyFill="1" applyAlignment="1">
      <alignment horizontal="left"/>
    </xf>
    <xf numFmtId="0" fontId="0" fillId="0" borderId="0" xfId="0" applyFont="1" applyFill="1"/>
    <xf numFmtId="0" fontId="0" fillId="0" borderId="0" xfId="291" applyFont="1" applyFill="1" applyAlignment="1">
      <alignment horizontal="center"/>
    </xf>
    <xf numFmtId="0" fontId="0" fillId="0" borderId="0" xfId="291" applyFont="1" applyFill="1" applyAlignment="1">
      <alignment horizontal="left"/>
    </xf>
    <xf numFmtId="0" fontId="0" fillId="0" borderId="0" xfId="0" applyFill="1" applyAlignment="1">
      <alignment horizontal="left"/>
    </xf>
    <xf numFmtId="0" fontId="10" fillId="0" borderId="0" xfId="293" applyFont="1" applyFill="1" applyAlignment="1">
      <alignment horizontal="center"/>
    </xf>
    <xf numFmtId="0" fontId="0" fillId="0" borderId="0" xfId="293" applyFont="1" applyFill="1" applyAlignment="1">
      <alignment horizontal="left"/>
    </xf>
    <xf numFmtId="0" fontId="0" fillId="0" borderId="0" xfId="293" applyFont="1" applyFill="1" applyAlignment="1">
      <alignment horizontal="center"/>
    </xf>
    <xf numFmtId="0" fontId="8" fillId="0" borderId="0" xfId="0" applyFont="1"/>
    <xf numFmtId="0" fontId="8" fillId="0" borderId="3" xfId="43" applyAlignment="1">
      <alignment horizontal="center" wrapText="1"/>
    </xf>
    <xf numFmtId="0" fontId="8" fillId="7" borderId="3" xfId="43" applyFill="1" applyAlignment="1">
      <alignment horizontal="center" wrapText="1"/>
    </xf>
    <xf numFmtId="0" fontId="11" fillId="0" borderId="0" xfId="291" applyFont="1" applyFill="1" applyAlignment="1">
      <alignment horizontal="center"/>
    </xf>
    <xf numFmtId="180" fontId="11" fillId="0" borderId="0" xfId="291" applyNumberFormat="1" applyFont="1" applyFill="1" applyAlignment="1">
      <alignment horizontal="center"/>
    </xf>
    <xf numFmtId="2" fontId="0" fillId="0" borderId="0" xfId="0" applyNumberFormat="1" applyFont="1" applyFill="1" applyAlignment="1">
      <alignment horizontal="center"/>
    </xf>
    <xf numFmtId="181" fontId="0" fillId="0" borderId="0" xfId="0" applyNumberFormat="1" applyFont="1" applyFill="1" applyAlignment="1">
      <alignment horizontal="center"/>
    </xf>
    <xf numFmtId="178" fontId="0" fillId="0" borderId="0" xfId="0" applyNumberFormat="1" applyFont="1" applyFill="1" applyAlignment="1">
      <alignment horizontal="center"/>
    </xf>
    <xf numFmtId="0" fontId="0" fillId="0" borderId="0" xfId="0" applyFont="1" applyFill="1" applyBorder="1" applyAlignment="1">
      <alignment horizontal="center"/>
    </xf>
    <xf numFmtId="0" fontId="0" fillId="0" borderId="0" xfId="0" applyFont="1" applyAlignment="1">
      <alignment horizontal="center"/>
    </xf>
    <xf numFmtId="0" fontId="0" fillId="0" borderId="0" xfId="0" applyFont="1"/>
    <xf numFmtId="0" fontId="12" fillId="0" borderId="3" xfId="43" applyFont="1" applyAlignment="1">
      <alignment horizontal="center" wrapText="1"/>
    </xf>
    <xf numFmtId="0" fontId="12" fillId="7" borderId="3" xfId="43" applyFont="1" applyFill="1" applyAlignment="1">
      <alignment horizontal="center" wrapText="1"/>
    </xf>
    <xf numFmtId="180" fontId="0" fillId="0" borderId="0" xfId="0" applyNumberFormat="1" applyFont="1" applyFill="1" applyAlignment="1">
      <alignment horizontal="center"/>
    </xf>
    <xf numFmtId="0" fontId="0" fillId="0" borderId="0" xfId="0" applyFont="1" applyFill="1" applyAlignment="1"/>
    <xf numFmtId="0" fontId="10" fillId="0" borderId="0" xfId="291" applyFont="1" applyFill="1" applyAlignment="1">
      <alignment horizontal="center"/>
    </xf>
    <xf numFmtId="180" fontId="10" fillId="0" borderId="0" xfId="291" applyNumberFormat="1" applyFont="1" applyFill="1" applyAlignment="1">
      <alignment horizontal="center"/>
    </xf>
    <xf numFmtId="181" fontId="0" fillId="0" borderId="0" xfId="0" applyNumberFormat="1" applyFill="1" applyAlignment="1">
      <alignment horizontal="center"/>
    </xf>
    <xf numFmtId="178" fontId="8" fillId="7" borderId="3" xfId="43" applyNumberFormat="1" applyFill="1" applyAlignment="1">
      <alignment horizontal="center" wrapText="1"/>
    </xf>
    <xf numFmtId="178" fontId="8" fillId="2" borderId="3" xfId="43" applyNumberFormat="1" applyFill="1" applyAlignment="1">
      <alignment horizontal="center" wrapText="1"/>
    </xf>
    <xf numFmtId="178" fontId="0" fillId="0" borderId="0" xfId="0" applyNumberFormat="1" applyAlignment="1">
      <alignment horizontal="center"/>
    </xf>
    <xf numFmtId="181" fontId="0" fillId="0" borderId="0" xfId="0" applyNumberFormat="1" applyFont="1" applyFill="1"/>
    <xf numFmtId="178" fontId="12" fillId="7" borderId="3" xfId="43" applyNumberFormat="1" applyFont="1" applyFill="1" applyAlignment="1">
      <alignment horizontal="center" wrapText="1"/>
    </xf>
    <xf numFmtId="181" fontId="0" fillId="0" borderId="0" xfId="0" applyNumberFormat="1" applyFont="1" applyFill="1" applyAlignment="1">
      <alignment horizontal="right"/>
    </xf>
    <xf numFmtId="180" fontId="0" fillId="0" borderId="0" xfId="0" applyNumberFormat="1" applyFont="1" applyFill="1" applyAlignment="1"/>
    <xf numFmtId="181" fontId="0" fillId="0" borderId="0" xfId="0" applyNumberFormat="1" applyFill="1" applyAlignment="1">
      <alignment horizontal="right"/>
    </xf>
    <xf numFmtId="181" fontId="0" fillId="0" borderId="0" xfId="0" applyNumberFormat="1" applyFill="1"/>
    <xf numFmtId="0" fontId="3" fillId="0" borderId="0" xfId="0" applyFont="1" applyAlignment="1">
      <alignment horizontal="left"/>
    </xf>
    <xf numFmtId="0" fontId="9" fillId="8" borderId="0" xfId="291" applyAlignment="1">
      <alignment horizontal="center"/>
    </xf>
    <xf numFmtId="0" fontId="0" fillId="8" borderId="0" xfId="291" applyFont="1" applyAlignment="1">
      <alignment horizontal="left"/>
    </xf>
    <xf numFmtId="180" fontId="9" fillId="8" borderId="0" xfId="291" applyNumberFormat="1" applyAlignment="1">
      <alignment horizontal="center"/>
    </xf>
    <xf numFmtId="181" fontId="0" fillId="0" borderId="0" xfId="0" applyNumberFormat="1" applyAlignment="1">
      <alignment horizontal="center"/>
    </xf>
    <xf numFmtId="180" fontId="9" fillId="0" borderId="0" xfId="291" applyNumberFormat="1" applyFill="1" applyAlignment="1">
      <alignment horizontal="center"/>
    </xf>
    <xf numFmtId="10" fontId="0" fillId="0" borderId="0" xfId="0" applyNumberFormat="1" applyAlignment="1">
      <alignment horizontal="center"/>
    </xf>
    <xf numFmtId="0" fontId="0" fillId="0" borderId="0" xfId="275" applyFont="1" applyFill="1" applyAlignment="1">
      <alignment horizontal="center"/>
    </xf>
    <xf numFmtId="0" fontId="10" fillId="0" borderId="0" xfId="275" applyFont="1" applyFill="1" applyAlignment="1">
      <alignment horizontal="center"/>
    </xf>
    <xf numFmtId="0" fontId="0" fillId="0" borderId="0" xfId="0" applyFill="1" applyAlignment="1">
      <alignment horizontal="center" wrapText="1"/>
    </xf>
    <xf numFmtId="178" fontId="9" fillId="0" borderId="0" xfId="291" applyNumberFormat="1" applyFill="1" applyAlignment="1">
      <alignment horizontal="center"/>
    </xf>
    <xf numFmtId="178" fontId="0" fillId="0" borderId="0" xfId="0" applyNumberFormat="1" applyFill="1" applyAlignment="1">
      <alignment horizontal="center"/>
    </xf>
    <xf numFmtId="0" fontId="5" fillId="0" borderId="0" xfId="275" applyFont="1" applyFill="1" applyAlignment="1">
      <alignment horizontal="center"/>
    </xf>
    <xf numFmtId="178" fontId="0" fillId="0" borderId="0" xfId="293" applyNumberFormat="1" applyFont="1" applyFill="1" applyAlignment="1">
      <alignment horizontal="center"/>
    </xf>
    <xf numFmtId="180" fontId="0" fillId="0" borderId="0" xfId="275" applyNumberFormat="1" applyFont="1" applyFill="1" applyAlignment="1">
      <alignment horizontal="center"/>
    </xf>
    <xf numFmtId="179" fontId="0" fillId="0" borderId="0" xfId="0" applyNumberFormat="1" applyAlignment="1">
      <alignment horizontal="center"/>
    </xf>
    <xf numFmtId="178" fontId="0" fillId="0" borderId="0" xfId="0" applyNumberFormat="1"/>
    <xf numFmtId="178" fontId="0" fillId="0" borderId="0" xfId="0" applyNumberFormat="1" applyFill="1"/>
    <xf numFmtId="0" fontId="0" fillId="0" borderId="0" xfId="46" applyFont="1" applyFill="1" applyAlignment="1">
      <alignment horizontal="center"/>
    </xf>
    <xf numFmtId="0" fontId="0" fillId="0" borderId="0" xfId="46" applyFont="1" applyFill="1" applyAlignment="1">
      <alignment horizontal="left"/>
    </xf>
    <xf numFmtId="0" fontId="3" fillId="0" borderId="0" xfId="0" applyFont="1" applyAlignment="1">
      <alignment horizontal="center"/>
    </xf>
    <xf numFmtId="0" fontId="8" fillId="0" borderId="3" xfId="43" applyBorder="1" applyAlignment="1">
      <alignment horizontal="center"/>
    </xf>
    <xf numFmtId="0" fontId="8" fillId="0" borderId="3" xfId="43" applyBorder="1" applyAlignment="1">
      <alignment horizontal="left"/>
    </xf>
    <xf numFmtId="0" fontId="0" fillId="0" borderId="0" xfId="0" applyBorder="1"/>
    <xf numFmtId="0" fontId="5" fillId="9" borderId="0" xfId="293" applyFont="1" applyFill="1" applyBorder="1" applyAlignment="1">
      <alignment horizontal="center"/>
    </xf>
    <xf numFmtId="0" fontId="5" fillId="9" borderId="0" xfId="293" applyFont="1" applyFill="1" applyBorder="1" applyAlignment="1">
      <alignment horizontal="left"/>
    </xf>
    <xf numFmtId="0" fontId="0" fillId="9" borderId="0" xfId="293" applyFont="1" applyFill="1"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5" fillId="0" borderId="0" xfId="0" applyFont="1" applyFill="1" applyAlignment="1">
      <alignment horizontal="center"/>
    </xf>
    <xf numFmtId="0" fontId="8" fillId="0" borderId="3" xfId="43" applyBorder="1" applyAlignment="1">
      <alignment horizontal="center" wrapText="1"/>
    </xf>
    <xf numFmtId="0" fontId="5" fillId="0" borderId="0" xfId="0" applyFont="1" applyBorder="1" applyAlignment="1">
      <alignment horizontal="center"/>
    </xf>
    <xf numFmtId="178" fontId="0" fillId="0" borderId="0" xfId="0" applyNumberFormat="1" applyBorder="1" applyAlignment="1">
      <alignment horizontal="center"/>
    </xf>
    <xf numFmtId="182" fontId="8" fillId="7" borderId="3" xfId="43" applyNumberFormat="1" applyFill="1" applyAlignment="1">
      <alignment horizontal="center" wrapText="1"/>
    </xf>
    <xf numFmtId="182" fontId="0" fillId="0" borderId="0" xfId="0" applyNumberFormat="1" applyAlignment="1">
      <alignment horizontal="center"/>
    </xf>
    <xf numFmtId="182" fontId="0" fillId="0" borderId="0" xfId="0" applyNumberFormat="1" applyFill="1" applyAlignment="1">
      <alignment horizontal="center"/>
    </xf>
    <xf numFmtId="181" fontId="0" fillId="0" borderId="0" xfId="46" applyNumberFormat="1" applyFont="1" applyFill="1" applyAlignment="1">
      <alignment horizontal="center"/>
    </xf>
    <xf numFmtId="182" fontId="8" fillId="7" borderId="3" xfId="43" applyNumberFormat="1" applyFill="1" applyBorder="1" applyAlignment="1">
      <alignment horizontal="center" wrapText="1"/>
    </xf>
    <xf numFmtId="0" fontId="8" fillId="7" borderId="3" xfId="43" applyFill="1" applyBorder="1" applyAlignment="1">
      <alignment horizontal="center" wrapText="1"/>
    </xf>
    <xf numFmtId="178" fontId="8" fillId="7" borderId="3" xfId="43" applyNumberFormat="1" applyFill="1" applyBorder="1" applyAlignment="1">
      <alignment horizontal="center" wrapText="1"/>
    </xf>
    <xf numFmtId="180" fontId="5" fillId="0" borderId="0" xfId="0" applyNumberFormat="1" applyFont="1" applyBorder="1" applyAlignment="1">
      <alignment horizontal="center"/>
    </xf>
    <xf numFmtId="182" fontId="0" fillId="9" borderId="0" xfId="293" applyNumberFormat="1" applyFont="1" applyFill="1" applyBorder="1" applyAlignment="1">
      <alignment horizontal="center"/>
    </xf>
    <xf numFmtId="182" fontId="0" fillId="0" borderId="0" xfId="0" applyNumberFormat="1" applyBorder="1" applyAlignment="1">
      <alignment horizontal="center"/>
    </xf>
    <xf numFmtId="0" fontId="14" fillId="0" borderId="0" xfId="492">
      <alignment vertical="center"/>
    </xf>
    <xf numFmtId="0" fontId="15" fillId="0" borderId="0" xfId="492" applyFont="1">
      <alignment vertical="center"/>
    </xf>
    <xf numFmtId="0" fontId="17" fillId="0" borderId="0" xfId="492" applyFont="1" applyAlignment="1">
      <alignment vertical="center" wrapText="1"/>
    </xf>
    <xf numFmtId="0" fontId="15" fillId="4" borderId="7" xfId="492" applyFont="1" applyFill="1" applyBorder="1" applyAlignment="1">
      <alignment horizontal="center" vertical="center"/>
    </xf>
    <xf numFmtId="0" fontId="15" fillId="4" borderId="9" xfId="492" applyFont="1" applyFill="1" applyBorder="1" applyAlignment="1">
      <alignment horizontal="center" vertical="center"/>
    </xf>
    <xf numFmtId="0" fontId="18" fillId="4" borderId="9" xfId="492" applyFont="1" applyFill="1" applyBorder="1" applyAlignment="1">
      <alignment horizontal="center" vertical="center"/>
    </xf>
    <xf numFmtId="0" fontId="15" fillId="0" borderId="8" xfId="492" applyFont="1" applyFill="1" applyBorder="1" applyAlignment="1">
      <alignment vertical="center" wrapText="1"/>
    </xf>
    <xf numFmtId="0" fontId="0" fillId="0" borderId="9" xfId="0" applyBorder="1" applyAlignment="1">
      <alignment horizontal="justify" vertical="center" wrapText="1"/>
    </xf>
    <xf numFmtId="0" fontId="15" fillId="0" borderId="9" xfId="492" applyFont="1" applyBorder="1" applyAlignment="1">
      <alignment vertical="center" wrapText="1"/>
    </xf>
    <xf numFmtId="0" fontId="15" fillId="0" borderId="9" xfId="492" applyFont="1" applyBorder="1" applyAlignment="1">
      <alignment horizontal="center" vertical="center" wrapText="1"/>
    </xf>
    <xf numFmtId="0" fontId="15" fillId="0" borderId="9" xfId="492" applyFont="1" applyFill="1" applyBorder="1" applyAlignment="1">
      <alignment vertical="center" wrapText="1"/>
    </xf>
    <xf numFmtId="0" fontId="15" fillId="0" borderId="9" xfId="492" applyFont="1" applyBorder="1">
      <alignment vertical="center"/>
    </xf>
    <xf numFmtId="0" fontId="14" fillId="0" borderId="9" xfId="492" applyBorder="1">
      <alignment vertical="center"/>
    </xf>
    <xf numFmtId="0" fontId="15" fillId="0" borderId="8" xfId="0" applyFont="1" applyFill="1" applyBorder="1" applyAlignment="1">
      <alignment wrapText="1"/>
    </xf>
    <xf numFmtId="0" fontId="15" fillId="0" borderId="9" xfId="0" applyFont="1" applyFill="1" applyBorder="1" applyAlignment="1">
      <alignment wrapText="1"/>
    </xf>
    <xf numFmtId="0" fontId="16" fillId="0" borderId="8" xfId="0" applyFont="1" applyFill="1" applyBorder="1" applyAlignment="1">
      <alignment horizontal="left" wrapText="1"/>
    </xf>
    <xf numFmtId="0" fontId="14" fillId="0" borderId="0" xfId="492" applyFill="1">
      <alignment vertical="center"/>
    </xf>
    <xf numFmtId="0" fontId="16" fillId="0" borderId="8" xfId="0" applyFont="1" applyFill="1" applyBorder="1" applyAlignment="1">
      <alignment horizontal="center" wrapText="1"/>
    </xf>
    <xf numFmtId="0" fontId="15" fillId="0" borderId="9" xfId="0" applyFont="1" applyFill="1" applyBorder="1" applyAlignment="1">
      <alignment horizontal="center" wrapText="1"/>
    </xf>
    <xf numFmtId="0" fontId="15" fillId="0" borderId="8" xfId="0" applyFont="1" applyFill="1" applyBorder="1" applyAlignment="1">
      <alignment vertical="top" wrapText="1"/>
    </xf>
    <xf numFmtId="0" fontId="15" fillId="0" borderId="9" xfId="0" applyFont="1" applyFill="1" applyBorder="1" applyAlignment="1">
      <alignment vertical="top" wrapText="1"/>
    </xf>
    <xf numFmtId="0" fontId="15" fillId="0" borderId="9" xfId="0" applyFont="1" applyFill="1" applyBorder="1" applyAlignment="1">
      <alignment horizontal="center" vertical="top" wrapText="1"/>
    </xf>
    <xf numFmtId="0" fontId="20" fillId="0" borderId="9" xfId="0" applyFont="1" applyFill="1" applyBorder="1" applyAlignment="1">
      <alignment horizontal="center" wrapText="1"/>
    </xf>
    <xf numFmtId="0" fontId="21" fillId="0" borderId="9" xfId="0" applyFont="1" applyFill="1" applyBorder="1" applyAlignment="1">
      <alignment wrapText="1"/>
    </xf>
    <xf numFmtId="0" fontId="22" fillId="0" borderId="9" xfId="0" applyFont="1" applyFill="1" applyBorder="1" applyAlignment="1">
      <alignment horizontal="center" wrapText="1"/>
    </xf>
    <xf numFmtId="0" fontId="15" fillId="4" borderId="9" xfId="492" applyFont="1" applyFill="1" applyBorder="1">
      <alignment vertical="center"/>
    </xf>
    <xf numFmtId="0" fontId="15" fillId="5" borderId="9" xfId="492" applyFont="1" applyFill="1" applyBorder="1" applyAlignment="1">
      <alignment horizontal="center" vertical="center"/>
    </xf>
    <xf numFmtId="0" fontId="15" fillId="0" borderId="9" xfId="492" applyFont="1" applyFill="1" applyBorder="1" applyAlignment="1">
      <alignment vertical="center"/>
    </xf>
    <xf numFmtId="0" fontId="0" fillId="0" borderId="9" xfId="0" applyFont="1" applyBorder="1" applyAlignment="1">
      <alignment horizontal="justify" vertical="center" wrapText="1"/>
    </xf>
    <xf numFmtId="0" fontId="0" fillId="0" borderId="7" xfId="219" applyFont="1" applyFill="1" applyBorder="1" applyAlignment="1">
      <alignment horizontal="justify" vertical="center" wrapText="1"/>
    </xf>
    <xf numFmtId="0" fontId="16" fillId="4" borderId="14" xfId="492" applyFont="1" applyFill="1" applyBorder="1" applyAlignment="1">
      <alignment vertical="center" wrapText="1"/>
    </xf>
    <xf numFmtId="0" fontId="16" fillId="4" borderId="15" xfId="492" applyFont="1" applyFill="1" applyBorder="1" applyAlignment="1">
      <alignment vertical="center" wrapText="1"/>
    </xf>
    <xf numFmtId="0" fontId="16" fillId="4" borderId="14" xfId="492" applyFont="1" applyFill="1" applyBorder="1" applyAlignment="1">
      <alignment horizontal="center" vertical="center" wrapText="1"/>
    </xf>
    <xf numFmtId="0" fontId="15" fillId="0" borderId="8" xfId="492" applyFont="1" applyBorder="1" applyAlignment="1">
      <alignment vertical="center" wrapText="1"/>
    </xf>
    <xf numFmtId="0" fontId="18" fillId="0" borderId="9" xfId="492" applyFont="1" applyBorder="1" applyAlignment="1">
      <alignment vertical="center" wrapText="1"/>
    </xf>
    <xf numFmtId="0" fontId="18" fillId="0" borderId="9" xfId="492" applyFont="1" applyFill="1" applyBorder="1" applyAlignment="1">
      <alignment vertical="center" wrapText="1"/>
    </xf>
    <xf numFmtId="0" fontId="15" fillId="0" borderId="9" xfId="492" applyFont="1" applyFill="1" applyBorder="1">
      <alignment vertical="center"/>
    </xf>
    <xf numFmtId="0" fontId="23" fillId="0" borderId="9" xfId="86" applyFont="1" applyBorder="1" applyAlignment="1">
      <alignment vertical="center" wrapText="1"/>
    </xf>
    <xf numFmtId="0" fontId="24" fillId="0" borderId="9" xfId="492" applyFont="1" applyFill="1" applyBorder="1" applyAlignment="1">
      <alignment vertical="center" wrapText="1"/>
    </xf>
    <xf numFmtId="0" fontId="23" fillId="0" borderId="9" xfId="86" applyFont="1" applyFill="1" applyBorder="1" applyAlignment="1">
      <alignment vertical="center" wrapText="1"/>
    </xf>
    <xf numFmtId="0" fontId="23" fillId="0" borderId="9" xfId="86" applyFont="1" applyFill="1" applyBorder="1" applyAlignment="1">
      <alignment vertical="center"/>
    </xf>
    <xf numFmtId="0" fontId="15" fillId="0" borderId="0" xfId="492" applyFont="1" applyAlignment="1">
      <alignment horizontal="center" vertical="center"/>
    </xf>
    <xf numFmtId="0" fontId="16" fillId="4" borderId="15" xfId="492" applyFont="1" applyFill="1" applyBorder="1" applyAlignment="1">
      <alignment horizontal="center" vertical="center" wrapText="1"/>
    </xf>
    <xf numFmtId="0" fontId="15" fillId="0" borderId="9" xfId="492" applyFont="1" applyFill="1" applyBorder="1" applyAlignment="1">
      <alignment horizontal="center" vertical="center" wrapText="1"/>
    </xf>
    <xf numFmtId="0" fontId="18" fillId="0" borderId="9" xfId="492" applyFont="1" applyFill="1" applyBorder="1" applyAlignment="1">
      <alignment horizontal="center" vertical="center" wrapText="1"/>
    </xf>
    <xf numFmtId="0" fontId="15" fillId="0" borderId="9" xfId="492" applyFont="1" applyFill="1" applyBorder="1" applyAlignment="1">
      <alignment horizontal="center" vertical="center"/>
    </xf>
    <xf numFmtId="0" fontId="23" fillId="0" borderId="9" xfId="86" applyFont="1" applyBorder="1" applyAlignment="1">
      <alignment horizontal="left" vertical="center" wrapText="1"/>
    </xf>
    <xf numFmtId="0" fontId="15" fillId="9" borderId="9" xfId="492" applyFont="1" applyFill="1" applyBorder="1" applyAlignment="1">
      <alignment horizontal="center" vertical="center"/>
    </xf>
    <xf numFmtId="0" fontId="15" fillId="0" borderId="0" xfId="492" applyFont="1" applyFill="1">
      <alignment vertical="center"/>
    </xf>
    <xf numFmtId="0" fontId="14" fillId="0" borderId="0" xfId="492" applyAlignment="1">
      <alignment horizontal="center" vertical="center"/>
    </xf>
    <xf numFmtId="0" fontId="16" fillId="10" borderId="9" xfId="0" applyFont="1" applyFill="1" applyBorder="1" applyAlignment="1">
      <alignment horizontal="center" wrapText="1"/>
    </xf>
    <xf numFmtId="0" fontId="15" fillId="0" borderId="9" xfId="492" applyFont="1" applyBorder="1" applyAlignment="1">
      <alignment vertical="center"/>
    </xf>
    <xf numFmtId="0" fontId="15" fillId="0" borderId="9" xfId="492" applyFont="1" applyBorder="1" applyAlignment="1">
      <alignment horizontal="left" vertical="center" wrapText="1"/>
    </xf>
    <xf numFmtId="0" fontId="18" fillId="0" borderId="9" xfId="0" applyFont="1" applyBorder="1" applyAlignment="1">
      <alignment horizontal="left" vertical="center" wrapText="1"/>
    </xf>
    <xf numFmtId="0" fontId="15" fillId="0" borderId="9" xfId="0" applyFont="1" applyBorder="1" applyAlignment="1">
      <alignment horizontal="left" vertical="center" wrapText="1"/>
    </xf>
    <xf numFmtId="0" fontId="15" fillId="0" borderId="9" xfId="0" applyFont="1" applyFill="1" applyBorder="1" applyAlignment="1">
      <alignment horizontal="left" vertical="center" wrapText="1"/>
    </xf>
    <xf numFmtId="0" fontId="15" fillId="0" borderId="9" xfId="492" applyFont="1" applyFill="1" applyBorder="1" applyAlignment="1">
      <alignment horizontal="left" vertical="center" wrapText="1"/>
    </xf>
    <xf numFmtId="0" fontId="15" fillId="0" borderId="9" xfId="0" applyFont="1" applyFill="1" applyBorder="1" applyAlignment="1">
      <alignment horizontal="left" wrapText="1"/>
    </xf>
    <xf numFmtId="0" fontId="15" fillId="10" borderId="9" xfId="0" applyFont="1" applyFill="1" applyBorder="1" applyAlignment="1">
      <alignment horizontal="center" wrapText="1"/>
    </xf>
    <xf numFmtId="0" fontId="15" fillId="0" borderId="9" xfId="492" applyFont="1" applyFill="1" applyBorder="1" applyAlignment="1">
      <alignment horizontal="left" vertical="center"/>
    </xf>
    <xf numFmtId="0" fontId="15" fillId="0" borderId="9" xfId="492" applyFont="1" applyBorder="1" applyAlignment="1">
      <alignment horizontal="left" vertical="center"/>
    </xf>
    <xf numFmtId="0" fontId="15" fillId="0" borderId="9" xfId="0" applyFont="1" applyBorder="1" applyAlignment="1">
      <alignment vertical="center" wrapText="1"/>
    </xf>
    <xf numFmtId="0" fontId="15" fillId="0" borderId="9" xfId="0" applyFont="1" applyBorder="1" applyAlignment="1">
      <alignment horizontal="left" wrapText="1"/>
    </xf>
    <xf numFmtId="0" fontId="25" fillId="0" borderId="0" xfId="492" applyFont="1">
      <alignment vertical="center"/>
    </xf>
    <xf numFmtId="0" fontId="15" fillId="0" borderId="0" xfId="492" applyFont="1" applyAlignment="1">
      <alignment horizontal="left" vertical="center" wrapText="1"/>
    </xf>
    <xf numFmtId="0" fontId="16" fillId="4" borderId="14" xfId="492" applyFont="1" applyFill="1" applyBorder="1" applyAlignment="1">
      <alignment horizontal="left" vertical="center" wrapText="1"/>
    </xf>
    <xf numFmtId="0" fontId="16" fillId="4" borderId="15" xfId="492" applyFont="1" applyFill="1" applyBorder="1" applyAlignment="1">
      <alignment horizontal="left" vertical="center" wrapText="1"/>
    </xf>
    <xf numFmtId="0" fontId="18" fillId="0" borderId="9" xfId="0" applyFont="1" applyFill="1" applyBorder="1" applyAlignment="1">
      <alignment wrapText="1"/>
    </xf>
    <xf numFmtId="0" fontId="15" fillId="0" borderId="13" xfId="492" applyFont="1" applyBorder="1" applyAlignment="1">
      <alignment horizontal="left" vertical="center" wrapText="1"/>
    </xf>
    <xf numFmtId="0" fontId="15" fillId="0" borderId="13" xfId="492" applyFont="1" applyBorder="1">
      <alignment vertical="center"/>
    </xf>
    <xf numFmtId="0" fontId="16" fillId="5" borderId="9" xfId="492" applyFont="1" applyFill="1" applyBorder="1" applyAlignment="1">
      <alignment horizontal="center" vertical="center"/>
    </xf>
    <xf numFmtId="0" fontId="15" fillId="9" borderId="9" xfId="492" applyFont="1" applyFill="1" applyBorder="1">
      <alignment vertical="center"/>
    </xf>
    <xf numFmtId="0" fontId="15" fillId="9" borderId="9" xfId="492" applyFont="1" applyFill="1" applyBorder="1" applyAlignment="1">
      <alignment vertical="center" wrapText="1"/>
    </xf>
    <xf numFmtId="0" fontId="0" fillId="0" borderId="9" xfId="492" applyFont="1" applyFill="1" applyBorder="1" applyAlignment="1">
      <alignment vertical="center" wrapText="1"/>
    </xf>
    <xf numFmtId="0" fontId="15" fillId="9" borderId="9" xfId="492" applyFont="1" applyFill="1" applyBorder="1" applyAlignment="1">
      <alignment horizontal="left" vertical="center"/>
    </xf>
    <xf numFmtId="0" fontId="15" fillId="9" borderId="9" xfId="0" applyFont="1" applyFill="1" applyBorder="1" applyAlignment="1">
      <alignment horizontal="left" wrapText="1"/>
    </xf>
    <xf numFmtId="0" fontId="15" fillId="9" borderId="9" xfId="492" applyFont="1" applyFill="1" applyBorder="1" applyAlignment="1">
      <alignment horizontal="left" wrapText="1"/>
    </xf>
    <xf numFmtId="0" fontId="15" fillId="9" borderId="9" xfId="0" applyFont="1" applyFill="1" applyBorder="1" applyAlignment="1">
      <alignment horizontal="center" wrapText="1"/>
    </xf>
    <xf numFmtId="0" fontId="15" fillId="0" borderId="9" xfId="492" applyFont="1" applyFill="1" applyBorder="1" applyAlignment="1">
      <alignment horizontal="center"/>
    </xf>
    <xf numFmtId="0" fontId="15" fillId="9" borderId="9" xfId="492" applyFont="1" applyFill="1" applyBorder="1" applyAlignment="1">
      <alignment horizontal="left" vertical="center" wrapText="1"/>
    </xf>
    <xf numFmtId="0" fontId="15" fillId="0" borderId="0" xfId="492" applyFont="1" applyAlignment="1">
      <alignment horizontal="left" vertical="center"/>
    </xf>
    <xf numFmtId="0" fontId="19" fillId="0" borderId="9" xfId="0" applyFont="1" applyFill="1" applyBorder="1" applyAlignment="1">
      <alignment horizontal="left" wrapText="1"/>
    </xf>
    <xf numFmtId="0" fontId="0" fillId="0" borderId="0" xfId="492" applyFont="1">
      <alignment vertical="center"/>
    </xf>
    <xf numFmtId="0" fontId="15" fillId="0" borderId="9" xfId="0" applyFont="1" applyFill="1" applyBorder="1" applyAlignment="1">
      <alignment horizontal="center" vertical="center" wrapText="1"/>
    </xf>
    <xf numFmtId="0" fontId="15" fillId="9" borderId="9" xfId="0" applyFont="1" applyFill="1" applyBorder="1" applyAlignment="1">
      <alignment horizontal="left" vertical="center" wrapText="1"/>
    </xf>
    <xf numFmtId="0" fontId="15" fillId="0" borderId="9" xfId="0" applyFont="1" applyBorder="1" applyAlignment="1">
      <alignment horizontal="center" wrapText="1"/>
    </xf>
    <xf numFmtId="0" fontId="15" fillId="0" borderId="9" xfId="492" applyFont="1" applyFill="1" applyBorder="1" applyAlignment="1">
      <alignment horizontal="center" wrapText="1"/>
    </xf>
    <xf numFmtId="0" fontId="0" fillId="0" borderId="0" xfId="0" applyAlignment="1">
      <alignment wrapText="1"/>
    </xf>
    <xf numFmtId="14" fontId="0" fillId="0" borderId="0" xfId="0" applyNumberFormat="1"/>
    <xf numFmtId="14" fontId="0" fillId="0" borderId="0" xfId="0" applyNumberFormat="1" applyFont="1"/>
    <xf numFmtId="0" fontId="0" fillId="0" borderId="0" xfId="0" applyFont="1" applyAlignment="1">
      <alignment horizontal="left"/>
    </xf>
    <xf numFmtId="14" fontId="0" fillId="0" borderId="0" xfId="0" applyNumberFormat="1" applyAlignment="1">
      <alignment horizontal="left"/>
    </xf>
    <xf numFmtId="0" fontId="15" fillId="0" borderId="9" xfId="492" quotePrefix="1" applyFont="1" applyBorder="1">
      <alignment vertical="center"/>
    </xf>
    <xf numFmtId="14" fontId="6" fillId="0" borderId="0" xfId="0" applyNumberFormat="1" applyFont="1"/>
    <xf numFmtId="0" fontId="6" fillId="0" borderId="0" xfId="0" applyFont="1"/>
    <xf numFmtId="0" fontId="0" fillId="0" borderId="0" xfId="0" applyAlignment="1">
      <alignment horizontal="left"/>
    </xf>
    <xf numFmtId="0" fontId="6" fillId="0" borderId="0" xfId="0" applyFont="1" applyAlignment="1">
      <alignment wrapText="1"/>
    </xf>
    <xf numFmtId="0" fontId="0" fillId="0" borderId="0" xfId="0" applyAlignment="1">
      <alignment horizontal="left"/>
    </xf>
    <xf numFmtId="0" fontId="0" fillId="37" borderId="0" xfId="0" applyFont="1" applyFill="1" applyBorder="1" applyAlignment="1">
      <alignment vertical="center" wrapText="1"/>
    </xf>
    <xf numFmtId="0" fontId="0" fillId="0" borderId="0" xfId="0" applyAlignment="1">
      <alignment horizontal="left"/>
    </xf>
    <xf numFmtId="0" fontId="6" fillId="0" borderId="0" xfId="0" applyFont="1" applyFill="1" applyBorder="1" applyAlignment="1">
      <alignment vertical="center" wrapText="1"/>
    </xf>
    <xf numFmtId="0" fontId="0" fillId="0" borderId="0" xfId="0" applyAlignment="1">
      <alignment horizontal="left"/>
    </xf>
    <xf numFmtId="0" fontId="3" fillId="9" borderId="0" xfId="293" applyFont="1" applyFill="1" applyBorder="1" applyAlignment="1">
      <alignment horizontal="center"/>
    </xf>
    <xf numFmtId="0" fontId="6" fillId="0" borderId="0" xfId="0" applyFont="1" applyAlignment="1">
      <alignment horizontal="left"/>
    </xf>
    <xf numFmtId="0" fontId="0" fillId="0" borderId="0" xfId="0" applyFont="1" applyFill="1" applyAlignment="1">
      <alignment horizontal="right"/>
    </xf>
    <xf numFmtId="180" fontId="5" fillId="0" borderId="0" xfId="291" applyNumberFormat="1" applyFont="1" applyFill="1" applyAlignment="1">
      <alignment horizontal="center"/>
    </xf>
    <xf numFmtId="0" fontId="6" fillId="0" borderId="9" xfId="0" applyFont="1" applyBorder="1" applyAlignment="1">
      <alignment horizontal="justify" vertical="center" wrapText="1"/>
    </xf>
    <xf numFmtId="0" fontId="6" fillId="0" borderId="0" xfId="0" applyFont="1" applyAlignment="1">
      <alignment horizontal="left"/>
    </xf>
    <xf numFmtId="0" fontId="52" fillId="0" borderId="9" xfId="492" applyFont="1" applyBorder="1">
      <alignment vertical="center"/>
    </xf>
    <xf numFmtId="0" fontId="53" fillId="0" borderId="9" xfId="492" applyFont="1" applyBorder="1" applyAlignment="1">
      <alignment horizontal="left" vertical="center" wrapText="1"/>
    </xf>
    <xf numFmtId="0" fontId="15" fillId="5" borderId="8" xfId="492" applyFont="1" applyFill="1" applyBorder="1" applyAlignment="1">
      <alignment horizontal="center" vertical="center"/>
    </xf>
    <xf numFmtId="0" fontId="15" fillId="0" borderId="9" xfId="0" applyFont="1" applyFill="1" applyBorder="1" applyAlignment="1">
      <alignment horizontal="center" wrapText="1"/>
    </xf>
    <xf numFmtId="0" fontId="0" fillId="0" borderId="0" xfId="0" applyAlignment="1">
      <alignment horizontal="left"/>
    </xf>
    <xf numFmtId="0" fontId="0" fillId="2"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6" fillId="0" borderId="0" xfId="0" applyFont="1" applyFill="1" applyAlignment="1">
      <alignment horizontal="center"/>
    </xf>
    <xf numFmtId="0" fontId="56" fillId="0" borderId="0" xfId="0" applyFont="1" applyFill="1" applyAlignment="1">
      <alignment horizontal="center"/>
    </xf>
    <xf numFmtId="0" fontId="57" fillId="4" borderId="9" xfId="492" applyFont="1" applyFill="1" applyBorder="1" applyAlignment="1">
      <alignment horizontal="center" vertical="center"/>
    </xf>
    <xf numFmtId="0" fontId="58" fillId="4" borderId="14" xfId="492" applyFont="1" applyFill="1" applyBorder="1" applyAlignment="1">
      <alignment horizontal="center" vertical="center" wrapText="1"/>
    </xf>
    <xf numFmtId="0" fontId="56" fillId="0" borderId="0" xfId="0" applyFont="1"/>
    <xf numFmtId="0" fontId="56" fillId="0" borderId="0" xfId="0" applyFont="1" applyAlignment="1">
      <alignment horizontal="center"/>
    </xf>
    <xf numFmtId="0" fontId="0" fillId="0" borderId="0" xfId="43" applyFont="1" applyBorder="1" applyAlignment="1">
      <alignment horizontal="center"/>
    </xf>
    <xf numFmtId="0" fontId="0" fillId="0" borderId="0" xfId="43" applyFont="1" applyBorder="1" applyAlignment="1">
      <alignment horizontal="center" wrapText="1"/>
    </xf>
    <xf numFmtId="0" fontId="6" fillId="0" borderId="0" xfId="0" applyFont="1" applyAlignment="1">
      <alignment horizontal="center"/>
    </xf>
    <xf numFmtId="183" fontId="0" fillId="4" borderId="0" xfId="0" applyNumberFormat="1" applyFont="1" applyFill="1" applyBorder="1" applyAlignment="1">
      <alignment vertical="center" wrapText="1"/>
    </xf>
    <xf numFmtId="0" fontId="56" fillId="0" borderId="0" xfId="0" applyFont="1" applyFill="1" applyAlignment="1">
      <alignment horizontal="center" vertical="center"/>
    </xf>
    <xf numFmtId="0" fontId="6" fillId="0" borderId="0" xfId="0" applyFont="1" applyFill="1"/>
    <xf numFmtId="0" fontId="6" fillId="0" borderId="0" xfId="0" applyFont="1" applyFill="1" applyAlignment="1">
      <alignment horizontal="center" vertical="center"/>
    </xf>
    <xf numFmtId="0" fontId="6" fillId="0" borderId="0" xfId="275" applyFont="1" applyFill="1" applyAlignment="1">
      <alignment horizontal="center"/>
    </xf>
    <xf numFmtId="0" fontId="60" fillId="0" borderId="0" xfId="275" applyFont="1" applyFill="1" applyAlignment="1">
      <alignment horizontal="center"/>
    </xf>
    <xf numFmtId="0" fontId="6" fillId="0" borderId="0" xfId="293" applyFont="1" applyFill="1" applyAlignment="1">
      <alignment horizontal="center"/>
    </xf>
    <xf numFmtId="180" fontId="6" fillId="0" borderId="0" xfId="275" applyNumberFormat="1" applyFont="1" applyFill="1" applyAlignment="1">
      <alignment horizontal="center"/>
    </xf>
    <xf numFmtId="178" fontId="6" fillId="0" borderId="0" xfId="0" applyNumberFormat="1" applyFont="1" applyFill="1" applyAlignment="1">
      <alignment horizontal="center"/>
    </xf>
    <xf numFmtId="178" fontId="6" fillId="0" borderId="0" xfId="0" applyNumberFormat="1" applyFont="1" applyAlignment="1">
      <alignment horizontal="center"/>
    </xf>
    <xf numFmtId="179" fontId="6" fillId="0" borderId="0" xfId="0" applyNumberFormat="1" applyFont="1" applyAlignment="1">
      <alignment horizontal="center"/>
    </xf>
    <xf numFmtId="0" fontId="23" fillId="0" borderId="0" xfId="0" applyFont="1" applyAlignment="1">
      <alignment horizontal="center" vertical="center" wrapText="1"/>
    </xf>
    <xf numFmtId="0" fontId="56" fillId="0" borderId="0" xfId="43" applyFont="1" applyBorder="1" applyAlignment="1">
      <alignment horizontal="center"/>
    </xf>
    <xf numFmtId="0" fontId="59" fillId="0" borderId="0" xfId="0" applyFont="1" applyAlignment="1">
      <alignment horizontal="center"/>
    </xf>
    <xf numFmtId="0" fontId="6" fillId="0" borderId="0" xfId="275" applyFont="1" applyFill="1" applyAlignment="1">
      <alignment horizontal="center" wrapText="1"/>
    </xf>
    <xf numFmtId="0" fontId="56" fillId="0" borderId="0" xfId="0" applyFont="1" applyFill="1" applyBorder="1" applyAlignment="1">
      <alignment vertical="center" wrapText="1"/>
    </xf>
    <xf numFmtId="0" fontId="8" fillId="0" borderId="0" xfId="0" applyFont="1" applyAlignment="1">
      <alignment horizontal="left"/>
    </xf>
    <xf numFmtId="0" fontId="0" fillId="0" borderId="0" xfId="274" applyFont="1" applyFill="1" applyAlignment="1">
      <alignment horizontal="left" wrapText="1"/>
    </xf>
    <xf numFmtId="0" fontId="56" fillId="0" borderId="0" xfId="274" applyFont="1" applyFill="1" applyAlignment="1">
      <alignment horizontal="center" wrapText="1"/>
    </xf>
    <xf numFmtId="0" fontId="6" fillId="0" borderId="0" xfId="274" applyFont="1" applyFill="1" applyAlignment="1">
      <alignment horizontal="center"/>
    </xf>
    <xf numFmtId="0" fontId="5" fillId="0" borderId="0" xfId="265" applyFont="1" applyFill="1" applyAlignment="1">
      <alignment horizontal="center"/>
    </xf>
    <xf numFmtId="180" fontId="5" fillId="0" borderId="0" xfId="265" applyNumberFormat="1" applyFont="1" applyFill="1" applyAlignment="1">
      <alignment horizontal="center"/>
    </xf>
    <xf numFmtId="181" fontId="6" fillId="0" borderId="0" xfId="0" applyNumberFormat="1" applyFont="1" applyFill="1" applyAlignment="1">
      <alignment horizontal="right"/>
    </xf>
    <xf numFmtId="0" fontId="56" fillId="0" borderId="0" xfId="0" applyFont="1" applyFill="1" applyBorder="1" applyAlignment="1">
      <alignment horizontal="center"/>
    </xf>
    <xf numFmtId="0" fontId="58" fillId="4" borderId="15" xfId="492" applyFont="1" applyFill="1" applyBorder="1" applyAlignment="1">
      <alignment vertical="center" wrapText="1"/>
    </xf>
    <xf numFmtId="0" fontId="58" fillId="4" borderId="15" xfId="492" applyFont="1" applyFill="1" applyBorder="1" applyAlignment="1">
      <alignment horizontal="left" vertical="center" wrapText="1"/>
    </xf>
    <xf numFmtId="0" fontId="6" fillId="0" borderId="0" xfId="0" applyFont="1" applyAlignment="1">
      <alignment horizontal="center" wrapText="1"/>
    </xf>
    <xf numFmtId="0" fontId="59" fillId="0" borderId="0" xfId="0" applyFont="1"/>
    <xf numFmtId="0" fontId="58" fillId="37" borderId="14" xfId="492" applyFont="1" applyFill="1" applyBorder="1" applyAlignment="1">
      <alignment vertical="center" wrapText="1"/>
    </xf>
    <xf numFmtId="0" fontId="58" fillId="37" borderId="15" xfId="492" applyFont="1" applyFill="1" applyBorder="1" applyAlignment="1">
      <alignment vertical="center" wrapText="1"/>
    </xf>
    <xf numFmtId="0" fontId="15" fillId="0" borderId="9" xfId="492" applyFont="1" applyBorder="1" applyAlignment="1">
      <alignment horizontal="left" wrapText="1"/>
    </xf>
    <xf numFmtId="0" fontId="58" fillId="4" borderId="7" xfId="492" applyFont="1" applyFill="1" applyBorder="1" applyAlignment="1">
      <alignment horizontal="left" vertical="center" wrapText="1"/>
    </xf>
    <xf numFmtId="0" fontId="58" fillId="4" borderId="8" xfId="492" applyFont="1" applyFill="1" applyBorder="1" applyAlignment="1">
      <alignment horizontal="left" vertical="center" wrapText="1"/>
    </xf>
    <xf numFmtId="0" fontId="23" fillId="0" borderId="0" xfId="0" applyFont="1"/>
    <xf numFmtId="9" fontId="15" fillId="0" borderId="9" xfId="492" applyNumberFormat="1" applyFont="1" applyBorder="1" applyAlignment="1">
      <alignment horizontal="left" vertical="center"/>
    </xf>
    <xf numFmtId="0" fontId="18" fillId="0" borderId="9" xfId="492" applyFont="1" applyBorder="1">
      <alignment vertical="center"/>
    </xf>
    <xf numFmtId="0" fontId="0" fillId="0" borderId="9" xfId="0" applyFont="1" applyBorder="1" applyAlignment="1">
      <alignment horizontal="left" vertical="center" wrapText="1"/>
    </xf>
    <xf numFmtId="0" fontId="0" fillId="0" borderId="9" xfId="0" applyBorder="1" applyAlignment="1">
      <alignment horizontal="left" vertical="center" wrapText="1"/>
    </xf>
    <xf numFmtId="0" fontId="15" fillId="5" borderId="7" xfId="492" applyFont="1" applyFill="1" applyBorder="1" applyAlignment="1">
      <alignment horizontal="right" vertical="center"/>
    </xf>
    <xf numFmtId="0" fontId="58" fillId="4" borderId="15" xfId="492" applyFont="1" applyFill="1" applyBorder="1" applyAlignment="1">
      <alignment horizontal="center" vertical="center" wrapText="1"/>
    </xf>
    <xf numFmtId="0" fontId="57" fillId="0" borderId="9" xfId="492" applyFont="1" applyFill="1" applyBorder="1" applyAlignment="1" applyProtection="1">
      <alignment horizontal="left" vertical="center"/>
      <protection locked="0"/>
    </xf>
    <xf numFmtId="0" fontId="55" fillId="4" borderId="9" xfId="492" applyFont="1" applyFill="1" applyBorder="1" applyAlignment="1">
      <alignment horizontal="center" vertical="center"/>
    </xf>
    <xf numFmtId="0" fontId="64" fillId="4" borderId="15" xfId="492" applyFont="1" applyFill="1" applyBorder="1" applyAlignment="1">
      <alignment horizontal="center" vertical="center" wrapText="1"/>
    </xf>
    <xf numFmtId="0" fontId="5" fillId="0" borderId="9" xfId="0" applyFont="1" applyBorder="1" applyAlignment="1">
      <alignment horizontal="justify" vertical="center" wrapText="1"/>
    </xf>
    <xf numFmtId="0" fontId="65" fillId="0" borderId="9" xfId="492" applyFont="1" applyBorder="1" applyAlignment="1">
      <alignment horizontal="left" vertical="center" wrapText="1"/>
    </xf>
    <xf numFmtId="0" fontId="6" fillId="0" borderId="0" xfId="0" applyFont="1" applyAlignment="1">
      <alignment horizontal="left"/>
    </xf>
    <xf numFmtId="0" fontId="0" fillId="2"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57" fillId="0" borderId="9" xfId="492" applyFont="1" applyFill="1" applyBorder="1">
      <alignment vertical="center"/>
    </xf>
    <xf numFmtId="0" fontId="57" fillId="0" borderId="9" xfId="492" applyFont="1" applyFill="1" applyBorder="1" applyAlignment="1">
      <alignment horizontal="left" vertical="center" wrapText="1"/>
    </xf>
    <xf numFmtId="0" fontId="57" fillId="0" borderId="9" xfId="492" applyFont="1" applyFill="1" applyBorder="1" applyAlignment="1">
      <alignment vertical="center" wrapText="1"/>
    </xf>
    <xf numFmtId="0" fontId="66" fillId="0" borderId="0" xfId="492" applyFont="1" applyFill="1" applyAlignment="1"/>
    <xf numFmtId="0" fontId="66" fillId="0" borderId="0" xfId="492" applyFont="1" applyFill="1" applyAlignment="1">
      <alignment horizontal="center"/>
    </xf>
    <xf numFmtId="0" fontId="56" fillId="0" borderId="0" xfId="492" applyFont="1" applyFill="1" applyAlignment="1">
      <alignment horizontal="center"/>
    </xf>
    <xf numFmtId="0" fontId="56" fillId="0" borderId="0" xfId="492" applyFont="1" applyFill="1" applyBorder="1" applyAlignment="1">
      <alignment horizontal="center"/>
    </xf>
    <xf numFmtId="178" fontId="56" fillId="0" borderId="0" xfId="492" applyNumberFormat="1" applyFont="1" applyFill="1" applyAlignment="1">
      <alignment horizontal="center"/>
    </xf>
    <xf numFmtId="0" fontId="56" fillId="0" borderId="0" xfId="275" applyFont="1" applyFill="1" applyAlignment="1">
      <alignment horizontal="center"/>
    </xf>
    <xf numFmtId="178" fontId="56" fillId="0" borderId="0" xfId="0" applyNumberFormat="1" applyFont="1" applyFill="1" applyAlignment="1">
      <alignment horizontal="center"/>
    </xf>
    <xf numFmtId="179" fontId="56" fillId="0" borderId="0" xfId="0" applyNumberFormat="1" applyFont="1" applyFill="1" applyAlignment="1">
      <alignment horizontal="center"/>
    </xf>
    <xf numFmtId="0" fontId="56" fillId="0" borderId="0" xfId="0" applyFont="1" applyFill="1"/>
    <xf numFmtId="181" fontId="56" fillId="0" borderId="0" xfId="492" applyNumberFormat="1" applyFont="1" applyFill="1" applyAlignment="1">
      <alignment horizontal="center"/>
    </xf>
    <xf numFmtId="0" fontId="56" fillId="0" borderId="0" xfId="0" applyFont="1" applyFill="1" applyAlignment="1">
      <alignment horizontal="right"/>
    </xf>
    <xf numFmtId="0" fontId="56" fillId="0" borderId="0" xfId="0" applyFont="1" applyFill="1" applyAlignment="1"/>
    <xf numFmtId="180" fontId="56" fillId="0" borderId="0" xfId="0" applyNumberFormat="1" applyFont="1" applyFill="1" applyAlignment="1"/>
    <xf numFmtId="0" fontId="62" fillId="0" borderId="0" xfId="0" applyFont="1" applyFill="1"/>
    <xf numFmtId="178" fontId="67" fillId="0" borderId="0" xfId="492" applyNumberFormat="1" applyFont="1" applyFill="1" applyAlignment="1">
      <alignment horizontal="center"/>
    </xf>
    <xf numFmtId="0" fontId="67" fillId="0" borderId="0" xfId="492" applyFont="1" applyFill="1" applyAlignment="1">
      <alignment horizontal="center"/>
    </xf>
    <xf numFmtId="179" fontId="67" fillId="0" borderId="0" xfId="492" applyNumberFormat="1" applyFont="1" applyFill="1" applyAlignment="1">
      <alignment horizontal="center"/>
    </xf>
    <xf numFmtId="0" fontId="67" fillId="0" borderId="0" xfId="492" applyFont="1" applyFill="1" applyAlignment="1"/>
    <xf numFmtId="0" fontId="56" fillId="6" borderId="0" xfId="0" applyFont="1" applyFill="1" applyBorder="1" applyAlignment="1">
      <alignment horizontal="center" vertical="center" wrapText="1"/>
    </xf>
    <xf numFmtId="0" fontId="56" fillId="6" borderId="0" xfId="0" applyFont="1" applyFill="1" applyBorder="1" applyAlignment="1">
      <alignment vertical="center" wrapText="1"/>
    </xf>
    <xf numFmtId="0" fontId="56" fillId="4" borderId="0" xfId="0" applyFont="1" applyFill="1" applyBorder="1" applyAlignment="1">
      <alignment vertical="center" wrapText="1"/>
    </xf>
    <xf numFmtId="183" fontId="56" fillId="4" borderId="0" xfId="0" applyNumberFormat="1" applyFont="1" applyFill="1" applyBorder="1" applyAlignment="1">
      <alignment vertical="center" wrapText="1"/>
    </xf>
    <xf numFmtId="0" fontId="57" fillId="0" borderId="9" xfId="0" applyFont="1" applyBorder="1" applyAlignment="1">
      <alignment horizontal="left" vertical="center" wrapText="1"/>
    </xf>
    <xf numFmtId="0" fontId="15" fillId="9" borderId="9" xfId="492" quotePrefix="1" applyFont="1" applyFill="1" applyBorder="1">
      <alignment vertical="center"/>
    </xf>
    <xf numFmtId="0" fontId="58" fillId="37" borderId="9" xfId="492" applyFont="1" applyFill="1" applyBorder="1" applyAlignment="1">
      <alignment horizontal="center" vertical="center"/>
    </xf>
    <xf numFmtId="0" fontId="65" fillId="4" borderId="9" xfId="492" applyFont="1" applyFill="1" applyBorder="1" applyAlignment="1">
      <alignment horizontal="center" vertical="center"/>
    </xf>
    <xf numFmtId="0" fontId="65" fillId="0" borderId="9" xfId="492" applyFont="1" applyBorder="1" applyAlignment="1">
      <alignment vertical="center" wrapText="1"/>
    </xf>
    <xf numFmtId="0" fontId="65" fillId="0" borderId="9" xfId="492" applyFont="1" applyFill="1" applyBorder="1" applyAlignment="1">
      <alignment vertical="center" wrapText="1"/>
    </xf>
    <xf numFmtId="0" fontId="65" fillId="0" borderId="9" xfId="492" applyFont="1" applyFill="1" applyBorder="1">
      <alignment vertical="center"/>
    </xf>
    <xf numFmtId="0" fontId="65" fillId="0" borderId="9" xfId="0" applyFont="1" applyBorder="1" applyAlignment="1">
      <alignment horizontal="justify" vertical="center" wrapText="1"/>
    </xf>
    <xf numFmtId="0" fontId="3" fillId="0" borderId="9" xfId="0" applyFont="1" applyBorder="1" applyAlignment="1">
      <alignment horizontal="justify" vertical="center" wrapText="1"/>
    </xf>
    <xf numFmtId="0" fontId="15" fillId="0" borderId="9" xfId="0" applyFont="1" applyFill="1" applyBorder="1" applyAlignment="1">
      <alignment horizontal="center" wrapText="1"/>
    </xf>
    <xf numFmtId="0" fontId="0" fillId="2"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178" fontId="56" fillId="0" borderId="0" xfId="0" applyNumberFormat="1" applyFont="1" applyAlignment="1">
      <alignment horizontal="center"/>
    </xf>
    <xf numFmtId="0" fontId="56" fillId="0" borderId="0" xfId="0" applyFont="1" applyFill="1" applyBorder="1" applyAlignment="1">
      <alignment horizontal="left"/>
    </xf>
    <xf numFmtId="181" fontId="56" fillId="0" borderId="0" xfId="0" applyNumberFormat="1" applyFont="1" applyFill="1" applyAlignment="1">
      <alignment horizontal="center"/>
    </xf>
    <xf numFmtId="180" fontId="68" fillId="0" borderId="0" xfId="291" applyNumberFormat="1" applyFont="1" applyFill="1" applyAlignment="1">
      <alignment horizontal="center"/>
    </xf>
    <xf numFmtId="0" fontId="6" fillId="4" borderId="0" xfId="0" applyFont="1" applyFill="1" applyBorder="1" applyAlignment="1">
      <alignment vertical="center" wrapText="1"/>
    </xf>
    <xf numFmtId="0" fontId="53" fillId="0" borderId="9" xfId="492" applyFont="1" applyBorder="1" applyAlignment="1">
      <alignment vertical="center" wrapText="1"/>
    </xf>
    <xf numFmtId="0" fontId="53" fillId="0" borderId="9" xfId="492" applyFont="1" applyFill="1" applyBorder="1" applyAlignment="1">
      <alignment horizontal="left" vertical="center" wrapText="1"/>
    </xf>
    <xf numFmtId="0" fontId="6" fillId="0" borderId="0" xfId="0" applyFont="1" applyAlignment="1">
      <alignment horizontal="left"/>
    </xf>
    <xf numFmtId="183" fontId="6" fillId="4" borderId="0" xfId="0" applyNumberFormat="1" applyFont="1" applyFill="1" applyBorder="1" applyAlignment="1">
      <alignment vertical="center" wrapText="1"/>
    </xf>
    <xf numFmtId="14" fontId="6" fillId="0" borderId="0" xfId="0" applyNumberFormat="1" applyFont="1" applyAlignment="1">
      <alignment horizontal="left"/>
    </xf>
    <xf numFmtId="0" fontId="6" fillId="0" borderId="0" xfId="0" applyFont="1" applyAlignment="1">
      <alignment horizontal="left" wrapText="1"/>
    </xf>
    <xf numFmtId="0" fontId="16" fillId="10" borderId="9" xfId="535" applyFont="1" applyFill="1" applyBorder="1" applyAlignment="1">
      <alignment horizontal="center" wrapText="1"/>
    </xf>
    <xf numFmtId="0" fontId="15" fillId="0" borderId="0" xfId="492" applyFont="1" applyAlignment="1">
      <alignment vertical="center" wrapText="1"/>
    </xf>
    <xf numFmtId="0" fontId="15" fillId="37" borderId="9" xfId="492" applyFont="1" applyFill="1" applyBorder="1" applyAlignment="1">
      <alignment horizontal="center" vertical="center" wrapText="1"/>
    </xf>
    <xf numFmtId="0" fontId="15" fillId="37" borderId="9" xfId="492" applyFont="1" applyFill="1" applyBorder="1" applyAlignment="1">
      <alignment horizontal="center" vertical="center"/>
    </xf>
    <xf numFmtId="0" fontId="57" fillId="37" borderId="9" xfId="492" applyFont="1" applyFill="1" applyBorder="1" applyAlignment="1">
      <alignment horizontal="center" vertical="center"/>
    </xf>
    <xf numFmtId="0" fontId="16" fillId="37" borderId="9" xfId="492" applyFont="1" applyFill="1" applyBorder="1" applyAlignment="1">
      <alignment horizontal="left" vertical="center" wrapText="1"/>
    </xf>
    <xf numFmtId="0" fontId="16" fillId="37" borderId="9" xfId="492" applyFont="1" applyFill="1" applyBorder="1" applyAlignment="1">
      <alignment horizontal="center" vertical="center"/>
    </xf>
    <xf numFmtId="0" fontId="16" fillId="4" borderId="9" xfId="492" applyFont="1" applyFill="1" applyBorder="1" applyAlignment="1">
      <alignment horizontal="center" vertical="center"/>
    </xf>
    <xf numFmtId="0" fontId="18" fillId="0" borderId="9" xfId="535" applyFont="1" applyFill="1" applyBorder="1" applyAlignment="1">
      <alignment horizontal="left" vertical="center" wrapText="1"/>
    </xf>
    <xf numFmtId="0" fontId="15" fillId="0" borderId="7" xfId="492" applyFont="1" applyBorder="1" applyAlignment="1">
      <alignment horizontal="left" vertical="center"/>
    </xf>
    <xf numFmtId="0" fontId="15" fillId="0" borderId="9" xfId="535" applyFont="1" applyBorder="1" applyAlignment="1">
      <alignment horizontal="left" vertical="center" wrapText="1"/>
    </xf>
    <xf numFmtId="0" fontId="15" fillId="0" borderId="9" xfId="535" applyFont="1" applyFill="1" applyBorder="1" applyAlignment="1">
      <alignment horizontal="left" vertical="center" wrapText="1"/>
    </xf>
    <xf numFmtId="0" fontId="6" fillId="0" borderId="9" xfId="535" applyFont="1" applyFill="1" applyBorder="1" applyAlignment="1">
      <alignment vertical="center" wrapText="1"/>
    </xf>
    <xf numFmtId="0" fontId="6" fillId="0" borderId="9" xfId="535" applyFill="1" applyBorder="1" applyAlignment="1">
      <alignment vertical="center" wrapText="1"/>
    </xf>
    <xf numFmtId="0" fontId="15" fillId="0" borderId="9" xfId="535" applyFont="1" applyBorder="1" applyAlignment="1">
      <alignment vertical="center" wrapText="1"/>
    </xf>
    <xf numFmtId="0" fontId="15" fillId="0" borderId="9" xfId="535" applyFont="1" applyFill="1" applyBorder="1" applyAlignment="1">
      <alignment wrapText="1"/>
    </xf>
    <xf numFmtId="0" fontId="15" fillId="10" borderId="9" xfId="535" applyFont="1" applyFill="1" applyBorder="1" applyAlignment="1">
      <alignment horizontal="center" wrapText="1"/>
    </xf>
    <xf numFmtId="0" fontId="15" fillId="0" borderId="9" xfId="535" applyFont="1" applyFill="1" applyBorder="1" applyAlignment="1">
      <alignment horizontal="left" wrapText="1"/>
    </xf>
    <xf numFmtId="0" fontId="15" fillId="0" borderId="6" xfId="492" applyFont="1" applyBorder="1" applyAlignment="1">
      <alignment horizontal="left" vertical="center"/>
    </xf>
    <xf numFmtId="0" fontId="15" fillId="0" borderId="9" xfId="535" applyFont="1" applyBorder="1" applyAlignment="1">
      <alignment wrapText="1"/>
    </xf>
    <xf numFmtId="0" fontId="15" fillId="0" borderId="9" xfId="535" applyFont="1" applyBorder="1" applyAlignment="1">
      <alignment horizontal="left" wrapText="1"/>
    </xf>
    <xf numFmtId="0" fontId="57" fillId="4" borderId="9" xfId="492" applyFont="1" applyFill="1" applyBorder="1" applyAlignment="1">
      <alignment horizontal="center" vertical="center" wrapText="1"/>
    </xf>
    <xf numFmtId="0" fontId="16" fillId="37" borderId="14" xfId="492" applyFont="1" applyFill="1" applyBorder="1" applyAlignment="1">
      <alignment horizontal="center" vertical="center" wrapText="1"/>
    </xf>
    <xf numFmtId="0" fontId="16" fillId="4" borderId="9" xfId="492" applyFont="1" applyFill="1" applyBorder="1" applyAlignment="1">
      <alignment horizontal="center" vertical="center" wrapText="1"/>
    </xf>
    <xf numFmtId="0" fontId="16" fillId="4" borderId="9" xfId="492" applyFont="1" applyFill="1" applyBorder="1" applyAlignment="1">
      <alignment horizontal="left" vertical="center" wrapText="1"/>
    </xf>
    <xf numFmtId="0" fontId="18" fillId="0" borderId="9" xfId="535" applyFont="1" applyBorder="1" applyAlignment="1">
      <alignment horizontal="left" vertical="center" wrapText="1"/>
    </xf>
    <xf numFmtId="0" fontId="3" fillId="0" borderId="1" xfId="535" applyFont="1" applyFill="1" applyBorder="1" applyAlignment="1">
      <alignment vertical="center" wrapText="1"/>
    </xf>
    <xf numFmtId="0" fontId="6" fillId="0" borderId="1" xfId="535" applyFont="1" applyFill="1" applyBorder="1" applyAlignment="1">
      <alignment vertical="center" wrapText="1"/>
    </xf>
    <xf numFmtId="0" fontId="6" fillId="0" borderId="1" xfId="535" applyFill="1" applyBorder="1" applyAlignment="1">
      <alignment vertical="center" wrapText="1"/>
    </xf>
    <xf numFmtId="0" fontId="4" fillId="3" borderId="0" xfId="535" applyFont="1" applyFill="1" applyBorder="1" applyAlignment="1">
      <alignment vertical="center" wrapText="1"/>
    </xf>
    <xf numFmtId="0" fontId="6" fillId="3" borderId="0" xfId="535" applyFont="1" applyFill="1" applyBorder="1" applyAlignment="1">
      <alignment vertical="center" wrapText="1"/>
    </xf>
    <xf numFmtId="0" fontId="6" fillId="0" borderId="0" xfId="535" applyFont="1" applyFill="1" applyBorder="1" applyAlignment="1">
      <alignment vertical="center" wrapText="1"/>
    </xf>
    <xf numFmtId="178" fontId="6" fillId="0" borderId="0" xfId="535" applyNumberFormat="1" applyFont="1" applyFill="1" applyBorder="1" applyAlignment="1">
      <alignment vertical="center" wrapText="1"/>
    </xf>
    <xf numFmtId="177" fontId="6" fillId="0" borderId="0" xfId="535" applyNumberFormat="1" applyFont="1" applyFill="1" applyBorder="1" applyAlignment="1">
      <alignment vertical="center" wrapText="1"/>
    </xf>
    <xf numFmtId="0" fontId="6" fillId="37" borderId="0" xfId="535" applyFont="1" applyFill="1" applyBorder="1" applyAlignment="1">
      <alignment vertical="center" wrapText="1"/>
    </xf>
    <xf numFmtId="0" fontId="6" fillId="0" borderId="0" xfId="535" applyFill="1" applyBorder="1" applyAlignment="1">
      <alignment vertical="center" wrapText="1"/>
    </xf>
    <xf numFmtId="0" fontId="56" fillId="0" borderId="0" xfId="535" applyFont="1" applyFill="1" applyBorder="1" applyAlignment="1">
      <alignment vertical="center" wrapText="1"/>
    </xf>
    <xf numFmtId="0" fontId="6" fillId="4" borderId="0" xfId="535" applyFont="1" applyFill="1" applyBorder="1" applyAlignment="1">
      <alignment vertical="center" wrapText="1"/>
    </xf>
    <xf numFmtId="0" fontId="71" fillId="0" borderId="0" xfId="535" applyFont="1" applyFill="1" applyBorder="1" applyAlignment="1">
      <alignment vertical="center" wrapText="1"/>
    </xf>
    <xf numFmtId="0" fontId="69" fillId="0" borderId="0" xfId="535" applyFont="1" applyFill="1" applyBorder="1" applyAlignment="1">
      <alignment vertical="center" wrapText="1"/>
    </xf>
    <xf numFmtId="0" fontId="6" fillId="6" borderId="0" xfId="535" applyFont="1" applyFill="1" applyBorder="1" applyAlignment="1">
      <alignment horizontal="center" vertical="center" wrapText="1"/>
    </xf>
    <xf numFmtId="0" fontId="4" fillId="38" borderId="0" xfId="535" applyFont="1" applyFill="1" applyBorder="1" applyAlignment="1">
      <alignment vertical="center" wrapText="1"/>
    </xf>
    <xf numFmtId="0" fontId="6" fillId="38" borderId="0" xfId="535" applyFont="1" applyFill="1" applyBorder="1" applyAlignment="1">
      <alignment vertical="center" wrapText="1"/>
    </xf>
    <xf numFmtId="0" fontId="6" fillId="2" borderId="0" xfId="535" applyFont="1" applyFill="1" applyBorder="1" applyAlignment="1">
      <alignment vertical="center" wrapText="1"/>
    </xf>
    <xf numFmtId="0" fontId="6" fillId="6" borderId="0" xfId="535" applyFont="1" applyFill="1" applyBorder="1" applyAlignment="1">
      <alignment vertical="center" wrapText="1"/>
    </xf>
    <xf numFmtId="0" fontId="0" fillId="0" borderId="0" xfId="0" applyAlignment="1">
      <alignment horizontal="left"/>
    </xf>
    <xf numFmtId="0" fontId="6" fillId="6" borderId="0" xfId="535" applyFont="1" applyFill="1" applyBorder="1" applyAlignment="1">
      <alignment horizontal="center" vertical="center" wrapText="1"/>
    </xf>
    <xf numFmtId="0" fontId="68" fillId="0" borderId="0" xfId="291" applyFont="1" applyFill="1" applyAlignment="1">
      <alignment horizontal="center"/>
    </xf>
    <xf numFmtId="0" fontId="8" fillId="0" borderId="0" xfId="43" applyBorder="1" applyAlignment="1">
      <alignment horizontal="center"/>
    </xf>
    <xf numFmtId="0" fontId="9" fillId="0" borderId="0" xfId="43" applyFont="1" applyBorder="1" applyAlignment="1">
      <alignment horizontal="center" wrapText="1"/>
    </xf>
    <xf numFmtId="181" fontId="0" fillId="0" borderId="0" xfId="0" applyNumberFormat="1" applyFont="1" applyFill="1" applyBorder="1" applyAlignment="1">
      <alignment horizontal="center"/>
    </xf>
    <xf numFmtId="181" fontId="0" fillId="0" borderId="0" xfId="0" applyNumberFormat="1" applyFont="1" applyFill="1" applyBorder="1" applyAlignment="1">
      <alignment horizontal="right"/>
    </xf>
    <xf numFmtId="178" fontId="0" fillId="0" borderId="0" xfId="0" applyNumberFormat="1" applyFont="1" applyBorder="1" applyAlignment="1">
      <alignment horizontal="center"/>
    </xf>
    <xf numFmtId="9" fontId="0" fillId="0" borderId="0" xfId="0" applyNumberFormat="1" applyAlignment="1">
      <alignment horizontal="center"/>
    </xf>
    <xf numFmtId="0" fontId="5" fillId="0" borderId="0" xfId="492" applyFont="1" applyFill="1" applyAlignment="1">
      <alignment horizontal="center"/>
    </xf>
    <xf numFmtId="183" fontId="0" fillId="0" borderId="0" xfId="0" applyNumberFormat="1" applyFill="1" applyAlignment="1">
      <alignment horizontal="center"/>
    </xf>
    <xf numFmtId="183" fontId="0" fillId="0" borderId="0" xfId="0" applyNumberFormat="1" applyAlignment="1">
      <alignment horizontal="center"/>
    </xf>
    <xf numFmtId="0" fontId="6" fillId="0" borderId="0" xfId="0" applyFont="1" applyFill="1" applyBorder="1" applyAlignment="1">
      <alignment horizontal="center"/>
    </xf>
    <xf numFmtId="0" fontId="15" fillId="37" borderId="7" xfId="492" applyFont="1" applyFill="1" applyBorder="1" applyAlignment="1">
      <alignment horizontal="center" vertical="center"/>
    </xf>
    <xf numFmtId="0" fontId="15" fillId="37" borderId="8" xfId="492" applyFont="1" applyFill="1" applyBorder="1" applyAlignment="1">
      <alignment horizontal="center" vertical="center"/>
    </xf>
    <xf numFmtId="0" fontId="15" fillId="4" borderId="7" xfId="492" applyFont="1" applyFill="1" applyBorder="1" applyAlignment="1">
      <alignment horizontal="center" vertical="center" wrapText="1"/>
    </xf>
    <xf numFmtId="0" fontId="15" fillId="4" borderId="8" xfId="492" applyFont="1" applyFill="1" applyBorder="1" applyAlignment="1">
      <alignment horizontal="center" vertical="center" wrapText="1"/>
    </xf>
    <xf numFmtId="0" fontId="15" fillId="5" borderId="7" xfId="492" applyFont="1" applyFill="1" applyBorder="1" applyAlignment="1">
      <alignment horizontal="center" vertical="center"/>
    </xf>
    <xf numFmtId="0" fontId="15" fillId="5" borderId="24" xfId="492" applyFont="1" applyFill="1" applyBorder="1" applyAlignment="1">
      <alignment horizontal="center" vertical="center"/>
    </xf>
    <xf numFmtId="0" fontId="15" fillId="5" borderId="8" xfId="492" applyFont="1" applyFill="1" applyBorder="1" applyAlignment="1">
      <alignment horizontal="center" vertical="center"/>
    </xf>
    <xf numFmtId="0" fontId="16" fillId="10" borderId="6"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5" fillId="4" borderId="24" xfId="492" applyFont="1" applyFill="1" applyBorder="1" applyAlignment="1">
      <alignment horizontal="center" vertical="center" wrapText="1"/>
    </xf>
    <xf numFmtId="0" fontId="15" fillId="4" borderId="7" xfId="492" applyFont="1" applyFill="1" applyBorder="1" applyAlignment="1">
      <alignment horizontal="center" vertical="center"/>
    </xf>
    <xf numFmtId="0" fontId="15" fillId="4" borderId="8" xfId="492" applyFont="1" applyFill="1" applyBorder="1" applyAlignment="1">
      <alignment horizontal="center" vertical="center"/>
    </xf>
    <xf numFmtId="0" fontId="15" fillId="4" borderId="14" xfId="492" applyFont="1" applyFill="1" applyBorder="1" applyAlignment="1">
      <alignment horizontal="center" vertical="center" wrapText="1"/>
    </xf>
    <xf numFmtId="0" fontId="15" fillId="4" borderId="25" xfId="492" applyFont="1" applyFill="1" applyBorder="1" applyAlignment="1">
      <alignment horizontal="center" vertical="center" wrapText="1"/>
    </xf>
    <xf numFmtId="0" fontId="15" fillId="4" borderId="15" xfId="492" applyFont="1" applyFill="1" applyBorder="1" applyAlignment="1">
      <alignment horizontal="center" vertical="center" wrapText="1"/>
    </xf>
    <xf numFmtId="0" fontId="16" fillId="10" borderId="6" xfId="535" applyFont="1" applyFill="1" applyBorder="1" applyAlignment="1">
      <alignment horizontal="center" vertical="center" wrapText="1"/>
    </xf>
    <xf numFmtId="0" fontId="16" fillId="10" borderId="13" xfId="535" applyFont="1" applyFill="1" applyBorder="1" applyAlignment="1">
      <alignment horizontal="center" vertical="center" wrapText="1"/>
    </xf>
    <xf numFmtId="0" fontId="15" fillId="10" borderId="6" xfId="535" applyFont="1" applyFill="1" applyBorder="1" applyAlignment="1">
      <alignment horizontal="center" vertical="center" wrapText="1"/>
    </xf>
    <xf numFmtId="0" fontId="15" fillId="10" borderId="13" xfId="535" applyFont="1" applyFill="1" applyBorder="1" applyAlignment="1">
      <alignment horizontal="center" vertical="center" wrapText="1"/>
    </xf>
    <xf numFmtId="0" fontId="15" fillId="0" borderId="9" xfId="0" applyFont="1" applyFill="1" applyBorder="1" applyAlignment="1"/>
    <xf numFmtId="0" fontId="15" fillId="0" borderId="9" xfId="0" applyFont="1" applyFill="1" applyBorder="1" applyAlignment="1">
      <alignment wrapText="1"/>
    </xf>
    <xf numFmtId="0" fontId="15" fillId="10" borderId="6" xfId="0" applyFont="1" applyFill="1" applyBorder="1" applyAlignment="1">
      <alignment horizontal="center" wrapText="1"/>
    </xf>
    <xf numFmtId="0" fontId="15" fillId="10" borderId="13" xfId="0" applyFont="1" applyFill="1" applyBorder="1" applyAlignment="1">
      <alignment horizontal="center" wrapText="1"/>
    </xf>
    <xf numFmtId="0" fontId="15" fillId="0" borderId="9" xfId="0" applyFont="1" applyFill="1" applyBorder="1" applyAlignment="1">
      <alignment horizontal="center" wrapText="1"/>
    </xf>
    <xf numFmtId="0" fontId="16" fillId="10" borderId="0" xfId="0" applyFont="1" applyFill="1" applyBorder="1" applyAlignment="1">
      <alignment horizontal="center" wrapText="1"/>
    </xf>
    <xf numFmtId="0" fontId="16" fillId="10" borderId="5" xfId="0" applyFont="1" applyFill="1" applyBorder="1" applyAlignment="1">
      <alignment horizontal="center" wrapText="1"/>
    </xf>
    <xf numFmtId="0" fontId="16" fillId="10" borderId="10" xfId="0" applyFont="1" applyFill="1" applyBorder="1" applyAlignment="1">
      <alignment horizontal="center" wrapText="1"/>
    </xf>
    <xf numFmtId="0" fontId="16" fillId="10" borderId="11" xfId="0" applyFont="1" applyFill="1" applyBorder="1" applyAlignment="1">
      <alignment horizontal="center" wrapText="1"/>
    </xf>
    <xf numFmtId="0" fontId="19" fillId="0" borderId="6" xfId="492" applyFont="1" applyBorder="1" applyAlignment="1">
      <alignment horizontal="center" vertical="center"/>
    </xf>
    <xf numFmtId="0" fontId="19" fillId="0" borderId="12" xfId="492" applyFont="1" applyBorder="1" applyAlignment="1">
      <alignment horizontal="center" vertical="center"/>
    </xf>
    <xf numFmtId="0" fontId="19" fillId="0" borderId="13" xfId="492" applyFont="1" applyBorder="1" applyAlignment="1">
      <alignment horizontal="center" vertical="center"/>
    </xf>
    <xf numFmtId="0" fontId="15" fillId="0" borderId="8" xfId="0" applyFont="1" applyFill="1" applyBorder="1" applyAlignment="1">
      <alignment vertical="top" wrapText="1"/>
    </xf>
    <xf numFmtId="0" fontId="15" fillId="0" borderId="9" xfId="0" applyFont="1" applyFill="1" applyBorder="1" applyAlignment="1">
      <alignment vertical="top" wrapText="1"/>
    </xf>
    <xf numFmtId="0" fontId="65" fillId="4" borderId="7" xfId="492" applyFont="1" applyFill="1" applyBorder="1" applyAlignment="1">
      <alignment horizontal="center" vertical="center"/>
    </xf>
    <xf numFmtId="0" fontId="65" fillId="4" borderId="8" xfId="492" applyFont="1" applyFill="1" applyBorder="1" applyAlignment="1">
      <alignment horizontal="center" vertical="center"/>
    </xf>
    <xf numFmtId="0" fontId="15" fillId="10" borderId="12" xfId="0" applyFont="1" applyFill="1" applyBorder="1" applyAlignment="1">
      <alignment horizontal="center" wrapText="1"/>
    </xf>
    <xf numFmtId="0" fontId="13" fillId="0" borderId="0" xfId="0" applyFont="1" applyAlignment="1">
      <alignment horizontal="left" wrapText="1"/>
    </xf>
    <xf numFmtId="0" fontId="6" fillId="0" borderId="0" xfId="0" applyFont="1" applyAlignment="1">
      <alignment horizontal="left"/>
    </xf>
    <xf numFmtId="0" fontId="0" fillId="0" borderId="0" xfId="0" applyAlignment="1">
      <alignment horizontal="left"/>
    </xf>
    <xf numFmtId="0" fontId="4" fillId="0" borderId="1" xfId="0" applyFont="1" applyFill="1" applyBorder="1" applyAlignment="1">
      <alignment horizontal="left" vertical="center" wrapText="1"/>
    </xf>
    <xf numFmtId="0" fontId="0" fillId="2"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4" fillId="0" borderId="1" xfId="535" applyFont="1" applyFill="1" applyBorder="1" applyAlignment="1">
      <alignment horizontal="left" vertical="center" wrapText="1"/>
    </xf>
    <xf numFmtId="0" fontId="6" fillId="2" borderId="0" xfId="535" applyFont="1" applyFill="1" applyBorder="1" applyAlignment="1">
      <alignment horizontal="center" vertical="center" wrapText="1"/>
    </xf>
    <xf numFmtId="0" fontId="6" fillId="6" borderId="0" xfId="535" applyFont="1" applyFill="1" applyBorder="1" applyAlignment="1">
      <alignment horizontal="center" vertical="center" wrapText="1"/>
    </xf>
    <xf numFmtId="0" fontId="0" fillId="2" borderId="2" xfId="0" applyFont="1" applyFill="1" applyBorder="1" applyAlignment="1">
      <alignment horizontal="center" vertical="center" wrapText="1"/>
    </xf>
    <xf numFmtId="0" fontId="6" fillId="2" borderId="2" xfId="535" applyFont="1" applyFill="1" applyBorder="1" applyAlignment="1">
      <alignment horizontal="center" vertical="center" wrapText="1"/>
    </xf>
  </cellXfs>
  <cellStyles count="540">
    <cellStyle name="20% - Accent1 2" xfId="65"/>
    <cellStyle name="20% - Accent1 2 2" xfId="75"/>
    <cellStyle name="20% - Accent1 2 2 2" xfId="58"/>
    <cellStyle name="20% - Accent1 2 2 3" xfId="69"/>
    <cellStyle name="20% - Accent1 2 3" xfId="78"/>
    <cellStyle name="20% - Accent1 2 4" xfId="81"/>
    <cellStyle name="20% - Accent1 2_UMi-70GHz" xfId="84"/>
    <cellStyle name="20% - Accent1 3" xfId="51"/>
    <cellStyle name="20% - Accent1 3 2" xfId="85"/>
    <cellStyle name="20% - Accent1 3 3" xfId="37"/>
    <cellStyle name="20% - Accent2 2" xfId="41"/>
    <cellStyle name="20% - Accent2 2 2" xfId="13"/>
    <cellStyle name="20% - Accent2 2 2 2" xfId="17"/>
    <cellStyle name="20% - Accent2 2 2 3" xfId="87"/>
    <cellStyle name="20% - Accent2 2 3" xfId="90"/>
    <cellStyle name="20% - Accent2 2 4" xfId="54"/>
    <cellStyle name="20% - Accent2 2_UMi-70GHz" xfId="93"/>
    <cellStyle name="20% - Accent2 3" xfId="94"/>
    <cellStyle name="20% - Accent2 3 2" xfId="33"/>
    <cellStyle name="20% - Accent2 3 3" xfId="95"/>
    <cellStyle name="20% - Accent3 2" xfId="47"/>
    <cellStyle name="20% - Accent3 2 2" xfId="72"/>
    <cellStyle name="20% - Accent3 2 2 2" xfId="98"/>
    <cellStyle name="20% - Accent3 2 2 3" xfId="102"/>
    <cellStyle name="20% - Accent3 2 3" xfId="104"/>
    <cellStyle name="20% - Accent3 2 4" xfId="106"/>
    <cellStyle name="20% - Accent3 2_UMi-70GHz" xfId="108"/>
    <cellStyle name="20% - Accent3 3" xfId="112"/>
    <cellStyle name="20% - Accent3 3 2" xfId="113"/>
    <cellStyle name="20% - Accent3 3 3" xfId="114"/>
    <cellStyle name="20% - Accent4 2" xfId="115"/>
    <cellStyle name="20% - Accent4 2 2" xfId="118"/>
    <cellStyle name="20% - Accent4 2 2 2" xfId="120"/>
    <cellStyle name="20% - Accent4 2 2 3" xfId="124"/>
    <cellStyle name="20% - Accent4 2 3" xfId="127"/>
    <cellStyle name="20% - Accent4 2 4" xfId="121"/>
    <cellStyle name="20% - Accent4 2_UMi-70GHz" xfId="88"/>
    <cellStyle name="20% - Accent4 3" xfId="132"/>
    <cellStyle name="20% - Accent4 3 2" xfId="23"/>
    <cellStyle name="20% - Accent4 3 3" xfId="133"/>
    <cellStyle name="20% - Accent5 2" xfId="135"/>
    <cellStyle name="20% - Accent5 2 2" xfId="137"/>
    <cellStyle name="20% - Accent5 2 2 2" xfId="139"/>
    <cellStyle name="20% - Accent5 2 2 3" xfId="142"/>
    <cellStyle name="20% - Accent5 2 3" xfId="24"/>
    <cellStyle name="20% - Accent5 2 4" xfId="27"/>
    <cellStyle name="20% - Accent5 2_UMi-70GHz" xfId="1"/>
    <cellStyle name="20% - Accent5 3" xfId="146"/>
    <cellStyle name="20% - Accent5 3 2" xfId="147"/>
    <cellStyle name="20% - Accent5 3 3" xfId="149"/>
    <cellStyle name="20% - Accent6 2" xfId="151"/>
    <cellStyle name="20% - Accent6 2 2" xfId="154"/>
    <cellStyle name="20% - Accent6 2 2 2" xfId="156"/>
    <cellStyle name="20% - Accent6 2 2 3" xfId="158"/>
    <cellStyle name="20% - Accent6 2 3" xfId="161"/>
    <cellStyle name="20% - Accent6 2 4" xfId="163"/>
    <cellStyle name="20% - Accent6 2_UMi-70GHz" xfId="165"/>
    <cellStyle name="20% - Accent6 3" xfId="168"/>
    <cellStyle name="20% - Accent6 3 2" xfId="171"/>
    <cellStyle name="20% - Accent6 3 3" xfId="45"/>
    <cellStyle name="20% - 강조색1 2" xfId="174"/>
    <cellStyle name="20% - 강조색1 2 2" xfId="177"/>
    <cellStyle name="20% - 강조색1 2 3" xfId="180"/>
    <cellStyle name="20% - 강조색1 3" xfId="183"/>
    <cellStyle name="20% - 강조색1 3 2" xfId="185"/>
    <cellStyle name="20% - 강조색1 3 3" xfId="61"/>
    <cellStyle name="20% - 강조색2 2" xfId="186"/>
    <cellStyle name="20% - 강조색2 2 2" xfId="187"/>
    <cellStyle name="20% - 강조색2 2 3" xfId="188"/>
    <cellStyle name="20% - 강조색2 3" xfId="190"/>
    <cellStyle name="20% - 강조색2 3 2" xfId="191"/>
    <cellStyle name="20% - 강조색2 3 3" xfId="192"/>
    <cellStyle name="20% - 강조색3 2" xfId="21"/>
    <cellStyle name="20% - 강조색3 2 2" xfId="131"/>
    <cellStyle name="20% - 강조색3 2 3" xfId="19"/>
    <cellStyle name="20% - 강조색3 3" xfId="11"/>
    <cellStyle name="20% - 강조색3 3 2" xfId="145"/>
    <cellStyle name="20% - 강조색3 3 3" xfId="193"/>
    <cellStyle name="20% - 강조색4 2" xfId="179"/>
    <cellStyle name="20% - 강조색4 2 2" xfId="194"/>
    <cellStyle name="20% - 강조색4 2 3" xfId="195"/>
    <cellStyle name="20% - 강조색4 3" xfId="196"/>
    <cellStyle name="20% - 강조색4 3 2" xfId="198"/>
    <cellStyle name="20% - 강조색4 3 3" xfId="5"/>
    <cellStyle name="20% - 강조색5 2" xfId="60"/>
    <cellStyle name="20% - 강조색5 2 2" xfId="201"/>
    <cellStyle name="20% - 강조색5 2 3" xfId="203"/>
    <cellStyle name="20% - 강조색5 3" xfId="71"/>
    <cellStyle name="20% - 강조색5 3 2" xfId="205"/>
    <cellStyle name="20% - 강조색5 3 3" xfId="207"/>
    <cellStyle name="20% - 강조색6 2" xfId="211"/>
    <cellStyle name="20% - 강조색6 2 2" xfId="212"/>
    <cellStyle name="20% - 강조색6 2 3" xfId="213"/>
    <cellStyle name="20% - 강조색6 3" xfId="216"/>
    <cellStyle name="20% - 강조색6 3 2" xfId="218"/>
    <cellStyle name="20% - 강조색6 3 3" xfId="221"/>
    <cellStyle name="20% - 着色 1 2" xfId="36"/>
    <cellStyle name="20% - 着色 1 3" xfId="284"/>
    <cellStyle name="20% - 着色 2 2" xfId="286"/>
    <cellStyle name="20% - 着色 2 3" xfId="288"/>
    <cellStyle name="20% - 着色 3 2" xfId="97"/>
    <cellStyle name="20% - 着色 3 3" xfId="101"/>
    <cellStyle name="20% - 着色 4 2" xfId="251"/>
    <cellStyle name="20% - 着色 4 3" xfId="254"/>
    <cellStyle name="20% - 着色 5 2" xfId="291"/>
    <cellStyle name="20% - 着色 5 3" xfId="292"/>
    <cellStyle name="20% - 着色 6 2" xfId="293"/>
    <cellStyle name="20% - 着色 6 3" xfId="294"/>
    <cellStyle name="20% - 强调文字颜色 1 2" xfId="224"/>
    <cellStyle name="20% - 强调文字颜色 1 2 2" xfId="226"/>
    <cellStyle name="20% - 强调文字颜色 1 2 3" xfId="230"/>
    <cellStyle name="20% - 强调文字颜色 1 3" xfId="66"/>
    <cellStyle name="20% - 强调文字颜色 1 3 2" xfId="76"/>
    <cellStyle name="20% - 强调文字颜色 1 3 2 2" xfId="59"/>
    <cellStyle name="20% - 强调文字颜色 1 3 2 2 2" xfId="200"/>
    <cellStyle name="20% - 强调文字颜色 1 3 2 2 3" xfId="202"/>
    <cellStyle name="20% - 强调文字颜色 1 3 2 3" xfId="70"/>
    <cellStyle name="20% - 强调文字颜色 1 3 2 4" xfId="231"/>
    <cellStyle name="20% - 强调文字颜色 1 3 3" xfId="79"/>
    <cellStyle name="20% - 强调文字颜色 1 3 3 2" xfId="210"/>
    <cellStyle name="20% - 强调文字颜色 1 3 3 3" xfId="215"/>
    <cellStyle name="20% - 强调文字颜色 1 3 4" xfId="82"/>
    <cellStyle name="20% - 强调文字颜色 1 3 5" xfId="232"/>
    <cellStyle name="20% - 强调文字颜色 2 2" xfId="234"/>
    <cellStyle name="20% - 强调文字颜色 2 2 2" xfId="235"/>
    <cellStyle name="20% - 强调文字颜色 2 2 3" xfId="236"/>
    <cellStyle name="20% - 强调文字颜色 2 3" xfId="42"/>
    <cellStyle name="20% - 强调文字颜色 2 3 2" xfId="14"/>
    <cellStyle name="20% - 强调文字颜色 2 3 2 2" xfId="18"/>
    <cellStyle name="20% - 强调文字颜色 2 3 2 2 2" xfId="26"/>
    <cellStyle name="20% - 强调文字颜色 2 3 2 2 3" xfId="29"/>
    <cellStyle name="20% - 强调文字颜色 2 3 2 3" xfId="89"/>
    <cellStyle name="20% - 强调文字颜色 2 3 2 4" xfId="238"/>
    <cellStyle name="20% - 强调文字颜色 2 3 3" xfId="91"/>
    <cellStyle name="20% - 强调文字颜色 2 3 3 2" xfId="239"/>
    <cellStyle name="20% - 强调文字颜色 2 3 3 3" xfId="241"/>
    <cellStyle name="20% - 强调文字颜色 2 3 4" xfId="55"/>
    <cellStyle name="20% - 强调文字颜色 2 3 5" xfId="242"/>
    <cellStyle name="20% - 强调文字颜色 3 2" xfId="243"/>
    <cellStyle name="20% - 强调文字颜色 3 2 2" xfId="244"/>
    <cellStyle name="20% - 强调文字颜色 3 2 3" xfId="245"/>
    <cellStyle name="20% - 强调文字颜色 3 3" xfId="48"/>
    <cellStyle name="20% - 强调文字颜色 3 3 2" xfId="73"/>
    <cellStyle name="20% - 强调文字颜色 3 3 2 2" xfId="99"/>
    <cellStyle name="20% - 强调文字颜色 3 3 2 2 2" xfId="247"/>
    <cellStyle name="20% - 强调文字颜色 3 3 2 2 3" xfId="249"/>
    <cellStyle name="20% - 强调文字颜色 3 3 2 3" xfId="103"/>
    <cellStyle name="20% - 强调文字颜色 3 3 2 4" xfId="170"/>
    <cellStyle name="20% - 强调文字颜色 3 3 3" xfId="105"/>
    <cellStyle name="20% - 强调文字颜色 3 3 3 2" xfId="252"/>
    <cellStyle name="20% - 强调文字颜色 3 3 3 3" xfId="255"/>
    <cellStyle name="20% - 强调文字颜色 3 3 4" xfId="107"/>
    <cellStyle name="20% - 强调文字颜色 3 3 5" xfId="256"/>
    <cellStyle name="20% - 强调文字颜色 4 2" xfId="257"/>
    <cellStyle name="20% - 强调文字颜色 4 2 2" xfId="258"/>
    <cellStyle name="20% - 强调文字颜色 4 2 3" xfId="259"/>
    <cellStyle name="20% - 强调文字颜色 4 3" xfId="116"/>
    <cellStyle name="20% - 强调文字颜色 4 3 2" xfId="119"/>
    <cellStyle name="20% - 强调文字颜色 4 3 2 2" xfId="122"/>
    <cellStyle name="20% - 强调文字颜色 4 3 2 2 2" xfId="260"/>
    <cellStyle name="20% - 强调文字颜色 4 3 2 2 3" xfId="22"/>
    <cellStyle name="20% - 强调文字颜色 4 3 2 3" xfId="125"/>
    <cellStyle name="20% - 强调文字颜色 4 3 2 4" xfId="261"/>
    <cellStyle name="20% - 强调文字颜色 4 3 3" xfId="128"/>
    <cellStyle name="20% - 强调文字颜色 4 3 3 2" xfId="262"/>
    <cellStyle name="20% - 强调文字颜色 4 3 3 3" xfId="263"/>
    <cellStyle name="20% - 强调文字颜色 4 3 4" xfId="123"/>
    <cellStyle name="20% - 强调文字颜色 4 3 5" xfId="126"/>
    <cellStyle name="20% - 强调文字颜色 5 2" xfId="265"/>
    <cellStyle name="20% - 强调文字颜色 5 2 2" xfId="267"/>
    <cellStyle name="20% - 强调文字颜色 5 2 3" xfId="268"/>
    <cellStyle name="20% - 强调文字颜色 5 3" xfId="136"/>
    <cellStyle name="20% - 强调文字颜色 5 3 2" xfId="138"/>
    <cellStyle name="20% - 强调文字颜色 5 3 2 2" xfId="140"/>
    <cellStyle name="20% - 强调文字颜色 5 3 2 2 2" xfId="160"/>
    <cellStyle name="20% - 强调文字颜色 5 3 2 2 3" xfId="270"/>
    <cellStyle name="20% - 强调文字颜色 5 3 2 3" xfId="143"/>
    <cellStyle name="20% - 强调文字颜色 5 3 2 4" xfId="271"/>
    <cellStyle name="20% - 强调文字颜色 5 3 3" xfId="25"/>
    <cellStyle name="20% - 强调文字颜色 5 3 3 2" xfId="272"/>
    <cellStyle name="20% - 强调文字颜色 5 3 3 3" xfId="273"/>
    <cellStyle name="20% - 强调文字颜色 5 3 4" xfId="28"/>
    <cellStyle name="20% - 强调文字颜色 5 3 5" xfId="32"/>
    <cellStyle name="20% - 强调文字颜色 6 2" xfId="274"/>
    <cellStyle name="20% - 强调文字颜色 6 2 2" xfId="275"/>
    <cellStyle name="20% - 强调文字颜色 6 2 3" xfId="276"/>
    <cellStyle name="20% - 强调文字颜色 6 2 4" xfId="277"/>
    <cellStyle name="20% - 强调文字颜色 6 3" xfId="152"/>
    <cellStyle name="20% - 强调文字颜色 6 3 2" xfId="155"/>
    <cellStyle name="20% - 强调文字颜色 6 3 2 2" xfId="157"/>
    <cellStyle name="20% - 强调文字颜色 6 3 2 2 2" xfId="12"/>
    <cellStyle name="20% - 强调文字颜色 6 3 2 2 3" xfId="279"/>
    <cellStyle name="20% - 强调文字颜色 6 3 2 3" xfId="159"/>
    <cellStyle name="20% - 强调文字颜色 6 3 2 4" xfId="269"/>
    <cellStyle name="20% - 强调文字颜色 6 3 3" xfId="162"/>
    <cellStyle name="20% - 强调文字颜色 6 3 3 2" xfId="281"/>
    <cellStyle name="20% - 强调文字颜色 6 3 3 3" xfId="282"/>
    <cellStyle name="20% - 强调文字颜色 6 3 4" xfId="164"/>
    <cellStyle name="20% - 强调文字颜色 6 3 5" xfId="40"/>
    <cellStyle name="20% - 强调文字颜色 6 4" xfId="169"/>
    <cellStyle name="40% - Accent1 2" xfId="295"/>
    <cellStyle name="40% - Accent1 2 2" xfId="296"/>
    <cellStyle name="40% - Accent1 2 2 2" xfId="297"/>
    <cellStyle name="40% - Accent1 2 2 3" xfId="299"/>
    <cellStyle name="40% - Accent1 2 3" xfId="300"/>
    <cellStyle name="40% - Accent1 2 4" xfId="301"/>
    <cellStyle name="40% - Accent1 2_UMi-70GHz" xfId="302"/>
    <cellStyle name="40% - Accent1 3" xfId="303"/>
    <cellStyle name="40% - Accent1 3 2" xfId="304"/>
    <cellStyle name="40% - Accent1 3 3" xfId="305"/>
    <cellStyle name="40% - Accent2 2" xfId="306"/>
    <cellStyle name="40% - Accent2 2 2" xfId="307"/>
    <cellStyle name="40% - Accent2 2 2 2" xfId="308"/>
    <cellStyle name="40% - Accent2 2 2 3" xfId="309"/>
    <cellStyle name="40% - Accent2 2 3" xfId="311"/>
    <cellStyle name="40% - Accent2 2 4" xfId="3"/>
    <cellStyle name="40% - Accent2 2_UMi-70GHz" xfId="199"/>
    <cellStyle name="40% - Accent2 3" xfId="92"/>
    <cellStyle name="40% - Accent2 3 2" xfId="74"/>
    <cellStyle name="40% - Accent2 3 3" xfId="313"/>
    <cellStyle name="40% - Accent3 2" xfId="314"/>
    <cellStyle name="40% - Accent3 2 2" xfId="315"/>
    <cellStyle name="40% - Accent3 2 2 2" xfId="208"/>
    <cellStyle name="40% - Accent3 2 2 3" xfId="316"/>
    <cellStyle name="40% - Accent3 2 3" xfId="250"/>
    <cellStyle name="40% - Accent3 2 4" xfId="253"/>
    <cellStyle name="40% - Accent3 2_UMi-70GHz" xfId="153"/>
    <cellStyle name="40% - Accent3 3" xfId="317"/>
    <cellStyle name="40% - Accent3 3 2" xfId="318"/>
    <cellStyle name="40% - Accent3 3 3" xfId="290"/>
    <cellStyle name="40% - Accent4 2" xfId="319"/>
    <cellStyle name="40% - Accent4 2 2" xfId="320"/>
    <cellStyle name="40% - Accent4 2 2 2" xfId="321"/>
    <cellStyle name="40% - Accent4 2 2 3" xfId="322"/>
    <cellStyle name="40% - Accent4 2 3" xfId="323"/>
    <cellStyle name="40% - Accent4 2 4" xfId="325"/>
    <cellStyle name="40% - Accent4 2_UMi-70GHz" xfId="326"/>
    <cellStyle name="40% - Accent4 3" xfId="327"/>
    <cellStyle name="40% - Accent4 3 2" xfId="328"/>
    <cellStyle name="40% - Accent4 3 3" xfId="329"/>
    <cellStyle name="40% - Accent5 2" xfId="330"/>
    <cellStyle name="40% - Accent5 2 2" xfId="332"/>
    <cellStyle name="40% - Accent5 2 2 2" xfId="333"/>
    <cellStyle name="40% - Accent5 2 2 3" xfId="334"/>
    <cellStyle name="40% - Accent5 2 3" xfId="336"/>
    <cellStyle name="40% - Accent5 2 4" xfId="337"/>
    <cellStyle name="40% - Accent5 2_UMi-70GHz" xfId="324"/>
    <cellStyle name="40% - Accent5 3" xfId="338"/>
    <cellStyle name="40% - Accent5 3 2" xfId="340"/>
    <cellStyle name="40% - Accent5 3 3" xfId="342"/>
    <cellStyle name="40% - Accent6 2" xfId="343"/>
    <cellStyle name="40% - Accent6 2 2" xfId="52"/>
    <cellStyle name="40% - Accent6 2 2 2" xfId="264"/>
    <cellStyle name="40% - Accent6 2 2 3" xfId="134"/>
    <cellStyle name="40% - Accent6 2 3" xfId="38"/>
    <cellStyle name="40% - Accent6 2 4" xfId="344"/>
    <cellStyle name="40% - Accent6 2_UMi-70GHz" xfId="346"/>
    <cellStyle name="40% - Accent6 3" xfId="347"/>
    <cellStyle name="40% - Accent6 3 2" xfId="351"/>
    <cellStyle name="40% - Accent6 3 3" xfId="353"/>
    <cellStyle name="40% - 강조색1 2" xfId="355"/>
    <cellStyle name="40% - 강조색1 2 2" xfId="278"/>
    <cellStyle name="40% - 강조색1 2 3" xfId="356"/>
    <cellStyle name="40% - 강조색1 3" xfId="358"/>
    <cellStyle name="40% - 강조색1 3 2" xfId="359"/>
    <cellStyle name="40% - 강조색1 3 3" xfId="360"/>
    <cellStyle name="40% - 강조색2 2" xfId="361"/>
    <cellStyle name="40% - 강조색2 2 2" xfId="362"/>
    <cellStyle name="40% - 강조색2 2 3" xfId="363"/>
    <cellStyle name="40% - 강조색2 3" xfId="364"/>
    <cellStyle name="40% - 강조색2 3 2" xfId="366"/>
    <cellStyle name="40% - 강조색2 3 3" xfId="369"/>
    <cellStyle name="40% - 강조색3 2" xfId="371"/>
    <cellStyle name="40% - 강조색3 2 2" xfId="372"/>
    <cellStyle name="40% - 강조색3 2 3" xfId="373"/>
    <cellStyle name="40% - 강조색3 3" xfId="374"/>
    <cellStyle name="40% - 강조색3 3 2" xfId="375"/>
    <cellStyle name="40% - 강조색3 3 3" xfId="376"/>
    <cellStyle name="40% - 강조색4 2" xfId="377"/>
    <cellStyle name="40% - 강조색4 2 2" xfId="379"/>
    <cellStyle name="40% - 강조색4 2 3" xfId="381"/>
    <cellStyle name="40% - 강조색4 3" xfId="382"/>
    <cellStyle name="40% - 강조색4 3 2" xfId="63"/>
    <cellStyle name="40% - 강조색4 3 3" xfId="50"/>
    <cellStyle name="40% - 강조색5 2" xfId="310"/>
    <cellStyle name="40% - 강조색5 2 2" xfId="383"/>
    <cellStyle name="40% - 강조색5 2 3" xfId="384"/>
    <cellStyle name="40% - 강조색5 3" xfId="2"/>
    <cellStyle name="40% - 강조색5 3 2" xfId="385"/>
    <cellStyle name="40% - 강조색5 3 3" xfId="345"/>
    <cellStyle name="40% - 강조색6 2" xfId="312"/>
    <cellStyle name="40% - 강조색6 2 2" xfId="386"/>
    <cellStyle name="40% - 강조색6 2 3" xfId="280"/>
    <cellStyle name="40% - 강조색6 3" xfId="388"/>
    <cellStyle name="40% - 강조색6 3 2" xfId="389"/>
    <cellStyle name="40% - 강조색6 3 3" xfId="391"/>
    <cellStyle name="40% - 着色 1 2" xfId="365"/>
    <cellStyle name="40% - 着色 1 3" xfId="368"/>
    <cellStyle name="40% - 着色 2 2" xfId="298"/>
    <cellStyle name="40% - 着色 2 3" xfId="444"/>
    <cellStyle name="40% - 着色 3 2" xfId="445"/>
    <cellStyle name="40% - 着色 3 3" xfId="31"/>
    <cellStyle name="40% - 着色 4 2" xfId="446"/>
    <cellStyle name="40% - 着色 4 3" xfId="176"/>
    <cellStyle name="40% - 着色 5 2" xfId="39"/>
    <cellStyle name="40% - 着色 5 3" xfId="184"/>
    <cellStyle name="40% - 着色 6 2" xfId="83"/>
    <cellStyle name="40% - 着色 6 3" xfId="447"/>
    <cellStyle name="40% - 强调文字颜色 1 2" xfId="392"/>
    <cellStyle name="40% - 强调文字颜色 1 2 2" xfId="397"/>
    <cellStyle name="40% - 强调文字颜色 1 2 3" xfId="399"/>
    <cellStyle name="40% - 强调文字颜色 1 3" xfId="348"/>
    <cellStyle name="40% - 强调文字颜色 1 3 2" xfId="400"/>
    <cellStyle name="40% - 强调文字颜色 1 3 2 2" xfId="402"/>
    <cellStyle name="40% - 强调文字颜色 1 3 2 2 2" xfId="404"/>
    <cellStyle name="40% - 强调文字颜色 1 3 2 2 3" xfId="395"/>
    <cellStyle name="40% - 强调文字颜色 1 3 2 3" xfId="223"/>
    <cellStyle name="40% - 强调文字颜色 1 3 2 4" xfId="64"/>
    <cellStyle name="40% - 强调文字颜色 1 3 3" xfId="405"/>
    <cellStyle name="40% - 强调文字颜色 1 3 3 2" xfId="406"/>
    <cellStyle name="40% - 强调文字颜色 1 3 3 3" xfId="233"/>
    <cellStyle name="40% - 强调文字颜色 1 3 4" xfId="197"/>
    <cellStyle name="40% - 强调文字颜色 1 3 5" xfId="4"/>
    <cellStyle name="40% - 强调文字颜色 2 2" xfId="227"/>
    <cellStyle name="40% - 强调文字颜色 2 2 2" xfId="408"/>
    <cellStyle name="40% - 强调文字颜色 2 2 3" xfId="410"/>
    <cellStyle name="40% - 强调文字颜色 2 3" xfId="412"/>
    <cellStyle name="40% - 强调文字颜色 2 3 2" xfId="414"/>
    <cellStyle name="40% - 强调文字颜色 2 3 2 2" xfId="415"/>
    <cellStyle name="40% - 强调文字颜色 2 3 2 2 2" xfId="416"/>
    <cellStyle name="40% - 强调文字颜色 2 3 2 2 3" xfId="417"/>
    <cellStyle name="40% - 强调文字颜色 2 3 2 3" xfId="419"/>
    <cellStyle name="40% - 强调文字颜色 2 3 2 4" xfId="421"/>
    <cellStyle name="40% - 强调文字颜色 2 3 3" xfId="422"/>
    <cellStyle name="40% - 强调文字颜色 2 3 3 2" xfId="173"/>
    <cellStyle name="40% - 强调文字颜色 2 3 3 3" xfId="182"/>
    <cellStyle name="40% - 强调文字颜色 2 3 4" xfId="204"/>
    <cellStyle name="40% - 强调文字颜色 2 3 5" xfId="206"/>
    <cellStyle name="40% - 强调文字颜色 3 2" xfId="77"/>
    <cellStyle name="40% - 强调文字颜色 3 2 2" xfId="209"/>
    <cellStyle name="40% - 强调文字颜色 3 2 3" xfId="214"/>
    <cellStyle name="40% - 强调文字颜色 3 3" xfId="80"/>
    <cellStyle name="40% - 强调文字颜色 3 3 2" xfId="423"/>
    <cellStyle name="40% - 强调文字颜色 3 3 2 2" xfId="424"/>
    <cellStyle name="40% - 强调文字颜色 3 3 2 2 2" xfId="354"/>
    <cellStyle name="40% - 强调文字颜色 3 3 2 2 3" xfId="357"/>
    <cellStyle name="40% - 强调文字颜色 3 3 2 3" xfId="425"/>
    <cellStyle name="40% - 强调文字颜色 3 3 2 4" xfId="426"/>
    <cellStyle name="40% - 强调文字颜色 3 3 3" xfId="34"/>
    <cellStyle name="40% - 强调文字颜色 3 3 3 2" xfId="7"/>
    <cellStyle name="40% - 强调文字颜色 3 3 3 3" xfId="68"/>
    <cellStyle name="40% - 强调文字颜色 3 3 4" xfId="217"/>
    <cellStyle name="40% - 强调文字颜色 3 3 5" xfId="220"/>
    <cellStyle name="40% - 强调文字颜色 4 2" xfId="35"/>
    <cellStyle name="40% - 强调文字颜色 4 2 2" xfId="427"/>
    <cellStyle name="40% - 强调文字颜色 4 2 3" xfId="428"/>
    <cellStyle name="40% - 强调文字颜色 4 3" xfId="283"/>
    <cellStyle name="40% - 强调文字颜色 4 3 2" xfId="56"/>
    <cellStyle name="40% - 强调文字颜色 4 3 2 2" xfId="394"/>
    <cellStyle name="40% - 强调文字颜色 4 3 2 2 2" xfId="396"/>
    <cellStyle name="40% - 强调文字颜色 4 3 2 2 3" xfId="398"/>
    <cellStyle name="40% - 强调文字颜色 4 3 2 3" xfId="350"/>
    <cellStyle name="40% - 强调文字颜色 4 3 2 4" xfId="352"/>
    <cellStyle name="40% - 强调文字颜色 4 3 3" xfId="57"/>
    <cellStyle name="40% - 强调文字颜色 4 3 3 2" xfId="229"/>
    <cellStyle name="40% - 强调文字颜色 4 3 3 3" xfId="411"/>
    <cellStyle name="40% - 强调文字颜色 4 3 4" xfId="6"/>
    <cellStyle name="40% - 强调文字颜色 4 3 5" xfId="67"/>
    <cellStyle name="40% - 强调文字颜色 5 2" xfId="285"/>
    <cellStyle name="40% - 强调文字颜色 5 2 2" xfId="429"/>
    <cellStyle name="40% - 强调文字颜色 5 2 3" xfId="430"/>
    <cellStyle name="40% - 强调文字颜色 5 3" xfId="287"/>
    <cellStyle name="40% - 强调文字颜色 5 3 2" xfId="431"/>
    <cellStyle name="40% - 强调文字颜色 5 3 2 2" xfId="432"/>
    <cellStyle name="40% - 强调文字颜色 5 3 2 2 2" xfId="433"/>
    <cellStyle name="40% - 强调文字颜色 5 3 2 2 3" xfId="117"/>
    <cellStyle name="40% - 强调文字颜色 5 3 2 3" xfId="434"/>
    <cellStyle name="40% - 强调文字颜色 5 3 2 4" xfId="435"/>
    <cellStyle name="40% - 强调文字颜色 5 3 3" xfId="436"/>
    <cellStyle name="40% - 强调文字颜色 5 3 3 2" xfId="15"/>
    <cellStyle name="40% - 强调文字颜色 5 3 3 3" xfId="437"/>
    <cellStyle name="40% - 强调文字颜色 5 3 4" xfId="438"/>
    <cellStyle name="40% - 强调文字颜色 5 3 5" xfId="439"/>
    <cellStyle name="40% - 强调文字颜色 6 2" xfId="96"/>
    <cellStyle name="40% - 强调文字颜色 6 2 2" xfId="246"/>
    <cellStyle name="40% - 强调文字颜色 6 2 3" xfId="248"/>
    <cellStyle name="40% - 强调文字颜色 6 3" xfId="100"/>
    <cellStyle name="40% - 强调文字颜色 6 3 2" xfId="420"/>
    <cellStyle name="40% - 强调文字颜色 6 3 2 2" xfId="440"/>
    <cellStyle name="40% - 强调文字颜色 6 3 2 2 2" xfId="150"/>
    <cellStyle name="40% - 强调文字颜色 6 3 2 2 3" xfId="167"/>
    <cellStyle name="40% - 强调文字颜色 6 3 2 3" xfId="407"/>
    <cellStyle name="40% - 强调文字颜色 6 3 2 4" xfId="409"/>
    <cellStyle name="40% - 强调文字颜色 6 3 3" xfId="441"/>
    <cellStyle name="40% - 强调文字颜色 6 3 3 2" xfId="442"/>
    <cellStyle name="40% - 强调文字颜色 6 3 3 3" xfId="413"/>
    <cellStyle name="40% - 强调文字颜色 6 3 4" xfId="443"/>
    <cellStyle name="40% - 强调文字颜色 6 3 5" xfId="370"/>
    <cellStyle name="60% - 强调文字颜色 1 2" xfId="111"/>
    <cellStyle name="60% - 强调文字颜色 2 2" xfId="129"/>
    <cellStyle name="60% - 强调文字颜色 3 2" xfId="144"/>
    <cellStyle name="60% - 强调文字颜色 4 2" xfId="166"/>
    <cellStyle name="60% - 强调文字颜色 5 2" xfId="448"/>
    <cellStyle name="60% - 强调文字颜色 6 2" xfId="449"/>
    <cellStyle name="Commentaire 2" xfId="450"/>
    <cellStyle name="Commentaire 2 2" xfId="367"/>
    <cellStyle name="Commentaire 2 2 2" xfId="30"/>
    <cellStyle name="Commentaire 2 2 2 2" xfId="110"/>
    <cellStyle name="Commentaire 2 2 2 3" xfId="451"/>
    <cellStyle name="Commentaire 2 2 3" xfId="20"/>
    <cellStyle name="Commentaire 2 2 4" xfId="9"/>
    <cellStyle name="Commentaire 2 3" xfId="172"/>
    <cellStyle name="Commentaire 2 3 2" xfId="175"/>
    <cellStyle name="Commentaire 2 3 3" xfId="178"/>
    <cellStyle name="Commentaire 2 4" xfId="181"/>
    <cellStyle name="Commentaire 2 5" xfId="16"/>
    <cellStyle name="Normal 2" xfId="341"/>
    <cellStyle name="Normal 2 2" xfId="452"/>
    <cellStyle name="Normal 2 2 2" xfId="86"/>
    <cellStyle name="Normal 2 2 2 2" xfId="148"/>
    <cellStyle name="Normal 2 2 2 2 2" xfId="46"/>
    <cellStyle name="Normal 2 2 2 2 3" xfId="109"/>
    <cellStyle name="Normal 2 2 2 3" xfId="453"/>
    <cellStyle name="Normal 2 2 2 4" xfId="454"/>
    <cellStyle name="Normal 2 2 2_UMi-70GHz" xfId="219"/>
    <cellStyle name="Normal 2 2 3" xfId="237"/>
    <cellStyle name="Normal 2 2 3 2" xfId="455"/>
    <cellStyle name="Normal 2 2 3 3" xfId="456"/>
    <cellStyle name="Normal 2 2 4" xfId="331"/>
    <cellStyle name="Normal 2 2 5" xfId="335"/>
    <cellStyle name="Normal 2 2_UMi-70GHz" xfId="457"/>
    <cellStyle name="Normal 2 3" xfId="458"/>
    <cellStyle name="Normal 2 3 2" xfId="240"/>
    <cellStyle name="Normal 2 3 2 2" xfId="44"/>
    <cellStyle name="Normal 2 3 2 3" xfId="459"/>
    <cellStyle name="Normal 2 3 3" xfId="460"/>
    <cellStyle name="Normal 2 3 4" xfId="339"/>
    <cellStyle name="Normal 2 3_UMi-70GHz" xfId="387"/>
    <cellStyle name="Normal 2 4" xfId="461"/>
    <cellStyle name="Normal 2 4 2" xfId="462"/>
    <cellStyle name="Normal 2 4 3" xfId="53"/>
    <cellStyle name="Normal 2 5" xfId="378"/>
    <cellStyle name="Normal 2 6" xfId="380"/>
    <cellStyle name="Normal 2 7" xfId="8"/>
    <cellStyle name="Normal 2 8" xfId="463"/>
    <cellStyle name="Normal 2_UMi-70GHz" xfId="266"/>
    <cellStyle name="Normal 3" xfId="464"/>
    <cellStyle name="Normal 3 2" xfId="465"/>
    <cellStyle name="Normal 3 3" xfId="401"/>
    <cellStyle name="Normal 3 3 2" xfId="403"/>
    <cellStyle name="Normal 3 3 2 2" xfId="466"/>
    <cellStyle name="Normal 3 3 2 3" xfId="467"/>
    <cellStyle name="Normal 3 3 3" xfId="393"/>
    <cellStyle name="Normal 3 3 4" xfId="349"/>
    <cellStyle name="Normal 3 3_UMi-70GHz" xfId="141"/>
    <cellStyle name="Normal 3 4" xfId="222"/>
    <cellStyle name="Normal 3 4 2" xfId="225"/>
    <cellStyle name="Normal 3 4 3" xfId="228"/>
    <cellStyle name="Normal 3 5" xfId="62"/>
    <cellStyle name="Normal 3 6" xfId="49"/>
    <cellStyle name="Normal 3_UMi-70GHz" xfId="468"/>
    <cellStyle name="Normal 4" xfId="469"/>
    <cellStyle name="Normal 4 2" xfId="470"/>
    <cellStyle name="Normal 4 2 2" xfId="471"/>
    <cellStyle name="Normal 4 2 2 2" xfId="189"/>
    <cellStyle name="Normal 4 2 2 3" xfId="473"/>
    <cellStyle name="Normal 4 2 3" xfId="474"/>
    <cellStyle name="Normal 4 2 4" xfId="475"/>
    <cellStyle name="Normal 4 2_UMi-70GHz" xfId="476"/>
    <cellStyle name="Normal 4 3" xfId="477"/>
    <cellStyle name="Normal 4 3 2" xfId="478"/>
    <cellStyle name="Normal 4 3 3" xfId="479"/>
    <cellStyle name="Normal 4 4" xfId="480"/>
    <cellStyle name="Normal 4 5" xfId="481"/>
    <cellStyle name="Normal 4_UMi-70GHz" xfId="482"/>
    <cellStyle name="TableStyleLight1" xfId="483"/>
    <cellStyle name="TableStyleLight1 2" xfId="484"/>
    <cellStyle name="一般 2" xfId="519"/>
    <cellStyle name="一般 2 2" xfId="520"/>
    <cellStyle name="一般 2 3" xfId="521"/>
    <cellStyle name="一般 2_UMi-70GHz" xfId="522"/>
    <cellStyle name="一般 3" xfId="523"/>
    <cellStyle name="解释性文本 2" xfId="418"/>
    <cellStyle name="警告文本 2" xfId="508"/>
    <cellStyle name="好 2" xfId="505"/>
    <cellStyle name="好_UMi-70GHz" xfId="10"/>
    <cellStyle name="差 2" xfId="490"/>
    <cellStyle name="差_UMi-70GHz" xfId="491"/>
    <cellStyle name="集計" xfId="43" builtinId="25"/>
    <cellStyle name="常规 2" xfId="492"/>
    <cellStyle name="常规 3" xfId="493"/>
    <cellStyle name="常规 3 2" xfId="494"/>
    <cellStyle name="常规 3 2 2" xfId="495"/>
    <cellStyle name="常规 3 2 2 2" xfId="289"/>
    <cellStyle name="常规 3 2 2 3" xfId="496"/>
    <cellStyle name="常规 3 2 2 4" xfId="537"/>
    <cellStyle name="常规 3 2 2 4 2" xfId="539"/>
    <cellStyle name="常规 3 2 3" xfId="497"/>
    <cellStyle name="常规 3 2 4" xfId="498"/>
    <cellStyle name="常规 3 2 5" xfId="536"/>
    <cellStyle name="常规 3 2 5 2" xfId="538"/>
    <cellStyle name="常规 3 3" xfId="499"/>
    <cellStyle name="常规 3 3 2" xfId="500"/>
    <cellStyle name="常规 3 3 3" xfId="501"/>
    <cellStyle name="常规 3 4" xfId="502"/>
    <cellStyle name="常规 3 5" xfId="503"/>
    <cellStyle name="常规 4" xfId="504"/>
    <cellStyle name="常规 5" xfId="130"/>
    <cellStyle name="常规 6" xfId="535"/>
    <cellStyle name="注释 2" xfId="524"/>
    <cellStyle name="注释 2 2" xfId="525"/>
    <cellStyle name="注释 2 2 2" xfId="390"/>
    <cellStyle name="注释 2 2 2 2" xfId="526"/>
    <cellStyle name="注释 2 2 2 3" xfId="527"/>
    <cellStyle name="注释 2 2 3" xfId="528"/>
    <cellStyle name="注释 2 2 4" xfId="529"/>
    <cellStyle name="注释 2 3" xfId="530"/>
    <cellStyle name="注释 2 3 2" xfId="531"/>
    <cellStyle name="注释 2 3 3" xfId="532"/>
    <cellStyle name="注释 2 4" xfId="533"/>
    <cellStyle name="注释 2 5" xfId="534"/>
    <cellStyle name="標準" xfId="0" builtinId="0"/>
    <cellStyle name="强调文字颜色 1 2" xfId="510"/>
    <cellStyle name="强调文字颜色 2 2" xfId="511"/>
    <cellStyle name="强调文字颜色 3 2" xfId="512"/>
    <cellStyle name="强调文字颜色 4 2" xfId="513"/>
    <cellStyle name="强调文字颜色 5 2" xfId="514"/>
    <cellStyle name="强调文字颜色 6 2" xfId="515"/>
    <cellStyle name="标题 1 2" xfId="485"/>
    <cellStyle name="标题 2 2" xfId="486"/>
    <cellStyle name="标题 3 2" xfId="487"/>
    <cellStyle name="标题 4 2" xfId="488"/>
    <cellStyle name="标题 5" xfId="489"/>
    <cellStyle name="检查单元格 2" xfId="507"/>
    <cellStyle name="汇总 2" xfId="472"/>
    <cellStyle name="计算 2" xfId="506"/>
    <cellStyle name="输出 2" xfId="517"/>
    <cellStyle name="输入 2" xfId="518"/>
    <cellStyle name="适中 2" xfId="516"/>
    <cellStyle name="链接单元格 2" xfId="509"/>
  </cellStyles>
  <dxfs count="1">
    <dxf>
      <font>
        <color rgb="FF9C0006"/>
      </font>
      <fill>
        <patternFill patternType="solid">
          <bgColor rgb="FFFFC7CE"/>
        </patternFill>
      </fill>
    </dxf>
  </dxfs>
  <tableStyles count="0" defaultTableStyle="TableStyleMedium2" defaultPivotStyle="PivotStyleMedium9"/>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38100</xdr:colOff>
      <xdr:row>35</xdr:row>
      <xdr:rowOff>0</xdr:rowOff>
    </xdr:from>
    <xdr:to>
      <xdr:col>1</xdr:col>
      <xdr:colOff>600075</xdr:colOff>
      <xdr:row>35</xdr:row>
      <xdr:rowOff>19050</xdr:rowOff>
    </xdr:to>
    <xdr:pic>
      <xdr:nvPicPr>
        <xdr:cNvPr id="1026" name="Picture 2">
          <a:extLst>
            <a:ext uri="{FF2B5EF4-FFF2-40B4-BE49-F238E27FC236}">
              <a16:creationId xmlns=""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990725" y="14287500"/>
          <a:ext cx="561975" cy="19050"/>
        </a:xfrm>
        <a:prstGeom prst="rect">
          <a:avLst/>
        </a:prstGeom>
        <a:noFill/>
      </xdr:spPr>
    </xdr:pic>
    <xdr:clientData/>
  </xdr:twoCellAnchor>
  <xdr:twoCellAnchor>
    <xdr:from>
      <xdr:col>1</xdr:col>
      <xdr:colOff>38100</xdr:colOff>
      <xdr:row>35</xdr:row>
      <xdr:rowOff>0</xdr:rowOff>
    </xdr:from>
    <xdr:to>
      <xdr:col>1</xdr:col>
      <xdr:colOff>600075</xdr:colOff>
      <xdr:row>35</xdr:row>
      <xdr:rowOff>19050</xdr:rowOff>
    </xdr:to>
    <xdr:pic>
      <xdr:nvPicPr>
        <xdr:cNvPr id="3" name="Picture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990725" y="14287500"/>
          <a:ext cx="561975" cy="19050"/>
        </a:xfrm>
        <a:prstGeom prst="rect">
          <a:avLst/>
        </a:prstGeom>
        <a:noFill/>
      </xdr:spPr>
    </xdr:pic>
    <xdr:clientData/>
  </xdr:twoCellAnchor>
  <xdr:twoCellAnchor>
    <xdr:from>
      <xdr:col>1</xdr:col>
      <xdr:colOff>38100</xdr:colOff>
      <xdr:row>35</xdr:row>
      <xdr:rowOff>0</xdr:rowOff>
    </xdr:from>
    <xdr:to>
      <xdr:col>1</xdr:col>
      <xdr:colOff>600075</xdr:colOff>
      <xdr:row>35</xdr:row>
      <xdr:rowOff>19050</xdr:rowOff>
    </xdr:to>
    <xdr:pic>
      <xdr:nvPicPr>
        <xdr:cNvPr id="4" name="Picture 2">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990725" y="14287500"/>
          <a:ext cx="561975" cy="190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32</xdr:row>
      <xdr:rowOff>0</xdr:rowOff>
    </xdr:from>
    <xdr:to>
      <xdr:col>1</xdr:col>
      <xdr:colOff>600075</xdr:colOff>
      <xdr:row>32</xdr:row>
      <xdr:rowOff>19050</xdr:rowOff>
    </xdr:to>
    <xdr:pic>
      <xdr:nvPicPr>
        <xdr:cNvPr id="2" name="Picture 2">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2000250" y="9820275"/>
          <a:ext cx="561975" cy="19050"/>
        </a:xfrm>
        <a:prstGeom prst="rect">
          <a:avLst/>
        </a:prstGeom>
        <a:noFill/>
      </xdr:spPr>
    </xdr:pic>
    <xdr:clientData/>
  </xdr:twoCellAnchor>
  <xdr:twoCellAnchor>
    <xdr:from>
      <xdr:col>1</xdr:col>
      <xdr:colOff>38100</xdr:colOff>
      <xdr:row>32</xdr:row>
      <xdr:rowOff>0</xdr:rowOff>
    </xdr:from>
    <xdr:to>
      <xdr:col>1</xdr:col>
      <xdr:colOff>600075</xdr:colOff>
      <xdr:row>32</xdr:row>
      <xdr:rowOff>19050</xdr:rowOff>
    </xdr:to>
    <xdr:pic>
      <xdr:nvPicPr>
        <xdr:cNvPr id="3" name="Picture 2">
          <a:extLst>
            <a:ext uri="{FF2B5EF4-FFF2-40B4-BE49-F238E27FC236}">
              <a16:creationId xmlns=""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2000250" y="9820275"/>
          <a:ext cx="561975" cy="19050"/>
        </a:xfrm>
        <a:prstGeom prst="rect">
          <a:avLst/>
        </a:prstGeom>
        <a:noFill/>
      </xdr:spPr>
    </xdr:pic>
    <xdr:clientData/>
  </xdr:twoCellAnchor>
  <xdr:twoCellAnchor>
    <xdr:from>
      <xdr:col>1</xdr:col>
      <xdr:colOff>38100</xdr:colOff>
      <xdr:row>32</xdr:row>
      <xdr:rowOff>0</xdr:rowOff>
    </xdr:from>
    <xdr:to>
      <xdr:col>1</xdr:col>
      <xdr:colOff>600075</xdr:colOff>
      <xdr:row>32</xdr:row>
      <xdr:rowOff>19050</xdr:rowOff>
    </xdr:to>
    <xdr:pic>
      <xdr:nvPicPr>
        <xdr:cNvPr id="4" name="Picture 2">
          <a:extLst>
            <a:ext uri="{FF2B5EF4-FFF2-40B4-BE49-F238E27FC236}">
              <a16:creationId xmlns=""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2000250" y="9820275"/>
          <a:ext cx="561975" cy="190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58</xdr:row>
      <xdr:rowOff>9525</xdr:rowOff>
    </xdr:from>
    <xdr:to>
      <xdr:col>2</xdr:col>
      <xdr:colOff>590550</xdr:colOff>
      <xdr:row>59</xdr:row>
      <xdr:rowOff>180975</xdr:rowOff>
    </xdr:to>
    <xdr:pic>
      <xdr:nvPicPr>
        <xdr:cNvPr id="2" name="Picture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2686050" y="14458950"/>
          <a:ext cx="561975" cy="3524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53</xdr:row>
      <xdr:rowOff>9525</xdr:rowOff>
    </xdr:from>
    <xdr:to>
      <xdr:col>2</xdr:col>
      <xdr:colOff>590550</xdr:colOff>
      <xdr:row>54</xdr:row>
      <xdr:rowOff>180975</xdr:rowOff>
    </xdr:to>
    <xdr:pic>
      <xdr:nvPicPr>
        <xdr:cNvPr id="2" name="Picture 1">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2686050" y="13115925"/>
          <a:ext cx="561975" cy="352425"/>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printerSettings" Target="../printerSettings/printerSettings3.bin"/><Relationship Id="rId7"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4:E65"/>
  <sheetViews>
    <sheetView topLeftCell="A52" workbookViewId="0">
      <selection activeCell="H57" sqref="H57"/>
    </sheetView>
  </sheetViews>
  <sheetFormatPr defaultColWidth="9.44140625" defaultRowHeight="13.2"/>
  <cols>
    <col min="1" max="1" width="10.44140625" customWidth="1"/>
    <col min="2" max="2" width="13.5546875" customWidth="1"/>
    <col min="4" max="4" width="16" customWidth="1"/>
    <col min="5" max="5" width="62.44140625" style="195" customWidth="1"/>
  </cols>
  <sheetData>
    <row r="4" spans="2:5">
      <c r="B4" t="s">
        <v>0</v>
      </c>
      <c r="C4" t="s">
        <v>1</v>
      </c>
      <c r="D4" t="s">
        <v>2</v>
      </c>
      <c r="E4" s="195" t="s">
        <v>3</v>
      </c>
    </row>
    <row r="5" spans="2:5">
      <c r="B5" s="196" t="s">
        <v>4</v>
      </c>
      <c r="C5" s="18">
        <v>1</v>
      </c>
      <c r="D5" t="s">
        <v>5</v>
      </c>
      <c r="E5" s="195" t="s">
        <v>6</v>
      </c>
    </row>
    <row r="6" spans="2:5">
      <c r="B6" s="196" t="s">
        <v>7</v>
      </c>
      <c r="C6" s="18">
        <v>2</v>
      </c>
      <c r="D6" t="s">
        <v>8</v>
      </c>
      <c r="E6" s="195" t="s">
        <v>9</v>
      </c>
    </row>
    <row r="7" spans="2:5" ht="52.8">
      <c r="B7" s="196" t="s">
        <v>10</v>
      </c>
      <c r="C7" s="18">
        <v>3</v>
      </c>
      <c r="D7" t="s">
        <v>5</v>
      </c>
      <c r="E7" s="204" t="s">
        <v>675</v>
      </c>
    </row>
    <row r="8" spans="2:5">
      <c r="B8" s="196" t="s">
        <v>10</v>
      </c>
      <c r="C8" s="18">
        <v>4</v>
      </c>
      <c r="D8" t="s">
        <v>11</v>
      </c>
      <c r="E8" s="195" t="s">
        <v>12</v>
      </c>
    </row>
    <row r="9" spans="2:5">
      <c r="B9" s="196" t="s">
        <v>13</v>
      </c>
      <c r="C9" s="18">
        <v>5</v>
      </c>
      <c r="D9" t="s">
        <v>14</v>
      </c>
      <c r="E9" s="195" t="s">
        <v>12</v>
      </c>
    </row>
    <row r="10" spans="2:5">
      <c r="B10" s="196" t="s">
        <v>15</v>
      </c>
      <c r="C10" s="18">
        <v>6</v>
      </c>
      <c r="D10" t="s">
        <v>16</v>
      </c>
      <c r="E10" s="195" t="s">
        <v>12</v>
      </c>
    </row>
    <row r="11" spans="2:5">
      <c r="B11" s="196" t="s">
        <v>15</v>
      </c>
      <c r="C11" s="18">
        <v>7</v>
      </c>
      <c r="D11" t="s">
        <v>17</v>
      </c>
      <c r="E11" s="195" t="s">
        <v>18</v>
      </c>
    </row>
    <row r="12" spans="2:5" ht="19.350000000000001" customHeight="1">
      <c r="B12" s="196" t="s">
        <v>15</v>
      </c>
      <c r="C12" s="18">
        <v>8</v>
      </c>
      <c r="D12" t="s">
        <v>14</v>
      </c>
      <c r="E12" s="195" t="s">
        <v>19</v>
      </c>
    </row>
    <row r="13" spans="2:5">
      <c r="B13" s="196" t="s">
        <v>20</v>
      </c>
      <c r="C13" s="18">
        <v>9</v>
      </c>
      <c r="D13" t="s">
        <v>21</v>
      </c>
      <c r="E13" s="195" t="s">
        <v>12</v>
      </c>
    </row>
    <row r="14" spans="2:5">
      <c r="B14" s="196" t="s">
        <v>20</v>
      </c>
      <c r="C14" s="18">
        <v>10</v>
      </c>
      <c r="D14" t="s">
        <v>11</v>
      </c>
      <c r="E14" s="195" t="s">
        <v>22</v>
      </c>
    </row>
    <row r="15" spans="2:5">
      <c r="B15" s="196" t="s">
        <v>20</v>
      </c>
      <c r="C15" s="18">
        <v>11</v>
      </c>
      <c r="D15" t="s">
        <v>23</v>
      </c>
      <c r="E15" s="195" t="s">
        <v>12</v>
      </c>
    </row>
    <row r="16" spans="2:5">
      <c r="B16" s="196" t="s">
        <v>24</v>
      </c>
      <c r="C16" s="18">
        <v>12</v>
      </c>
      <c r="D16" t="s">
        <v>25</v>
      </c>
      <c r="E16" s="195" t="s">
        <v>12</v>
      </c>
    </row>
    <row r="17" spans="2:5">
      <c r="B17" s="196" t="s">
        <v>24</v>
      </c>
      <c r="C17" s="18">
        <v>13</v>
      </c>
      <c r="D17" t="s">
        <v>26</v>
      </c>
      <c r="E17" s="195" t="s">
        <v>12</v>
      </c>
    </row>
    <row r="18" spans="2:5">
      <c r="B18" s="196" t="s">
        <v>20</v>
      </c>
      <c r="C18" s="18">
        <v>14</v>
      </c>
      <c r="D18" t="s">
        <v>27</v>
      </c>
      <c r="E18" s="195" t="s">
        <v>12</v>
      </c>
    </row>
    <row r="19" spans="2:5">
      <c r="B19" s="196" t="s">
        <v>20</v>
      </c>
      <c r="C19" s="18">
        <v>15</v>
      </c>
      <c r="D19" t="s">
        <v>27</v>
      </c>
      <c r="E19" s="195" t="s">
        <v>28</v>
      </c>
    </row>
    <row r="20" spans="2:5">
      <c r="B20" s="196" t="s">
        <v>20</v>
      </c>
      <c r="C20" s="18">
        <v>16</v>
      </c>
      <c r="D20" t="s">
        <v>29</v>
      </c>
      <c r="E20" s="195" t="s">
        <v>12</v>
      </c>
    </row>
    <row r="21" spans="2:5">
      <c r="B21" s="196" t="s">
        <v>20</v>
      </c>
      <c r="C21" s="18">
        <v>17</v>
      </c>
      <c r="D21" t="s">
        <v>29</v>
      </c>
      <c r="E21" s="195" t="s">
        <v>12</v>
      </c>
    </row>
    <row r="22" spans="2:5">
      <c r="B22" s="197" t="s">
        <v>24</v>
      </c>
      <c r="C22" s="198">
        <v>18</v>
      </c>
      <c r="D22" s="48" t="s">
        <v>30</v>
      </c>
      <c r="E22" s="48" t="s">
        <v>12</v>
      </c>
    </row>
    <row r="23" spans="2:5">
      <c r="B23" s="196" t="s">
        <v>31</v>
      </c>
      <c r="C23" s="198">
        <v>19</v>
      </c>
      <c r="D23" s="48" t="s">
        <v>32</v>
      </c>
      <c r="E23" s="195" t="s">
        <v>33</v>
      </c>
    </row>
    <row r="24" spans="2:5">
      <c r="B24" s="196" t="s">
        <v>34</v>
      </c>
      <c r="C24" s="18">
        <v>20</v>
      </c>
      <c r="D24" s="48" t="s">
        <v>35</v>
      </c>
      <c r="E24" s="195" t="s">
        <v>12</v>
      </c>
    </row>
    <row r="25" spans="2:5">
      <c r="B25" s="196" t="s">
        <v>34</v>
      </c>
      <c r="C25" s="18">
        <v>21</v>
      </c>
      <c r="D25" s="48" t="s">
        <v>36</v>
      </c>
      <c r="E25" s="195" t="s">
        <v>12</v>
      </c>
    </row>
    <row r="26" spans="2:5">
      <c r="B26" s="196" t="s">
        <v>34</v>
      </c>
      <c r="C26" s="18">
        <v>22</v>
      </c>
      <c r="D26" s="48" t="s">
        <v>32</v>
      </c>
      <c r="E26" s="195" t="s">
        <v>37</v>
      </c>
    </row>
    <row r="27" spans="2:5" ht="39.6">
      <c r="B27" s="196" t="s">
        <v>34</v>
      </c>
      <c r="C27" s="18">
        <v>23</v>
      </c>
      <c r="D27" t="s">
        <v>5</v>
      </c>
      <c r="E27" s="195" t="s">
        <v>38</v>
      </c>
    </row>
    <row r="28" spans="2:5">
      <c r="B28" s="196" t="s">
        <v>34</v>
      </c>
      <c r="C28" s="18">
        <v>24</v>
      </c>
      <c r="D28" s="48" t="s">
        <v>39</v>
      </c>
      <c r="E28" s="195" t="s">
        <v>18</v>
      </c>
    </row>
    <row r="29" spans="2:5">
      <c r="B29" s="196" t="s">
        <v>40</v>
      </c>
      <c r="C29" s="18">
        <v>25</v>
      </c>
      <c r="D29" s="48" t="s">
        <v>27</v>
      </c>
      <c r="E29" s="195" t="s">
        <v>41</v>
      </c>
    </row>
    <row r="30" spans="2:5">
      <c r="B30" s="196" t="s">
        <v>42</v>
      </c>
      <c r="C30" s="18">
        <v>26</v>
      </c>
      <c r="D30" s="48" t="s">
        <v>43</v>
      </c>
      <c r="E30" s="195" t="s">
        <v>44</v>
      </c>
    </row>
    <row r="31" spans="2:5">
      <c r="B31" s="196" t="s">
        <v>45</v>
      </c>
      <c r="C31" s="18">
        <v>27</v>
      </c>
      <c r="D31" s="48" t="s">
        <v>17</v>
      </c>
      <c r="E31" s="195" t="s">
        <v>46</v>
      </c>
    </row>
    <row r="32" spans="2:5" ht="26.4">
      <c r="B32" s="196" t="s">
        <v>45</v>
      </c>
      <c r="C32" s="18">
        <v>28</v>
      </c>
      <c r="D32" t="s">
        <v>16</v>
      </c>
      <c r="E32" s="195" t="s">
        <v>47</v>
      </c>
    </row>
    <row r="33" spans="2:5">
      <c r="B33" s="196" t="s">
        <v>45</v>
      </c>
      <c r="C33" s="18">
        <v>29</v>
      </c>
      <c r="D33" t="s">
        <v>32</v>
      </c>
    </row>
    <row r="34" spans="2:5">
      <c r="B34" s="196" t="s">
        <v>48</v>
      </c>
      <c r="C34" s="18">
        <v>30</v>
      </c>
      <c r="D34" t="s">
        <v>11</v>
      </c>
      <c r="E34" s="195" t="s">
        <v>46</v>
      </c>
    </row>
    <row r="35" spans="2:5" ht="52.8">
      <c r="B35" s="199" t="s">
        <v>49</v>
      </c>
      <c r="C35" s="18">
        <v>31</v>
      </c>
      <c r="D35" s="18" t="s">
        <v>5</v>
      </c>
      <c r="E35" s="195" t="s">
        <v>50</v>
      </c>
    </row>
    <row r="36" spans="2:5">
      <c r="B36" s="196" t="s">
        <v>51</v>
      </c>
      <c r="C36" s="18">
        <v>32</v>
      </c>
      <c r="D36" t="s">
        <v>29</v>
      </c>
      <c r="E36" s="195" t="s">
        <v>37</v>
      </c>
    </row>
    <row r="37" spans="2:5">
      <c r="B37" s="196" t="s">
        <v>51</v>
      </c>
      <c r="C37" s="18">
        <v>33</v>
      </c>
      <c r="D37" t="s">
        <v>16</v>
      </c>
      <c r="E37" s="195" t="s">
        <v>52</v>
      </c>
    </row>
    <row r="38" spans="2:5">
      <c r="B38" s="196" t="s">
        <v>51</v>
      </c>
      <c r="C38" s="18">
        <v>34</v>
      </c>
      <c r="D38" t="s">
        <v>11</v>
      </c>
      <c r="E38" s="195" t="s">
        <v>53</v>
      </c>
    </row>
    <row r="39" spans="2:5">
      <c r="B39" s="195" t="s">
        <v>51</v>
      </c>
      <c r="C39" s="195">
        <v>35</v>
      </c>
      <c r="D39" s="195" t="s">
        <v>21</v>
      </c>
      <c r="E39" s="195" t="s">
        <v>54</v>
      </c>
    </row>
    <row r="40" spans="2:5">
      <c r="B40" s="196" t="s">
        <v>55</v>
      </c>
      <c r="C40" s="18">
        <v>36</v>
      </c>
      <c r="D40" t="s">
        <v>39</v>
      </c>
      <c r="E40" s="195" t="s">
        <v>37</v>
      </c>
    </row>
    <row r="41" spans="2:5">
      <c r="B41" s="196" t="s">
        <v>56</v>
      </c>
      <c r="C41" s="18">
        <v>37</v>
      </c>
      <c r="D41" t="s">
        <v>32</v>
      </c>
      <c r="E41" s="195" t="s">
        <v>57</v>
      </c>
    </row>
    <row r="42" spans="2:5" ht="39.6">
      <c r="B42" s="196" t="s">
        <v>56</v>
      </c>
      <c r="C42" s="18">
        <v>38</v>
      </c>
      <c r="D42" t="s">
        <v>5</v>
      </c>
      <c r="E42" s="204" t="s">
        <v>676</v>
      </c>
    </row>
    <row r="43" spans="2:5" ht="39.6">
      <c r="B43" s="196" t="s">
        <v>58</v>
      </c>
      <c r="C43" s="18">
        <v>39</v>
      </c>
      <c r="D43" t="s">
        <v>5</v>
      </c>
      <c r="E43" s="195" t="s">
        <v>59</v>
      </c>
    </row>
    <row r="44" spans="2:5">
      <c r="B44" s="196" t="s">
        <v>60</v>
      </c>
      <c r="C44" s="18">
        <v>40</v>
      </c>
      <c r="D44" t="s">
        <v>5</v>
      </c>
      <c r="E44" s="195" t="s">
        <v>61</v>
      </c>
    </row>
    <row r="45" spans="2:5">
      <c r="B45" s="196" t="s">
        <v>60</v>
      </c>
      <c r="C45" s="18">
        <v>41</v>
      </c>
      <c r="D45" t="s">
        <v>5</v>
      </c>
      <c r="E45" s="195" t="s">
        <v>62</v>
      </c>
    </row>
    <row r="46" spans="2:5">
      <c r="B46" s="201" t="s">
        <v>515</v>
      </c>
      <c r="C46" s="18">
        <v>42</v>
      </c>
      <c r="D46" s="202" t="s">
        <v>516</v>
      </c>
      <c r="E46" s="204" t="s">
        <v>517</v>
      </c>
    </row>
    <row r="47" spans="2:5">
      <c r="B47" s="201" t="s">
        <v>520</v>
      </c>
      <c r="C47" s="203">
        <v>43</v>
      </c>
      <c r="D47" s="202" t="s">
        <v>521</v>
      </c>
      <c r="E47" s="195" t="s">
        <v>522</v>
      </c>
    </row>
    <row r="48" spans="2:5">
      <c r="B48" s="196" t="s">
        <v>523</v>
      </c>
      <c r="C48" s="205">
        <v>44</v>
      </c>
      <c r="D48" t="s">
        <v>524</v>
      </c>
      <c r="E48" s="195" t="s">
        <v>525</v>
      </c>
    </row>
    <row r="49" spans="2:5">
      <c r="B49" s="196" t="s">
        <v>523</v>
      </c>
      <c r="C49" s="207">
        <v>45</v>
      </c>
      <c r="D49" s="48" t="s">
        <v>43</v>
      </c>
      <c r="E49" s="204" t="s">
        <v>526</v>
      </c>
    </row>
    <row r="50" spans="2:5">
      <c r="B50" s="196" t="s">
        <v>527</v>
      </c>
      <c r="C50" s="209">
        <v>46</v>
      </c>
      <c r="D50" t="s">
        <v>5</v>
      </c>
      <c r="E50" s="204" t="s">
        <v>528</v>
      </c>
    </row>
    <row r="51" spans="2:5" ht="52.8">
      <c r="B51" s="201" t="s">
        <v>748</v>
      </c>
      <c r="C51" s="211">
        <v>47</v>
      </c>
      <c r="D51" t="s">
        <v>532</v>
      </c>
      <c r="E51" s="204" t="s">
        <v>677</v>
      </c>
    </row>
    <row r="52" spans="2:5" ht="79.2">
      <c r="B52" s="196" t="s">
        <v>541</v>
      </c>
      <c r="C52" s="215" t="s">
        <v>542</v>
      </c>
      <c r="D52" t="s">
        <v>5</v>
      </c>
      <c r="E52" s="204" t="s">
        <v>674</v>
      </c>
    </row>
    <row r="53" spans="2:5" ht="26.4">
      <c r="B53" s="196" t="s">
        <v>678</v>
      </c>
      <c r="C53" t="s">
        <v>679</v>
      </c>
      <c r="D53" t="s">
        <v>680</v>
      </c>
      <c r="E53" s="195" t="s">
        <v>683</v>
      </c>
    </row>
    <row r="54" spans="2:5" ht="26.4">
      <c r="B54" s="201" t="s">
        <v>685</v>
      </c>
      <c r="C54" t="s">
        <v>684</v>
      </c>
      <c r="D54" s="202" t="s">
        <v>686</v>
      </c>
      <c r="E54" s="204" t="s">
        <v>745</v>
      </c>
    </row>
    <row r="55" spans="2:5" ht="145.19999999999999">
      <c r="B55" s="201" t="s">
        <v>698</v>
      </c>
      <c r="C55" s="277" t="s">
        <v>699</v>
      </c>
      <c r="D55" s="202" t="s">
        <v>700</v>
      </c>
      <c r="E55" s="204" t="s">
        <v>706</v>
      </c>
    </row>
    <row r="56" spans="2:5">
      <c r="B56" s="201" t="s">
        <v>708</v>
      </c>
      <c r="C56" s="202" t="s">
        <v>707</v>
      </c>
      <c r="D56" t="s">
        <v>21</v>
      </c>
      <c r="E56" s="204" t="s">
        <v>744</v>
      </c>
    </row>
    <row r="57" spans="2:5" ht="26.4">
      <c r="B57" s="201" t="s">
        <v>741</v>
      </c>
      <c r="C57" s="202" t="s">
        <v>742</v>
      </c>
      <c r="D57" s="202" t="s">
        <v>743</v>
      </c>
      <c r="E57" s="204" t="s">
        <v>746</v>
      </c>
    </row>
    <row r="58" spans="2:5">
      <c r="B58" s="196" t="s">
        <v>749</v>
      </c>
      <c r="C58" t="s">
        <v>750</v>
      </c>
      <c r="D58" s="202" t="s">
        <v>17</v>
      </c>
      <c r="E58" s="195" t="s">
        <v>751</v>
      </c>
    </row>
    <row r="59" spans="2:5">
      <c r="B59" s="201" t="s">
        <v>762</v>
      </c>
      <c r="C59" s="202" t="s">
        <v>763</v>
      </c>
      <c r="D59" s="202" t="s">
        <v>764</v>
      </c>
      <c r="E59" s="195" t="s">
        <v>751</v>
      </c>
    </row>
    <row r="60" spans="2:5">
      <c r="B60" s="201" t="s">
        <v>790</v>
      </c>
      <c r="C60" s="202" t="s">
        <v>791</v>
      </c>
      <c r="D60" s="202" t="s">
        <v>39</v>
      </c>
      <c r="E60" s="204" t="s">
        <v>751</v>
      </c>
    </row>
    <row r="61" spans="2:5" ht="26.4">
      <c r="B61" s="201" t="s">
        <v>792</v>
      </c>
      <c r="C61" s="202" t="s">
        <v>795</v>
      </c>
      <c r="D61" s="202" t="s">
        <v>793</v>
      </c>
      <c r="E61" s="204" t="s">
        <v>794</v>
      </c>
    </row>
    <row r="62" spans="2:5">
      <c r="B62" s="202" t="s">
        <v>799</v>
      </c>
      <c r="C62" s="202" t="s">
        <v>800</v>
      </c>
      <c r="D62" s="202" t="s">
        <v>8</v>
      </c>
      <c r="E62" s="204" t="s">
        <v>801</v>
      </c>
    </row>
    <row r="63" spans="2:5" ht="26.4">
      <c r="B63" s="326" t="s">
        <v>804</v>
      </c>
      <c r="C63" s="324" t="s">
        <v>806</v>
      </c>
      <c r="D63" s="324" t="s">
        <v>805</v>
      </c>
      <c r="E63" s="327" t="s">
        <v>807</v>
      </c>
    </row>
    <row r="64" spans="2:5" ht="26.4">
      <c r="B64" s="201" t="s">
        <v>808</v>
      </c>
      <c r="C64" s="202" t="s">
        <v>809</v>
      </c>
      <c r="D64" s="202" t="s">
        <v>521</v>
      </c>
      <c r="E64" s="204" t="s">
        <v>1007</v>
      </c>
    </row>
    <row r="65" spans="2:5" ht="26.4">
      <c r="B65" s="201" t="s">
        <v>1078</v>
      </c>
      <c r="C65" s="202" t="s">
        <v>1079</v>
      </c>
      <c r="D65" s="202" t="s">
        <v>521</v>
      </c>
      <c r="E65" s="204" t="s">
        <v>1080</v>
      </c>
    </row>
  </sheetData>
  <customSheetViews>
    <customSheetView guid="{35BB8162-AD08-4F19-B47C-5A1FD7B0567B}" topLeftCell="A37">
      <selection activeCell="J55" sqref="J55"/>
      <pageMargins left="0.69930555555555596" right="0.69930555555555596" top="0.75" bottom="0.75" header="0.3" footer="0.3"/>
      <pageSetup paperSize="9" orientation="portrait"/>
    </customSheetView>
    <customSheetView guid="{0F2BBD7E-9334-44AA-B170-23CF20E0BAAC}" topLeftCell="A46">
      <selection activeCell="I55" sqref="I55"/>
      <pageMargins left="0.69930555555555596" right="0.69930555555555596" top="0.75" bottom="0.75" header="0.3" footer="0.3"/>
      <pageSetup paperSize="9" orientation="portrait"/>
    </customSheetView>
    <customSheetView guid="{02347D80-63DB-496D-935F-2CF95DC088FE}" topLeftCell="A46">
      <selection activeCell="E52" sqref="E52"/>
      <pageMargins left="0.69930555555555596" right="0.69930555555555596" top="0.75" bottom="0.75" header="0.3" footer="0.3"/>
      <pageSetup paperSize="9" orientation="portrait"/>
    </customSheetView>
    <customSheetView guid="{0EBD1C52-A862-496E-88D9-4B6EAB1093EB}" topLeftCell="A40">
      <selection activeCell="E60" sqref="E60"/>
      <pageMargins left="0.69930555555555596" right="0.69930555555555596" top="0.75" bottom="0.75" header="0.3" footer="0.3"/>
      <pageSetup paperSize="9" orientation="portrait"/>
    </customSheetView>
    <customSheetView guid="{279B0F34-BE9C-4778-A036-3ED8EAAF78FA}" topLeftCell="A49">
      <selection activeCell="E59" sqref="E59"/>
      <pageMargins left="0.69930555555555596" right="0.69930555555555596" top="0.75" bottom="0.75" header="0.3" footer="0.3"/>
      <pageSetup paperSize="9" orientation="portrait"/>
    </customSheetView>
    <customSheetView guid="{FE13EA77-3511-4AB1-99FB-5446425992B9}" topLeftCell="A49">
      <selection activeCell="E63" sqref="E63"/>
      <pageMargins left="0.69930555555555596" right="0.69930555555555596" top="0.75" bottom="0.75" header="0.3" footer="0.3"/>
      <pageSetup paperSize="9" orientation="portrait"/>
    </customSheetView>
    <customSheetView guid="{15D5C299-761A-4CBF-AA27-B17032FC4CEB}" topLeftCell="A49">
      <selection activeCell="I61" sqref="I60:I61"/>
      <pageMargins left="0.69930555555555596" right="0.69930555555555596" top="0.75" bottom="0.75" header="0.3" footer="0.3"/>
      <pageSetup paperSize="9" orientation="portrait"/>
    </customSheetView>
  </customSheetViews>
  <phoneticPr fontId="15"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A182"/>
  <sheetViews>
    <sheetView zoomScale="70" zoomScaleNormal="70" workbookViewId="0">
      <pane xSplit="8" ySplit="1" topLeftCell="I2" activePane="bottomRight" state="frozen"/>
      <selection pane="topRight" activeCell="I1" sqref="I1"/>
      <selection pane="bottomLeft" activeCell="A2" sqref="A2"/>
      <selection pane="bottomRight" activeCell="I1" sqref="I1:I1048576"/>
    </sheetView>
  </sheetViews>
  <sheetFormatPr defaultColWidth="9.44140625" defaultRowHeight="13.2"/>
  <cols>
    <col min="1" max="1" width="10.44140625" style="3" customWidth="1"/>
    <col min="2" max="2" width="6.5546875" style="3" customWidth="1"/>
    <col min="3" max="3" width="26.44140625" style="3" customWidth="1"/>
    <col min="4" max="4" width="24.44140625" style="3" customWidth="1"/>
    <col min="5" max="5" width="11.44140625" style="3" customWidth="1"/>
    <col min="6" max="6" width="9.44140625" style="3" customWidth="1"/>
    <col min="7" max="7" width="16.44140625" style="3" customWidth="1"/>
    <col min="8" max="8" width="7.44140625" style="3" customWidth="1"/>
    <col min="9" max="27" width="9.44140625" style="3" customWidth="1"/>
    <col min="28" max="16384" width="9.44140625" style="3"/>
  </cols>
  <sheetData>
    <row r="1" spans="1:27" s="1" customFormat="1" ht="49.5" customHeight="1">
      <c r="A1" s="4" t="s">
        <v>456</v>
      </c>
      <c r="B1" s="1" t="s">
        <v>457</v>
      </c>
      <c r="C1" s="1" t="s">
        <v>458</v>
      </c>
      <c r="D1" s="5" t="s">
        <v>459</v>
      </c>
      <c r="E1" s="1" t="s">
        <v>80</v>
      </c>
      <c r="F1" s="1" t="s">
        <v>98</v>
      </c>
      <c r="G1" s="427" t="s">
        <v>460</v>
      </c>
      <c r="H1" s="427"/>
      <c r="I1" s="1" t="s">
        <v>17</v>
      </c>
      <c r="J1" s="1" t="s">
        <v>5</v>
      </c>
      <c r="K1" s="1" t="s">
        <v>25</v>
      </c>
      <c r="L1" s="1" t="s">
        <v>21</v>
      </c>
      <c r="M1" s="1" t="s">
        <v>461</v>
      </c>
      <c r="N1" s="1" t="s">
        <v>462</v>
      </c>
      <c r="O1" s="1" t="s">
        <v>463</v>
      </c>
      <c r="P1" s="1" t="s">
        <v>1081</v>
      </c>
      <c r="S1" s="4" t="s">
        <v>464</v>
      </c>
      <c r="T1" s="1" t="s">
        <v>17</v>
      </c>
      <c r="U1" s="1" t="s">
        <v>5</v>
      </c>
      <c r="V1" s="1" t="s">
        <v>25</v>
      </c>
      <c r="W1" s="1" t="s">
        <v>21</v>
      </c>
      <c r="X1" s="1" t="s">
        <v>461</v>
      </c>
      <c r="Y1" s="1" t="s">
        <v>462</v>
      </c>
      <c r="Z1" s="1" t="s">
        <v>463</v>
      </c>
      <c r="AA1" s="1" t="s">
        <v>1103</v>
      </c>
    </row>
    <row r="2" spans="1:27">
      <c r="A2" s="428" t="s">
        <v>465</v>
      </c>
      <c r="B2" s="6" t="s">
        <v>72</v>
      </c>
      <c r="C2" s="6"/>
      <c r="D2" s="6"/>
      <c r="E2" s="6"/>
      <c r="F2" s="6"/>
      <c r="G2" s="6"/>
      <c r="H2" s="6"/>
      <c r="I2" s="11"/>
      <c r="J2" s="11"/>
      <c r="K2" s="11"/>
      <c r="L2" s="11"/>
      <c r="M2" s="11"/>
      <c r="N2" s="11"/>
      <c r="O2" s="11"/>
      <c r="P2" s="11"/>
      <c r="S2" s="428" t="s">
        <v>465</v>
      </c>
      <c r="T2" s="11"/>
      <c r="U2" s="11"/>
      <c r="V2" s="11"/>
      <c r="W2" s="11"/>
      <c r="X2" s="11"/>
      <c r="Y2" s="11"/>
      <c r="Z2" s="11"/>
      <c r="AA2" s="11"/>
    </row>
    <row r="3" spans="1:27" ht="48.75" customHeight="1">
      <c r="A3" s="428"/>
      <c r="B3" s="3" t="s">
        <v>466</v>
      </c>
      <c r="C3" s="3" t="s">
        <v>467</v>
      </c>
      <c r="D3" s="3" t="s">
        <v>468</v>
      </c>
      <c r="E3" s="3" t="s">
        <v>469</v>
      </c>
      <c r="G3" s="3" t="s">
        <v>470</v>
      </c>
      <c r="H3" s="3">
        <v>7.8</v>
      </c>
      <c r="J3" s="3">
        <v>11.450000000000001</v>
      </c>
      <c r="M3" s="3">
        <f>AVERAGE(I3:L3)</f>
        <v>11.450000000000001</v>
      </c>
      <c r="O3" s="3">
        <f>COUNT(I3:L3)</f>
        <v>1</v>
      </c>
      <c r="P3" s="3" t="s">
        <v>1082</v>
      </c>
      <c r="S3" s="428"/>
      <c r="T3" s="3">
        <v>10.183</v>
      </c>
      <c r="U3" s="3">
        <v>11.417</v>
      </c>
      <c r="X3" s="3">
        <f>AVERAGE(T3:W3)</f>
        <v>10.8</v>
      </c>
      <c r="Y3" s="3">
        <f>_xlfn.STDEV.S(T3:W3)</f>
        <v>0.87256976798419961</v>
      </c>
      <c r="Z3" s="3">
        <f>COUNT(T3:W3)</f>
        <v>2</v>
      </c>
      <c r="AA3" s="3" t="s">
        <v>1104</v>
      </c>
    </row>
    <row r="4" spans="1:27" ht="26.4">
      <c r="A4" s="428"/>
      <c r="G4" s="8" t="s">
        <v>471</v>
      </c>
      <c r="H4" s="8">
        <v>0.22500000000000001</v>
      </c>
      <c r="I4" s="8"/>
      <c r="J4" s="8">
        <v>0.376</v>
      </c>
      <c r="K4" s="8"/>
      <c r="L4" s="8"/>
      <c r="M4" s="8">
        <f>AVERAGE(I4:L4)</f>
        <v>0.376</v>
      </c>
      <c r="N4" s="8"/>
      <c r="O4" s="8">
        <f>COUNT(I4:L4)</f>
        <v>1</v>
      </c>
      <c r="P4" s="8" t="s">
        <v>1083</v>
      </c>
      <c r="S4" s="428"/>
      <c r="T4" s="232">
        <v>0.38200000000000001</v>
      </c>
      <c r="U4" s="232">
        <v>0.379</v>
      </c>
      <c r="V4" s="232"/>
      <c r="W4" s="232"/>
      <c r="X4" s="232">
        <f>AVERAGE(T4:W4)</f>
        <v>0.3805</v>
      </c>
      <c r="Y4" s="232">
        <f>_xlfn.STDEV.S(T4:W4)</f>
        <v>2.1213203435596446E-3</v>
      </c>
      <c r="Z4" s="232">
        <f>COUNT(T4:W4)</f>
        <v>2</v>
      </c>
      <c r="AA4" s="232" t="s">
        <v>1104</v>
      </c>
    </row>
    <row r="5" spans="1:27">
      <c r="A5" s="428"/>
      <c r="S5" s="428"/>
    </row>
    <row r="6" spans="1:27" ht="48.75" customHeight="1">
      <c r="A6" s="428"/>
      <c r="B6" s="3" t="s">
        <v>466</v>
      </c>
      <c r="C6" s="3" t="s">
        <v>467</v>
      </c>
      <c r="D6" s="3" t="s">
        <v>472</v>
      </c>
      <c r="E6" s="3" t="s">
        <v>469</v>
      </c>
      <c r="G6" s="3" t="s">
        <v>470</v>
      </c>
      <c r="H6" s="3">
        <v>7.8</v>
      </c>
      <c r="K6" s="3">
        <v>11.31</v>
      </c>
      <c r="M6" s="3">
        <f>AVERAGE(I6:L6)</f>
        <v>11.31</v>
      </c>
      <c r="O6" s="3">
        <f>COUNT(I6:L6)</f>
        <v>1</v>
      </c>
      <c r="P6" s="3" t="s">
        <v>1084</v>
      </c>
      <c r="S6" s="428"/>
      <c r="Z6" s="3">
        <f>COUNT(T6:W6)</f>
        <v>0</v>
      </c>
      <c r="AA6" s="3" t="s">
        <v>1105</v>
      </c>
    </row>
    <row r="7" spans="1:27" ht="26.4">
      <c r="A7" s="428"/>
      <c r="G7" s="8" t="s">
        <v>471</v>
      </c>
      <c r="H7" s="8">
        <v>0.22500000000000001</v>
      </c>
      <c r="I7" s="8"/>
      <c r="J7" s="8"/>
      <c r="K7" s="8">
        <v>0.46600000000000003</v>
      </c>
      <c r="L7" s="8"/>
      <c r="M7" s="8">
        <f>AVERAGE(I7:L7)</f>
        <v>0.46600000000000003</v>
      </c>
      <c r="N7" s="8"/>
      <c r="O7" s="8">
        <f>COUNT(I7:L7)</f>
        <v>1</v>
      </c>
      <c r="P7" s="8" t="s">
        <v>1085</v>
      </c>
      <c r="S7" s="428"/>
      <c r="T7" s="232"/>
      <c r="U7" s="232"/>
      <c r="V7" s="232"/>
      <c r="W7" s="232"/>
      <c r="X7" s="232"/>
      <c r="Y7" s="232"/>
      <c r="Z7" s="232">
        <f>COUNT(T7:W7)</f>
        <v>0</v>
      </c>
      <c r="AA7" s="232" t="s">
        <v>1105</v>
      </c>
    </row>
    <row r="8" spans="1:27">
      <c r="A8" s="428"/>
      <c r="S8" s="428"/>
    </row>
    <row r="9" spans="1:27" ht="39.6">
      <c r="A9" s="428"/>
      <c r="B9" s="3" t="s">
        <v>466</v>
      </c>
      <c r="C9" s="3" t="s">
        <v>473</v>
      </c>
      <c r="D9" s="9" t="s">
        <v>474</v>
      </c>
      <c r="E9" s="3" t="s">
        <v>469</v>
      </c>
      <c r="G9" s="3" t="s">
        <v>470</v>
      </c>
      <c r="H9" s="3">
        <v>7.8</v>
      </c>
      <c r="O9" s="3">
        <f>COUNT(I9:L9)</f>
        <v>0</v>
      </c>
      <c r="P9" s="3" t="s">
        <v>1086</v>
      </c>
      <c r="S9" s="428"/>
      <c r="Z9" s="3">
        <f>COUNT(T9:W9)</f>
        <v>0</v>
      </c>
      <c r="AA9" s="3" t="s">
        <v>1105</v>
      </c>
    </row>
    <row r="10" spans="1:27" ht="26.4">
      <c r="A10" s="428"/>
      <c r="G10" s="8" t="s">
        <v>471</v>
      </c>
      <c r="H10" s="8">
        <v>0.22500000000000001</v>
      </c>
      <c r="I10" s="8"/>
      <c r="J10" s="8"/>
      <c r="K10" s="8"/>
      <c r="L10" s="8"/>
      <c r="M10" s="8"/>
      <c r="N10" s="8"/>
      <c r="O10" s="8">
        <f>COUNT(I10:L10)</f>
        <v>0</v>
      </c>
      <c r="P10" s="8" t="s">
        <v>1087</v>
      </c>
      <c r="S10" s="428"/>
      <c r="T10" s="232"/>
      <c r="U10" s="232"/>
      <c r="V10" s="232"/>
      <c r="W10" s="232"/>
      <c r="X10" s="232"/>
      <c r="Y10" s="232"/>
      <c r="Z10" s="232">
        <f>COUNT(T10:W10)</f>
        <v>0</v>
      </c>
      <c r="AA10" s="232" t="s">
        <v>1105</v>
      </c>
    </row>
    <row r="11" spans="1:27">
      <c r="A11" s="428"/>
      <c r="S11" s="428"/>
    </row>
    <row r="12" spans="1:27" ht="39.6">
      <c r="A12" s="428"/>
      <c r="B12" s="3" t="s">
        <v>466</v>
      </c>
      <c r="C12" s="3" t="s">
        <v>475</v>
      </c>
      <c r="D12" s="9" t="s">
        <v>474</v>
      </c>
      <c r="E12" s="3" t="s">
        <v>469</v>
      </c>
      <c r="G12" s="3" t="s">
        <v>470</v>
      </c>
      <c r="H12" s="3">
        <v>7.8</v>
      </c>
      <c r="O12" s="3">
        <f>COUNT(I12:L12)</f>
        <v>0</v>
      </c>
      <c r="P12" s="3" t="s">
        <v>1086</v>
      </c>
      <c r="S12" s="428"/>
      <c r="Z12" s="3">
        <f>COUNT(T12:W12)</f>
        <v>0</v>
      </c>
      <c r="AA12" s="3" t="s">
        <v>1105</v>
      </c>
    </row>
    <row r="13" spans="1:27" ht="26.4">
      <c r="A13" s="428"/>
      <c r="G13" s="8" t="s">
        <v>471</v>
      </c>
      <c r="H13" s="8">
        <v>0.22500000000000001</v>
      </c>
      <c r="I13" s="8"/>
      <c r="J13" s="8"/>
      <c r="K13" s="8"/>
      <c r="L13" s="8"/>
      <c r="M13" s="8"/>
      <c r="N13" s="8"/>
      <c r="O13" s="8">
        <f>COUNT(I13:L13)</f>
        <v>0</v>
      </c>
      <c r="P13" s="8" t="s">
        <v>1088</v>
      </c>
      <c r="S13" s="428"/>
      <c r="T13" s="232"/>
      <c r="U13" s="232"/>
      <c r="V13" s="232"/>
      <c r="W13" s="232"/>
      <c r="X13" s="232"/>
      <c r="Y13" s="232"/>
      <c r="Z13" s="232">
        <f>COUNT(T13:W13)</f>
        <v>0</v>
      </c>
      <c r="AA13" s="232" t="s">
        <v>1105</v>
      </c>
    </row>
    <row r="14" spans="1:27">
      <c r="A14" s="428"/>
      <c r="S14" s="428"/>
    </row>
    <row r="15" spans="1:27" ht="43.5" customHeight="1">
      <c r="A15" s="428"/>
      <c r="B15" s="3" t="s">
        <v>466</v>
      </c>
      <c r="C15" s="3" t="s">
        <v>467</v>
      </c>
      <c r="D15" s="3" t="s">
        <v>476</v>
      </c>
      <c r="E15" s="3" t="s">
        <v>469</v>
      </c>
      <c r="G15" s="3" t="s">
        <v>470</v>
      </c>
      <c r="H15" s="3">
        <v>7.8</v>
      </c>
      <c r="O15" s="3">
        <f>COUNT(I15:L15)</f>
        <v>0</v>
      </c>
      <c r="P15" s="3" t="s">
        <v>1088</v>
      </c>
      <c r="S15" s="428"/>
      <c r="Z15" s="3">
        <f>COUNT(T15:W15)</f>
        <v>0</v>
      </c>
      <c r="AA15" s="3" t="s">
        <v>1105</v>
      </c>
    </row>
    <row r="16" spans="1:27" ht="26.4">
      <c r="A16" s="428"/>
      <c r="G16" s="8" t="s">
        <v>471</v>
      </c>
      <c r="H16" s="8">
        <v>0.22500000000000001</v>
      </c>
      <c r="I16" s="8"/>
      <c r="J16" s="8"/>
      <c r="K16" s="8"/>
      <c r="L16" s="8"/>
      <c r="M16" s="8"/>
      <c r="N16" s="8"/>
      <c r="O16" s="8">
        <f>COUNT(I16:L16)</f>
        <v>0</v>
      </c>
      <c r="P16" s="8" t="s">
        <v>1088</v>
      </c>
      <c r="S16" s="428"/>
      <c r="T16" s="232"/>
      <c r="U16" s="232"/>
      <c r="V16" s="232"/>
      <c r="W16" s="232"/>
      <c r="X16" s="232"/>
      <c r="Y16" s="232"/>
      <c r="Z16" s="232">
        <f>COUNT(T16:W16)</f>
        <v>0</v>
      </c>
      <c r="AA16" s="232" t="s">
        <v>1105</v>
      </c>
    </row>
    <row r="17" spans="1:27">
      <c r="A17" s="428"/>
      <c r="S17" s="428"/>
    </row>
    <row r="18" spans="1:27" ht="39.6">
      <c r="A18" s="428"/>
      <c r="B18" s="3" t="s">
        <v>466</v>
      </c>
      <c r="C18" s="3" t="s">
        <v>477</v>
      </c>
      <c r="D18" s="9" t="s">
        <v>478</v>
      </c>
      <c r="E18" s="3" t="s">
        <v>469</v>
      </c>
      <c r="G18" s="3" t="s">
        <v>470</v>
      </c>
      <c r="H18" s="3">
        <v>7.8</v>
      </c>
      <c r="O18" s="3">
        <f>COUNT(I18:L18)</f>
        <v>0</v>
      </c>
      <c r="P18" s="3" t="s">
        <v>1088</v>
      </c>
      <c r="S18" s="428"/>
      <c r="Z18" s="3">
        <f>COUNT(T18:W18)</f>
        <v>0</v>
      </c>
      <c r="AA18" s="3" t="s">
        <v>1087</v>
      </c>
    </row>
    <row r="19" spans="1:27" ht="26.4">
      <c r="A19" s="428"/>
      <c r="G19" s="8" t="s">
        <v>471</v>
      </c>
      <c r="H19" s="8">
        <v>0.22500000000000001</v>
      </c>
      <c r="I19" s="8"/>
      <c r="J19" s="8"/>
      <c r="K19" s="8"/>
      <c r="L19" s="8"/>
      <c r="M19" s="8"/>
      <c r="N19" s="8"/>
      <c r="O19" s="8">
        <f>COUNT(I19:L19)</f>
        <v>0</v>
      </c>
      <c r="P19" s="8" t="s">
        <v>1086</v>
      </c>
      <c r="S19" s="428"/>
      <c r="T19" s="232"/>
      <c r="U19" s="232"/>
      <c r="V19" s="232"/>
      <c r="W19" s="232"/>
      <c r="X19" s="232"/>
      <c r="Y19" s="232"/>
      <c r="Z19" s="232">
        <f>COUNT(T19:W19)</f>
        <v>0</v>
      </c>
      <c r="AA19" s="232" t="s">
        <v>1087</v>
      </c>
    </row>
    <row r="20" spans="1:27">
      <c r="A20" s="428"/>
      <c r="S20" s="428"/>
    </row>
    <row r="21" spans="1:27" ht="39.6">
      <c r="A21" s="428"/>
      <c r="B21" s="3" t="s">
        <v>466</v>
      </c>
      <c r="C21" s="3" t="s">
        <v>475</v>
      </c>
      <c r="D21" s="3" t="s">
        <v>481</v>
      </c>
      <c r="E21" s="3" t="s">
        <v>469</v>
      </c>
      <c r="G21" s="3" t="s">
        <v>470</v>
      </c>
      <c r="H21" s="3">
        <v>7.8</v>
      </c>
      <c r="O21" s="3">
        <f t="shared" ref="O21:O26" si="0">COUNT(I21:L21)</f>
        <v>0</v>
      </c>
      <c r="P21" s="3" t="s">
        <v>1086</v>
      </c>
      <c r="S21" s="428"/>
      <c r="Z21" s="3">
        <f t="shared" ref="Z21:Z26" si="1">COUNT(T21:W21)</f>
        <v>0</v>
      </c>
      <c r="AA21" s="3" t="s">
        <v>1088</v>
      </c>
    </row>
    <row r="22" spans="1:27" ht="26.4">
      <c r="A22" s="428"/>
      <c r="G22" s="8" t="s">
        <v>471</v>
      </c>
      <c r="H22" s="8">
        <v>0.22500000000000001</v>
      </c>
      <c r="I22" s="8"/>
      <c r="J22" s="8"/>
      <c r="K22" s="8"/>
      <c r="L22" s="8"/>
      <c r="M22" s="8"/>
      <c r="N22" s="8"/>
      <c r="O22" s="8">
        <f t="shared" si="0"/>
        <v>0</v>
      </c>
      <c r="P22" s="8" t="s">
        <v>1086</v>
      </c>
      <c r="S22" s="428"/>
      <c r="T22" s="232"/>
      <c r="U22" s="232"/>
      <c r="V22" s="232"/>
      <c r="W22" s="232"/>
      <c r="X22" s="232"/>
      <c r="Y22" s="232"/>
      <c r="Z22" s="232">
        <f t="shared" si="1"/>
        <v>0</v>
      </c>
      <c r="AA22" s="232" t="s">
        <v>1088</v>
      </c>
    </row>
    <row r="23" spans="1:27" ht="39.6">
      <c r="A23" s="428"/>
      <c r="B23" s="247" t="s">
        <v>619</v>
      </c>
      <c r="C23" s="247" t="s">
        <v>664</v>
      </c>
      <c r="D23" s="247" t="s">
        <v>658</v>
      </c>
      <c r="E23" s="247" t="s">
        <v>469</v>
      </c>
      <c r="G23" s="3" t="s">
        <v>470</v>
      </c>
      <c r="H23" s="3">
        <v>7.8</v>
      </c>
      <c r="O23" s="3">
        <f t="shared" si="0"/>
        <v>0</v>
      </c>
      <c r="P23" s="3" t="s">
        <v>1089</v>
      </c>
      <c r="S23" s="428"/>
      <c r="Z23" s="3">
        <f t="shared" si="1"/>
        <v>0</v>
      </c>
      <c r="AA23" s="3" t="s">
        <v>1089</v>
      </c>
    </row>
    <row r="24" spans="1:27" ht="26.4">
      <c r="A24" s="428"/>
      <c r="G24" s="8" t="s">
        <v>471</v>
      </c>
      <c r="H24" s="8">
        <v>0.22500000000000001</v>
      </c>
      <c r="I24" s="8"/>
      <c r="J24" s="8"/>
      <c r="K24" s="8"/>
      <c r="L24" s="8"/>
      <c r="M24" s="8"/>
      <c r="N24" s="8"/>
      <c r="O24" s="8">
        <f t="shared" si="0"/>
        <v>0</v>
      </c>
      <c r="P24" s="8" t="s">
        <v>1086</v>
      </c>
      <c r="S24" s="428"/>
      <c r="T24" s="232"/>
      <c r="U24" s="232"/>
      <c r="V24" s="232"/>
      <c r="W24" s="232"/>
      <c r="X24" s="232"/>
      <c r="Y24" s="232"/>
      <c r="Z24" s="232">
        <f t="shared" si="1"/>
        <v>0</v>
      </c>
      <c r="AA24" s="232" t="s">
        <v>1092</v>
      </c>
    </row>
    <row r="25" spans="1:27" ht="39.6">
      <c r="A25" s="428"/>
      <c r="B25" s="247" t="s">
        <v>619</v>
      </c>
      <c r="C25" s="247" t="s">
        <v>703</v>
      </c>
      <c r="D25" s="247" t="s">
        <v>689</v>
      </c>
      <c r="E25" s="247" t="s">
        <v>469</v>
      </c>
      <c r="G25" s="3" t="s">
        <v>470</v>
      </c>
      <c r="H25" s="3">
        <v>7.8</v>
      </c>
      <c r="O25" s="3">
        <f t="shared" si="0"/>
        <v>0</v>
      </c>
      <c r="P25" s="3" t="s">
        <v>1086</v>
      </c>
      <c r="S25" s="428"/>
      <c r="Z25" s="3">
        <f t="shared" si="1"/>
        <v>0</v>
      </c>
      <c r="AA25" s="3" t="s">
        <v>1088</v>
      </c>
    </row>
    <row r="26" spans="1:27" ht="26.4">
      <c r="A26" s="428"/>
      <c r="G26" s="8" t="s">
        <v>471</v>
      </c>
      <c r="H26" s="8">
        <v>0.22500000000000001</v>
      </c>
      <c r="I26" s="8"/>
      <c r="J26" s="8"/>
      <c r="K26" s="8"/>
      <c r="L26" s="8"/>
      <c r="M26" s="8"/>
      <c r="N26" s="8"/>
      <c r="O26" s="8">
        <f t="shared" si="0"/>
        <v>0</v>
      </c>
      <c r="P26" s="8" t="s">
        <v>1089</v>
      </c>
      <c r="S26" s="428"/>
      <c r="T26" s="232"/>
      <c r="U26" s="232"/>
      <c r="V26" s="232"/>
      <c r="W26" s="232"/>
      <c r="X26" s="232"/>
      <c r="Y26" s="232"/>
      <c r="Z26" s="232">
        <f t="shared" si="1"/>
        <v>0</v>
      </c>
      <c r="AA26" s="232" t="s">
        <v>1088</v>
      </c>
    </row>
    <row r="27" spans="1:27">
      <c r="A27" s="428"/>
      <c r="S27" s="428"/>
    </row>
    <row r="28" spans="1:27">
      <c r="A28" s="428"/>
      <c r="B28" s="6" t="s">
        <v>73</v>
      </c>
      <c r="C28" s="6"/>
      <c r="D28" s="6"/>
      <c r="E28" s="6"/>
      <c r="F28" s="6"/>
      <c r="G28" s="11"/>
      <c r="H28" s="11"/>
      <c r="I28" s="11"/>
      <c r="J28" s="11"/>
      <c r="K28" s="11"/>
      <c r="L28" s="11"/>
      <c r="M28" s="11"/>
      <c r="N28" s="11"/>
      <c r="O28" s="11"/>
      <c r="P28" s="11"/>
      <c r="S28" s="428"/>
      <c r="T28" s="11"/>
      <c r="U28" s="11"/>
      <c r="V28" s="11"/>
      <c r="W28" s="11"/>
      <c r="X28" s="11"/>
      <c r="Y28" s="11"/>
      <c r="Z28" s="11"/>
      <c r="AA28" s="11"/>
    </row>
    <row r="29" spans="1:27" ht="43.5" customHeight="1">
      <c r="A29" s="428"/>
      <c r="B29" s="3" t="s">
        <v>466</v>
      </c>
      <c r="C29" s="3" t="s">
        <v>467</v>
      </c>
      <c r="D29" s="3" t="s">
        <v>482</v>
      </c>
      <c r="E29" s="3" t="s">
        <v>483</v>
      </c>
      <c r="F29" s="3" t="s">
        <v>100</v>
      </c>
      <c r="G29" s="3" t="s">
        <v>470</v>
      </c>
      <c r="H29" s="3">
        <v>7.8</v>
      </c>
      <c r="J29" s="3">
        <v>13.041509433962261</v>
      </c>
      <c r="M29" s="3">
        <f>AVERAGE(I29:L29)</f>
        <v>13.041509433962261</v>
      </c>
      <c r="O29" s="3">
        <f>COUNT(I29:L29)</f>
        <v>1</v>
      </c>
      <c r="P29" s="3" t="s">
        <v>1090</v>
      </c>
      <c r="S29" s="428"/>
      <c r="T29" s="3">
        <v>13.445</v>
      </c>
      <c r="U29" s="3">
        <v>12.818377358490563</v>
      </c>
      <c r="X29" s="3">
        <f>AVERAGE(T29:W29)</f>
        <v>13.131688679245283</v>
      </c>
      <c r="Y29" s="3">
        <f>_xlfn.STDEV.S(T29:W29)</f>
        <v>0.44308911905634984</v>
      </c>
      <c r="Z29" s="3">
        <f>COUNT(T29:W29)</f>
        <v>2</v>
      </c>
      <c r="AA29" s="3" t="s">
        <v>1095</v>
      </c>
    </row>
    <row r="30" spans="1:27" ht="26.4">
      <c r="A30" s="428"/>
      <c r="G30" s="8" t="s">
        <v>471</v>
      </c>
      <c r="H30" s="8">
        <v>0.22500000000000001</v>
      </c>
      <c r="I30" s="8"/>
      <c r="J30" s="8">
        <v>0.38207547169811312</v>
      </c>
      <c r="K30" s="8"/>
      <c r="L30" s="8"/>
      <c r="M30" s="8">
        <f>AVERAGE(I30:L30)</f>
        <v>0.38207547169811312</v>
      </c>
      <c r="N30" s="8"/>
      <c r="O30" s="8">
        <f>COUNT(I30:L30)</f>
        <v>1</v>
      </c>
      <c r="P30" s="8" t="s">
        <v>1082</v>
      </c>
      <c r="S30" s="428"/>
      <c r="T30" s="232">
        <v>0.48599999999999999</v>
      </c>
      <c r="U30" s="232">
        <v>0.39226415094339617</v>
      </c>
      <c r="V30" s="232"/>
      <c r="W30" s="232"/>
      <c r="X30" s="232">
        <f>AVERAGE(T30:W30)</f>
        <v>0.43913207547169808</v>
      </c>
      <c r="Y30" s="232">
        <f>_xlfn.STDEV.S(T30:W30)</f>
        <v>6.6281254508203116E-2</v>
      </c>
      <c r="Z30" s="232">
        <f>COUNT(T30:W30)</f>
        <v>2</v>
      </c>
      <c r="AA30" s="232" t="s">
        <v>1082</v>
      </c>
    </row>
    <row r="31" spans="1:27">
      <c r="A31" s="428"/>
      <c r="S31" s="428"/>
    </row>
    <row r="32" spans="1:27" ht="43.5" customHeight="1">
      <c r="A32" s="428"/>
      <c r="B32" s="3" t="s">
        <v>466</v>
      </c>
      <c r="C32" s="3" t="s">
        <v>467</v>
      </c>
      <c r="D32" s="3" t="s">
        <v>482</v>
      </c>
      <c r="E32" s="3" t="s">
        <v>469</v>
      </c>
      <c r="F32" s="3" t="s">
        <v>100</v>
      </c>
      <c r="G32" s="3" t="s">
        <v>470</v>
      </c>
      <c r="H32" s="3">
        <v>7.8</v>
      </c>
      <c r="J32" s="3">
        <v>12.950830188679246</v>
      </c>
      <c r="M32" s="3">
        <f>AVERAGE(I32:L32)</f>
        <v>12.950830188679246</v>
      </c>
      <c r="O32" s="3">
        <f>COUNT(I32:L32)</f>
        <v>1</v>
      </c>
      <c r="P32" s="3" t="s">
        <v>1090</v>
      </c>
      <c r="S32" s="428"/>
      <c r="T32" s="3">
        <v>13.818</v>
      </c>
      <c r="U32" s="3">
        <v>12.741962264150944</v>
      </c>
      <c r="W32" s="3">
        <v>12.737</v>
      </c>
      <c r="X32" s="3">
        <f>AVERAGE(T32:W32)</f>
        <v>13.098987421383647</v>
      </c>
      <c r="Y32" s="3">
        <f>_xlfn.STDEV.S(T32:W32)</f>
        <v>0.62268810183973933</v>
      </c>
      <c r="Z32" s="3">
        <f>COUNT(T32:W32)</f>
        <v>3</v>
      </c>
      <c r="AA32" s="3" t="s">
        <v>1098</v>
      </c>
    </row>
    <row r="33" spans="1:27" ht="26.4">
      <c r="A33" s="428"/>
      <c r="G33" s="8" t="s">
        <v>471</v>
      </c>
      <c r="H33" s="8">
        <v>0.22500000000000001</v>
      </c>
      <c r="I33" s="8"/>
      <c r="J33" s="8">
        <v>0.388188679245283</v>
      </c>
      <c r="K33" s="8"/>
      <c r="L33" s="8"/>
      <c r="M33" s="8">
        <f>AVERAGE(I33:L33)</f>
        <v>0.388188679245283</v>
      </c>
      <c r="N33" s="8"/>
      <c r="O33" s="8">
        <f>COUNT(I33:L33)</f>
        <v>1</v>
      </c>
      <c r="P33" s="8" t="s">
        <v>1090</v>
      </c>
      <c r="S33" s="428"/>
      <c r="T33" s="232">
        <v>0.49</v>
      </c>
      <c r="U33" s="232">
        <v>0.40245283018867928</v>
      </c>
      <c r="V33" s="232"/>
      <c r="W33" s="232">
        <v>0.42299999999999999</v>
      </c>
      <c r="X33" s="232">
        <f>AVERAGE(T33:W33)</f>
        <v>0.43848427672955975</v>
      </c>
      <c r="Y33" s="232">
        <f>_xlfn.STDEV.S(T33:W33)</f>
        <v>4.5781533994299989E-2</v>
      </c>
      <c r="Z33" s="232">
        <f>COUNT(T33:W33)</f>
        <v>3</v>
      </c>
      <c r="AA33" s="232" t="s">
        <v>1098</v>
      </c>
    </row>
    <row r="34" spans="1:27">
      <c r="A34" s="428"/>
      <c r="S34" s="428"/>
    </row>
    <row r="35" spans="1:27" ht="43.5" customHeight="1">
      <c r="A35" s="428"/>
      <c r="B35" s="3" t="s">
        <v>466</v>
      </c>
      <c r="C35" s="3" t="s">
        <v>479</v>
      </c>
      <c r="D35" s="9" t="s">
        <v>484</v>
      </c>
      <c r="E35" s="3" t="s">
        <v>483</v>
      </c>
      <c r="F35" s="3" t="s">
        <v>100</v>
      </c>
      <c r="G35" s="3" t="s">
        <v>470</v>
      </c>
      <c r="H35" s="3">
        <v>7.8</v>
      </c>
      <c r="J35" s="3">
        <v>16.098113207547172</v>
      </c>
      <c r="M35" s="3">
        <f>AVERAGE(I35:L35)</f>
        <v>16.098113207547172</v>
      </c>
      <c r="O35" s="3">
        <f>COUNT(I35:L35)</f>
        <v>1</v>
      </c>
      <c r="P35" s="3" t="s">
        <v>1090</v>
      </c>
      <c r="S35" s="428"/>
      <c r="U35" s="3">
        <v>15.835245283018867</v>
      </c>
      <c r="X35" s="3">
        <f>AVERAGE(T35:W35)</f>
        <v>15.835245283018867</v>
      </c>
      <c r="Z35" s="3">
        <f>COUNT(T35:W35)</f>
        <v>1</v>
      </c>
      <c r="AA35" s="3" t="s">
        <v>1106</v>
      </c>
    </row>
    <row r="36" spans="1:27" ht="26.4">
      <c r="A36" s="428"/>
      <c r="G36" s="8" t="s">
        <v>471</v>
      </c>
      <c r="H36" s="8">
        <v>0.22500000000000001</v>
      </c>
      <c r="I36" s="8"/>
      <c r="J36" s="8">
        <v>0.49415094339622639</v>
      </c>
      <c r="K36" s="8"/>
      <c r="L36" s="8"/>
      <c r="M36" s="8">
        <f>AVERAGE(I36:L36)</f>
        <v>0.49415094339622639</v>
      </c>
      <c r="N36" s="8"/>
      <c r="O36" s="8">
        <f>COUNT(I36:L36)</f>
        <v>1</v>
      </c>
      <c r="P36" s="8" t="s">
        <v>1091</v>
      </c>
      <c r="S36" s="428"/>
      <c r="T36" s="232"/>
      <c r="U36" s="232">
        <v>0.48396226415094334</v>
      </c>
      <c r="V36" s="232"/>
      <c r="W36" s="232"/>
      <c r="X36" s="232">
        <f>AVERAGE(T36:W36)</f>
        <v>0.48396226415094334</v>
      </c>
      <c r="Y36" s="232"/>
      <c r="Z36" s="232">
        <f>COUNT(T36:W36)</f>
        <v>1</v>
      </c>
      <c r="AA36" s="232" t="s">
        <v>1107</v>
      </c>
    </row>
    <row r="37" spans="1:27">
      <c r="A37" s="428"/>
      <c r="S37" s="428"/>
    </row>
    <row r="38" spans="1:27" ht="43.5" customHeight="1">
      <c r="A38" s="428"/>
      <c r="B38" s="3" t="s">
        <v>466</v>
      </c>
      <c r="C38" s="3" t="s">
        <v>479</v>
      </c>
      <c r="D38" s="9" t="s">
        <v>484</v>
      </c>
      <c r="E38" s="3" t="s">
        <v>469</v>
      </c>
      <c r="F38" s="3" t="s">
        <v>100</v>
      </c>
      <c r="G38" s="3" t="s">
        <v>470</v>
      </c>
      <c r="H38" s="3">
        <v>7.8</v>
      </c>
      <c r="J38" s="3">
        <v>15.707886792452831</v>
      </c>
      <c r="M38" s="3">
        <f>AVERAGE(I38:L38)</f>
        <v>15.707886792452831</v>
      </c>
      <c r="O38" s="3">
        <f>COUNT(I38:L38)</f>
        <v>1</v>
      </c>
      <c r="P38" s="3" t="s">
        <v>1090</v>
      </c>
      <c r="S38" s="428"/>
      <c r="U38" s="3">
        <v>15.458264150943396</v>
      </c>
      <c r="X38" s="3">
        <f>AVERAGE(T38:W38)</f>
        <v>15.458264150943396</v>
      </c>
      <c r="Z38" s="3">
        <f>COUNT(T38:W38)</f>
        <v>1</v>
      </c>
      <c r="AA38" s="3" t="s">
        <v>1082</v>
      </c>
    </row>
    <row r="39" spans="1:27" ht="26.4">
      <c r="A39" s="428"/>
      <c r="G39" s="8" t="s">
        <v>471</v>
      </c>
      <c r="H39" s="8">
        <v>0.22500000000000001</v>
      </c>
      <c r="I39" s="8"/>
      <c r="J39" s="8">
        <v>0.48396226415094334</v>
      </c>
      <c r="K39" s="8"/>
      <c r="L39" s="8"/>
      <c r="M39" s="8">
        <f>AVERAGE(I39:L39)</f>
        <v>0.48396226415094334</v>
      </c>
      <c r="N39" s="8"/>
      <c r="O39" s="8">
        <f>COUNT(I39:L39)</f>
        <v>1</v>
      </c>
      <c r="P39" s="8" t="s">
        <v>1082</v>
      </c>
      <c r="S39" s="428"/>
      <c r="T39" s="232"/>
      <c r="U39" s="232">
        <v>0.49211320754716981</v>
      </c>
      <c r="V39" s="232"/>
      <c r="W39" s="232"/>
      <c r="X39" s="232">
        <f>AVERAGE(T39:W39)</f>
        <v>0.49211320754716981</v>
      </c>
      <c r="Y39" s="232"/>
      <c r="Z39" s="232">
        <f>COUNT(T39:W39)</f>
        <v>1</v>
      </c>
      <c r="AA39" s="232" t="s">
        <v>1082</v>
      </c>
    </row>
    <row r="40" spans="1:27">
      <c r="A40" s="428"/>
      <c r="S40" s="428"/>
    </row>
    <row r="41" spans="1:27" ht="39.6">
      <c r="A41" s="428"/>
      <c r="B41" s="3" t="s">
        <v>466</v>
      </c>
      <c r="C41" s="3" t="s">
        <v>473</v>
      </c>
      <c r="D41" s="208" t="s">
        <v>529</v>
      </c>
      <c r="E41" s="3" t="s">
        <v>469</v>
      </c>
      <c r="F41" s="3" t="s">
        <v>101</v>
      </c>
      <c r="G41" s="3" t="s">
        <v>470</v>
      </c>
      <c r="H41" s="3">
        <v>7.8</v>
      </c>
      <c r="O41" s="3">
        <f>COUNT(I41:L41)</f>
        <v>0</v>
      </c>
      <c r="P41" s="3" t="s">
        <v>1092</v>
      </c>
      <c r="S41" s="428"/>
      <c r="Z41" s="3">
        <f>COUNT(T41:W41)</f>
        <v>0</v>
      </c>
      <c r="AA41" s="3" t="s">
        <v>1108</v>
      </c>
    </row>
    <row r="42" spans="1:27" ht="26.4">
      <c r="A42" s="428"/>
      <c r="G42" s="8" t="s">
        <v>471</v>
      </c>
      <c r="H42" s="8">
        <v>0.22500000000000001</v>
      </c>
      <c r="I42" s="8"/>
      <c r="J42" s="8"/>
      <c r="K42" s="8"/>
      <c r="L42" s="8"/>
      <c r="M42" s="8"/>
      <c r="N42" s="8"/>
      <c r="O42" s="8">
        <f>COUNT(I42:L42)</f>
        <v>0</v>
      </c>
      <c r="P42" s="8" t="s">
        <v>1093</v>
      </c>
      <c r="S42" s="428"/>
      <c r="T42" s="232"/>
      <c r="U42" s="232"/>
      <c r="V42" s="232"/>
      <c r="W42" s="232"/>
      <c r="X42" s="232"/>
      <c r="Y42" s="232"/>
      <c r="Z42" s="232">
        <f>COUNT(T42:W42)</f>
        <v>0</v>
      </c>
      <c r="AA42" s="232" t="s">
        <v>1089</v>
      </c>
    </row>
    <row r="43" spans="1:27">
      <c r="A43" s="428"/>
      <c r="S43" s="428"/>
    </row>
    <row r="44" spans="1:27" ht="39.6">
      <c r="A44" s="428"/>
      <c r="B44" s="3" t="s">
        <v>466</v>
      </c>
      <c r="C44" s="3" t="s">
        <v>475</v>
      </c>
      <c r="D44" s="208" t="s">
        <v>533</v>
      </c>
      <c r="E44" s="3" t="s">
        <v>469</v>
      </c>
      <c r="F44" s="3" t="s">
        <v>101</v>
      </c>
      <c r="G44" s="3" t="s">
        <v>470</v>
      </c>
      <c r="H44" s="3">
        <v>7.8</v>
      </c>
      <c r="O44" s="3">
        <f>COUNT(I44:L44)</f>
        <v>0</v>
      </c>
      <c r="P44" s="3" t="s">
        <v>1092</v>
      </c>
      <c r="S44" s="428"/>
      <c r="Z44" s="3">
        <f>COUNT(T44:W44)</f>
        <v>0</v>
      </c>
      <c r="AA44" s="3" t="s">
        <v>1109</v>
      </c>
    </row>
    <row r="45" spans="1:27" ht="26.4">
      <c r="A45" s="428"/>
      <c r="G45" s="8" t="s">
        <v>471</v>
      </c>
      <c r="H45" s="8">
        <v>0.22500000000000001</v>
      </c>
      <c r="I45" s="8"/>
      <c r="J45" s="8"/>
      <c r="K45" s="8"/>
      <c r="L45" s="8"/>
      <c r="M45" s="8"/>
      <c r="N45" s="8"/>
      <c r="O45" s="8">
        <f>COUNT(I45:L45)</f>
        <v>0</v>
      </c>
      <c r="P45" s="8" t="s">
        <v>1086</v>
      </c>
      <c r="S45" s="428"/>
      <c r="T45" s="232"/>
      <c r="U45" s="232"/>
      <c r="V45" s="232"/>
      <c r="W45" s="232"/>
      <c r="X45" s="232"/>
      <c r="Y45" s="232"/>
      <c r="Z45" s="232">
        <f>COUNT(T45:W45)</f>
        <v>0</v>
      </c>
      <c r="AA45" s="232" t="s">
        <v>1092</v>
      </c>
    </row>
    <row r="46" spans="1:27">
      <c r="A46" s="428"/>
      <c r="S46" s="428"/>
    </row>
    <row r="47" spans="1:27" ht="26.4">
      <c r="A47" s="428"/>
      <c r="B47" s="3" t="s">
        <v>466</v>
      </c>
      <c r="C47" s="3" t="s">
        <v>467</v>
      </c>
      <c r="D47" s="9" t="s">
        <v>482</v>
      </c>
      <c r="E47" s="3" t="s">
        <v>469</v>
      </c>
      <c r="F47" s="3" t="s">
        <v>101</v>
      </c>
      <c r="G47" s="3" t="s">
        <v>470</v>
      </c>
      <c r="H47" s="3">
        <v>7.8</v>
      </c>
      <c r="K47" s="3">
        <v>10.841012658227845</v>
      </c>
      <c r="M47" s="3">
        <f>AVERAGE(I47:L47)</f>
        <v>10.841012658227845</v>
      </c>
      <c r="O47" s="3">
        <f>COUNT(I47:L47)</f>
        <v>1</v>
      </c>
      <c r="P47" s="3" t="s">
        <v>1085</v>
      </c>
      <c r="S47" s="428"/>
      <c r="W47" s="3">
        <v>12.321</v>
      </c>
      <c r="X47" s="3">
        <f>AVERAGE(T47:W47)</f>
        <v>12.321</v>
      </c>
      <c r="Z47" s="3">
        <f>COUNT(T47:W47)</f>
        <v>1</v>
      </c>
      <c r="AA47" s="3" t="s">
        <v>1104</v>
      </c>
    </row>
    <row r="48" spans="1:27" ht="26.4">
      <c r="A48" s="428"/>
      <c r="G48" s="8" t="s">
        <v>471</v>
      </c>
      <c r="H48" s="8">
        <v>0.22500000000000001</v>
      </c>
      <c r="I48" s="8"/>
      <c r="J48" s="8"/>
      <c r="K48" s="8">
        <v>0.24584810126582271</v>
      </c>
      <c r="L48" s="8"/>
      <c r="M48" s="8">
        <f>AVERAGE(I48:L48)</f>
        <v>0.24584810126582271</v>
      </c>
      <c r="N48" s="8"/>
      <c r="O48" s="8">
        <f>COUNT(I48:L48)</f>
        <v>1</v>
      </c>
      <c r="P48" s="8" t="s">
        <v>1090</v>
      </c>
      <c r="S48" s="428"/>
      <c r="T48" s="232"/>
      <c r="U48" s="232"/>
      <c r="V48" s="232"/>
      <c r="W48" s="232">
        <v>0.39900000000000002</v>
      </c>
      <c r="X48" s="232">
        <f>AVERAGE(T48:W48)</f>
        <v>0.39900000000000002</v>
      </c>
      <c r="Y48" s="232"/>
      <c r="Z48" s="232">
        <f>COUNT(T48:W48)</f>
        <v>1</v>
      </c>
      <c r="AA48" s="232" t="s">
        <v>1082</v>
      </c>
    </row>
    <row r="49" spans="1:27">
      <c r="A49" s="428"/>
      <c r="S49" s="428"/>
    </row>
    <row r="50" spans="1:27" ht="39.6">
      <c r="A50" s="428"/>
      <c r="B50" s="3" t="s">
        <v>466</v>
      </c>
      <c r="C50" s="3" t="s">
        <v>475</v>
      </c>
      <c r="D50" s="9" t="s">
        <v>485</v>
      </c>
      <c r="E50" s="9" t="s">
        <v>483</v>
      </c>
      <c r="F50" s="3" t="s">
        <v>101</v>
      </c>
      <c r="G50" s="3" t="s">
        <v>470</v>
      </c>
      <c r="H50" s="3">
        <v>7.8</v>
      </c>
      <c r="O50" s="3">
        <f>COUNT(I50:L50)</f>
        <v>0</v>
      </c>
      <c r="P50" s="3" t="s">
        <v>1086</v>
      </c>
      <c r="S50" s="428"/>
      <c r="Z50" s="3">
        <f>COUNT(T50:W50)</f>
        <v>0</v>
      </c>
      <c r="AA50" s="3" t="s">
        <v>1092</v>
      </c>
    </row>
    <row r="51" spans="1:27" ht="26.4">
      <c r="A51" s="428"/>
      <c r="G51" s="8" t="s">
        <v>471</v>
      </c>
      <c r="H51" s="8">
        <v>0.22500000000000001</v>
      </c>
      <c r="I51" s="8"/>
      <c r="J51" s="8"/>
      <c r="K51" s="8"/>
      <c r="L51" s="8"/>
      <c r="M51" s="8"/>
      <c r="N51" s="8"/>
      <c r="O51" s="8">
        <f>COUNT(I51:L51)</f>
        <v>0</v>
      </c>
      <c r="P51" s="8" t="s">
        <v>1093</v>
      </c>
      <c r="S51" s="428"/>
      <c r="T51" s="232"/>
      <c r="U51" s="232"/>
      <c r="V51" s="232"/>
      <c r="W51" s="232"/>
      <c r="X51" s="232"/>
      <c r="Y51" s="232"/>
      <c r="Z51" s="232">
        <f>COUNT(T51:W51)</f>
        <v>0</v>
      </c>
      <c r="AA51" s="232" t="s">
        <v>1089</v>
      </c>
    </row>
    <row r="52" spans="1:27">
      <c r="A52" s="428"/>
      <c r="S52" s="428"/>
    </row>
    <row r="53" spans="1:27" ht="26.4">
      <c r="A53" s="428"/>
      <c r="B53" s="3" t="s">
        <v>466</v>
      </c>
      <c r="C53" s="3" t="s">
        <v>479</v>
      </c>
      <c r="D53" s="9" t="s">
        <v>486</v>
      </c>
      <c r="E53" s="3" t="s">
        <v>469</v>
      </c>
      <c r="F53" s="3" t="s">
        <v>101</v>
      </c>
      <c r="G53" s="3" t="s">
        <v>470</v>
      </c>
      <c r="H53" s="3">
        <v>7.8</v>
      </c>
      <c r="O53" s="3">
        <f>COUNT(I53:L53)</f>
        <v>0</v>
      </c>
      <c r="P53" s="3" t="s">
        <v>1089</v>
      </c>
      <c r="S53" s="428"/>
      <c r="Z53" s="3">
        <f>COUNT(T53:W53)</f>
        <v>0</v>
      </c>
      <c r="AA53" s="3" t="s">
        <v>1092</v>
      </c>
    </row>
    <row r="54" spans="1:27" ht="26.4">
      <c r="A54" s="428"/>
      <c r="G54" s="8" t="s">
        <v>471</v>
      </c>
      <c r="H54" s="8">
        <v>0.22500000000000001</v>
      </c>
      <c r="I54" s="8"/>
      <c r="J54" s="8"/>
      <c r="K54" s="8"/>
      <c r="L54" s="8"/>
      <c r="M54" s="8"/>
      <c r="N54" s="8"/>
      <c r="O54" s="8">
        <f>COUNT(I54:L54)</f>
        <v>0</v>
      </c>
      <c r="P54" s="8" t="s">
        <v>1094</v>
      </c>
      <c r="S54" s="428"/>
      <c r="T54" s="232"/>
      <c r="U54" s="232"/>
      <c r="V54" s="232"/>
      <c r="W54" s="232"/>
      <c r="X54" s="232"/>
      <c r="Y54" s="232"/>
      <c r="Z54" s="232">
        <f>COUNT(T54:W54)</f>
        <v>0</v>
      </c>
      <c r="AA54" s="232" t="s">
        <v>1093</v>
      </c>
    </row>
    <row r="55" spans="1:27">
      <c r="A55" s="428"/>
      <c r="S55" s="428"/>
    </row>
    <row r="56" spans="1:27" ht="26.4">
      <c r="A56" s="428"/>
      <c r="B56" s="3" t="s">
        <v>466</v>
      </c>
      <c r="C56" s="3" t="s">
        <v>487</v>
      </c>
      <c r="D56" s="9" t="s">
        <v>488</v>
      </c>
      <c r="E56" s="3" t="s">
        <v>469</v>
      </c>
      <c r="F56" s="3" t="s">
        <v>101</v>
      </c>
      <c r="G56" s="3" t="s">
        <v>470</v>
      </c>
      <c r="H56" s="3">
        <v>7.8</v>
      </c>
      <c r="O56" s="3">
        <f>COUNT(I56:L56)</f>
        <v>0</v>
      </c>
      <c r="P56" s="3" t="s">
        <v>1092</v>
      </c>
      <c r="S56" s="428"/>
      <c r="Z56" s="3">
        <f>COUNT(T56:W56)</f>
        <v>0</v>
      </c>
      <c r="AA56" s="3" t="s">
        <v>1093</v>
      </c>
    </row>
    <row r="57" spans="1:27" ht="26.4">
      <c r="A57" s="428"/>
      <c r="G57" s="8" t="s">
        <v>471</v>
      </c>
      <c r="H57" s="8">
        <v>0.22500000000000001</v>
      </c>
      <c r="I57" s="8"/>
      <c r="J57" s="8"/>
      <c r="K57" s="8"/>
      <c r="L57" s="8"/>
      <c r="M57" s="8"/>
      <c r="N57" s="8"/>
      <c r="O57" s="8">
        <f>COUNT(I57:L57)</f>
        <v>0</v>
      </c>
      <c r="P57" s="8" t="s">
        <v>1092</v>
      </c>
      <c r="S57" s="428"/>
      <c r="T57" s="232"/>
      <c r="U57" s="232"/>
      <c r="V57" s="232"/>
      <c r="W57" s="232"/>
      <c r="X57" s="232"/>
      <c r="Y57" s="232"/>
      <c r="Z57" s="232">
        <f>COUNT(T57:W57)</f>
        <v>0</v>
      </c>
      <c r="AA57" s="232" t="s">
        <v>1089</v>
      </c>
    </row>
    <row r="58" spans="1:27">
      <c r="A58" s="428"/>
      <c r="S58" s="428"/>
    </row>
    <row r="59" spans="1:27" ht="26.4">
      <c r="A59" s="428"/>
      <c r="B59" s="3" t="s">
        <v>466</v>
      </c>
      <c r="C59" s="3" t="s">
        <v>479</v>
      </c>
      <c r="D59" s="9" t="s">
        <v>486</v>
      </c>
      <c r="E59" s="9" t="s">
        <v>483</v>
      </c>
      <c r="F59" s="3" t="s">
        <v>101</v>
      </c>
      <c r="G59" s="3" t="s">
        <v>470</v>
      </c>
      <c r="H59" s="3">
        <v>7.8</v>
      </c>
      <c r="O59" s="3">
        <f>COUNT(I59:L59)</f>
        <v>0</v>
      </c>
      <c r="P59" s="3" t="s">
        <v>1092</v>
      </c>
      <c r="S59" s="428"/>
      <c r="Z59" s="3">
        <f>COUNT(T59:W59)</f>
        <v>0</v>
      </c>
      <c r="AA59" s="3" t="s">
        <v>1092</v>
      </c>
    </row>
    <row r="60" spans="1:27" ht="26.4">
      <c r="A60" s="428"/>
      <c r="G60" s="8" t="s">
        <v>471</v>
      </c>
      <c r="H60" s="8">
        <v>0.22500000000000001</v>
      </c>
      <c r="I60" s="8"/>
      <c r="J60" s="8"/>
      <c r="K60" s="8"/>
      <c r="L60" s="8"/>
      <c r="M60" s="8"/>
      <c r="N60" s="8"/>
      <c r="O60" s="8">
        <f>COUNT(I60:L60)</f>
        <v>0</v>
      </c>
      <c r="P60" s="8" t="s">
        <v>1092</v>
      </c>
      <c r="S60" s="428"/>
      <c r="T60" s="232"/>
      <c r="U60" s="232"/>
      <c r="V60" s="232"/>
      <c r="W60" s="232"/>
      <c r="X60" s="232"/>
      <c r="Y60" s="232"/>
      <c r="Z60" s="232">
        <f>COUNT(T60:W60)</f>
        <v>0</v>
      </c>
      <c r="AA60" s="232" t="s">
        <v>1105</v>
      </c>
    </row>
    <row r="61" spans="1:27">
      <c r="A61" s="428"/>
      <c r="S61" s="428"/>
    </row>
    <row r="62" spans="1:27" ht="26.4">
      <c r="A62" s="428"/>
      <c r="B62" s="3" t="s">
        <v>466</v>
      </c>
      <c r="C62" s="3" t="s">
        <v>487</v>
      </c>
      <c r="D62" s="9" t="s">
        <v>488</v>
      </c>
      <c r="E62" s="9" t="s">
        <v>483</v>
      </c>
      <c r="F62" s="3" t="s">
        <v>101</v>
      </c>
      <c r="G62" s="3" t="s">
        <v>470</v>
      </c>
      <c r="H62" s="3">
        <v>7.8</v>
      </c>
      <c r="O62" s="3">
        <f>COUNT(I62:L62)</f>
        <v>0</v>
      </c>
      <c r="P62" s="3" t="s">
        <v>1088</v>
      </c>
      <c r="S62" s="428"/>
      <c r="Z62" s="3">
        <f>COUNT(T62:W62)</f>
        <v>0</v>
      </c>
      <c r="AA62" s="3" t="s">
        <v>1092</v>
      </c>
    </row>
    <row r="63" spans="1:27" ht="26.4">
      <c r="A63" s="428"/>
      <c r="G63" s="8" t="s">
        <v>471</v>
      </c>
      <c r="H63" s="8">
        <v>0.22500000000000001</v>
      </c>
      <c r="I63" s="8"/>
      <c r="J63" s="8"/>
      <c r="K63" s="8"/>
      <c r="L63" s="8"/>
      <c r="M63" s="8"/>
      <c r="N63" s="8"/>
      <c r="O63" s="8">
        <f>COUNT(I63:L63)</f>
        <v>0</v>
      </c>
      <c r="P63" s="8" t="s">
        <v>1093</v>
      </c>
      <c r="S63" s="428"/>
      <c r="T63" s="232"/>
      <c r="U63" s="232"/>
      <c r="V63" s="232"/>
      <c r="W63" s="232"/>
      <c r="X63" s="232"/>
      <c r="Y63" s="232"/>
      <c r="Z63" s="232">
        <f>COUNT(T63:W63)</f>
        <v>0</v>
      </c>
      <c r="AA63" s="232" t="s">
        <v>1089</v>
      </c>
    </row>
    <row r="64" spans="1:27">
      <c r="A64" s="428"/>
      <c r="S64" s="428"/>
    </row>
    <row r="65" spans="1:27" ht="36" customHeight="1">
      <c r="A65" s="428"/>
      <c r="B65" s="3" t="s">
        <v>466</v>
      </c>
      <c r="C65" s="208" t="s">
        <v>536</v>
      </c>
      <c r="D65" s="9" t="s">
        <v>490</v>
      </c>
      <c r="E65" s="3" t="s">
        <v>469</v>
      </c>
      <c r="F65" s="3" t="s">
        <v>100</v>
      </c>
      <c r="G65" s="3" t="s">
        <v>470</v>
      </c>
      <c r="H65" s="3">
        <v>7.8</v>
      </c>
      <c r="I65" s="3">
        <v>12.200251572327048</v>
      </c>
      <c r="M65" s="3">
        <f>AVERAGE(I65:L65)</f>
        <v>12.200251572327048</v>
      </c>
      <c r="O65" s="3">
        <f>COUNT(I65:L65)</f>
        <v>1</v>
      </c>
      <c r="P65" s="3" t="s">
        <v>1095</v>
      </c>
      <c r="S65" s="428"/>
      <c r="Z65" s="3">
        <f>COUNT(T65:W65)</f>
        <v>0</v>
      </c>
      <c r="AA65" s="3" t="s">
        <v>1105</v>
      </c>
    </row>
    <row r="66" spans="1:27" ht="26.4">
      <c r="A66" s="428"/>
      <c r="G66" s="8" t="s">
        <v>471</v>
      </c>
      <c r="H66" s="8">
        <v>0.22500000000000001</v>
      </c>
      <c r="I66" s="8">
        <v>0.2958490566037737</v>
      </c>
      <c r="J66" s="8"/>
      <c r="K66" s="8"/>
      <c r="L66" s="8"/>
      <c r="M66" s="8">
        <f>AVERAGE(I66:L66)</f>
        <v>0.2958490566037737</v>
      </c>
      <c r="N66" s="8"/>
      <c r="O66" s="8">
        <f>COUNT(I66:L66)</f>
        <v>1</v>
      </c>
      <c r="P66" s="8" t="s">
        <v>1090</v>
      </c>
      <c r="S66" s="428"/>
      <c r="T66" s="232"/>
      <c r="U66" s="232"/>
      <c r="V66" s="232"/>
      <c r="W66" s="232"/>
      <c r="X66" s="232"/>
      <c r="Y66" s="232"/>
      <c r="Z66" s="232">
        <f>COUNT(T66:W66)</f>
        <v>0</v>
      </c>
      <c r="AA66" s="232" t="s">
        <v>1105</v>
      </c>
    </row>
    <row r="67" spans="1:27">
      <c r="A67" s="428"/>
      <c r="S67" s="428"/>
    </row>
    <row r="68" spans="1:27" ht="26.4">
      <c r="A68" s="7"/>
      <c r="B68" s="3" t="s">
        <v>466</v>
      </c>
      <c r="C68" s="3" t="s">
        <v>479</v>
      </c>
      <c r="D68" s="9" t="s">
        <v>486</v>
      </c>
      <c r="E68" s="9" t="s">
        <v>483</v>
      </c>
      <c r="F68" s="3" t="s">
        <v>491</v>
      </c>
      <c r="G68" s="3" t="s">
        <v>470</v>
      </c>
      <c r="H68" s="3">
        <v>7.8</v>
      </c>
      <c r="O68" s="3">
        <f>COUNT(I68:L68)</f>
        <v>0</v>
      </c>
      <c r="P68" s="3" t="s">
        <v>1092</v>
      </c>
      <c r="S68" s="7"/>
      <c r="Z68" s="3">
        <f>COUNT(T68:W68)</f>
        <v>0</v>
      </c>
      <c r="AA68" s="3" t="s">
        <v>1088</v>
      </c>
    </row>
    <row r="69" spans="1:27" ht="26.4">
      <c r="A69" s="7"/>
      <c r="G69" s="8" t="s">
        <v>471</v>
      </c>
      <c r="H69" s="8">
        <v>0.22500000000000001</v>
      </c>
      <c r="I69" s="8"/>
      <c r="J69" s="8"/>
      <c r="K69" s="8"/>
      <c r="L69" s="8"/>
      <c r="M69" s="8"/>
      <c r="N69" s="8"/>
      <c r="O69" s="8">
        <f>COUNT(I69:L69)</f>
        <v>0</v>
      </c>
      <c r="P69" s="8" t="s">
        <v>1096</v>
      </c>
      <c r="S69" s="7"/>
      <c r="T69" s="232"/>
      <c r="U69" s="232"/>
      <c r="V69" s="232"/>
      <c r="W69" s="232"/>
      <c r="X69" s="232"/>
      <c r="Y69" s="232"/>
      <c r="Z69" s="232">
        <f>COUNT(T69:W69)</f>
        <v>0</v>
      </c>
      <c r="AA69" s="232" t="s">
        <v>1105</v>
      </c>
    </row>
    <row r="70" spans="1:27">
      <c r="A70" s="7"/>
      <c r="S70" s="7"/>
    </row>
    <row r="71" spans="1:27" ht="35.25" customHeight="1">
      <c r="A71" s="7"/>
      <c r="B71" s="3" t="s">
        <v>466</v>
      </c>
      <c r="C71" s="247" t="s">
        <v>475</v>
      </c>
      <c r="D71" s="247" t="s">
        <v>787</v>
      </c>
      <c r="E71" s="247" t="s">
        <v>469</v>
      </c>
      <c r="F71" s="247" t="s">
        <v>101</v>
      </c>
      <c r="G71" s="3" t="s">
        <v>470</v>
      </c>
      <c r="H71" s="3">
        <v>7.8</v>
      </c>
      <c r="O71" s="3">
        <f t="shared" ref="O71:O94" si="2">COUNT(I71:L71)</f>
        <v>0</v>
      </c>
      <c r="P71" s="3" t="s">
        <v>1089</v>
      </c>
      <c r="S71" s="7"/>
      <c r="Z71" s="3">
        <f t="shared" ref="Z71:Z94" si="3">COUNT(T71:W71)</f>
        <v>0</v>
      </c>
      <c r="AA71" s="3" t="s">
        <v>1105</v>
      </c>
    </row>
    <row r="72" spans="1:27" ht="26.4">
      <c r="A72" s="7"/>
      <c r="C72" s="247"/>
      <c r="D72" s="247"/>
      <c r="E72" s="247"/>
      <c r="F72" s="247"/>
      <c r="G72" s="8" t="s">
        <v>471</v>
      </c>
      <c r="H72" s="8">
        <v>0.22500000000000001</v>
      </c>
      <c r="I72" s="8"/>
      <c r="J72" s="8"/>
      <c r="K72" s="8"/>
      <c r="L72" s="8"/>
      <c r="M72" s="8"/>
      <c r="N72" s="8"/>
      <c r="O72" s="8">
        <f t="shared" si="2"/>
        <v>0</v>
      </c>
      <c r="P72" s="8" t="s">
        <v>1086</v>
      </c>
      <c r="S72" s="7"/>
      <c r="T72" s="232"/>
      <c r="U72" s="232"/>
      <c r="V72" s="232"/>
      <c r="W72" s="232"/>
      <c r="X72" s="232"/>
      <c r="Y72" s="232"/>
      <c r="Z72" s="232">
        <f t="shared" si="3"/>
        <v>0</v>
      </c>
      <c r="AA72" s="232" t="s">
        <v>1092</v>
      </c>
    </row>
    <row r="73" spans="1:27" ht="35.25" customHeight="1">
      <c r="A73" s="315"/>
      <c r="B73" s="3" t="s">
        <v>466</v>
      </c>
      <c r="C73" s="247" t="s">
        <v>475</v>
      </c>
      <c r="D73" s="247" t="s">
        <v>788</v>
      </c>
      <c r="E73" s="247" t="s">
        <v>469</v>
      </c>
      <c r="F73" s="247" t="s">
        <v>101</v>
      </c>
      <c r="G73" s="3" t="s">
        <v>470</v>
      </c>
      <c r="H73" s="3">
        <v>7.8</v>
      </c>
      <c r="O73" s="3">
        <f t="shared" si="2"/>
        <v>0</v>
      </c>
      <c r="P73" s="3" t="s">
        <v>1086</v>
      </c>
      <c r="S73" s="315"/>
      <c r="Z73" s="3">
        <f t="shared" si="3"/>
        <v>0</v>
      </c>
      <c r="AA73" s="3" t="s">
        <v>1105</v>
      </c>
    </row>
    <row r="74" spans="1:27" ht="26.4">
      <c r="A74" s="315"/>
      <c r="G74" s="8" t="s">
        <v>471</v>
      </c>
      <c r="H74" s="8">
        <v>0.22500000000000001</v>
      </c>
      <c r="I74" s="8"/>
      <c r="J74" s="8"/>
      <c r="K74" s="8"/>
      <c r="L74" s="8"/>
      <c r="M74" s="8"/>
      <c r="N74" s="8"/>
      <c r="O74" s="8">
        <f t="shared" si="2"/>
        <v>0</v>
      </c>
      <c r="P74" s="8" t="s">
        <v>1089</v>
      </c>
      <c r="S74" s="315"/>
      <c r="T74" s="232"/>
      <c r="U74" s="232"/>
      <c r="V74" s="232"/>
      <c r="W74" s="232"/>
      <c r="X74" s="232"/>
      <c r="Y74" s="232"/>
      <c r="Z74" s="232">
        <f t="shared" si="3"/>
        <v>0</v>
      </c>
      <c r="AA74" s="232" t="s">
        <v>1089</v>
      </c>
    </row>
    <row r="75" spans="1:27" ht="43.5" customHeight="1">
      <c r="A75" s="7"/>
      <c r="B75" s="3" t="s">
        <v>466</v>
      </c>
      <c r="C75" s="3" t="s">
        <v>492</v>
      </c>
      <c r="D75" s="3" t="s">
        <v>493</v>
      </c>
      <c r="E75" s="3" t="s">
        <v>483</v>
      </c>
      <c r="F75" s="3" t="s">
        <v>104</v>
      </c>
      <c r="G75" s="3" t="s">
        <v>470</v>
      </c>
      <c r="H75" s="3">
        <v>7.8</v>
      </c>
      <c r="O75" s="3">
        <f t="shared" si="2"/>
        <v>0</v>
      </c>
      <c r="P75" s="3" t="s">
        <v>1086</v>
      </c>
      <c r="S75" s="7"/>
      <c r="Z75" s="3">
        <f t="shared" si="3"/>
        <v>0</v>
      </c>
      <c r="AA75" s="3" t="s">
        <v>1105</v>
      </c>
    </row>
    <row r="76" spans="1:27" ht="26.4">
      <c r="A76" s="7"/>
      <c r="G76" s="8" t="s">
        <v>471</v>
      </c>
      <c r="H76" s="8">
        <v>0.22500000000000001</v>
      </c>
      <c r="I76" s="8"/>
      <c r="J76" s="8"/>
      <c r="K76" s="8"/>
      <c r="L76" s="8"/>
      <c r="M76" s="8"/>
      <c r="N76" s="8"/>
      <c r="O76" s="8">
        <f t="shared" si="2"/>
        <v>0</v>
      </c>
      <c r="P76" s="8" t="s">
        <v>1089</v>
      </c>
      <c r="S76" s="7"/>
      <c r="T76" s="232"/>
      <c r="U76" s="232"/>
      <c r="V76" s="232"/>
      <c r="W76" s="232"/>
      <c r="X76" s="232"/>
      <c r="Y76" s="232"/>
      <c r="Z76" s="232">
        <f t="shared" si="3"/>
        <v>0</v>
      </c>
      <c r="AA76" s="232" t="s">
        <v>1105</v>
      </c>
    </row>
    <row r="77" spans="1:27" ht="43.5" customHeight="1">
      <c r="A77" s="221"/>
      <c r="B77" s="247" t="s">
        <v>466</v>
      </c>
      <c r="C77" s="247" t="s">
        <v>571</v>
      </c>
      <c r="D77" s="247" t="s">
        <v>572</v>
      </c>
      <c r="E77" s="247" t="s">
        <v>483</v>
      </c>
      <c r="F77" s="247" t="s">
        <v>100</v>
      </c>
      <c r="G77" s="3" t="s">
        <v>470</v>
      </c>
      <c r="H77" s="3">
        <v>7.8</v>
      </c>
      <c r="O77" s="3">
        <f t="shared" si="2"/>
        <v>0</v>
      </c>
      <c r="P77" s="3" t="s">
        <v>1093</v>
      </c>
      <c r="S77" s="221"/>
      <c r="Z77" s="3">
        <f t="shared" si="3"/>
        <v>0</v>
      </c>
      <c r="AA77" s="3" t="s">
        <v>1105</v>
      </c>
    </row>
    <row r="78" spans="1:27" ht="26.4">
      <c r="A78" s="221"/>
      <c r="B78" s="247"/>
      <c r="C78" s="247"/>
      <c r="D78" s="247"/>
      <c r="E78" s="247"/>
      <c r="F78" s="247"/>
      <c r="G78" s="8" t="s">
        <v>471</v>
      </c>
      <c r="H78" s="8">
        <v>0.22500000000000001</v>
      </c>
      <c r="I78" s="8"/>
      <c r="J78" s="8"/>
      <c r="K78" s="8"/>
      <c r="L78" s="8"/>
      <c r="M78" s="8"/>
      <c r="N78" s="8"/>
      <c r="O78" s="8">
        <f t="shared" si="2"/>
        <v>0</v>
      </c>
      <c r="P78" s="8" t="s">
        <v>1086</v>
      </c>
      <c r="S78" s="221"/>
      <c r="T78" s="232"/>
      <c r="U78" s="232"/>
      <c r="V78" s="232"/>
      <c r="W78" s="232"/>
      <c r="X78" s="232"/>
      <c r="Y78" s="232"/>
      <c r="Z78" s="232">
        <f t="shared" si="3"/>
        <v>0</v>
      </c>
      <c r="AA78" s="232" t="s">
        <v>1105</v>
      </c>
    </row>
    <row r="79" spans="1:27" ht="43.5" customHeight="1">
      <c r="A79" s="221"/>
      <c r="B79" s="247" t="s">
        <v>466</v>
      </c>
      <c r="C79" s="247" t="s">
        <v>543</v>
      </c>
      <c r="D79" s="247" t="s">
        <v>573</v>
      </c>
      <c r="E79" s="247" t="s">
        <v>483</v>
      </c>
      <c r="F79" s="247" t="s">
        <v>100</v>
      </c>
      <c r="G79" s="3" t="s">
        <v>470</v>
      </c>
      <c r="H79" s="3">
        <v>7.8</v>
      </c>
      <c r="O79" s="3">
        <f t="shared" si="2"/>
        <v>0</v>
      </c>
      <c r="P79" s="3" t="s">
        <v>1086</v>
      </c>
      <c r="S79" s="221"/>
      <c r="Z79" s="3">
        <f t="shared" si="3"/>
        <v>0</v>
      </c>
      <c r="AA79" s="3" t="s">
        <v>1105</v>
      </c>
    </row>
    <row r="80" spans="1:27" ht="26.4">
      <c r="A80" s="221"/>
      <c r="G80" s="8" t="s">
        <v>471</v>
      </c>
      <c r="H80" s="8">
        <v>0.22500000000000001</v>
      </c>
      <c r="I80" s="8"/>
      <c r="J80" s="8"/>
      <c r="K80" s="8"/>
      <c r="L80" s="8"/>
      <c r="M80" s="8"/>
      <c r="N80" s="8"/>
      <c r="O80" s="8">
        <f t="shared" si="2"/>
        <v>0</v>
      </c>
      <c r="P80" s="8" t="s">
        <v>1094</v>
      </c>
      <c r="S80" s="221"/>
      <c r="T80" s="232"/>
      <c r="U80" s="232"/>
      <c r="V80" s="232"/>
      <c r="W80" s="232"/>
      <c r="X80" s="232"/>
      <c r="Y80" s="232"/>
      <c r="Z80" s="232">
        <f t="shared" si="3"/>
        <v>0</v>
      </c>
      <c r="AA80" s="232" t="s">
        <v>1089</v>
      </c>
    </row>
    <row r="81" spans="1:27" ht="26.4">
      <c r="A81" s="221"/>
      <c r="B81" s="247" t="s">
        <v>466</v>
      </c>
      <c r="C81" s="247" t="s">
        <v>566</v>
      </c>
      <c r="D81" s="247" t="s">
        <v>567</v>
      </c>
      <c r="E81" s="247" t="s">
        <v>483</v>
      </c>
      <c r="F81" s="247" t="s">
        <v>491</v>
      </c>
      <c r="G81" s="3" t="s">
        <v>470</v>
      </c>
      <c r="H81" s="3">
        <v>7.8</v>
      </c>
      <c r="O81" s="3">
        <f t="shared" si="2"/>
        <v>0</v>
      </c>
      <c r="P81" s="3" t="s">
        <v>1092</v>
      </c>
      <c r="S81" s="221"/>
      <c r="Z81" s="3">
        <f t="shared" si="3"/>
        <v>0</v>
      </c>
      <c r="AA81" s="3" t="s">
        <v>1105</v>
      </c>
    </row>
    <row r="82" spans="1:27" ht="26.4">
      <c r="A82" s="221"/>
      <c r="B82" s="247"/>
      <c r="C82" s="247"/>
      <c r="D82" s="247"/>
      <c r="E82" s="247"/>
      <c r="F82" s="247"/>
      <c r="G82" s="8" t="s">
        <v>471</v>
      </c>
      <c r="H82" s="8">
        <v>0.22500000000000001</v>
      </c>
      <c r="I82" s="8"/>
      <c r="J82" s="8"/>
      <c r="K82" s="8"/>
      <c r="L82" s="8"/>
      <c r="M82" s="8"/>
      <c r="N82" s="8"/>
      <c r="O82" s="8">
        <f t="shared" si="2"/>
        <v>0</v>
      </c>
      <c r="P82" s="8" t="s">
        <v>1092</v>
      </c>
      <c r="S82" s="221"/>
      <c r="T82" s="232"/>
      <c r="U82" s="232"/>
      <c r="V82" s="232"/>
      <c r="W82" s="232"/>
      <c r="X82" s="232"/>
      <c r="Y82" s="232"/>
      <c r="Z82" s="232">
        <f t="shared" si="3"/>
        <v>0</v>
      </c>
      <c r="AA82" s="232" t="s">
        <v>1089</v>
      </c>
    </row>
    <row r="83" spans="1:27" ht="26.4">
      <c r="A83" s="221"/>
      <c r="B83" s="247" t="s">
        <v>466</v>
      </c>
      <c r="C83" s="247" t="s">
        <v>568</v>
      </c>
      <c r="D83" s="247" t="s">
        <v>570</v>
      </c>
      <c r="E83" s="247" t="s">
        <v>483</v>
      </c>
      <c r="F83" s="247" t="s">
        <v>569</v>
      </c>
      <c r="G83" s="3" t="s">
        <v>470</v>
      </c>
      <c r="H83" s="3">
        <v>7.8</v>
      </c>
      <c r="O83" s="3">
        <f t="shared" si="2"/>
        <v>0</v>
      </c>
      <c r="P83" s="3" t="s">
        <v>1086</v>
      </c>
      <c r="S83" s="221"/>
      <c r="Z83" s="3">
        <f t="shared" si="3"/>
        <v>0</v>
      </c>
      <c r="AA83" s="3" t="s">
        <v>1105</v>
      </c>
    </row>
    <row r="84" spans="1:27" ht="26.4">
      <c r="A84" s="221"/>
      <c r="G84" s="8" t="s">
        <v>471</v>
      </c>
      <c r="H84" s="8">
        <v>0.22500000000000001</v>
      </c>
      <c r="I84" s="8"/>
      <c r="J84" s="8"/>
      <c r="K84" s="8"/>
      <c r="L84" s="8"/>
      <c r="M84" s="8"/>
      <c r="N84" s="8"/>
      <c r="O84" s="8">
        <f t="shared" si="2"/>
        <v>0</v>
      </c>
      <c r="P84" s="8" t="s">
        <v>1092</v>
      </c>
      <c r="S84" s="221"/>
      <c r="T84" s="232"/>
      <c r="U84" s="232"/>
      <c r="V84" s="232"/>
      <c r="W84" s="232"/>
      <c r="X84" s="232"/>
      <c r="Y84" s="232"/>
      <c r="Z84" s="232">
        <f t="shared" si="3"/>
        <v>0</v>
      </c>
      <c r="AA84" s="232" t="s">
        <v>1092</v>
      </c>
    </row>
    <row r="85" spans="1:27" ht="43.5" customHeight="1">
      <c r="A85" s="221"/>
      <c r="B85" s="247" t="s">
        <v>619</v>
      </c>
      <c r="C85" s="247" t="s">
        <v>620</v>
      </c>
      <c r="D85" s="247" t="s">
        <v>622</v>
      </c>
      <c r="E85" s="247" t="s">
        <v>469</v>
      </c>
      <c r="F85" s="247" t="s">
        <v>621</v>
      </c>
      <c r="G85" s="3" t="s">
        <v>470</v>
      </c>
      <c r="H85" s="3">
        <v>7.8</v>
      </c>
      <c r="J85" s="3">
        <v>8.7759999999999998</v>
      </c>
      <c r="M85" s="3">
        <f>AVERAGE(I85:L85)</f>
        <v>8.7759999999999998</v>
      </c>
      <c r="O85" s="3">
        <f t="shared" si="2"/>
        <v>1</v>
      </c>
      <c r="P85" s="3" t="s">
        <v>1090</v>
      </c>
      <c r="S85" s="221"/>
      <c r="U85" s="3">
        <v>9.048</v>
      </c>
      <c r="X85" s="3">
        <f>AVERAGE(T85:W85)</f>
        <v>9.048</v>
      </c>
      <c r="Z85" s="3">
        <f t="shared" si="3"/>
        <v>1</v>
      </c>
      <c r="AA85" s="3" t="s">
        <v>1091</v>
      </c>
    </row>
    <row r="86" spans="1:27" ht="26.4">
      <c r="A86" s="221"/>
      <c r="G86" s="8" t="s">
        <v>471</v>
      </c>
      <c r="H86" s="8">
        <v>0.22500000000000001</v>
      </c>
      <c r="I86" s="8"/>
      <c r="J86" s="8">
        <v>0.25</v>
      </c>
      <c r="K86" s="8"/>
      <c r="L86" s="8"/>
      <c r="M86" s="8">
        <f>AVERAGE(I86:L86)</f>
        <v>0.25</v>
      </c>
      <c r="N86" s="8"/>
      <c r="O86" s="8">
        <f t="shared" si="2"/>
        <v>1</v>
      </c>
      <c r="P86" s="8" t="s">
        <v>1097</v>
      </c>
      <c r="S86" s="221"/>
      <c r="T86" s="232"/>
      <c r="U86" s="232">
        <v>0.25600000000000001</v>
      </c>
      <c r="V86" s="232"/>
      <c r="W86" s="232"/>
      <c r="X86" s="232">
        <f>AVERAGE(T86:W86)</f>
        <v>0.25600000000000001</v>
      </c>
      <c r="Y86" s="232"/>
      <c r="Z86" s="232">
        <f t="shared" si="3"/>
        <v>1</v>
      </c>
      <c r="AA86" s="232" t="s">
        <v>1110</v>
      </c>
    </row>
    <row r="87" spans="1:27" ht="43.5" customHeight="1">
      <c r="A87" s="221"/>
      <c r="B87" s="247" t="s">
        <v>619</v>
      </c>
      <c r="C87" s="247" t="s">
        <v>705</v>
      </c>
      <c r="D87" s="247" t="s">
        <v>690</v>
      </c>
      <c r="E87" s="247" t="s">
        <v>469</v>
      </c>
      <c r="F87" s="247" t="s">
        <v>659</v>
      </c>
      <c r="G87" s="3" t="s">
        <v>470</v>
      </c>
      <c r="H87" s="3">
        <v>7.8</v>
      </c>
      <c r="O87" s="3">
        <f t="shared" si="2"/>
        <v>0</v>
      </c>
      <c r="P87" s="3" t="s">
        <v>1093</v>
      </c>
      <c r="S87" s="221"/>
      <c r="Z87" s="3">
        <f t="shared" si="3"/>
        <v>0</v>
      </c>
      <c r="AA87" s="3" t="s">
        <v>1105</v>
      </c>
    </row>
    <row r="88" spans="1:27" ht="26.4">
      <c r="A88" s="221"/>
      <c r="G88" s="8" t="s">
        <v>471</v>
      </c>
      <c r="H88" s="8">
        <v>0.22500000000000001</v>
      </c>
      <c r="I88" s="8"/>
      <c r="J88" s="8"/>
      <c r="K88" s="8"/>
      <c r="L88" s="8"/>
      <c r="M88" s="8"/>
      <c r="N88" s="8"/>
      <c r="O88" s="8">
        <f t="shared" si="2"/>
        <v>0</v>
      </c>
      <c r="P88" s="8" t="s">
        <v>1086</v>
      </c>
      <c r="S88" s="221"/>
      <c r="T88" s="232"/>
      <c r="U88" s="232"/>
      <c r="V88" s="232"/>
      <c r="W88" s="232"/>
      <c r="X88" s="232"/>
      <c r="Y88" s="232"/>
      <c r="Z88" s="232">
        <f t="shared" si="3"/>
        <v>0</v>
      </c>
      <c r="AA88" s="232" t="s">
        <v>1105</v>
      </c>
    </row>
    <row r="89" spans="1:27" ht="43.5" customHeight="1">
      <c r="A89" s="221"/>
      <c r="B89" s="247" t="s">
        <v>619</v>
      </c>
      <c r="C89" s="247" t="s">
        <v>665</v>
      </c>
      <c r="D89" s="247" t="s">
        <v>660</v>
      </c>
      <c r="E89" s="247" t="s">
        <v>469</v>
      </c>
      <c r="F89" s="247" t="s">
        <v>659</v>
      </c>
      <c r="G89" s="3" t="s">
        <v>470</v>
      </c>
      <c r="H89" s="3">
        <v>7.8</v>
      </c>
      <c r="O89" s="3">
        <f t="shared" si="2"/>
        <v>0</v>
      </c>
      <c r="P89" s="3" t="s">
        <v>1094</v>
      </c>
      <c r="S89" s="221"/>
      <c r="Z89" s="3">
        <f t="shared" si="3"/>
        <v>0</v>
      </c>
      <c r="AA89" s="3" t="s">
        <v>1105</v>
      </c>
    </row>
    <row r="90" spans="1:27" ht="26.4">
      <c r="A90" s="221"/>
      <c r="G90" s="8" t="s">
        <v>471</v>
      </c>
      <c r="H90" s="8">
        <v>0.22500000000000001</v>
      </c>
      <c r="I90" s="8"/>
      <c r="J90" s="8"/>
      <c r="K90" s="8"/>
      <c r="L90" s="8"/>
      <c r="M90" s="8"/>
      <c r="N90" s="8"/>
      <c r="O90" s="8">
        <f t="shared" si="2"/>
        <v>0</v>
      </c>
      <c r="P90" s="8" t="s">
        <v>1086</v>
      </c>
      <c r="S90" s="221"/>
      <c r="T90" s="232"/>
      <c r="U90" s="232"/>
      <c r="V90" s="232"/>
      <c r="W90" s="232"/>
      <c r="X90" s="232"/>
      <c r="Y90" s="232"/>
      <c r="Z90" s="232">
        <f t="shared" si="3"/>
        <v>0</v>
      </c>
      <c r="AA90" s="232" t="s">
        <v>1105</v>
      </c>
    </row>
    <row r="91" spans="1:27" ht="43.5" customHeight="1">
      <c r="A91" s="221"/>
      <c r="B91" s="247" t="s">
        <v>619</v>
      </c>
      <c r="C91" s="247" t="s">
        <v>666</v>
      </c>
      <c r="D91" s="247" t="s">
        <v>661</v>
      </c>
      <c r="E91" s="247" t="s">
        <v>469</v>
      </c>
      <c r="F91" s="247" t="s">
        <v>659</v>
      </c>
      <c r="G91" s="3" t="s">
        <v>470</v>
      </c>
      <c r="H91" s="3">
        <v>7.8</v>
      </c>
      <c r="O91" s="3">
        <f t="shared" si="2"/>
        <v>0</v>
      </c>
      <c r="P91" s="3" t="s">
        <v>1093</v>
      </c>
      <c r="S91" s="221"/>
      <c r="Z91" s="3">
        <f t="shared" si="3"/>
        <v>0</v>
      </c>
      <c r="AA91" s="3" t="s">
        <v>1105</v>
      </c>
    </row>
    <row r="92" spans="1:27" ht="26.4">
      <c r="A92" s="221"/>
      <c r="G92" s="8" t="s">
        <v>471</v>
      </c>
      <c r="H92" s="8">
        <v>0.22500000000000001</v>
      </c>
      <c r="I92" s="8"/>
      <c r="J92" s="8"/>
      <c r="K92" s="8"/>
      <c r="L92" s="8"/>
      <c r="M92" s="8"/>
      <c r="N92" s="8"/>
      <c r="O92" s="8">
        <f t="shared" si="2"/>
        <v>0</v>
      </c>
      <c r="P92" s="8" t="s">
        <v>1093</v>
      </c>
      <c r="S92" s="221"/>
      <c r="T92" s="232"/>
      <c r="U92" s="232"/>
      <c r="V92" s="232"/>
      <c r="W92" s="232"/>
      <c r="X92" s="232"/>
      <c r="Y92" s="232"/>
      <c r="Z92" s="232">
        <f t="shared" si="3"/>
        <v>0</v>
      </c>
      <c r="AA92" s="232" t="s">
        <v>1109</v>
      </c>
    </row>
    <row r="93" spans="1:27" ht="43.5" customHeight="1">
      <c r="A93" s="315"/>
      <c r="B93" s="247" t="s">
        <v>619</v>
      </c>
      <c r="C93" s="247" t="s">
        <v>796</v>
      </c>
      <c r="D93" s="247" t="s">
        <v>797</v>
      </c>
      <c r="E93" s="247" t="s">
        <v>469</v>
      </c>
      <c r="F93" s="247" t="s">
        <v>659</v>
      </c>
      <c r="G93" s="3" t="s">
        <v>470</v>
      </c>
      <c r="H93" s="3">
        <v>7.8</v>
      </c>
      <c r="O93" s="3">
        <f t="shared" si="2"/>
        <v>0</v>
      </c>
      <c r="P93" s="3" t="s">
        <v>1086</v>
      </c>
      <c r="S93" s="315"/>
      <c r="Z93" s="3">
        <f t="shared" si="3"/>
        <v>0</v>
      </c>
      <c r="AA93" s="3" t="s">
        <v>1111</v>
      </c>
    </row>
    <row r="94" spans="1:27" ht="26.4">
      <c r="A94" s="315"/>
      <c r="G94" s="8" t="s">
        <v>471</v>
      </c>
      <c r="H94" s="8">
        <v>0.22500000000000001</v>
      </c>
      <c r="I94" s="8"/>
      <c r="J94" s="8"/>
      <c r="K94" s="8"/>
      <c r="L94" s="8"/>
      <c r="M94" s="8"/>
      <c r="N94" s="8"/>
      <c r="O94" s="8">
        <f t="shared" si="2"/>
        <v>0</v>
      </c>
      <c r="P94" s="8" t="s">
        <v>1086</v>
      </c>
      <c r="S94" s="315"/>
      <c r="T94" s="232"/>
      <c r="U94" s="232"/>
      <c r="V94" s="232"/>
      <c r="W94" s="232"/>
      <c r="X94" s="232"/>
      <c r="Y94" s="232"/>
      <c r="Z94" s="232">
        <f t="shared" si="3"/>
        <v>0</v>
      </c>
      <c r="AA94" s="232" t="s">
        <v>1092</v>
      </c>
    </row>
    <row r="95" spans="1:27">
      <c r="A95" s="7"/>
      <c r="S95" s="7"/>
    </row>
    <row r="97" spans="1:27">
      <c r="A97" s="429" t="s">
        <v>494</v>
      </c>
      <c r="B97" s="6" t="s">
        <v>72</v>
      </c>
      <c r="C97" s="6"/>
      <c r="D97" s="6"/>
      <c r="E97" s="6"/>
      <c r="F97" s="6"/>
      <c r="G97" s="11"/>
      <c r="H97" s="11"/>
      <c r="I97" s="11"/>
      <c r="J97" s="11"/>
      <c r="K97" s="11"/>
      <c r="L97" s="11"/>
      <c r="M97" s="11"/>
      <c r="N97" s="11"/>
      <c r="O97" s="11"/>
      <c r="P97" s="11"/>
      <c r="S97" s="429" t="s">
        <v>494</v>
      </c>
      <c r="T97" s="11"/>
      <c r="U97" s="11"/>
      <c r="V97" s="11"/>
      <c r="W97" s="11"/>
      <c r="X97" s="11"/>
      <c r="Y97" s="11"/>
      <c r="Z97" s="11"/>
      <c r="AA97" s="11"/>
    </row>
    <row r="98" spans="1:27" ht="26.4">
      <c r="A98" s="429"/>
      <c r="B98" s="3" t="s">
        <v>466</v>
      </c>
      <c r="C98" s="3" t="s">
        <v>495</v>
      </c>
      <c r="D98" s="3" t="s">
        <v>496</v>
      </c>
      <c r="E98" s="3" t="s">
        <v>469</v>
      </c>
      <c r="G98" s="3" t="s">
        <v>470</v>
      </c>
      <c r="H98" s="3">
        <v>5.4</v>
      </c>
      <c r="J98" s="3">
        <v>6.7745197938144335</v>
      </c>
      <c r="M98" s="3">
        <f>AVERAGE(I98:L98)</f>
        <v>6.7745197938144335</v>
      </c>
      <c r="O98" s="3">
        <f>COUNT(I98:L98)</f>
        <v>1</v>
      </c>
      <c r="P98" s="3" t="s">
        <v>1090</v>
      </c>
      <c r="S98" s="429"/>
      <c r="U98" s="3">
        <v>6.6718600000000006</v>
      </c>
      <c r="X98" s="3">
        <f>AVERAGE(T98:W98)</f>
        <v>6.6718600000000006</v>
      </c>
      <c r="Z98" s="3">
        <f>COUNT(T98:W98)</f>
        <v>1</v>
      </c>
      <c r="AA98" s="3" t="s">
        <v>1112</v>
      </c>
    </row>
    <row r="99" spans="1:27" ht="26.4">
      <c r="A99" s="429"/>
      <c r="G99" s="8" t="s">
        <v>471</v>
      </c>
      <c r="H99" s="8">
        <v>0.15</v>
      </c>
      <c r="I99" s="8"/>
      <c r="J99" s="8">
        <v>0.25459628865979383</v>
      </c>
      <c r="K99" s="8"/>
      <c r="L99" s="8"/>
      <c r="M99" s="8">
        <f>AVERAGE(I99:L99)</f>
        <v>0.25459628865979383</v>
      </c>
      <c r="N99" s="8"/>
      <c r="O99" s="8">
        <f>COUNT(I99:L99)</f>
        <v>1</v>
      </c>
      <c r="P99" s="8" t="s">
        <v>1082</v>
      </c>
      <c r="S99" s="429"/>
      <c r="T99" s="232"/>
      <c r="U99" s="232">
        <v>0.21866536082474228</v>
      </c>
      <c r="V99" s="232"/>
      <c r="W99" s="232"/>
      <c r="X99" s="232">
        <f>AVERAGE(T99:W99)</f>
        <v>0.21866536082474228</v>
      </c>
      <c r="Y99" s="232"/>
      <c r="Z99" s="232">
        <f>COUNT(T99:W99)</f>
        <v>1</v>
      </c>
      <c r="AA99" s="232" t="s">
        <v>1091</v>
      </c>
    </row>
    <row r="100" spans="1:27">
      <c r="A100" s="429"/>
      <c r="S100" s="429"/>
    </row>
    <row r="101" spans="1:27" ht="26.4">
      <c r="A101" s="429"/>
      <c r="B101" s="3" t="s">
        <v>466</v>
      </c>
      <c r="C101" s="3" t="s">
        <v>467</v>
      </c>
      <c r="D101" s="3" t="s">
        <v>497</v>
      </c>
      <c r="E101" s="3" t="s">
        <v>469</v>
      </c>
      <c r="G101" s="3" t="s">
        <v>470</v>
      </c>
      <c r="H101" s="3">
        <v>5.4</v>
      </c>
      <c r="J101" s="3">
        <v>8.12038969072165</v>
      </c>
      <c r="M101" s="3">
        <f>AVERAGE(I101:L101)</f>
        <v>8.12038969072165</v>
      </c>
      <c r="O101" s="3">
        <f>COUNT(I101:L101)</f>
        <v>1</v>
      </c>
      <c r="P101" s="3" t="s">
        <v>1090</v>
      </c>
      <c r="S101" s="429"/>
      <c r="U101" s="3">
        <v>8.0834321649484533</v>
      </c>
      <c r="X101" s="3">
        <f>AVERAGE(T101:W101)</f>
        <v>8.0834321649484533</v>
      </c>
      <c r="Z101" s="3">
        <f>COUNT(T101:W101)</f>
        <v>1</v>
      </c>
      <c r="AA101" s="3" t="s">
        <v>1082</v>
      </c>
    </row>
    <row r="102" spans="1:27" ht="26.4">
      <c r="A102" s="429"/>
      <c r="G102" s="8" t="s">
        <v>471</v>
      </c>
      <c r="H102" s="8">
        <v>0.15</v>
      </c>
      <c r="I102" s="8"/>
      <c r="J102" s="8">
        <v>0.38805402061855676</v>
      </c>
      <c r="K102" s="8"/>
      <c r="L102" s="8"/>
      <c r="M102" s="8">
        <f>AVERAGE(I102:L102)</f>
        <v>0.38805402061855676</v>
      </c>
      <c r="N102" s="8"/>
      <c r="O102" s="8">
        <f>COUNT(I102:L102)</f>
        <v>1</v>
      </c>
      <c r="P102" s="8" t="s">
        <v>1082</v>
      </c>
      <c r="S102" s="429"/>
      <c r="T102" s="206"/>
      <c r="U102" s="206">
        <v>0.32337835051546393</v>
      </c>
      <c r="V102" s="206"/>
      <c r="W102" s="206"/>
      <c r="X102" s="206">
        <f>AVERAGE(T102:W102)</f>
        <v>0.32337835051546393</v>
      </c>
      <c r="Y102" s="206"/>
      <c r="Z102" s="206">
        <f>COUNT(T102:W102)</f>
        <v>1</v>
      </c>
      <c r="AA102" s="206" t="s">
        <v>1082</v>
      </c>
    </row>
    <row r="103" spans="1:27">
      <c r="A103" s="429"/>
      <c r="S103" s="429"/>
    </row>
    <row r="104" spans="1:27" ht="26.4">
      <c r="A104" s="429"/>
      <c r="B104" s="3" t="s">
        <v>466</v>
      </c>
      <c r="C104" s="3" t="s">
        <v>467</v>
      </c>
      <c r="D104" s="3" t="s">
        <v>498</v>
      </c>
      <c r="E104" s="3" t="s">
        <v>469</v>
      </c>
      <c r="G104" s="3" t="s">
        <v>470</v>
      </c>
      <c r="H104" s="3">
        <v>5.4</v>
      </c>
      <c r="J104" s="3">
        <v>8.8277156701030943</v>
      </c>
      <c r="M104" s="3">
        <f>AVERAGE(I104:L104)</f>
        <v>8.8277156701030943</v>
      </c>
      <c r="O104" s="3">
        <f>COUNT(I104:L104)</f>
        <v>1</v>
      </c>
      <c r="P104" s="3" t="s">
        <v>1098</v>
      </c>
      <c r="S104" s="429"/>
      <c r="T104" s="3">
        <v>9.6639999999999997</v>
      </c>
      <c r="U104" s="3">
        <v>8.7958911340206196</v>
      </c>
      <c r="X104" s="3">
        <f>AVERAGE(T104:W104)</f>
        <v>9.2299455670103097</v>
      </c>
      <c r="Y104" s="3">
        <f>_xlfn.STDEV.S(T104:W104)</f>
        <v>0.61384566594218348</v>
      </c>
      <c r="Z104" s="3">
        <f>COUNT(T104:W104)</f>
        <v>2</v>
      </c>
      <c r="AA104" s="3" t="s">
        <v>1095</v>
      </c>
    </row>
    <row r="105" spans="1:27" ht="26.4">
      <c r="A105" s="429"/>
      <c r="G105" s="8" t="s">
        <v>471</v>
      </c>
      <c r="H105" s="8">
        <v>0.15</v>
      </c>
      <c r="I105" s="8"/>
      <c r="J105" s="8">
        <v>0.45170309278350518</v>
      </c>
      <c r="K105" s="8"/>
      <c r="L105" s="8"/>
      <c r="M105" s="8">
        <f>AVERAGE(I105:L105)</f>
        <v>0.45170309278350518</v>
      </c>
      <c r="N105" s="8"/>
      <c r="O105" s="8">
        <f>COUNT(I105:L105)</f>
        <v>1</v>
      </c>
      <c r="P105" s="8" t="s">
        <v>1099</v>
      </c>
      <c r="S105" s="429"/>
      <c r="T105" s="232">
        <v>0.47699999999999998</v>
      </c>
      <c r="U105" s="232">
        <v>0.37470824742268044</v>
      </c>
      <c r="V105" s="232"/>
      <c r="W105" s="232"/>
      <c r="X105" s="232">
        <f>AVERAGE(T105:W105)</f>
        <v>0.42585412371134024</v>
      </c>
      <c r="Y105" s="232">
        <f>_xlfn.STDEV.S(T105:W105)</f>
        <v>7.2331191906879019E-2</v>
      </c>
      <c r="Z105" s="232">
        <f>COUNT(T105:W105)</f>
        <v>2</v>
      </c>
      <c r="AA105" s="232" t="s">
        <v>1095</v>
      </c>
    </row>
    <row r="106" spans="1:27">
      <c r="A106" s="429"/>
      <c r="S106" s="429"/>
    </row>
    <row r="107" spans="1:27" ht="26.4">
      <c r="A107" s="429"/>
      <c r="B107" s="3" t="s">
        <v>466</v>
      </c>
      <c r="C107" s="3" t="s">
        <v>473</v>
      </c>
      <c r="D107" s="3" t="s">
        <v>499</v>
      </c>
      <c r="E107" s="3" t="s">
        <v>469</v>
      </c>
      <c r="G107" s="3" t="s">
        <v>470</v>
      </c>
      <c r="H107" s="3">
        <v>5.4</v>
      </c>
      <c r="O107" s="3">
        <f>COUNT(I107:L107)</f>
        <v>0</v>
      </c>
      <c r="P107" s="3" t="s">
        <v>1096</v>
      </c>
      <c r="S107" s="429"/>
      <c r="Z107" s="3">
        <f>COUNT(T107:W107)</f>
        <v>0</v>
      </c>
      <c r="AA107" s="3" t="s">
        <v>1088</v>
      </c>
    </row>
    <row r="108" spans="1:27" ht="26.4">
      <c r="A108" s="429"/>
      <c r="G108" s="8" t="s">
        <v>471</v>
      </c>
      <c r="H108" s="8">
        <v>0.15</v>
      </c>
      <c r="I108" s="8"/>
      <c r="J108" s="8"/>
      <c r="K108" s="8"/>
      <c r="L108" s="8"/>
      <c r="M108" s="8"/>
      <c r="N108" s="8"/>
      <c r="O108" s="8">
        <f>COUNT(I108:L108)</f>
        <v>0</v>
      </c>
      <c r="P108" s="8" t="s">
        <v>1096</v>
      </c>
      <c r="S108" s="429"/>
      <c r="T108" s="232"/>
      <c r="U108" s="232"/>
      <c r="V108" s="232"/>
      <c r="W108" s="232"/>
      <c r="X108" s="232"/>
      <c r="Y108" s="232"/>
      <c r="Z108" s="232">
        <f>COUNT(T108:W108)</f>
        <v>0</v>
      </c>
      <c r="AA108" s="232" t="s">
        <v>1088</v>
      </c>
    </row>
    <row r="109" spans="1:27">
      <c r="A109" s="429"/>
      <c r="S109" s="429"/>
    </row>
    <row r="110" spans="1:27" ht="26.4">
      <c r="A110" s="429"/>
      <c r="B110" s="3" t="s">
        <v>466</v>
      </c>
      <c r="C110" s="3" t="s">
        <v>475</v>
      </c>
      <c r="D110" s="3" t="s">
        <v>499</v>
      </c>
      <c r="E110" s="3" t="s">
        <v>469</v>
      </c>
      <c r="G110" s="3" t="s">
        <v>470</v>
      </c>
      <c r="H110" s="3">
        <v>5.4</v>
      </c>
      <c r="O110" s="3">
        <f>COUNT(I110:L110)</f>
        <v>0</v>
      </c>
      <c r="P110" s="3" t="s">
        <v>1089</v>
      </c>
      <c r="S110" s="429"/>
      <c r="Z110" s="3">
        <f>COUNT(T110:W110)</f>
        <v>0</v>
      </c>
      <c r="AA110" s="3" t="s">
        <v>1088</v>
      </c>
    </row>
    <row r="111" spans="1:27" ht="26.4">
      <c r="A111" s="429"/>
      <c r="G111" s="8" t="s">
        <v>471</v>
      </c>
      <c r="H111" s="8">
        <v>0.15</v>
      </c>
      <c r="I111" s="8"/>
      <c r="J111" s="8"/>
      <c r="K111" s="8"/>
      <c r="L111" s="8"/>
      <c r="M111" s="8"/>
      <c r="N111" s="8"/>
      <c r="O111" s="8">
        <f>COUNT(I111:L111)</f>
        <v>0</v>
      </c>
      <c r="P111" s="8" t="s">
        <v>1096</v>
      </c>
      <c r="S111" s="429"/>
      <c r="T111" s="232"/>
      <c r="U111" s="232"/>
      <c r="V111" s="232"/>
      <c r="W111" s="232"/>
      <c r="X111" s="232"/>
      <c r="Y111" s="232"/>
      <c r="Z111" s="232">
        <f>COUNT(T111:W111)</f>
        <v>0</v>
      </c>
      <c r="AA111" s="232" t="s">
        <v>1088</v>
      </c>
    </row>
    <row r="112" spans="1:27">
      <c r="A112" s="429"/>
      <c r="S112" s="429"/>
    </row>
    <row r="113" spans="1:27" ht="26.4">
      <c r="A113" s="429"/>
      <c r="B113" s="3" t="s">
        <v>466</v>
      </c>
      <c r="C113" s="3" t="s">
        <v>495</v>
      </c>
      <c r="D113" s="9" t="s">
        <v>500</v>
      </c>
      <c r="E113" s="3" t="s">
        <v>469</v>
      </c>
      <c r="G113" s="3" t="s">
        <v>470</v>
      </c>
      <c r="H113" s="3">
        <v>5.4</v>
      </c>
      <c r="O113" s="3">
        <f>COUNT(I113:L113)</f>
        <v>0</v>
      </c>
      <c r="P113" s="3" t="s">
        <v>1100</v>
      </c>
      <c r="S113" s="429"/>
      <c r="Z113" s="3">
        <f>COUNT(T113:W113)</f>
        <v>0</v>
      </c>
      <c r="AA113" s="3" t="s">
        <v>1092</v>
      </c>
    </row>
    <row r="114" spans="1:27" ht="26.4">
      <c r="A114" s="429"/>
      <c r="G114" s="8" t="s">
        <v>471</v>
      </c>
      <c r="H114" s="8">
        <v>0.15</v>
      </c>
      <c r="I114" s="8"/>
      <c r="J114" s="8"/>
      <c r="K114" s="8"/>
      <c r="L114" s="8"/>
      <c r="M114" s="8"/>
      <c r="N114" s="8"/>
      <c r="O114" s="8">
        <f>COUNT(I114:L114)</f>
        <v>0</v>
      </c>
      <c r="P114" s="8" t="s">
        <v>1096</v>
      </c>
      <c r="S114" s="429"/>
      <c r="T114" s="232"/>
      <c r="U114" s="232"/>
      <c r="V114" s="232"/>
      <c r="W114" s="232"/>
      <c r="X114" s="232"/>
      <c r="Y114" s="232"/>
      <c r="Z114" s="232">
        <f>COUNT(T114:W114)</f>
        <v>0</v>
      </c>
      <c r="AA114" s="232" t="s">
        <v>1088</v>
      </c>
    </row>
    <row r="115" spans="1:27">
      <c r="A115" s="429"/>
      <c r="S115" s="429"/>
    </row>
    <row r="116" spans="1:27" ht="26.4">
      <c r="A116" s="429"/>
      <c r="B116" s="3" t="s">
        <v>466</v>
      </c>
      <c r="C116" s="3" t="s">
        <v>495</v>
      </c>
      <c r="D116" s="3" t="s">
        <v>501</v>
      </c>
      <c r="E116" s="3" t="s">
        <v>469</v>
      </c>
      <c r="G116" s="3" t="s">
        <v>470</v>
      </c>
      <c r="H116" s="3">
        <v>5.4</v>
      </c>
      <c r="O116" s="3">
        <f>COUNT(I116:L116)</f>
        <v>0</v>
      </c>
      <c r="P116" s="3" t="s">
        <v>1092</v>
      </c>
      <c r="S116" s="429"/>
      <c r="Z116" s="3">
        <f>COUNT(T116:W116)</f>
        <v>0</v>
      </c>
      <c r="AA116" s="3" t="s">
        <v>1088</v>
      </c>
    </row>
    <row r="117" spans="1:27" ht="26.4">
      <c r="A117" s="429"/>
      <c r="G117" s="8" t="s">
        <v>471</v>
      </c>
      <c r="H117" s="8">
        <v>0.15</v>
      </c>
      <c r="I117" s="8"/>
      <c r="J117" s="8"/>
      <c r="K117" s="8"/>
      <c r="L117" s="8"/>
      <c r="M117" s="8"/>
      <c r="N117" s="8"/>
      <c r="O117" s="8">
        <f>COUNT(I117:L117)</f>
        <v>0</v>
      </c>
      <c r="P117" s="8" t="s">
        <v>1092</v>
      </c>
      <c r="S117" s="429"/>
      <c r="T117" s="232"/>
      <c r="U117" s="232"/>
      <c r="V117" s="232"/>
      <c r="W117" s="232"/>
      <c r="X117" s="232"/>
      <c r="Y117" s="232"/>
      <c r="Z117" s="232">
        <f>COUNT(T117:W117)</f>
        <v>0</v>
      </c>
      <c r="AA117" s="232" t="s">
        <v>1088</v>
      </c>
    </row>
    <row r="118" spans="1:27">
      <c r="A118" s="429"/>
      <c r="S118" s="429"/>
    </row>
    <row r="119" spans="1:27" ht="26.4">
      <c r="A119" s="429"/>
      <c r="B119" s="3" t="s">
        <v>466</v>
      </c>
      <c r="C119" s="3" t="s">
        <v>502</v>
      </c>
      <c r="D119" s="3" t="s">
        <v>503</v>
      </c>
      <c r="E119" s="3" t="s">
        <v>469</v>
      </c>
      <c r="G119" s="3" t="s">
        <v>470</v>
      </c>
      <c r="H119" s="3">
        <v>5.4</v>
      </c>
      <c r="O119" s="3">
        <f>COUNT(I119:L119)</f>
        <v>0</v>
      </c>
      <c r="P119" s="3" t="s">
        <v>1096</v>
      </c>
      <c r="S119" s="429"/>
      <c r="Z119" s="3">
        <f>COUNT(T119:W119)</f>
        <v>0</v>
      </c>
      <c r="AA119" s="3" t="s">
        <v>1088</v>
      </c>
    </row>
    <row r="120" spans="1:27" ht="26.4">
      <c r="A120" s="429"/>
      <c r="G120" s="8" t="s">
        <v>471</v>
      </c>
      <c r="H120" s="8">
        <v>0.15</v>
      </c>
      <c r="I120" s="8"/>
      <c r="J120" s="8"/>
      <c r="K120" s="8"/>
      <c r="L120" s="8"/>
      <c r="M120" s="8"/>
      <c r="N120" s="8"/>
      <c r="O120" s="8">
        <f>COUNT(I120:L120)</f>
        <v>0</v>
      </c>
      <c r="P120" s="8" t="s">
        <v>1096</v>
      </c>
      <c r="S120" s="429"/>
      <c r="T120" s="232"/>
      <c r="U120" s="232"/>
      <c r="V120" s="232"/>
      <c r="W120" s="232"/>
      <c r="X120" s="232"/>
      <c r="Y120" s="232"/>
      <c r="Z120" s="232">
        <f>COUNT(T120:W120)</f>
        <v>0</v>
      </c>
      <c r="AA120" s="232" t="s">
        <v>1088</v>
      </c>
    </row>
    <row r="121" spans="1:27" ht="26.4">
      <c r="A121" s="429"/>
      <c r="B121" s="247" t="s">
        <v>619</v>
      </c>
      <c r="C121" s="247" t="s">
        <v>667</v>
      </c>
      <c r="D121" s="247" t="s">
        <v>662</v>
      </c>
      <c r="E121" s="247" t="s">
        <v>469</v>
      </c>
      <c r="G121" s="3" t="s">
        <v>470</v>
      </c>
      <c r="H121" s="3">
        <v>5.4</v>
      </c>
      <c r="O121" s="3">
        <f>COUNT(I121:L121)</f>
        <v>0</v>
      </c>
      <c r="P121" s="3" t="s">
        <v>1096</v>
      </c>
      <c r="S121" s="429"/>
      <c r="Z121" s="3">
        <f>COUNT(T121:W121)</f>
        <v>0</v>
      </c>
      <c r="AA121" s="3" t="s">
        <v>1093</v>
      </c>
    </row>
    <row r="122" spans="1:27" ht="26.4">
      <c r="A122" s="429"/>
      <c r="G122" s="8" t="s">
        <v>471</v>
      </c>
      <c r="H122" s="8">
        <v>0.15</v>
      </c>
      <c r="I122" s="8"/>
      <c r="J122" s="8"/>
      <c r="K122" s="8"/>
      <c r="L122" s="8"/>
      <c r="M122" s="8"/>
      <c r="N122" s="8"/>
      <c r="O122" s="8">
        <f>COUNT(I122:L122)</f>
        <v>0</v>
      </c>
      <c r="P122" s="8" t="s">
        <v>1100</v>
      </c>
      <c r="S122" s="429"/>
      <c r="T122" s="232"/>
      <c r="U122" s="232"/>
      <c r="V122" s="232"/>
      <c r="W122" s="232"/>
      <c r="X122" s="232"/>
      <c r="Y122" s="232"/>
      <c r="Z122" s="232">
        <f>COUNT(T122:W122)</f>
        <v>0</v>
      </c>
      <c r="AA122" s="232" t="s">
        <v>1089</v>
      </c>
    </row>
    <row r="123" spans="1:27">
      <c r="A123" s="429"/>
      <c r="S123" s="429"/>
    </row>
    <row r="124" spans="1:27">
      <c r="A124" s="429"/>
      <c r="B124" s="6" t="s">
        <v>73</v>
      </c>
      <c r="C124" s="6"/>
      <c r="D124" s="6"/>
      <c r="E124" s="6"/>
      <c r="F124" s="6"/>
      <c r="G124" s="11"/>
      <c r="H124" s="11"/>
      <c r="I124" s="11"/>
      <c r="J124" s="11"/>
      <c r="K124" s="11"/>
      <c r="L124" s="11"/>
      <c r="M124" s="11"/>
      <c r="N124" s="11"/>
      <c r="O124" s="11"/>
      <c r="P124" s="11"/>
      <c r="S124" s="429"/>
      <c r="T124" s="11"/>
      <c r="U124" s="11"/>
      <c r="V124" s="11"/>
      <c r="W124" s="11"/>
      <c r="X124" s="11"/>
      <c r="Y124" s="11"/>
      <c r="Z124" s="11"/>
      <c r="AA124" s="11"/>
    </row>
    <row r="125" spans="1:27" ht="26.4">
      <c r="A125" s="429"/>
      <c r="B125" s="3" t="s">
        <v>466</v>
      </c>
      <c r="C125" s="3" t="s">
        <v>467</v>
      </c>
      <c r="D125" s="9" t="s">
        <v>504</v>
      </c>
      <c r="E125" s="3" t="s">
        <v>483</v>
      </c>
      <c r="F125" s="3" t="s">
        <v>100</v>
      </c>
      <c r="G125" s="3" t="s">
        <v>470</v>
      </c>
      <c r="H125" s="3">
        <v>5.4</v>
      </c>
      <c r="J125" s="3">
        <v>6.1357579831932769</v>
      </c>
      <c r="M125" s="3">
        <f>AVERAGE(I125:L125)</f>
        <v>6.1357579831932769</v>
      </c>
      <c r="O125" s="3">
        <f>COUNT(I125:L125)</f>
        <v>1</v>
      </c>
      <c r="P125" s="3" t="s">
        <v>1090</v>
      </c>
      <c r="S125" s="429"/>
      <c r="U125" s="3">
        <v>6.1053647058823524</v>
      </c>
      <c r="X125" s="3">
        <f>AVERAGE(T125:W125)</f>
        <v>6.1053647058823524</v>
      </c>
      <c r="Z125" s="3">
        <f>COUNT(T125:W125)</f>
        <v>1</v>
      </c>
      <c r="AA125" s="3" t="s">
        <v>1110</v>
      </c>
    </row>
    <row r="126" spans="1:27" ht="26.4">
      <c r="A126" s="429"/>
      <c r="G126" s="8" t="s">
        <v>471</v>
      </c>
      <c r="H126" s="8">
        <v>0.15</v>
      </c>
      <c r="I126" s="8"/>
      <c r="J126" s="8">
        <v>0.27630252100840336</v>
      </c>
      <c r="K126" s="8"/>
      <c r="L126" s="8"/>
      <c r="M126" s="8">
        <f>AVERAGE(I126:L126)</f>
        <v>0.27630252100840336</v>
      </c>
      <c r="N126" s="8"/>
      <c r="O126" s="8">
        <f>COUNT(I126:L126)</f>
        <v>1</v>
      </c>
      <c r="P126" s="8" t="s">
        <v>1090</v>
      </c>
      <c r="S126" s="429"/>
      <c r="T126" s="232"/>
      <c r="U126" s="232">
        <v>0.24959327731092437</v>
      </c>
      <c r="V126" s="232"/>
      <c r="W126" s="232"/>
      <c r="X126" s="232">
        <f>AVERAGE(T126:W126)</f>
        <v>0.24959327731092437</v>
      </c>
      <c r="Y126" s="232"/>
      <c r="Z126" s="232">
        <f>COUNT(T126:W126)</f>
        <v>1</v>
      </c>
      <c r="AA126" s="232" t="s">
        <v>1113</v>
      </c>
    </row>
    <row r="127" spans="1:27">
      <c r="A127" s="13"/>
      <c r="S127" s="13"/>
    </row>
    <row r="128" spans="1:27" ht="26.4">
      <c r="A128" s="13"/>
      <c r="B128" s="3" t="s">
        <v>466</v>
      </c>
      <c r="C128" s="3" t="s">
        <v>467</v>
      </c>
      <c r="D128" s="9" t="s">
        <v>504</v>
      </c>
      <c r="E128" s="3" t="s">
        <v>469</v>
      </c>
      <c r="F128" s="3" t="s">
        <v>100</v>
      </c>
      <c r="G128" s="3" t="s">
        <v>470</v>
      </c>
      <c r="H128" s="3">
        <v>5.4</v>
      </c>
      <c r="J128" s="3">
        <v>6.5704775086505194</v>
      </c>
      <c r="M128" s="3">
        <f>AVERAGE(I128:L128)</f>
        <v>6.5704775086505194</v>
      </c>
      <c r="O128" s="3">
        <f>COUNT(I128:L128)</f>
        <v>1</v>
      </c>
      <c r="P128" s="3" t="s">
        <v>1090</v>
      </c>
      <c r="S128" s="13"/>
      <c r="U128" s="3">
        <v>6.4782435986159168</v>
      </c>
      <c r="X128" s="3">
        <f>AVERAGE(T128:W128)</f>
        <v>6.4782435986159168</v>
      </c>
      <c r="Z128" s="3">
        <f>COUNT(T128:W128)</f>
        <v>1</v>
      </c>
      <c r="AA128" s="3" t="s">
        <v>1082</v>
      </c>
    </row>
    <row r="129" spans="1:27" ht="26.4">
      <c r="A129" s="13"/>
      <c r="G129" s="8" t="s">
        <v>471</v>
      </c>
      <c r="H129" s="8">
        <v>0.15</v>
      </c>
      <c r="I129" s="8"/>
      <c r="J129" s="8">
        <v>0.27765259515570934</v>
      </c>
      <c r="K129" s="8"/>
      <c r="L129" s="8"/>
      <c r="M129" s="8">
        <f>AVERAGE(I129:L129)</f>
        <v>0.27765259515570934</v>
      </c>
      <c r="N129" s="8"/>
      <c r="O129" s="8">
        <f>COUNT(I129:L129)</f>
        <v>1</v>
      </c>
      <c r="P129" s="8" t="s">
        <v>1090</v>
      </c>
      <c r="S129" s="13"/>
      <c r="T129" s="232"/>
      <c r="U129" s="232">
        <v>0.2462740484429066</v>
      </c>
      <c r="V129" s="232"/>
      <c r="W129" s="232"/>
      <c r="X129" s="232">
        <f>AVERAGE(T129:W129)</f>
        <v>0.2462740484429066</v>
      </c>
      <c r="Y129" s="232"/>
      <c r="Z129" s="232">
        <f>COUNT(T129:W129)</f>
        <v>1</v>
      </c>
      <c r="AA129" s="232" t="s">
        <v>1082</v>
      </c>
    </row>
    <row r="130" spans="1:27">
      <c r="A130" s="13"/>
      <c r="S130" s="13"/>
    </row>
    <row r="131" spans="1:27" ht="26.4">
      <c r="A131" s="13"/>
      <c r="B131" s="3" t="s">
        <v>466</v>
      </c>
      <c r="C131" s="3" t="s">
        <v>479</v>
      </c>
      <c r="D131" s="3" t="s">
        <v>505</v>
      </c>
      <c r="E131" s="3" t="s">
        <v>483</v>
      </c>
      <c r="F131" s="3" t="s">
        <v>100</v>
      </c>
      <c r="G131" s="3" t="s">
        <v>470</v>
      </c>
      <c r="H131" s="3">
        <v>5.4</v>
      </c>
      <c r="J131" s="3">
        <v>7.0300571428571423</v>
      </c>
      <c r="M131" s="3">
        <f>AVERAGE(I131:L131)</f>
        <v>7.0300571428571423</v>
      </c>
      <c r="O131" s="3">
        <f>COUNT(I131:L131)</f>
        <v>1</v>
      </c>
      <c r="P131" s="3" t="s">
        <v>1082</v>
      </c>
      <c r="S131" s="13"/>
      <c r="U131" s="3">
        <v>7.0005848739495793</v>
      </c>
      <c r="X131" s="3">
        <f>AVERAGE(T131:W131)</f>
        <v>7.0005848739495793</v>
      </c>
      <c r="Z131" s="3">
        <f>COUNT(T131:W131)</f>
        <v>1</v>
      </c>
      <c r="AA131" s="3" t="s">
        <v>1082</v>
      </c>
    </row>
    <row r="132" spans="1:27" ht="26.4">
      <c r="A132" s="13"/>
      <c r="G132" s="8" t="s">
        <v>471</v>
      </c>
      <c r="H132" s="8">
        <v>0.15</v>
      </c>
      <c r="I132" s="8"/>
      <c r="J132" s="8">
        <v>0.35550924369747899</v>
      </c>
      <c r="K132" s="8"/>
      <c r="L132" s="8"/>
      <c r="M132" s="8">
        <f>AVERAGE(I132:L132)</f>
        <v>0.35550924369747899</v>
      </c>
      <c r="N132" s="8"/>
      <c r="O132" s="8">
        <f>COUNT(I132:L132)</f>
        <v>1</v>
      </c>
      <c r="P132" s="8" t="s">
        <v>1082</v>
      </c>
      <c r="S132" s="14"/>
      <c r="T132" s="232"/>
      <c r="U132" s="232">
        <v>0.3251159663865546</v>
      </c>
      <c r="V132" s="232"/>
      <c r="W132" s="232"/>
      <c r="X132" s="232">
        <f>AVERAGE(T132:W132)</f>
        <v>0.3251159663865546</v>
      </c>
      <c r="Y132" s="232"/>
      <c r="Z132" s="232">
        <f>COUNT(T132:W132)</f>
        <v>1</v>
      </c>
      <c r="AA132" s="232" t="s">
        <v>1082</v>
      </c>
    </row>
    <row r="133" spans="1:27">
      <c r="A133" s="13"/>
      <c r="S133" s="14"/>
    </row>
    <row r="134" spans="1:27" ht="26.4">
      <c r="A134" s="13"/>
      <c r="B134" s="3" t="s">
        <v>466</v>
      </c>
      <c r="C134" s="3" t="s">
        <v>479</v>
      </c>
      <c r="D134" s="3" t="s">
        <v>505</v>
      </c>
      <c r="E134" s="3" t="s">
        <v>469</v>
      </c>
      <c r="F134" s="3" t="s">
        <v>100</v>
      </c>
      <c r="G134" s="3" t="s">
        <v>470</v>
      </c>
      <c r="H134" s="3">
        <v>5.4</v>
      </c>
      <c r="J134" s="3">
        <v>7.4890131487889278</v>
      </c>
      <c r="M134" s="3">
        <f>AVERAGE(I134:L134)</f>
        <v>7.4890131487889278</v>
      </c>
      <c r="O134" s="3">
        <f>COUNT(I134:L134)</f>
        <v>1</v>
      </c>
      <c r="P134" s="3" t="s">
        <v>1090</v>
      </c>
      <c r="S134" s="13"/>
      <c r="U134" s="3">
        <v>7.4747501730103805</v>
      </c>
      <c r="X134" s="3">
        <f>AVERAGE(T134:W134)</f>
        <v>7.4747501730103805</v>
      </c>
      <c r="Z134" s="3">
        <f>COUNT(T134:W134)</f>
        <v>1</v>
      </c>
      <c r="AA134" s="3" t="s">
        <v>1110</v>
      </c>
    </row>
    <row r="135" spans="1:27" ht="26.4">
      <c r="A135" s="13"/>
      <c r="G135" s="8" t="s">
        <v>471</v>
      </c>
      <c r="H135" s="8">
        <v>0.15</v>
      </c>
      <c r="I135" s="8"/>
      <c r="J135" s="8">
        <v>0.35847612456747407</v>
      </c>
      <c r="K135" s="8"/>
      <c r="L135" s="8"/>
      <c r="M135" s="8">
        <f>AVERAGE(I135:L135)</f>
        <v>0.35847612456747407</v>
      </c>
      <c r="N135" s="8"/>
      <c r="O135" s="8">
        <f>COUNT(I135:L135)</f>
        <v>1</v>
      </c>
      <c r="P135" s="8" t="s">
        <v>1082</v>
      </c>
      <c r="S135" s="14"/>
      <c r="T135" s="232"/>
      <c r="U135" s="232">
        <v>0.29476816608996542</v>
      </c>
      <c r="V135" s="232"/>
      <c r="W135" s="232"/>
      <c r="X135" s="232">
        <f>AVERAGE(T135:W135)</f>
        <v>0.29476816608996542</v>
      </c>
      <c r="Y135" s="232"/>
      <c r="Z135" s="232">
        <f>COUNT(T135:W135)</f>
        <v>1</v>
      </c>
      <c r="AA135" s="232" t="s">
        <v>1082</v>
      </c>
    </row>
    <row r="136" spans="1:27">
      <c r="A136" s="13"/>
      <c r="S136" s="14"/>
    </row>
    <row r="137" spans="1:27" ht="26.4">
      <c r="A137" s="13"/>
      <c r="B137" s="3" t="s">
        <v>466</v>
      </c>
      <c r="C137" s="3" t="s">
        <v>467</v>
      </c>
      <c r="D137" s="3" t="s">
        <v>506</v>
      </c>
      <c r="E137" s="3" t="s">
        <v>483</v>
      </c>
      <c r="F137" s="3" t="s">
        <v>100</v>
      </c>
      <c r="G137" s="3" t="s">
        <v>470</v>
      </c>
      <c r="H137" s="3">
        <v>5.4</v>
      </c>
      <c r="J137" s="3">
        <v>6.7344134453781512</v>
      </c>
      <c r="M137" s="3">
        <f>AVERAGE(I137:L137)</f>
        <v>6.7344134453781512</v>
      </c>
      <c r="O137" s="3">
        <f>COUNT(I137:L137)</f>
        <v>1</v>
      </c>
      <c r="P137" s="3" t="s">
        <v>1099</v>
      </c>
      <c r="S137" s="13"/>
      <c r="T137" s="3">
        <v>8.5229999999999997</v>
      </c>
      <c r="U137" s="3">
        <v>6.7500705882352934</v>
      </c>
      <c r="X137" s="3">
        <f>AVERAGE(T137:W137)</f>
        <v>7.6365352941176461</v>
      </c>
      <c r="Y137" s="3">
        <f>_xlfn.STDEV.S(T137:W137)</f>
        <v>1.2536504096239038</v>
      </c>
      <c r="Z137" s="3">
        <f>COUNT(T137:W137)</f>
        <v>2</v>
      </c>
      <c r="AA137" s="3" t="s">
        <v>1085</v>
      </c>
    </row>
    <row r="138" spans="1:27" ht="26.4">
      <c r="A138" s="13"/>
      <c r="G138" s="8" t="s">
        <v>471</v>
      </c>
      <c r="H138" s="8">
        <v>0.15</v>
      </c>
      <c r="I138" s="8"/>
      <c r="J138" s="8">
        <v>0.33064201680672267</v>
      </c>
      <c r="K138" s="8"/>
      <c r="L138" s="8"/>
      <c r="M138" s="8">
        <f>AVERAGE(I138:L138)</f>
        <v>0.33064201680672267</v>
      </c>
      <c r="N138" s="8"/>
      <c r="O138" s="8">
        <f>COUNT(I138:L138)</f>
        <v>1</v>
      </c>
      <c r="P138" s="8" t="s">
        <v>1099</v>
      </c>
      <c r="S138" s="14"/>
      <c r="T138" s="232">
        <v>0.4</v>
      </c>
      <c r="U138" s="232">
        <v>0.30945882352941179</v>
      </c>
      <c r="V138" s="232"/>
      <c r="W138" s="232"/>
      <c r="X138" s="232">
        <f>AVERAGE(T138:W138)</f>
        <v>0.3547294117647059</v>
      </c>
      <c r="Y138" s="232">
        <f>_xlfn.STDEV.S(T138:W138)</f>
        <v>6.4022279858960973E-2</v>
      </c>
      <c r="Z138" s="232">
        <f>COUNT(T138:W138)</f>
        <v>2</v>
      </c>
      <c r="AA138" s="232" t="s">
        <v>1113</v>
      </c>
    </row>
    <row r="139" spans="1:27">
      <c r="A139" s="13"/>
      <c r="S139" s="14"/>
    </row>
    <row r="140" spans="1:27" ht="26.4">
      <c r="A140" s="13"/>
      <c r="B140" s="3" t="s">
        <v>466</v>
      </c>
      <c r="C140" s="3" t="s">
        <v>467</v>
      </c>
      <c r="D140" s="3" t="s">
        <v>506</v>
      </c>
      <c r="E140" s="3" t="s">
        <v>469</v>
      </c>
      <c r="F140" s="3" t="s">
        <v>100</v>
      </c>
      <c r="G140" s="3" t="s">
        <v>470</v>
      </c>
      <c r="H140" s="3">
        <v>5.4</v>
      </c>
      <c r="J140" s="3">
        <v>7.1980484429065745</v>
      </c>
      <c r="M140" s="3">
        <f>AVERAGE(I140:L140)</f>
        <v>7.1980484429065745</v>
      </c>
      <c r="O140" s="3">
        <f>COUNT(I140:L140)</f>
        <v>1</v>
      </c>
      <c r="P140" s="3" t="s">
        <v>1082</v>
      </c>
      <c r="S140" s="13"/>
      <c r="T140" s="3">
        <v>8.2439999999999998</v>
      </c>
      <c r="U140" s="3">
        <v>7.1828346020761247</v>
      </c>
      <c r="X140" s="3">
        <f>AVERAGE(T140:W140)</f>
        <v>7.7134173010380618</v>
      </c>
      <c r="Y140" s="3">
        <f>_xlfn.STDEV.S(T140:W140)</f>
        <v>0.75035724883249311</v>
      </c>
      <c r="Z140" s="3">
        <f>COUNT(T140:W140)</f>
        <v>2</v>
      </c>
      <c r="AA140" s="3" t="s">
        <v>1110</v>
      </c>
    </row>
    <row r="141" spans="1:27" ht="26.4">
      <c r="A141" s="13"/>
      <c r="G141" s="8" t="s">
        <v>471</v>
      </c>
      <c r="H141" s="8">
        <v>0.15</v>
      </c>
      <c r="I141" s="8"/>
      <c r="J141" s="8">
        <v>0.32329411764705884</v>
      </c>
      <c r="K141" s="8"/>
      <c r="L141" s="8"/>
      <c r="M141" s="8">
        <f>AVERAGE(I141:L141)</f>
        <v>0.32329411764705884</v>
      </c>
      <c r="N141" s="8"/>
      <c r="O141" s="8">
        <f>COUNT(I141:L141)</f>
        <v>1</v>
      </c>
      <c r="P141" s="8" t="s">
        <v>1099</v>
      </c>
      <c r="S141" s="14"/>
      <c r="T141" s="232">
        <v>0.40100000000000002</v>
      </c>
      <c r="U141" s="232">
        <v>0.28811211072664361</v>
      </c>
      <c r="V141" s="232"/>
      <c r="W141" s="232"/>
      <c r="X141" s="232">
        <f>AVERAGE(T141:W141)</f>
        <v>0.34455605536332179</v>
      </c>
      <c r="Y141" s="232">
        <f>_xlfn.STDEV.S(T141:W141)</f>
        <v>7.9823792019026688E-2</v>
      </c>
      <c r="Z141" s="232">
        <f>COUNT(T141:W141)</f>
        <v>2</v>
      </c>
      <c r="AA141" s="232" t="s">
        <v>1113</v>
      </c>
    </row>
    <row r="142" spans="1:27">
      <c r="A142" s="13"/>
      <c r="S142" s="14"/>
    </row>
    <row r="143" spans="1:27" ht="26.4">
      <c r="A143" s="13"/>
      <c r="B143" s="3" t="s">
        <v>466</v>
      </c>
      <c r="C143" s="3" t="s">
        <v>473</v>
      </c>
      <c r="D143" s="3" t="s">
        <v>507</v>
      </c>
      <c r="E143" s="3" t="s">
        <v>469</v>
      </c>
      <c r="F143" s="3" t="s">
        <v>101</v>
      </c>
      <c r="G143" s="3" t="s">
        <v>470</v>
      </c>
      <c r="H143" s="3">
        <v>5.4</v>
      </c>
      <c r="O143" s="3">
        <f>COUNT(I143:L143)</f>
        <v>0</v>
      </c>
      <c r="P143" s="3" t="s">
        <v>1096</v>
      </c>
      <c r="S143" s="14"/>
      <c r="Z143" s="3">
        <f>COUNT(T143:W143)</f>
        <v>0</v>
      </c>
      <c r="AA143" s="3" t="s">
        <v>1108</v>
      </c>
    </row>
    <row r="144" spans="1:27" ht="26.4">
      <c r="A144" s="13"/>
      <c r="G144" s="8" t="s">
        <v>471</v>
      </c>
      <c r="H144" s="8">
        <v>0.15</v>
      </c>
      <c r="I144" s="8"/>
      <c r="J144" s="8"/>
      <c r="K144" s="8"/>
      <c r="L144" s="8"/>
      <c r="M144" s="8"/>
      <c r="N144" s="8"/>
      <c r="O144" s="8">
        <f>COUNT(I144:L144)</f>
        <v>0</v>
      </c>
      <c r="P144" s="8" t="s">
        <v>1092</v>
      </c>
      <c r="S144" s="14"/>
      <c r="T144" s="232"/>
      <c r="U144" s="232"/>
      <c r="V144" s="232"/>
      <c r="W144" s="232"/>
      <c r="X144" s="232"/>
      <c r="Y144" s="232"/>
      <c r="Z144" s="232">
        <f>COUNT(T144:W144)</f>
        <v>0</v>
      </c>
      <c r="AA144" s="232" t="s">
        <v>1105</v>
      </c>
    </row>
    <row r="145" spans="1:27">
      <c r="A145" s="13"/>
      <c r="S145" s="14"/>
    </row>
    <row r="146" spans="1:27" ht="26.4">
      <c r="A146" s="13"/>
      <c r="B146" s="3" t="s">
        <v>466</v>
      </c>
      <c r="C146" s="3" t="s">
        <v>495</v>
      </c>
      <c r="D146" s="9" t="s">
        <v>508</v>
      </c>
      <c r="E146" s="3" t="s">
        <v>469</v>
      </c>
      <c r="F146" s="9" t="s">
        <v>101</v>
      </c>
      <c r="G146" s="3" t="s">
        <v>470</v>
      </c>
      <c r="H146" s="3">
        <v>5.4</v>
      </c>
      <c r="O146" s="3">
        <f>COUNT(I146:L146)</f>
        <v>0</v>
      </c>
      <c r="P146" s="3" t="s">
        <v>1092</v>
      </c>
      <c r="S146" s="14"/>
      <c r="Z146" s="3">
        <f>COUNT(T146:W146)</f>
        <v>0</v>
      </c>
      <c r="AA146" s="3" t="s">
        <v>1092</v>
      </c>
    </row>
    <row r="147" spans="1:27" ht="26.4">
      <c r="A147" s="13"/>
      <c r="G147" s="8" t="s">
        <v>471</v>
      </c>
      <c r="H147" s="8">
        <v>0.15</v>
      </c>
      <c r="I147" s="8"/>
      <c r="J147" s="8"/>
      <c r="K147" s="8"/>
      <c r="L147" s="8"/>
      <c r="M147" s="8"/>
      <c r="N147" s="8"/>
      <c r="O147" s="8">
        <f>COUNT(I147:L147)</f>
        <v>0</v>
      </c>
      <c r="P147" s="8" t="s">
        <v>1100</v>
      </c>
      <c r="S147" s="14"/>
      <c r="T147" s="232"/>
      <c r="U147" s="232"/>
      <c r="V147" s="232"/>
      <c r="W147" s="232"/>
      <c r="X147" s="232"/>
      <c r="Y147" s="232"/>
      <c r="Z147" s="232">
        <f>COUNT(T147:W147)</f>
        <v>0</v>
      </c>
      <c r="AA147" s="232" t="s">
        <v>1105</v>
      </c>
    </row>
    <row r="148" spans="1:27">
      <c r="A148" s="13"/>
      <c r="S148" s="14"/>
    </row>
    <row r="149" spans="1:27" ht="26.4">
      <c r="A149" s="13"/>
      <c r="B149" s="3" t="s">
        <v>466</v>
      </c>
      <c r="C149" s="3" t="s">
        <v>495</v>
      </c>
      <c r="D149" s="9" t="s">
        <v>508</v>
      </c>
      <c r="E149" s="9" t="s">
        <v>483</v>
      </c>
      <c r="F149" s="9" t="s">
        <v>101</v>
      </c>
      <c r="G149" s="3" t="s">
        <v>470</v>
      </c>
      <c r="H149" s="3">
        <v>5.4</v>
      </c>
      <c r="O149" s="3">
        <f>COUNT(I149:L149)</f>
        <v>0</v>
      </c>
      <c r="P149" s="3" t="s">
        <v>1092</v>
      </c>
      <c r="S149" s="14"/>
      <c r="Z149" s="3">
        <f>COUNT(T149:W149)</f>
        <v>0</v>
      </c>
      <c r="AA149" s="3" t="s">
        <v>1092</v>
      </c>
    </row>
    <row r="150" spans="1:27" ht="26.4">
      <c r="A150" s="13"/>
      <c r="G150" s="8" t="s">
        <v>471</v>
      </c>
      <c r="H150" s="8">
        <v>0.15</v>
      </c>
      <c r="I150" s="8"/>
      <c r="J150" s="8"/>
      <c r="K150" s="8"/>
      <c r="L150" s="8"/>
      <c r="M150" s="8"/>
      <c r="N150" s="8"/>
      <c r="O150" s="8">
        <f>COUNT(I150:L150)</f>
        <v>0</v>
      </c>
      <c r="P150" s="8" t="s">
        <v>1096</v>
      </c>
      <c r="S150" s="14"/>
      <c r="T150" s="232"/>
      <c r="U150" s="232"/>
      <c r="V150" s="232"/>
      <c r="W150" s="232"/>
      <c r="X150" s="232"/>
      <c r="Y150" s="232"/>
      <c r="Z150" s="232">
        <f>COUNT(T150:W150)</f>
        <v>0</v>
      </c>
      <c r="AA150" s="232" t="s">
        <v>1092</v>
      </c>
    </row>
    <row r="151" spans="1:27">
      <c r="A151" s="13"/>
      <c r="G151" s="8"/>
      <c r="H151" s="8"/>
      <c r="I151" s="8"/>
      <c r="J151" s="8"/>
      <c r="K151" s="8"/>
      <c r="L151" s="8"/>
      <c r="M151" s="8"/>
      <c r="N151" s="8"/>
      <c r="O151" s="8"/>
      <c r="P151" s="8"/>
      <c r="S151" s="14"/>
      <c r="T151" s="8"/>
      <c r="U151" s="8"/>
      <c r="V151" s="8"/>
      <c r="W151" s="8"/>
      <c r="X151" s="8"/>
      <c r="Y151" s="8"/>
      <c r="Z151" s="8"/>
      <c r="AA151" s="8"/>
    </row>
    <row r="152" spans="1:27" ht="26.4">
      <c r="A152" s="13"/>
      <c r="B152" s="3" t="s">
        <v>466</v>
      </c>
      <c r="C152" s="3" t="s">
        <v>495</v>
      </c>
      <c r="D152" s="9" t="s">
        <v>509</v>
      </c>
      <c r="E152" s="3" t="s">
        <v>469</v>
      </c>
      <c r="F152" s="9" t="s">
        <v>101</v>
      </c>
      <c r="G152" s="3" t="s">
        <v>470</v>
      </c>
      <c r="H152" s="3">
        <v>5.4</v>
      </c>
      <c r="O152" s="3">
        <f>COUNT(I152:L152)</f>
        <v>0</v>
      </c>
      <c r="P152" s="3" t="s">
        <v>1093</v>
      </c>
      <c r="S152" s="14"/>
      <c r="Z152" s="3">
        <f>COUNT(T152:W152)</f>
        <v>0</v>
      </c>
      <c r="AA152" s="3" t="s">
        <v>1105</v>
      </c>
    </row>
    <row r="153" spans="1:27" ht="26.4">
      <c r="A153" s="13"/>
      <c r="G153" s="8" t="s">
        <v>471</v>
      </c>
      <c r="H153" s="8">
        <v>0.15</v>
      </c>
      <c r="I153" s="8"/>
      <c r="J153" s="8"/>
      <c r="K153" s="8"/>
      <c r="L153" s="8"/>
      <c r="M153" s="8"/>
      <c r="N153" s="8"/>
      <c r="O153" s="8">
        <f>COUNT(I153:L153)</f>
        <v>0</v>
      </c>
      <c r="P153" s="8" t="s">
        <v>1096</v>
      </c>
      <c r="S153" s="14"/>
      <c r="T153" s="232"/>
      <c r="U153" s="232"/>
      <c r="V153" s="232"/>
      <c r="W153" s="232"/>
      <c r="X153" s="232"/>
      <c r="Y153" s="232"/>
      <c r="Z153" s="232">
        <f>COUNT(T153:W153)</f>
        <v>0</v>
      </c>
      <c r="AA153" s="232" t="s">
        <v>1111</v>
      </c>
    </row>
    <row r="154" spans="1:27">
      <c r="A154" s="13"/>
      <c r="S154" s="14"/>
    </row>
    <row r="155" spans="1:27" ht="26.4">
      <c r="A155" s="13"/>
      <c r="B155" s="3" t="s">
        <v>466</v>
      </c>
      <c r="C155" s="3" t="s">
        <v>495</v>
      </c>
      <c r="D155" s="9" t="s">
        <v>509</v>
      </c>
      <c r="E155" s="9" t="s">
        <v>483</v>
      </c>
      <c r="F155" s="9" t="s">
        <v>101</v>
      </c>
      <c r="G155" s="3" t="s">
        <v>470</v>
      </c>
      <c r="H155" s="3">
        <v>5.4</v>
      </c>
      <c r="O155" s="3">
        <f>COUNT(I155:L155)</f>
        <v>0</v>
      </c>
      <c r="P155" s="3" t="s">
        <v>1096</v>
      </c>
      <c r="S155" s="14"/>
      <c r="Z155" s="3">
        <f>COUNT(T155:W155)</f>
        <v>0</v>
      </c>
      <c r="AA155" s="3" t="s">
        <v>1092</v>
      </c>
    </row>
    <row r="156" spans="1:27" ht="26.4">
      <c r="A156" s="13"/>
      <c r="G156" s="8" t="s">
        <v>471</v>
      </c>
      <c r="H156" s="8">
        <v>0.15</v>
      </c>
      <c r="I156" s="8"/>
      <c r="J156" s="8"/>
      <c r="K156" s="8"/>
      <c r="L156" s="8"/>
      <c r="M156" s="8"/>
      <c r="N156" s="8"/>
      <c r="O156" s="8">
        <f>COUNT(I156:L156)</f>
        <v>0</v>
      </c>
      <c r="P156" s="8" t="s">
        <v>1093</v>
      </c>
      <c r="S156" s="14"/>
      <c r="T156" s="232"/>
      <c r="U156" s="232"/>
      <c r="V156" s="232"/>
      <c r="W156" s="232"/>
      <c r="X156" s="232"/>
      <c r="Y156" s="232"/>
      <c r="Z156" s="232">
        <f>COUNT(T156:W156)</f>
        <v>0</v>
      </c>
      <c r="AA156" s="232" t="s">
        <v>1092</v>
      </c>
    </row>
    <row r="157" spans="1:27">
      <c r="A157" s="13"/>
      <c r="S157" s="14"/>
    </row>
    <row r="158" spans="1:27" ht="26.4">
      <c r="A158" s="13"/>
      <c r="B158" s="3" t="s">
        <v>466</v>
      </c>
      <c r="C158" s="3" t="s">
        <v>489</v>
      </c>
      <c r="D158" s="3" t="s">
        <v>510</v>
      </c>
      <c r="E158" s="3" t="s">
        <v>469</v>
      </c>
      <c r="F158" s="208" t="s">
        <v>531</v>
      </c>
      <c r="G158" s="3" t="s">
        <v>470</v>
      </c>
      <c r="H158" s="3">
        <v>5.4</v>
      </c>
      <c r="I158" s="3">
        <v>7.2796419437340152</v>
      </c>
      <c r="M158" s="3">
        <f>AVERAGE(I158:L158)</f>
        <v>7.2796419437340152</v>
      </c>
      <c r="O158" s="3">
        <f>COUNT(I158:L158)</f>
        <v>1</v>
      </c>
      <c r="P158" s="3" t="s">
        <v>1082</v>
      </c>
      <c r="S158" s="14"/>
      <c r="Z158" s="3">
        <f>COUNT(T158:W158)</f>
        <v>0</v>
      </c>
      <c r="AA158" s="3" t="s">
        <v>1105</v>
      </c>
    </row>
    <row r="159" spans="1:27" ht="26.4">
      <c r="A159" s="13"/>
      <c r="G159" s="8" t="s">
        <v>471</v>
      </c>
      <c r="H159" s="8">
        <v>0.15</v>
      </c>
      <c r="I159" s="8">
        <v>0.16338107416879799</v>
      </c>
      <c r="J159" s="8"/>
      <c r="K159" s="8"/>
      <c r="L159" s="8"/>
      <c r="M159" s="8">
        <f>AVERAGE(I159:L159)</f>
        <v>0.16338107416879799</v>
      </c>
      <c r="N159" s="8"/>
      <c r="O159" s="8">
        <f>COUNT(I159:L159)</f>
        <v>1</v>
      </c>
      <c r="P159" s="8" t="s">
        <v>1085</v>
      </c>
      <c r="S159" s="14"/>
      <c r="T159" s="232"/>
      <c r="U159" s="232"/>
      <c r="V159" s="232"/>
      <c r="W159" s="232"/>
      <c r="X159" s="232"/>
      <c r="Y159" s="232"/>
      <c r="Z159" s="232">
        <f>COUNT(T159:W159)</f>
        <v>0</v>
      </c>
      <c r="AA159" s="232" t="s">
        <v>1092</v>
      </c>
    </row>
    <row r="160" spans="1:27">
      <c r="A160" s="13"/>
      <c r="S160" s="14"/>
    </row>
    <row r="161" spans="1:27" ht="26.4">
      <c r="A161" s="13"/>
      <c r="B161" s="3" t="s">
        <v>466</v>
      </c>
      <c r="C161" s="3" t="s">
        <v>511</v>
      </c>
      <c r="D161" s="9" t="s">
        <v>504</v>
      </c>
      <c r="E161" s="3" t="s">
        <v>483</v>
      </c>
      <c r="F161" s="9" t="s">
        <v>101</v>
      </c>
      <c r="G161" s="3" t="s">
        <v>470</v>
      </c>
      <c r="H161" s="3">
        <v>5.4</v>
      </c>
      <c r="O161" s="3">
        <f>COUNT(I161:L161)</f>
        <v>0</v>
      </c>
      <c r="P161" s="3" t="s">
        <v>1096</v>
      </c>
      <c r="S161" s="14"/>
      <c r="Z161" s="3">
        <f>COUNT(T161:W161)</f>
        <v>0</v>
      </c>
      <c r="AA161" s="3" t="s">
        <v>1092</v>
      </c>
    </row>
    <row r="162" spans="1:27" ht="26.4">
      <c r="A162" s="13"/>
      <c r="G162" s="8" t="s">
        <v>471</v>
      </c>
      <c r="H162" s="8">
        <v>0.15</v>
      </c>
      <c r="I162" s="8"/>
      <c r="J162" s="8"/>
      <c r="K162" s="8"/>
      <c r="L162" s="8"/>
      <c r="M162" s="8"/>
      <c r="N162" s="8"/>
      <c r="O162" s="8">
        <f>COUNT(I162:L162)</f>
        <v>0</v>
      </c>
      <c r="P162" s="8" t="s">
        <v>1092</v>
      </c>
      <c r="S162" s="14"/>
      <c r="T162" s="232"/>
      <c r="U162" s="232"/>
      <c r="V162" s="232"/>
      <c r="W162" s="232"/>
      <c r="X162" s="232"/>
      <c r="Y162" s="232"/>
      <c r="Z162" s="232">
        <f>COUNT(T162:W162)</f>
        <v>0</v>
      </c>
      <c r="AA162" s="232" t="s">
        <v>1093</v>
      </c>
    </row>
    <row r="163" spans="1:27">
      <c r="A163" s="13"/>
      <c r="S163" s="14"/>
    </row>
    <row r="164" spans="1:27" ht="26.4">
      <c r="A164" s="13"/>
      <c r="B164" s="3" t="s">
        <v>466</v>
      </c>
      <c r="C164" s="3" t="s">
        <v>479</v>
      </c>
      <c r="D164" s="3" t="s">
        <v>505</v>
      </c>
      <c r="E164" s="3" t="s">
        <v>483</v>
      </c>
      <c r="F164" s="9" t="s">
        <v>101</v>
      </c>
      <c r="G164" s="3" t="s">
        <v>470</v>
      </c>
      <c r="H164" s="3">
        <v>5.4</v>
      </c>
      <c r="O164" s="3">
        <f>COUNT(I164:L164)</f>
        <v>0</v>
      </c>
      <c r="P164" s="3" t="s">
        <v>1094</v>
      </c>
      <c r="S164" s="429"/>
      <c r="Z164" s="3">
        <f>COUNT(T164:W164)</f>
        <v>0</v>
      </c>
      <c r="AA164" s="3" t="s">
        <v>1100</v>
      </c>
    </row>
    <row r="165" spans="1:27" ht="26.4">
      <c r="A165" s="429"/>
      <c r="G165" s="8" t="s">
        <v>471</v>
      </c>
      <c r="H165" s="8">
        <v>0.15</v>
      </c>
      <c r="I165" s="8"/>
      <c r="J165" s="8"/>
      <c r="K165" s="8"/>
      <c r="L165" s="8"/>
      <c r="M165" s="8"/>
      <c r="N165" s="8"/>
      <c r="O165" s="8">
        <f>COUNT(I165:L165)</f>
        <v>0</v>
      </c>
      <c r="P165" s="8" t="s">
        <v>1086</v>
      </c>
      <c r="S165" s="429"/>
      <c r="T165" s="232"/>
      <c r="U165" s="232"/>
      <c r="V165" s="232"/>
      <c r="W165" s="232"/>
      <c r="X165" s="232"/>
      <c r="Y165" s="232"/>
      <c r="Z165" s="232">
        <f>COUNT(T165:W165)</f>
        <v>0</v>
      </c>
      <c r="AA165" s="232" t="s">
        <v>1092</v>
      </c>
    </row>
    <row r="166" spans="1:27">
      <c r="A166" s="429"/>
      <c r="S166" s="429"/>
    </row>
    <row r="167" spans="1:27" ht="26.4">
      <c r="A167" s="429"/>
      <c r="B167" s="3" t="s">
        <v>466</v>
      </c>
      <c r="C167" s="3" t="s">
        <v>492</v>
      </c>
      <c r="D167" s="208" t="s">
        <v>628</v>
      </c>
      <c r="E167" s="3" t="s">
        <v>483</v>
      </c>
      <c r="F167" s="9" t="s">
        <v>104</v>
      </c>
      <c r="G167" s="3" t="s">
        <v>470</v>
      </c>
      <c r="H167" s="3">
        <v>5.4</v>
      </c>
      <c r="O167" s="3">
        <f t="shared" ref="O167:O182" si="4">COUNT(I167:L167)</f>
        <v>0</v>
      </c>
      <c r="P167" s="3" t="s">
        <v>1096</v>
      </c>
      <c r="S167" s="429"/>
      <c r="Z167" s="3">
        <f t="shared" ref="Z167:Z182" si="5">COUNT(T167:W167)</f>
        <v>0</v>
      </c>
      <c r="AA167" s="3" t="s">
        <v>1088</v>
      </c>
    </row>
    <row r="168" spans="1:27" ht="26.4">
      <c r="A168" s="13"/>
      <c r="G168" s="8" t="s">
        <v>471</v>
      </c>
      <c r="H168" s="8">
        <v>0.15</v>
      </c>
      <c r="I168" s="8"/>
      <c r="J168" s="8"/>
      <c r="K168" s="8"/>
      <c r="L168" s="8"/>
      <c r="M168" s="8"/>
      <c r="N168" s="8"/>
      <c r="O168" s="8">
        <f t="shared" si="4"/>
        <v>0</v>
      </c>
      <c r="P168" s="8" t="s">
        <v>1096</v>
      </c>
      <c r="S168" s="14"/>
      <c r="T168" s="232"/>
      <c r="U168" s="232"/>
      <c r="V168" s="232"/>
      <c r="W168" s="232"/>
      <c r="X168" s="232"/>
      <c r="Y168" s="232"/>
      <c r="Z168" s="232">
        <f t="shared" si="5"/>
        <v>0</v>
      </c>
      <c r="AA168" s="232" t="s">
        <v>1088</v>
      </c>
    </row>
    <row r="169" spans="1:27" ht="26.4">
      <c r="A169" s="222"/>
      <c r="B169" s="247" t="s">
        <v>466</v>
      </c>
      <c r="C169" s="247" t="s">
        <v>479</v>
      </c>
      <c r="D169" s="247" t="s">
        <v>505</v>
      </c>
      <c r="E169" s="247" t="s">
        <v>483</v>
      </c>
      <c r="F169" s="247" t="s">
        <v>580</v>
      </c>
      <c r="G169" s="3" t="s">
        <v>470</v>
      </c>
      <c r="H169" s="3">
        <v>5.4</v>
      </c>
      <c r="O169" s="3">
        <f t="shared" si="4"/>
        <v>0</v>
      </c>
      <c r="P169" s="3" t="s">
        <v>1093</v>
      </c>
      <c r="S169" s="222"/>
      <c r="Z169" s="3">
        <f t="shared" si="5"/>
        <v>0</v>
      </c>
      <c r="AA169" s="3" t="s">
        <v>1088</v>
      </c>
    </row>
    <row r="170" spans="1:27" ht="26.4">
      <c r="A170" s="222"/>
      <c r="B170" s="247"/>
      <c r="C170" s="247"/>
      <c r="D170" s="247"/>
      <c r="E170" s="247"/>
      <c r="G170" s="8" t="s">
        <v>471</v>
      </c>
      <c r="H170" s="8">
        <v>0.15</v>
      </c>
      <c r="I170" s="8"/>
      <c r="J170" s="8"/>
      <c r="K170" s="8"/>
      <c r="L170" s="8"/>
      <c r="M170" s="8"/>
      <c r="N170" s="8"/>
      <c r="O170" s="8">
        <f t="shared" si="4"/>
        <v>0</v>
      </c>
      <c r="P170" s="8" t="s">
        <v>1096</v>
      </c>
      <c r="S170" s="14"/>
      <c r="T170" s="232"/>
      <c r="U170" s="232"/>
      <c r="V170" s="232"/>
      <c r="W170" s="232"/>
      <c r="X170" s="232"/>
      <c r="Y170" s="232"/>
      <c r="Z170" s="232">
        <f t="shared" si="5"/>
        <v>0</v>
      </c>
      <c r="AA170" s="232" t="s">
        <v>1088</v>
      </c>
    </row>
    <row r="171" spans="1:27" ht="26.4">
      <c r="A171" s="222"/>
      <c r="B171" s="247" t="s">
        <v>466</v>
      </c>
      <c r="C171" s="247" t="s">
        <v>479</v>
      </c>
      <c r="D171" s="247" t="s">
        <v>505</v>
      </c>
      <c r="E171" s="247" t="s">
        <v>483</v>
      </c>
      <c r="F171" s="247" t="s">
        <v>581</v>
      </c>
      <c r="G171" s="3" t="s">
        <v>470</v>
      </c>
      <c r="H171" s="3">
        <v>5.4</v>
      </c>
      <c r="O171" s="3">
        <f t="shared" si="4"/>
        <v>0</v>
      </c>
      <c r="P171" s="3" t="s">
        <v>1096</v>
      </c>
      <c r="S171" s="222"/>
      <c r="Z171" s="3">
        <f t="shared" si="5"/>
        <v>0</v>
      </c>
      <c r="AA171" s="3" t="s">
        <v>1088</v>
      </c>
    </row>
    <row r="172" spans="1:27" ht="26.4">
      <c r="A172" s="222"/>
      <c r="G172" s="8" t="s">
        <v>471</v>
      </c>
      <c r="H172" s="8">
        <v>0.15</v>
      </c>
      <c r="I172" s="8"/>
      <c r="J172" s="8"/>
      <c r="K172" s="8"/>
      <c r="L172" s="8"/>
      <c r="M172" s="8"/>
      <c r="N172" s="8"/>
      <c r="O172" s="8">
        <f t="shared" si="4"/>
        <v>0</v>
      </c>
      <c r="P172" s="8" t="s">
        <v>1096</v>
      </c>
      <c r="S172" s="14"/>
      <c r="T172" s="232"/>
      <c r="U172" s="232"/>
      <c r="V172" s="232"/>
      <c r="W172" s="232"/>
      <c r="X172" s="232"/>
      <c r="Y172" s="232"/>
      <c r="Z172" s="232">
        <f t="shared" si="5"/>
        <v>0</v>
      </c>
      <c r="AA172" s="232" t="s">
        <v>1100</v>
      </c>
    </row>
    <row r="173" spans="1:27" s="247" customFormat="1" ht="26.4">
      <c r="A173" s="301"/>
      <c r="B173" s="247" t="s">
        <v>466</v>
      </c>
      <c r="C173" s="247" t="s">
        <v>719</v>
      </c>
      <c r="D173" s="247" t="s">
        <v>720</v>
      </c>
      <c r="E173" s="247" t="s">
        <v>469</v>
      </c>
      <c r="F173" s="247" t="s">
        <v>101</v>
      </c>
      <c r="G173" s="208" t="s">
        <v>470</v>
      </c>
      <c r="H173" s="208">
        <v>5.4</v>
      </c>
      <c r="O173" s="247">
        <f t="shared" si="4"/>
        <v>0</v>
      </c>
      <c r="P173" s="247" t="s">
        <v>1096</v>
      </c>
      <c r="S173" s="302"/>
      <c r="T173" s="208"/>
      <c r="U173" s="208"/>
      <c r="V173" s="208"/>
      <c r="W173" s="208">
        <v>10.468999999999999</v>
      </c>
      <c r="X173" s="208">
        <f t="shared" ref="X173:X178" si="6">AVERAGE(T173:W173)</f>
        <v>10.468999999999999</v>
      </c>
      <c r="Y173" s="208"/>
      <c r="Z173" s="208">
        <f t="shared" si="5"/>
        <v>1</v>
      </c>
      <c r="AA173" s="208" t="s">
        <v>1095</v>
      </c>
    </row>
    <row r="174" spans="1:27" s="247" customFormat="1" ht="26.4">
      <c r="A174" s="301"/>
      <c r="G174" s="321" t="s">
        <v>471</v>
      </c>
      <c r="H174" s="321">
        <v>0.15</v>
      </c>
      <c r="I174" s="303"/>
      <c r="J174" s="303"/>
      <c r="K174" s="303"/>
      <c r="L174" s="303"/>
      <c r="M174" s="303"/>
      <c r="N174" s="303"/>
      <c r="O174" s="303">
        <f t="shared" si="4"/>
        <v>0</v>
      </c>
      <c r="P174" s="303" t="s">
        <v>1096</v>
      </c>
      <c r="S174" s="302"/>
      <c r="T174" s="325"/>
      <c r="U174" s="325"/>
      <c r="V174" s="325"/>
      <c r="W174" s="325">
        <v>0.38300000000000001</v>
      </c>
      <c r="X174" s="325">
        <f t="shared" si="6"/>
        <v>0.38300000000000001</v>
      </c>
      <c r="Y174" s="325"/>
      <c r="Z174" s="325">
        <f t="shared" si="5"/>
        <v>1</v>
      </c>
      <c r="AA174" s="325" t="s">
        <v>1082</v>
      </c>
    </row>
    <row r="175" spans="1:27" s="247" customFormat="1" ht="26.4">
      <c r="A175" s="301"/>
      <c r="B175" s="247" t="s">
        <v>466</v>
      </c>
      <c r="C175" s="247" t="s">
        <v>719</v>
      </c>
      <c r="D175" s="247" t="s">
        <v>720</v>
      </c>
      <c r="E175" s="247" t="s">
        <v>469</v>
      </c>
      <c r="F175" s="247" t="s">
        <v>721</v>
      </c>
      <c r="G175" s="208" t="s">
        <v>470</v>
      </c>
      <c r="H175" s="208">
        <v>5.4</v>
      </c>
      <c r="O175" s="247">
        <f t="shared" si="4"/>
        <v>0</v>
      </c>
      <c r="P175" s="247" t="s">
        <v>1089</v>
      </c>
      <c r="S175" s="302"/>
      <c r="T175" s="208"/>
      <c r="U175" s="208"/>
      <c r="V175" s="208"/>
      <c r="W175" s="208">
        <v>8.8629999999999995</v>
      </c>
      <c r="X175" s="208">
        <f t="shared" si="6"/>
        <v>8.8629999999999995</v>
      </c>
      <c r="Y175" s="208"/>
      <c r="Z175" s="208">
        <f t="shared" si="5"/>
        <v>1</v>
      </c>
      <c r="AA175" s="208" t="s">
        <v>1095</v>
      </c>
    </row>
    <row r="176" spans="1:27" s="247" customFormat="1" ht="26.4">
      <c r="A176" s="301"/>
      <c r="G176" s="321" t="s">
        <v>471</v>
      </c>
      <c r="H176" s="321">
        <v>0.15</v>
      </c>
      <c r="I176" s="303"/>
      <c r="J176" s="303"/>
      <c r="K176" s="303"/>
      <c r="L176" s="303"/>
      <c r="M176" s="303"/>
      <c r="N176" s="303"/>
      <c r="O176" s="303">
        <f t="shared" si="4"/>
        <v>0</v>
      </c>
      <c r="P176" s="303" t="s">
        <v>1096</v>
      </c>
      <c r="S176" s="302"/>
      <c r="T176" s="325"/>
      <c r="U176" s="325"/>
      <c r="V176" s="325"/>
      <c r="W176" s="325">
        <v>0.28100000000000003</v>
      </c>
      <c r="X176" s="325">
        <f t="shared" si="6"/>
        <v>0.28100000000000003</v>
      </c>
      <c r="Y176" s="325"/>
      <c r="Z176" s="325">
        <f t="shared" si="5"/>
        <v>1</v>
      </c>
      <c r="AA176" s="325" t="s">
        <v>1095</v>
      </c>
    </row>
    <row r="177" spans="1:27" ht="43.5" customHeight="1">
      <c r="A177" s="222"/>
      <c r="B177" s="247" t="s">
        <v>619</v>
      </c>
      <c r="C177" s="247" t="s">
        <v>665</v>
      </c>
      <c r="D177" s="247" t="s">
        <v>629</v>
      </c>
      <c r="E177" s="247" t="s">
        <v>469</v>
      </c>
      <c r="F177" s="247" t="s">
        <v>621</v>
      </c>
      <c r="G177" s="3" t="s">
        <v>470</v>
      </c>
      <c r="H177" s="3">
        <v>7.8</v>
      </c>
      <c r="J177" s="3">
        <v>6.6479999999999997</v>
      </c>
      <c r="M177" s="3">
        <f>AVERAGE(I177:L177)</f>
        <v>6.6479999999999997</v>
      </c>
      <c r="O177" s="3">
        <f t="shared" si="4"/>
        <v>1</v>
      </c>
      <c r="P177" s="3" t="s">
        <v>1101</v>
      </c>
      <c r="S177" s="222"/>
      <c r="U177" s="3">
        <v>6.5940000000000003</v>
      </c>
      <c r="X177" s="3">
        <f t="shared" si="6"/>
        <v>6.5940000000000003</v>
      </c>
      <c r="Z177" s="3">
        <f t="shared" si="5"/>
        <v>1</v>
      </c>
      <c r="AA177" s="3" t="s">
        <v>1114</v>
      </c>
    </row>
    <row r="178" spans="1:27" ht="26.4">
      <c r="A178" s="222"/>
      <c r="G178" s="8" t="s">
        <v>471</v>
      </c>
      <c r="H178" s="8">
        <v>0.22500000000000001</v>
      </c>
      <c r="I178" s="8"/>
      <c r="J178" s="8">
        <v>0.32500000000000001</v>
      </c>
      <c r="K178" s="8"/>
      <c r="L178" s="8"/>
      <c r="M178" s="8">
        <f>AVERAGE(I178:L178)</f>
        <v>0.32500000000000001</v>
      </c>
      <c r="N178" s="8"/>
      <c r="O178" s="8">
        <f t="shared" si="4"/>
        <v>1</v>
      </c>
      <c r="P178" s="8" t="s">
        <v>1090</v>
      </c>
      <c r="S178" s="222"/>
      <c r="T178" s="232"/>
      <c r="U178" s="232">
        <v>0.29899999999999999</v>
      </c>
      <c r="V178" s="232"/>
      <c r="W178" s="232"/>
      <c r="X178" s="232">
        <f t="shared" si="6"/>
        <v>0.29899999999999999</v>
      </c>
      <c r="Y178" s="232"/>
      <c r="Z178" s="232">
        <f t="shared" si="5"/>
        <v>1</v>
      </c>
      <c r="AA178" s="232" t="s">
        <v>1082</v>
      </c>
    </row>
    <row r="179" spans="1:27" ht="26.4">
      <c r="A179" s="222"/>
      <c r="B179" s="247" t="s">
        <v>619</v>
      </c>
      <c r="C179" s="247" t="s">
        <v>667</v>
      </c>
      <c r="D179" s="247" t="s">
        <v>663</v>
      </c>
      <c r="E179" s="247" t="s">
        <v>469</v>
      </c>
      <c r="F179" s="247" t="s">
        <v>659</v>
      </c>
      <c r="G179" s="3" t="s">
        <v>470</v>
      </c>
      <c r="H179" s="3">
        <v>5.4</v>
      </c>
      <c r="O179" s="3">
        <f t="shared" si="4"/>
        <v>0</v>
      </c>
      <c r="P179" s="3" t="s">
        <v>1086</v>
      </c>
      <c r="S179" s="222"/>
      <c r="Z179" s="3">
        <f t="shared" si="5"/>
        <v>0</v>
      </c>
      <c r="AA179" s="3" t="s">
        <v>1100</v>
      </c>
    </row>
    <row r="180" spans="1:27" ht="26.4">
      <c r="A180" s="222"/>
      <c r="G180" s="8" t="s">
        <v>471</v>
      </c>
      <c r="H180" s="8">
        <v>0.15</v>
      </c>
      <c r="I180" s="8"/>
      <c r="J180" s="8"/>
      <c r="K180" s="8"/>
      <c r="L180" s="8"/>
      <c r="M180" s="8"/>
      <c r="N180" s="8"/>
      <c r="O180" s="8">
        <f t="shared" si="4"/>
        <v>0</v>
      </c>
      <c r="P180" s="8" t="s">
        <v>1102</v>
      </c>
      <c r="S180" s="222"/>
      <c r="T180" s="232"/>
      <c r="U180" s="232"/>
      <c r="V180" s="232"/>
      <c r="W180" s="232"/>
      <c r="X180" s="232"/>
      <c r="Y180" s="232"/>
      <c r="Z180" s="232">
        <f t="shared" si="5"/>
        <v>0</v>
      </c>
      <c r="AA180" s="232" t="s">
        <v>1088</v>
      </c>
    </row>
    <row r="181" spans="1:27" ht="26.4">
      <c r="A181" s="316"/>
      <c r="B181" s="247" t="s">
        <v>619</v>
      </c>
      <c r="C181" s="247" t="s">
        <v>796</v>
      </c>
      <c r="D181" s="247" t="s">
        <v>798</v>
      </c>
      <c r="E181" s="247" t="s">
        <v>469</v>
      </c>
      <c r="F181" s="247" t="s">
        <v>659</v>
      </c>
      <c r="G181" s="3" t="s">
        <v>470</v>
      </c>
      <c r="H181" s="3">
        <v>5.4</v>
      </c>
      <c r="O181" s="3">
        <f t="shared" si="4"/>
        <v>0</v>
      </c>
      <c r="P181" s="3" t="s">
        <v>1094</v>
      </c>
      <c r="S181" s="316"/>
      <c r="Z181" s="3">
        <f t="shared" si="5"/>
        <v>0</v>
      </c>
      <c r="AA181" s="3" t="s">
        <v>1092</v>
      </c>
    </row>
    <row r="182" spans="1:27" ht="26.4">
      <c r="A182" s="316"/>
      <c r="G182" s="8" t="s">
        <v>471</v>
      </c>
      <c r="H182" s="8">
        <v>0.15</v>
      </c>
      <c r="I182" s="8"/>
      <c r="J182" s="8"/>
      <c r="K182" s="8"/>
      <c r="L182" s="8"/>
      <c r="M182" s="8"/>
      <c r="N182" s="8"/>
      <c r="O182" s="8">
        <f t="shared" si="4"/>
        <v>0</v>
      </c>
      <c r="P182" s="8" t="s">
        <v>1092</v>
      </c>
      <c r="S182" s="316"/>
      <c r="T182" s="232"/>
      <c r="U182" s="232"/>
      <c r="V182" s="232"/>
      <c r="W182" s="232"/>
      <c r="X182" s="232"/>
      <c r="Y182" s="232"/>
      <c r="Z182" s="232">
        <f t="shared" si="5"/>
        <v>0</v>
      </c>
      <c r="AA182" s="232" t="s">
        <v>1092</v>
      </c>
    </row>
  </sheetData>
  <customSheetViews>
    <customSheetView guid="{35BB8162-AD08-4F19-B47C-5A1FD7B0567B}" scale="70">
      <pane ySplit="1.5" topLeftCell="I80" activePane="bottomRight" state="frozen"/>
      <selection pane="bottomRight" activeCell="N87" sqref="N87"/>
      <pageMargins left="0.69930555555555596" right="0.69930555555555596" top="0.75" bottom="0.75" header="0.3" footer="0.3"/>
      <pageSetup paperSize="9" orientation="portrait"/>
    </customSheetView>
    <customSheetView guid="{0F2BBD7E-9334-44AA-B170-23CF20E0BAAC}" scale="70">
      <pane xSplit="8" ySplit="1" topLeftCell="I2" activePane="bottomRight" state="frozen"/>
      <selection pane="bottomRight" activeCell="M3" sqref="M3"/>
      <pageMargins left="0.69930555555555596" right="0.69930555555555596" top="0.75" bottom="0.75" header="0.3" footer="0.3"/>
      <pageSetup paperSize="9" orientation="portrait"/>
    </customSheetView>
    <customSheetView guid="{02347D80-63DB-496D-935F-2CF95DC088FE}" scale="70">
      <pane xSplit="8" ySplit="1" topLeftCell="AG23" activePane="bottomRight" state="frozen"/>
      <selection pane="bottomRight" activeCell="AR28" sqref="AR28"/>
      <pageMargins left="0.69930555555555596" right="0.69930555555555596" top="0.75" bottom="0.75" header="0.3" footer="0.3"/>
      <pageSetup paperSize="9" orientation="portrait"/>
    </customSheetView>
    <customSheetView guid="{0EBD1C52-A862-496E-88D9-4B6EAB1093EB}" scale="70">
      <pane xSplit="8" ySplit="1" topLeftCell="I149" activePane="bottomRight" state="frozen"/>
      <selection pane="bottomRight" activeCell="A169" sqref="A169:XFD170"/>
      <pageMargins left="0.69930555555555596" right="0.69930555555555596" top="0.75" bottom="0.75" header="0.3" footer="0.3"/>
      <pageSetup paperSize="9" orientation="portrait"/>
    </customSheetView>
    <customSheetView guid="{279B0F34-BE9C-4778-A036-3ED8EAAF78FA}" scale="70">
      <pane xSplit="8" ySplit="1" topLeftCell="I35" activePane="bottomRight" state="frozen"/>
      <selection pane="bottomRight" activeCell="M48" sqref="M48"/>
      <pageMargins left="0.69930555555555596" right="0.69930555555555596" top="0.75" bottom="0.75" header="0.3" footer="0.3"/>
      <pageSetup paperSize="9" orientation="portrait"/>
    </customSheetView>
    <customSheetView guid="{FE13EA77-3511-4AB1-99FB-5446425992B9}" scale="70">
      <pane xSplit="8" ySplit="1" topLeftCell="R44" activePane="bottomRight" state="frozen"/>
      <selection pane="bottomRight" activeCell="AS27" sqref="AS27:AS28"/>
      <pageMargins left="0.69930555555555596" right="0.69930555555555596" top="0.75" bottom="0.75" header="0.3" footer="0.3"/>
      <pageSetup paperSize="9" orientation="portrait"/>
    </customSheetView>
    <customSheetView guid="{15D5C299-761A-4CBF-AA27-B17032FC4CEB}" scale="70">
      <pane xSplit="8" ySplit="1" topLeftCell="I80" activePane="bottomRight" state="frozen"/>
      <selection pane="bottomRight" activeCell="N87" sqref="N87"/>
      <pageMargins left="0.69930555555555596" right="0.69930555555555596" top="0.75" bottom="0.75" header="0.3" footer="0.3"/>
      <pageSetup paperSize="9" orientation="portrait"/>
    </customSheetView>
  </customSheetViews>
  <mergeCells count="7">
    <mergeCell ref="G1:H1"/>
    <mergeCell ref="A2:A67"/>
    <mergeCell ref="A97:A126"/>
    <mergeCell ref="A165:A167"/>
    <mergeCell ref="S2:S67"/>
    <mergeCell ref="S97:S126"/>
    <mergeCell ref="S164:S167"/>
  </mergeCells>
  <phoneticPr fontId="15" type="noConversion"/>
  <pageMargins left="0.69930555555555596" right="0.69930555555555596"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198"/>
  <sheetViews>
    <sheetView zoomScale="70" zoomScaleNormal="70" workbookViewId="0">
      <pane xSplit="9" ySplit="1" topLeftCell="J2" activePane="bottomRight" state="frozen"/>
      <selection pane="topRight" activeCell="I1" sqref="I1"/>
      <selection pane="bottomLeft" activeCell="A2" sqref="A2"/>
      <selection pane="bottomRight" activeCell="J1" sqref="J1:J1048576"/>
    </sheetView>
  </sheetViews>
  <sheetFormatPr defaultColWidth="9.44140625" defaultRowHeight="13.2"/>
  <cols>
    <col min="1" max="1" width="10.44140625" style="359" customWidth="1"/>
    <col min="2" max="2" width="6.5546875" style="359" customWidth="1"/>
    <col min="3" max="3" width="31" style="359" customWidth="1"/>
    <col min="4" max="4" width="24.44140625" style="359" customWidth="1"/>
    <col min="5" max="5" width="11.44140625" style="359" customWidth="1"/>
    <col min="6" max="6" width="9.44140625" style="359" customWidth="1"/>
    <col min="7" max="7" width="20" style="359" customWidth="1"/>
    <col min="8" max="8" width="16.44140625" style="359" customWidth="1"/>
    <col min="9" max="9" width="7.44140625" style="359" customWidth="1"/>
    <col min="10" max="17" width="9.44140625" style="359" customWidth="1"/>
    <col min="18" max="16384" width="9.44140625" style="359"/>
  </cols>
  <sheetData>
    <row r="1" spans="1:16" s="355" customFormat="1" ht="49.5" customHeight="1" thickBot="1">
      <c r="A1" s="354" t="s">
        <v>978</v>
      </c>
      <c r="B1" s="355" t="s">
        <v>457</v>
      </c>
      <c r="C1" s="355" t="s">
        <v>458</v>
      </c>
      <c r="D1" s="356" t="s">
        <v>459</v>
      </c>
      <c r="E1" s="355" t="s">
        <v>80</v>
      </c>
      <c r="F1" s="355" t="s">
        <v>98</v>
      </c>
      <c r="G1" s="355" t="s">
        <v>979</v>
      </c>
      <c r="H1" s="430" t="s">
        <v>460</v>
      </c>
      <c r="I1" s="430"/>
      <c r="J1" s="355" t="s">
        <v>17</v>
      </c>
      <c r="K1" s="355" t="s">
        <v>5</v>
      </c>
      <c r="L1" s="355" t="s">
        <v>21</v>
      </c>
      <c r="M1" s="355" t="s">
        <v>461</v>
      </c>
      <c r="N1" s="355" t="s">
        <v>462</v>
      </c>
      <c r="O1" s="355" t="s">
        <v>463</v>
      </c>
      <c r="P1" s="355" t="s">
        <v>1115</v>
      </c>
    </row>
    <row r="2" spans="1:16" ht="12.75" customHeight="1">
      <c r="A2" s="431" t="s">
        <v>465</v>
      </c>
      <c r="B2" s="357" t="s">
        <v>72</v>
      </c>
      <c r="C2" s="357"/>
      <c r="D2" s="357"/>
      <c r="E2" s="357"/>
      <c r="F2" s="357"/>
      <c r="G2" s="357"/>
      <c r="H2" s="357"/>
      <c r="I2" s="357"/>
      <c r="J2" s="358"/>
      <c r="K2" s="358"/>
      <c r="L2" s="358"/>
      <c r="M2" s="358"/>
      <c r="N2" s="358"/>
      <c r="O2" s="358"/>
      <c r="P2" s="358"/>
    </row>
    <row r="3" spans="1:16">
      <c r="A3" s="431"/>
    </row>
    <row r="4" spans="1:16">
      <c r="A4" s="431"/>
    </row>
    <row r="5" spans="1:16">
      <c r="A5" s="431"/>
    </row>
    <row r="6" spans="1:16">
      <c r="A6" s="431"/>
      <c r="B6" s="357" t="s">
        <v>73</v>
      </c>
      <c r="C6" s="357"/>
      <c r="D6" s="357"/>
      <c r="E6" s="357"/>
      <c r="F6" s="357"/>
      <c r="G6" s="357"/>
      <c r="H6" s="358"/>
      <c r="I6" s="358"/>
      <c r="J6" s="358"/>
      <c r="K6" s="358"/>
      <c r="L6" s="358"/>
      <c r="M6" s="358"/>
      <c r="N6" s="358"/>
      <c r="O6" s="358"/>
      <c r="P6" s="358"/>
    </row>
    <row r="7" spans="1:16">
      <c r="A7" s="431"/>
    </row>
    <row r="8" spans="1:16" ht="52.8">
      <c r="A8" s="431"/>
      <c r="B8" s="359" t="s">
        <v>980</v>
      </c>
      <c r="C8" s="359" t="s">
        <v>984</v>
      </c>
      <c r="D8" s="363" t="s">
        <v>985</v>
      </c>
      <c r="E8" s="363" t="s">
        <v>981</v>
      </c>
      <c r="F8" s="363" t="s">
        <v>925</v>
      </c>
      <c r="G8" s="363"/>
      <c r="H8" s="359" t="s">
        <v>982</v>
      </c>
      <c r="I8" s="359">
        <v>7.8</v>
      </c>
      <c r="O8" s="359">
        <f>COUNT(J8:L8)</f>
        <v>0</v>
      </c>
      <c r="P8" s="359" t="s">
        <v>1105</v>
      </c>
    </row>
    <row r="9" spans="1:16" ht="26.4">
      <c r="A9" s="431"/>
      <c r="H9" s="362" t="s">
        <v>983</v>
      </c>
      <c r="I9" s="362">
        <v>0.22500000000000001</v>
      </c>
      <c r="J9" s="362"/>
      <c r="K9" s="362"/>
      <c r="L9" s="362"/>
      <c r="M9" s="362"/>
      <c r="N9" s="362"/>
      <c r="O9" s="362">
        <f>COUNT(J9:L9)</f>
        <v>0</v>
      </c>
      <c r="P9" s="362" t="s">
        <v>1105</v>
      </c>
    </row>
    <row r="10" spans="1:16">
      <c r="A10" s="431"/>
    </row>
    <row r="11" spans="1:16" ht="52.8">
      <c r="A11" s="431"/>
      <c r="B11" s="359" t="s">
        <v>980</v>
      </c>
      <c r="C11" s="359" t="s">
        <v>986</v>
      </c>
      <c r="D11" s="363" t="s">
        <v>987</v>
      </c>
      <c r="E11" s="363" t="s">
        <v>981</v>
      </c>
      <c r="F11" s="363" t="s">
        <v>925</v>
      </c>
      <c r="G11" s="363"/>
      <c r="H11" s="359" t="s">
        <v>982</v>
      </c>
      <c r="I11" s="359">
        <v>7.8</v>
      </c>
      <c r="O11" s="359">
        <f t="shared" ref="O11:O18" si="0">COUNT(J11:L11)</f>
        <v>0</v>
      </c>
      <c r="P11" s="359" t="s">
        <v>1116</v>
      </c>
    </row>
    <row r="12" spans="1:16" ht="26.4">
      <c r="A12" s="431"/>
      <c r="H12" s="362" t="s">
        <v>983</v>
      </c>
      <c r="I12" s="362">
        <v>0.22500000000000001</v>
      </c>
      <c r="J12" s="362"/>
      <c r="K12" s="362"/>
      <c r="L12" s="362"/>
      <c r="M12" s="362"/>
      <c r="N12" s="362"/>
      <c r="O12" s="362">
        <f t="shared" si="0"/>
        <v>0</v>
      </c>
      <c r="P12" s="362" t="s">
        <v>1117</v>
      </c>
    </row>
    <row r="13" spans="1:16" ht="43.5" customHeight="1">
      <c r="A13" s="431"/>
      <c r="B13" s="364" t="s">
        <v>466</v>
      </c>
      <c r="C13" s="364" t="s">
        <v>988</v>
      </c>
      <c r="D13" s="364" t="s">
        <v>989</v>
      </c>
      <c r="E13" s="364" t="s">
        <v>990</v>
      </c>
      <c r="F13" s="364" t="s">
        <v>100</v>
      </c>
      <c r="H13" s="359" t="s">
        <v>470</v>
      </c>
      <c r="I13" s="359">
        <v>7.8</v>
      </c>
      <c r="J13" s="359">
        <v>19.3</v>
      </c>
      <c r="M13" s="359">
        <f t="shared" ref="M13:M18" si="1">AVERAGE(J13:L13)</f>
        <v>19.3</v>
      </c>
      <c r="O13" s="359">
        <f t="shared" si="0"/>
        <v>1</v>
      </c>
      <c r="P13" s="359" t="s">
        <v>1091</v>
      </c>
    </row>
    <row r="14" spans="1:16" ht="26.4">
      <c r="A14" s="431"/>
      <c r="B14" s="364"/>
      <c r="C14" s="364"/>
      <c r="D14" s="364"/>
      <c r="E14" s="364"/>
      <c r="F14" s="364"/>
      <c r="H14" s="365" t="s">
        <v>471</v>
      </c>
      <c r="I14" s="365">
        <v>0.22500000000000001</v>
      </c>
      <c r="J14" s="362">
        <v>0.05</v>
      </c>
      <c r="K14" s="362"/>
      <c r="L14" s="362"/>
      <c r="M14" s="362">
        <f t="shared" si="1"/>
        <v>0.05</v>
      </c>
      <c r="N14" s="362"/>
      <c r="O14" s="362">
        <f t="shared" si="0"/>
        <v>1</v>
      </c>
      <c r="P14" s="362" t="s">
        <v>1118</v>
      </c>
    </row>
    <row r="15" spans="1:16" ht="43.5" customHeight="1">
      <c r="A15" s="431"/>
      <c r="B15" s="364" t="s">
        <v>466</v>
      </c>
      <c r="C15" s="364" t="s">
        <v>988</v>
      </c>
      <c r="D15" s="364" t="s">
        <v>991</v>
      </c>
      <c r="E15" s="364" t="s">
        <v>990</v>
      </c>
      <c r="F15" s="364" t="s">
        <v>100</v>
      </c>
      <c r="H15" s="359" t="s">
        <v>470</v>
      </c>
      <c r="I15" s="359">
        <v>7.8</v>
      </c>
      <c r="J15" s="359">
        <v>15.3</v>
      </c>
      <c r="M15" s="359">
        <f t="shared" si="1"/>
        <v>15.3</v>
      </c>
      <c r="O15" s="359">
        <f t="shared" si="0"/>
        <v>1</v>
      </c>
      <c r="P15" s="359" t="s">
        <v>1110</v>
      </c>
    </row>
    <row r="16" spans="1:16" ht="26.4">
      <c r="A16" s="431"/>
      <c r="B16" s="364"/>
      <c r="C16" s="364"/>
      <c r="D16" s="364"/>
      <c r="E16" s="364"/>
      <c r="F16" s="364"/>
      <c r="H16" s="365" t="s">
        <v>471</v>
      </c>
      <c r="I16" s="365">
        <v>0.22500000000000001</v>
      </c>
      <c r="J16" s="362">
        <v>0.05</v>
      </c>
      <c r="K16" s="362"/>
      <c r="L16" s="362"/>
      <c r="M16" s="362">
        <f t="shared" si="1"/>
        <v>0.05</v>
      </c>
      <c r="N16" s="362"/>
      <c r="O16" s="362">
        <f t="shared" si="0"/>
        <v>1</v>
      </c>
      <c r="P16" s="362" t="s">
        <v>1118</v>
      </c>
    </row>
    <row r="17" spans="1:16" ht="48.75" customHeight="1">
      <c r="A17" s="431"/>
      <c r="B17" s="364" t="s">
        <v>466</v>
      </c>
      <c r="C17" s="364" t="s">
        <v>988</v>
      </c>
      <c r="D17" s="364" t="s">
        <v>989</v>
      </c>
      <c r="E17" s="364" t="s">
        <v>990</v>
      </c>
      <c r="F17" s="364" t="s">
        <v>100</v>
      </c>
      <c r="G17" s="366" t="s">
        <v>992</v>
      </c>
      <c r="H17" s="359" t="s">
        <v>470</v>
      </c>
      <c r="I17" s="359">
        <v>7.8</v>
      </c>
      <c r="J17" s="359">
        <v>21.6</v>
      </c>
      <c r="M17" s="359">
        <f t="shared" si="1"/>
        <v>21.6</v>
      </c>
      <c r="O17" s="359">
        <f t="shared" si="0"/>
        <v>1</v>
      </c>
      <c r="P17" s="359" t="s">
        <v>1095</v>
      </c>
    </row>
    <row r="18" spans="1:16" ht="26.4">
      <c r="A18" s="431"/>
      <c r="B18" s="364"/>
      <c r="C18" s="364"/>
      <c r="D18" s="364"/>
      <c r="E18" s="364"/>
      <c r="F18" s="364"/>
      <c r="G18" s="366"/>
      <c r="H18" s="365" t="s">
        <v>471</v>
      </c>
      <c r="I18" s="365">
        <v>0.22500000000000001</v>
      </c>
      <c r="J18" s="362">
        <v>0.57999999999999996</v>
      </c>
      <c r="K18" s="362"/>
      <c r="L18" s="362"/>
      <c r="M18" s="362">
        <f t="shared" si="1"/>
        <v>0.57999999999999996</v>
      </c>
      <c r="N18" s="362"/>
      <c r="O18" s="362">
        <f t="shared" si="0"/>
        <v>1</v>
      </c>
      <c r="P18" s="362" t="s">
        <v>1095</v>
      </c>
    </row>
    <row r="19" spans="1:16">
      <c r="A19" s="431"/>
      <c r="B19" s="364"/>
      <c r="C19" s="364"/>
      <c r="D19" s="364"/>
      <c r="E19" s="364"/>
      <c r="F19" s="364"/>
      <c r="G19" s="366"/>
    </row>
    <row r="20" spans="1:16" ht="43.5" customHeight="1">
      <c r="A20" s="431"/>
      <c r="B20" s="364" t="s">
        <v>466</v>
      </c>
      <c r="C20" s="364" t="s">
        <v>988</v>
      </c>
      <c r="D20" s="364" t="s">
        <v>991</v>
      </c>
      <c r="E20" s="364" t="s">
        <v>990</v>
      </c>
      <c r="F20" s="364" t="s">
        <v>100</v>
      </c>
      <c r="G20" s="366" t="s">
        <v>992</v>
      </c>
      <c r="H20" s="359" t="s">
        <v>470</v>
      </c>
      <c r="I20" s="359">
        <v>7.8</v>
      </c>
      <c r="J20" s="359">
        <v>16.899999999999999</v>
      </c>
      <c r="M20" s="359">
        <f>AVERAGE(J20:L20)</f>
        <v>16.899999999999999</v>
      </c>
      <c r="O20" s="359">
        <f t="shared" ref="O20:O25" si="2">COUNT(J20:L20)</f>
        <v>1</v>
      </c>
      <c r="P20" s="359" t="s">
        <v>1095</v>
      </c>
    </row>
    <row r="21" spans="1:16" ht="26.4">
      <c r="A21" s="431"/>
      <c r="B21" s="364"/>
      <c r="C21" s="364"/>
      <c r="D21" s="364"/>
      <c r="E21" s="364"/>
      <c r="F21" s="364"/>
      <c r="G21" s="366"/>
      <c r="H21" s="365" t="s">
        <v>471</v>
      </c>
      <c r="I21" s="365">
        <v>0.22500000000000001</v>
      </c>
      <c r="J21" s="362">
        <v>0.44</v>
      </c>
      <c r="K21" s="362"/>
      <c r="L21" s="362"/>
      <c r="M21" s="362">
        <f>AVERAGE(J21:L21)</f>
        <v>0.44</v>
      </c>
      <c r="N21" s="362"/>
      <c r="O21" s="362">
        <f t="shared" si="2"/>
        <v>1</v>
      </c>
      <c r="P21" s="362" t="s">
        <v>1095</v>
      </c>
    </row>
    <row r="22" spans="1:16" ht="51" customHeight="1">
      <c r="A22" s="431"/>
      <c r="B22" s="364" t="s">
        <v>466</v>
      </c>
      <c r="C22" s="364" t="s">
        <v>993</v>
      </c>
      <c r="D22" s="364" t="s">
        <v>994</v>
      </c>
      <c r="E22" s="364" t="s">
        <v>990</v>
      </c>
      <c r="F22" s="364" t="s">
        <v>100</v>
      </c>
      <c r="G22" s="367" t="s">
        <v>995</v>
      </c>
      <c r="H22" s="359" t="s">
        <v>470</v>
      </c>
      <c r="I22" s="359">
        <v>7.8</v>
      </c>
      <c r="O22" s="359">
        <f t="shared" si="2"/>
        <v>0</v>
      </c>
      <c r="P22" s="359" t="s">
        <v>1088</v>
      </c>
    </row>
    <row r="23" spans="1:16" ht="26.4">
      <c r="A23" s="431"/>
      <c r="H23" s="365" t="s">
        <v>471</v>
      </c>
      <c r="I23" s="365">
        <v>0.22500000000000001</v>
      </c>
      <c r="J23" s="362"/>
      <c r="K23" s="362"/>
      <c r="L23" s="362"/>
      <c r="M23" s="362"/>
      <c r="N23" s="362"/>
      <c r="O23" s="362">
        <f t="shared" si="2"/>
        <v>0</v>
      </c>
      <c r="P23" s="362" t="s">
        <v>1093</v>
      </c>
    </row>
    <row r="24" spans="1:16" ht="43.5" customHeight="1">
      <c r="A24" s="431"/>
      <c r="B24" s="364" t="s">
        <v>466</v>
      </c>
      <c r="C24" s="364" t="s">
        <v>996</v>
      </c>
      <c r="D24" s="364" t="s">
        <v>997</v>
      </c>
      <c r="E24" s="364" t="s">
        <v>990</v>
      </c>
      <c r="F24" s="364" t="s">
        <v>998</v>
      </c>
      <c r="G24" s="367" t="s">
        <v>999</v>
      </c>
      <c r="H24" s="359" t="s">
        <v>470</v>
      </c>
      <c r="I24" s="359">
        <v>7.8</v>
      </c>
      <c r="O24" s="359">
        <f t="shared" si="2"/>
        <v>0</v>
      </c>
      <c r="P24" s="359" t="s">
        <v>1089</v>
      </c>
    </row>
    <row r="25" spans="1:16" ht="26.4">
      <c r="A25" s="431"/>
      <c r="H25" s="365" t="s">
        <v>471</v>
      </c>
      <c r="I25" s="365">
        <v>0.22500000000000001</v>
      </c>
      <c r="J25" s="362"/>
      <c r="K25" s="362"/>
      <c r="L25" s="362"/>
      <c r="M25" s="362"/>
      <c r="N25" s="362"/>
      <c r="O25" s="362">
        <f t="shared" si="2"/>
        <v>0</v>
      </c>
      <c r="P25" s="362" t="s">
        <v>1092</v>
      </c>
    </row>
    <row r="26" spans="1:16">
      <c r="A26" s="431"/>
    </row>
    <row r="28" spans="1:16" ht="12.75" customHeight="1">
      <c r="A28" s="432" t="s">
        <v>494</v>
      </c>
      <c r="B28" s="357" t="s">
        <v>72</v>
      </c>
      <c r="C28" s="357"/>
      <c r="D28" s="357"/>
      <c r="E28" s="357"/>
      <c r="F28" s="357"/>
      <c r="G28" s="357"/>
      <c r="H28" s="358"/>
      <c r="I28" s="358"/>
      <c r="J28" s="358"/>
      <c r="K28" s="358"/>
      <c r="L28" s="358"/>
      <c r="M28" s="358"/>
      <c r="N28" s="358"/>
      <c r="O28" s="358"/>
      <c r="P28" s="358"/>
    </row>
    <row r="29" spans="1:16">
      <c r="A29" s="432"/>
    </row>
    <row r="30" spans="1:16">
      <c r="A30" s="432"/>
    </row>
    <row r="31" spans="1:16">
      <c r="A31" s="432"/>
      <c r="B31" s="357" t="s">
        <v>73</v>
      </c>
      <c r="C31" s="357"/>
      <c r="D31" s="357"/>
      <c r="E31" s="357"/>
      <c r="F31" s="357"/>
      <c r="G31" s="357"/>
      <c r="H31" s="358"/>
      <c r="I31" s="358"/>
      <c r="J31" s="358"/>
      <c r="K31" s="358"/>
      <c r="L31" s="358"/>
      <c r="M31" s="358"/>
      <c r="N31" s="358"/>
      <c r="O31" s="358"/>
      <c r="P31" s="358"/>
    </row>
    <row r="32" spans="1:16" ht="52.8">
      <c r="A32" s="432"/>
      <c r="B32" s="364" t="s">
        <v>1041</v>
      </c>
      <c r="C32" s="364" t="s">
        <v>1042</v>
      </c>
      <c r="D32" s="364" t="s">
        <v>1069</v>
      </c>
      <c r="E32" s="364" t="s">
        <v>1055</v>
      </c>
      <c r="F32" s="364" t="s">
        <v>1056</v>
      </c>
      <c r="H32" s="359" t="s">
        <v>470</v>
      </c>
      <c r="I32" s="359">
        <v>5.4</v>
      </c>
      <c r="J32" s="359">
        <v>6.9259248013825205</v>
      </c>
      <c r="M32" s="359">
        <f t="shared" ref="M32:M37" si="3">AVERAGE(J32:L32)</f>
        <v>6.9259248013825205</v>
      </c>
      <c r="O32" s="359">
        <f t="shared" ref="O32:O41" si="4">COUNT(J32:L32)</f>
        <v>1</v>
      </c>
      <c r="P32" s="359" t="s">
        <v>1095</v>
      </c>
    </row>
    <row r="33" spans="1:16" ht="26.4">
      <c r="A33" s="432"/>
      <c r="B33" s="364"/>
      <c r="C33" s="364"/>
      <c r="D33" s="364"/>
      <c r="E33" s="364"/>
      <c r="F33" s="364"/>
      <c r="H33" s="365" t="s">
        <v>471</v>
      </c>
      <c r="I33" s="365">
        <v>0.15</v>
      </c>
      <c r="J33" s="365">
        <v>3.8601516933490142E-2</v>
      </c>
      <c r="K33" s="365"/>
      <c r="L33" s="365"/>
      <c r="M33" s="365">
        <f t="shared" si="3"/>
        <v>3.8601516933490142E-2</v>
      </c>
      <c r="N33" s="365"/>
      <c r="O33" s="365">
        <f t="shared" si="4"/>
        <v>1</v>
      </c>
      <c r="P33" s="365" t="s">
        <v>1101</v>
      </c>
    </row>
    <row r="34" spans="1:16" ht="39.6">
      <c r="A34" s="432"/>
      <c r="B34" s="364" t="s">
        <v>466</v>
      </c>
      <c r="C34" s="364" t="s">
        <v>1000</v>
      </c>
      <c r="D34" s="364" t="s">
        <v>1001</v>
      </c>
      <c r="E34" s="364" t="s">
        <v>990</v>
      </c>
      <c r="F34" s="364" t="s">
        <v>100</v>
      </c>
      <c r="H34" s="359" t="s">
        <v>470</v>
      </c>
      <c r="I34" s="359">
        <v>5.4</v>
      </c>
      <c r="J34" s="359">
        <v>10.1</v>
      </c>
      <c r="M34" s="359">
        <f t="shared" si="3"/>
        <v>10.1</v>
      </c>
      <c r="O34" s="359">
        <f t="shared" si="4"/>
        <v>1</v>
      </c>
      <c r="P34" s="359" t="s">
        <v>1119</v>
      </c>
    </row>
    <row r="35" spans="1:16" ht="26.4">
      <c r="A35" s="432"/>
      <c r="B35" s="364"/>
      <c r="C35" s="364"/>
      <c r="D35" s="364"/>
      <c r="E35" s="364"/>
      <c r="F35" s="364"/>
      <c r="H35" s="365" t="s">
        <v>471</v>
      </c>
      <c r="I35" s="365">
        <v>0.15</v>
      </c>
      <c r="J35" s="365">
        <v>0.06</v>
      </c>
      <c r="K35" s="365"/>
      <c r="L35" s="365"/>
      <c r="M35" s="365">
        <f t="shared" si="3"/>
        <v>0.06</v>
      </c>
      <c r="N35" s="365"/>
      <c r="O35" s="365">
        <f t="shared" si="4"/>
        <v>1</v>
      </c>
      <c r="P35" s="365" t="s">
        <v>1118</v>
      </c>
    </row>
    <row r="36" spans="1:16" ht="39.6">
      <c r="A36" s="368"/>
      <c r="B36" s="364" t="s">
        <v>466</v>
      </c>
      <c r="C36" s="364" t="s">
        <v>1000</v>
      </c>
      <c r="D36" s="364" t="s">
        <v>1001</v>
      </c>
      <c r="E36" s="364" t="s">
        <v>990</v>
      </c>
      <c r="F36" s="364" t="s">
        <v>100</v>
      </c>
      <c r="G36" s="366" t="s">
        <v>992</v>
      </c>
      <c r="H36" s="359" t="s">
        <v>470</v>
      </c>
      <c r="I36" s="359">
        <v>5.4</v>
      </c>
      <c r="J36" s="359">
        <v>11.3</v>
      </c>
      <c r="M36" s="359">
        <f t="shared" si="3"/>
        <v>11.3</v>
      </c>
      <c r="O36" s="359">
        <f t="shared" si="4"/>
        <v>1</v>
      </c>
      <c r="P36" s="359" t="s">
        <v>1082</v>
      </c>
    </row>
    <row r="37" spans="1:16" ht="26.4">
      <c r="A37" s="368"/>
      <c r="B37" s="364"/>
      <c r="C37" s="364"/>
      <c r="D37" s="364"/>
      <c r="E37" s="364"/>
      <c r="F37" s="364"/>
      <c r="G37" s="366"/>
      <c r="H37" s="365" t="s">
        <v>471</v>
      </c>
      <c r="I37" s="365">
        <v>0.15</v>
      </c>
      <c r="J37" s="365">
        <v>0.41</v>
      </c>
      <c r="K37" s="365"/>
      <c r="L37" s="365"/>
      <c r="M37" s="365">
        <f t="shared" si="3"/>
        <v>0.41</v>
      </c>
      <c r="N37" s="365"/>
      <c r="O37" s="365">
        <f t="shared" si="4"/>
        <v>1</v>
      </c>
      <c r="P37" s="365" t="s">
        <v>1085</v>
      </c>
    </row>
    <row r="38" spans="1:16" ht="52.8">
      <c r="A38" s="368"/>
      <c r="B38" s="364" t="s">
        <v>466</v>
      </c>
      <c r="C38" s="364" t="s">
        <v>1002</v>
      </c>
      <c r="D38" s="364" t="s">
        <v>1003</v>
      </c>
      <c r="E38" s="364" t="s">
        <v>990</v>
      </c>
      <c r="F38" s="364" t="s">
        <v>100</v>
      </c>
      <c r="G38" s="367" t="s">
        <v>1004</v>
      </c>
      <c r="H38" s="359" t="s">
        <v>470</v>
      </c>
      <c r="I38" s="359">
        <v>5.4</v>
      </c>
      <c r="O38" s="359">
        <f t="shared" si="4"/>
        <v>0</v>
      </c>
      <c r="P38" s="359" t="s">
        <v>1088</v>
      </c>
    </row>
    <row r="39" spans="1:16" ht="26.4">
      <c r="A39" s="368"/>
      <c r="G39" s="367"/>
      <c r="H39" s="365" t="s">
        <v>471</v>
      </c>
      <c r="I39" s="365">
        <v>0.15</v>
      </c>
      <c r="J39" s="365"/>
      <c r="K39" s="365"/>
      <c r="L39" s="365"/>
      <c r="M39" s="365"/>
      <c r="N39" s="365"/>
      <c r="O39" s="365">
        <f t="shared" si="4"/>
        <v>0</v>
      </c>
      <c r="P39" s="365" t="s">
        <v>1093</v>
      </c>
    </row>
    <row r="40" spans="1:16" ht="52.8">
      <c r="A40" s="368"/>
      <c r="B40" s="364" t="s">
        <v>466</v>
      </c>
      <c r="C40" s="364" t="s">
        <v>1005</v>
      </c>
      <c r="D40" s="364" t="s">
        <v>1006</v>
      </c>
      <c r="E40" s="364" t="s">
        <v>990</v>
      </c>
      <c r="F40" s="364" t="s">
        <v>998</v>
      </c>
      <c r="G40" s="367" t="s">
        <v>1004</v>
      </c>
      <c r="H40" s="359" t="s">
        <v>470</v>
      </c>
      <c r="I40" s="359">
        <v>5.4</v>
      </c>
      <c r="O40" s="359">
        <f t="shared" si="4"/>
        <v>0</v>
      </c>
      <c r="P40" s="359" t="s">
        <v>1116</v>
      </c>
    </row>
    <row r="41" spans="1:16" ht="26.4">
      <c r="A41" s="368"/>
      <c r="G41" s="367"/>
      <c r="H41" s="365" t="s">
        <v>471</v>
      </c>
      <c r="I41" s="365">
        <v>0.15</v>
      </c>
      <c r="J41" s="365"/>
      <c r="K41" s="365"/>
      <c r="L41" s="365"/>
      <c r="M41" s="365"/>
      <c r="N41" s="365"/>
      <c r="O41" s="365">
        <f t="shared" si="4"/>
        <v>0</v>
      </c>
      <c r="P41" s="365" t="s">
        <v>1092</v>
      </c>
    </row>
    <row r="42" spans="1:16" s="360" customFormat="1">
      <c r="A42" s="359"/>
      <c r="B42" s="359"/>
      <c r="C42" s="359"/>
      <c r="D42" s="359"/>
      <c r="E42" s="359"/>
      <c r="F42" s="359"/>
      <c r="G42" s="359"/>
      <c r="H42" s="359"/>
      <c r="I42" s="359"/>
      <c r="J42" s="359"/>
      <c r="K42" s="359"/>
      <c r="L42" s="359"/>
      <c r="M42" s="359"/>
      <c r="N42" s="359"/>
      <c r="O42" s="359"/>
      <c r="P42" s="359"/>
    </row>
    <row r="43" spans="1:16" s="360" customFormat="1">
      <c r="A43" s="359"/>
      <c r="B43" s="359"/>
      <c r="C43" s="359"/>
      <c r="D43" s="359"/>
      <c r="E43" s="359"/>
      <c r="F43" s="359"/>
      <c r="G43" s="359"/>
      <c r="H43" s="359"/>
      <c r="I43" s="359"/>
      <c r="J43" s="359"/>
      <c r="K43" s="359"/>
      <c r="L43" s="359"/>
      <c r="M43" s="359"/>
      <c r="N43" s="359"/>
      <c r="O43" s="359"/>
      <c r="P43" s="359"/>
    </row>
    <row r="44" spans="1:16" s="360" customFormat="1">
      <c r="A44" s="359"/>
      <c r="B44" s="359"/>
      <c r="C44" s="359"/>
      <c r="D44" s="359"/>
      <c r="E44" s="359"/>
      <c r="F44" s="359"/>
      <c r="G44" s="359"/>
      <c r="H44" s="359"/>
      <c r="I44" s="359"/>
      <c r="J44" s="359"/>
      <c r="K44" s="359"/>
      <c r="L44" s="359"/>
      <c r="M44" s="359"/>
      <c r="N44" s="359"/>
      <c r="O44" s="359"/>
      <c r="P44" s="359"/>
    </row>
    <row r="45" spans="1:16" s="360" customFormat="1">
      <c r="A45" s="359"/>
      <c r="B45" s="359"/>
      <c r="C45" s="359"/>
      <c r="D45" s="359"/>
      <c r="E45" s="359"/>
      <c r="F45" s="359"/>
      <c r="G45" s="359"/>
      <c r="H45" s="359"/>
      <c r="I45" s="359"/>
      <c r="J45" s="359"/>
      <c r="K45" s="359"/>
      <c r="L45" s="359"/>
      <c r="M45" s="359"/>
      <c r="N45" s="359"/>
      <c r="O45" s="359"/>
      <c r="P45" s="359"/>
    </row>
    <row r="46" spans="1:16" s="360" customFormat="1">
      <c r="A46" s="359"/>
      <c r="B46" s="359"/>
      <c r="C46" s="359"/>
      <c r="D46" s="359"/>
      <c r="E46" s="359"/>
      <c r="F46" s="359"/>
      <c r="G46" s="359"/>
      <c r="H46" s="359"/>
      <c r="I46" s="359"/>
      <c r="J46" s="359"/>
      <c r="K46" s="359"/>
      <c r="L46" s="359"/>
      <c r="M46" s="359"/>
      <c r="N46" s="359"/>
      <c r="O46" s="359"/>
      <c r="P46" s="359"/>
    </row>
    <row r="47" spans="1:16" s="360" customFormat="1">
      <c r="A47" s="359"/>
      <c r="B47" s="359"/>
      <c r="C47" s="359"/>
      <c r="D47" s="359"/>
      <c r="E47" s="359"/>
      <c r="F47" s="359"/>
      <c r="G47" s="359"/>
      <c r="H47" s="359"/>
      <c r="I47" s="359"/>
      <c r="J47" s="359"/>
      <c r="K47" s="359"/>
      <c r="L47" s="359"/>
      <c r="M47" s="359"/>
      <c r="N47" s="359"/>
      <c r="O47" s="359"/>
      <c r="P47" s="359"/>
    </row>
    <row r="48" spans="1:16" s="360" customFormat="1">
      <c r="A48" s="359"/>
      <c r="B48" s="359"/>
      <c r="C48" s="359"/>
      <c r="D48" s="359"/>
      <c r="E48" s="359"/>
      <c r="F48" s="359"/>
      <c r="G48" s="359"/>
      <c r="H48" s="359"/>
      <c r="I48" s="359"/>
      <c r="J48" s="359"/>
      <c r="K48" s="359"/>
      <c r="L48" s="359"/>
      <c r="M48" s="359"/>
      <c r="N48" s="359"/>
      <c r="O48" s="359"/>
      <c r="P48" s="359"/>
    </row>
    <row r="49" spans="1:16" s="360" customFormat="1">
      <c r="A49" s="359"/>
      <c r="B49" s="359"/>
      <c r="C49" s="359"/>
      <c r="D49" s="359"/>
      <c r="E49" s="359"/>
      <c r="F49" s="359"/>
      <c r="G49" s="359"/>
      <c r="H49" s="359"/>
      <c r="I49" s="359"/>
      <c r="J49" s="359"/>
      <c r="K49" s="359"/>
      <c r="L49" s="359"/>
      <c r="M49" s="359"/>
      <c r="N49" s="359"/>
      <c r="O49" s="359"/>
      <c r="P49" s="359"/>
    </row>
    <row r="50" spans="1:16" s="360" customFormat="1">
      <c r="A50" s="359"/>
      <c r="B50" s="359"/>
      <c r="C50" s="359"/>
      <c r="D50" s="359"/>
      <c r="E50" s="359"/>
      <c r="F50" s="359"/>
      <c r="G50" s="359"/>
      <c r="H50" s="359"/>
      <c r="I50" s="359"/>
      <c r="J50" s="359"/>
      <c r="K50" s="359"/>
      <c r="L50" s="359"/>
      <c r="M50" s="359"/>
      <c r="N50" s="359"/>
      <c r="O50" s="359"/>
      <c r="P50" s="359"/>
    </row>
    <row r="51" spans="1:16" s="360" customFormat="1">
      <c r="A51" s="359"/>
      <c r="B51" s="359"/>
      <c r="C51" s="359"/>
      <c r="D51" s="359"/>
      <c r="E51" s="359"/>
      <c r="F51" s="359"/>
      <c r="G51" s="359"/>
      <c r="H51" s="359"/>
      <c r="I51" s="359"/>
      <c r="J51" s="359"/>
      <c r="K51" s="359"/>
      <c r="L51" s="359"/>
      <c r="M51" s="359"/>
      <c r="N51" s="359"/>
      <c r="O51" s="359"/>
      <c r="P51" s="359"/>
    </row>
    <row r="52" spans="1:16" s="360" customFormat="1">
      <c r="A52" s="359"/>
      <c r="B52" s="359"/>
      <c r="C52" s="359"/>
      <c r="D52" s="359"/>
      <c r="E52" s="359"/>
      <c r="F52" s="359"/>
      <c r="G52" s="359"/>
      <c r="H52" s="359"/>
      <c r="I52" s="359"/>
      <c r="J52" s="359"/>
      <c r="K52" s="359"/>
      <c r="L52" s="359"/>
      <c r="M52" s="359"/>
      <c r="N52" s="359"/>
      <c r="O52" s="359"/>
      <c r="P52" s="359"/>
    </row>
    <row r="53" spans="1:16" s="360" customFormat="1">
      <c r="A53" s="359"/>
      <c r="B53" s="359"/>
      <c r="C53" s="359"/>
      <c r="D53" s="359"/>
      <c r="E53" s="359"/>
      <c r="F53" s="359"/>
      <c r="G53" s="359"/>
      <c r="H53" s="359"/>
      <c r="I53" s="359"/>
      <c r="J53" s="359"/>
      <c r="K53" s="359"/>
      <c r="L53" s="359"/>
      <c r="M53" s="359"/>
      <c r="N53" s="359"/>
      <c r="O53" s="359"/>
      <c r="P53" s="359"/>
    </row>
    <row r="54" spans="1:16" s="360" customFormat="1">
      <c r="A54" s="359"/>
      <c r="B54" s="359"/>
      <c r="C54" s="359"/>
      <c r="D54" s="359"/>
      <c r="E54" s="359"/>
      <c r="F54" s="359"/>
      <c r="G54" s="359"/>
      <c r="H54" s="359"/>
      <c r="I54" s="359"/>
      <c r="J54" s="359"/>
      <c r="K54" s="359"/>
      <c r="L54" s="359"/>
      <c r="M54" s="359"/>
      <c r="N54" s="359"/>
      <c r="O54" s="359"/>
      <c r="P54" s="359"/>
    </row>
    <row r="55" spans="1:16" s="360" customFormat="1">
      <c r="A55" s="359"/>
      <c r="B55" s="359"/>
      <c r="C55" s="359"/>
      <c r="D55" s="359"/>
      <c r="E55" s="359"/>
      <c r="F55" s="359"/>
      <c r="G55" s="359"/>
      <c r="H55" s="359"/>
      <c r="I55" s="359"/>
      <c r="J55" s="359"/>
      <c r="K55" s="359"/>
      <c r="L55" s="359"/>
      <c r="M55" s="359"/>
      <c r="N55" s="359"/>
      <c r="O55" s="359"/>
      <c r="P55" s="359"/>
    </row>
    <row r="56" spans="1:16" s="360" customFormat="1">
      <c r="A56" s="359"/>
      <c r="B56" s="359"/>
      <c r="C56" s="359"/>
      <c r="D56" s="359"/>
      <c r="E56" s="359"/>
      <c r="F56" s="359"/>
      <c r="G56" s="359"/>
      <c r="H56" s="359"/>
      <c r="I56" s="359"/>
      <c r="J56" s="359"/>
      <c r="K56" s="359"/>
      <c r="L56" s="359"/>
      <c r="M56" s="359"/>
      <c r="N56" s="359"/>
      <c r="O56" s="359"/>
      <c r="P56" s="359"/>
    </row>
    <row r="57" spans="1:16" s="360" customFormat="1">
      <c r="A57" s="359"/>
      <c r="B57" s="359"/>
      <c r="C57" s="359"/>
      <c r="D57" s="359"/>
      <c r="E57" s="359"/>
      <c r="F57" s="359"/>
      <c r="G57" s="359"/>
      <c r="H57" s="359"/>
      <c r="I57" s="359"/>
      <c r="J57" s="359"/>
      <c r="K57" s="359"/>
      <c r="L57" s="359"/>
      <c r="M57" s="359"/>
      <c r="N57" s="359"/>
      <c r="O57" s="359"/>
      <c r="P57" s="359"/>
    </row>
    <row r="58" spans="1:16" s="360" customFormat="1">
      <c r="A58" s="359"/>
      <c r="B58" s="359"/>
      <c r="C58" s="359"/>
      <c r="D58" s="359"/>
      <c r="E58" s="359"/>
      <c r="F58" s="359"/>
      <c r="G58" s="359"/>
      <c r="H58" s="359"/>
      <c r="I58" s="359"/>
      <c r="J58" s="359"/>
      <c r="K58" s="359"/>
      <c r="L58" s="359"/>
      <c r="M58" s="359"/>
      <c r="N58" s="359"/>
      <c r="O58" s="359"/>
      <c r="P58" s="359"/>
    </row>
    <row r="59" spans="1:16" s="360" customFormat="1">
      <c r="A59" s="359"/>
      <c r="B59" s="359"/>
      <c r="C59" s="359"/>
      <c r="D59" s="359"/>
      <c r="E59" s="359"/>
      <c r="F59" s="359"/>
      <c r="G59" s="359"/>
      <c r="H59" s="359"/>
      <c r="I59" s="359"/>
      <c r="J59" s="359"/>
      <c r="K59" s="359"/>
      <c r="L59" s="359"/>
      <c r="M59" s="359"/>
      <c r="N59" s="359"/>
      <c r="O59" s="359"/>
      <c r="P59" s="359"/>
    </row>
    <row r="60" spans="1:16" s="360" customFormat="1">
      <c r="A60" s="359"/>
      <c r="B60" s="359"/>
      <c r="C60" s="359"/>
      <c r="D60" s="359"/>
      <c r="E60" s="359"/>
      <c r="F60" s="359"/>
      <c r="G60" s="359"/>
      <c r="H60" s="359"/>
      <c r="I60" s="359"/>
      <c r="J60" s="359"/>
      <c r="K60" s="359"/>
      <c r="L60" s="359"/>
      <c r="M60" s="359"/>
      <c r="N60" s="359"/>
      <c r="O60" s="359"/>
      <c r="P60" s="359"/>
    </row>
    <row r="61" spans="1:16" s="360" customFormat="1">
      <c r="A61" s="359"/>
      <c r="B61" s="359"/>
      <c r="C61" s="359"/>
      <c r="D61" s="359"/>
      <c r="E61" s="359"/>
      <c r="F61" s="359"/>
      <c r="G61" s="359"/>
      <c r="H61" s="359"/>
      <c r="I61" s="359"/>
      <c r="J61" s="359"/>
      <c r="K61" s="359"/>
      <c r="L61" s="359"/>
      <c r="M61" s="359"/>
      <c r="N61" s="359"/>
      <c r="O61" s="359"/>
      <c r="P61" s="359"/>
    </row>
    <row r="62" spans="1:16" s="360" customFormat="1">
      <c r="A62" s="359"/>
      <c r="B62" s="359"/>
      <c r="C62" s="359"/>
      <c r="D62" s="359"/>
      <c r="E62" s="359"/>
      <c r="F62" s="359"/>
      <c r="G62" s="359"/>
      <c r="H62" s="359"/>
      <c r="I62" s="359"/>
      <c r="J62" s="359"/>
      <c r="K62" s="359"/>
      <c r="L62" s="359"/>
      <c r="M62" s="359"/>
      <c r="N62" s="359"/>
      <c r="O62" s="359"/>
      <c r="P62" s="359"/>
    </row>
    <row r="63" spans="1:16" s="360" customFormat="1">
      <c r="A63" s="359"/>
      <c r="B63" s="359"/>
      <c r="C63" s="359"/>
      <c r="D63" s="359"/>
      <c r="E63" s="359"/>
      <c r="F63" s="359"/>
      <c r="G63" s="359"/>
      <c r="H63" s="359"/>
      <c r="I63" s="359"/>
      <c r="J63" s="359"/>
      <c r="K63" s="359"/>
      <c r="L63" s="359"/>
      <c r="M63" s="359"/>
      <c r="N63" s="359"/>
      <c r="O63" s="359"/>
      <c r="P63" s="359"/>
    </row>
    <row r="64" spans="1:16" s="360" customFormat="1">
      <c r="A64" s="359"/>
      <c r="B64" s="359"/>
      <c r="C64" s="359"/>
      <c r="D64" s="359"/>
      <c r="E64" s="359"/>
      <c r="F64" s="359"/>
      <c r="G64" s="359"/>
      <c r="H64" s="359"/>
      <c r="I64" s="359"/>
      <c r="J64" s="359"/>
      <c r="K64" s="359"/>
      <c r="L64" s="359"/>
      <c r="M64" s="359"/>
      <c r="N64" s="359"/>
      <c r="O64" s="359"/>
      <c r="P64" s="359"/>
    </row>
    <row r="65" spans="1:16" s="360" customFormat="1">
      <c r="A65" s="359"/>
      <c r="B65" s="359"/>
      <c r="C65" s="359"/>
      <c r="D65" s="359"/>
      <c r="E65" s="359"/>
      <c r="F65" s="359"/>
      <c r="G65" s="359"/>
      <c r="H65" s="359"/>
      <c r="I65" s="359"/>
      <c r="J65" s="359"/>
      <c r="K65" s="359"/>
      <c r="L65" s="359"/>
      <c r="M65" s="359"/>
      <c r="N65" s="359"/>
      <c r="O65" s="359"/>
      <c r="P65" s="359"/>
    </row>
    <row r="66" spans="1:16" s="360" customFormat="1">
      <c r="A66" s="359"/>
      <c r="B66" s="359"/>
      <c r="C66" s="359"/>
      <c r="D66" s="359"/>
      <c r="E66" s="359"/>
      <c r="F66" s="359"/>
      <c r="G66" s="359"/>
      <c r="H66" s="359"/>
      <c r="I66" s="359"/>
      <c r="J66" s="359"/>
      <c r="K66" s="359"/>
      <c r="L66" s="359"/>
      <c r="M66" s="359"/>
      <c r="N66" s="359"/>
      <c r="O66" s="359"/>
      <c r="P66" s="359"/>
    </row>
    <row r="67" spans="1:16" s="360" customFormat="1">
      <c r="A67" s="359"/>
      <c r="B67" s="359"/>
      <c r="C67" s="359"/>
      <c r="D67" s="359"/>
      <c r="E67" s="359"/>
      <c r="F67" s="359"/>
      <c r="G67" s="359"/>
      <c r="H67" s="359"/>
      <c r="I67" s="359"/>
      <c r="J67" s="359"/>
      <c r="K67" s="359"/>
      <c r="L67" s="359"/>
      <c r="M67" s="359"/>
      <c r="N67" s="359"/>
      <c r="O67" s="359"/>
      <c r="P67" s="359"/>
    </row>
    <row r="68" spans="1:16" s="360" customFormat="1">
      <c r="A68" s="359"/>
      <c r="B68" s="359"/>
      <c r="C68" s="359"/>
      <c r="D68" s="359"/>
      <c r="E68" s="359"/>
      <c r="F68" s="359"/>
      <c r="G68" s="359"/>
      <c r="H68" s="359"/>
      <c r="I68" s="359"/>
      <c r="J68" s="359"/>
      <c r="K68" s="359"/>
      <c r="L68" s="359"/>
      <c r="M68" s="359"/>
      <c r="N68" s="359"/>
      <c r="O68" s="359"/>
      <c r="P68" s="359"/>
    </row>
    <row r="69" spans="1:16" s="360" customFormat="1">
      <c r="A69" s="359"/>
      <c r="B69" s="359"/>
      <c r="C69" s="359"/>
      <c r="D69" s="359"/>
      <c r="E69" s="359"/>
      <c r="F69" s="359"/>
      <c r="G69" s="359"/>
      <c r="H69" s="359"/>
      <c r="I69" s="359"/>
      <c r="J69" s="359"/>
      <c r="K69" s="359"/>
      <c r="L69" s="359"/>
      <c r="M69" s="359"/>
      <c r="N69" s="359"/>
      <c r="O69" s="359"/>
      <c r="P69" s="359"/>
    </row>
    <row r="70" spans="1:16" s="360" customFormat="1">
      <c r="A70" s="359"/>
      <c r="B70" s="359"/>
      <c r="C70" s="359"/>
      <c r="D70" s="359"/>
      <c r="E70" s="359"/>
      <c r="F70" s="359"/>
      <c r="G70" s="359"/>
      <c r="H70" s="359"/>
      <c r="I70" s="359"/>
      <c r="J70" s="359"/>
      <c r="K70" s="359"/>
      <c r="L70" s="359"/>
      <c r="M70" s="359"/>
      <c r="N70" s="359"/>
      <c r="O70" s="359"/>
      <c r="P70" s="359"/>
    </row>
    <row r="71" spans="1:16" s="360" customFormat="1">
      <c r="A71" s="359"/>
      <c r="B71" s="359"/>
      <c r="C71" s="359"/>
      <c r="D71" s="359"/>
      <c r="E71" s="359"/>
      <c r="F71" s="359"/>
      <c r="G71" s="359"/>
      <c r="H71" s="359"/>
      <c r="I71" s="359"/>
      <c r="J71" s="359"/>
      <c r="K71" s="359"/>
      <c r="L71" s="359"/>
      <c r="M71" s="359"/>
      <c r="N71" s="359"/>
      <c r="O71" s="359"/>
      <c r="P71" s="359"/>
    </row>
    <row r="72" spans="1:16" s="360" customFormat="1">
      <c r="A72" s="359"/>
      <c r="B72" s="359"/>
      <c r="C72" s="359"/>
      <c r="D72" s="359"/>
      <c r="E72" s="359"/>
      <c r="F72" s="359"/>
      <c r="G72" s="359"/>
      <c r="H72" s="359"/>
      <c r="I72" s="359"/>
      <c r="J72" s="359"/>
      <c r="K72" s="359"/>
      <c r="L72" s="359"/>
      <c r="M72" s="359"/>
      <c r="N72" s="359"/>
      <c r="O72" s="359"/>
      <c r="P72" s="359"/>
    </row>
    <row r="73" spans="1:16" s="360" customFormat="1">
      <c r="A73" s="359"/>
      <c r="B73" s="359"/>
      <c r="C73" s="359"/>
      <c r="D73" s="359"/>
      <c r="E73" s="359"/>
      <c r="F73" s="359"/>
      <c r="G73" s="359"/>
      <c r="H73" s="359"/>
      <c r="I73" s="359"/>
      <c r="J73" s="359"/>
      <c r="K73" s="359"/>
      <c r="L73" s="359"/>
      <c r="M73" s="359"/>
      <c r="N73" s="359"/>
      <c r="O73" s="359"/>
      <c r="P73" s="359"/>
    </row>
    <row r="74" spans="1:16" s="360" customFormat="1">
      <c r="A74" s="359"/>
      <c r="B74" s="359"/>
      <c r="C74" s="359"/>
      <c r="D74" s="359"/>
      <c r="E74" s="359"/>
      <c r="F74" s="359"/>
      <c r="G74" s="359"/>
      <c r="H74" s="359"/>
      <c r="I74" s="359"/>
      <c r="J74" s="359"/>
      <c r="K74" s="359"/>
      <c r="L74" s="359"/>
      <c r="M74" s="359"/>
      <c r="N74" s="359"/>
      <c r="O74" s="359"/>
      <c r="P74" s="359"/>
    </row>
    <row r="75" spans="1:16" s="360" customFormat="1">
      <c r="A75" s="359"/>
      <c r="B75" s="359"/>
      <c r="C75" s="359"/>
      <c r="D75" s="359"/>
      <c r="E75" s="359"/>
      <c r="F75" s="359"/>
      <c r="G75" s="359"/>
      <c r="H75" s="359"/>
      <c r="I75" s="359"/>
      <c r="J75" s="359"/>
      <c r="K75" s="359"/>
      <c r="L75" s="359"/>
      <c r="M75" s="359"/>
      <c r="N75" s="359"/>
      <c r="O75" s="359"/>
      <c r="P75" s="359"/>
    </row>
    <row r="76" spans="1:16" s="360" customFormat="1">
      <c r="A76" s="359"/>
      <c r="B76" s="359"/>
      <c r="C76" s="359"/>
      <c r="D76" s="359"/>
      <c r="E76" s="359"/>
      <c r="F76" s="359"/>
      <c r="G76" s="359"/>
      <c r="H76" s="359"/>
      <c r="I76" s="359"/>
      <c r="J76" s="359"/>
      <c r="K76" s="359"/>
      <c r="L76" s="359"/>
      <c r="M76" s="359"/>
      <c r="N76" s="359"/>
      <c r="O76" s="359"/>
      <c r="P76" s="359"/>
    </row>
    <row r="77" spans="1:16" s="360" customFormat="1">
      <c r="A77" s="359"/>
      <c r="B77" s="359"/>
      <c r="C77" s="359"/>
      <c r="D77" s="359"/>
      <c r="E77" s="359"/>
      <c r="F77" s="359"/>
      <c r="G77" s="359"/>
      <c r="H77" s="359"/>
      <c r="I77" s="359"/>
      <c r="J77" s="359"/>
      <c r="K77" s="359"/>
      <c r="L77" s="359"/>
      <c r="M77" s="359"/>
      <c r="N77" s="359"/>
      <c r="O77" s="359"/>
      <c r="P77" s="359"/>
    </row>
    <row r="78" spans="1:16" s="360" customFormat="1">
      <c r="A78" s="359"/>
      <c r="B78" s="359"/>
      <c r="C78" s="359"/>
      <c r="D78" s="359"/>
      <c r="E78" s="359"/>
      <c r="F78" s="359"/>
      <c r="G78" s="359"/>
      <c r="H78" s="359"/>
      <c r="I78" s="359"/>
      <c r="J78" s="359"/>
      <c r="K78" s="359"/>
      <c r="L78" s="359"/>
      <c r="M78" s="359"/>
      <c r="N78" s="359"/>
      <c r="O78" s="359"/>
      <c r="P78" s="359"/>
    </row>
    <row r="79" spans="1:16" s="360" customFormat="1">
      <c r="A79" s="359"/>
      <c r="B79" s="359"/>
      <c r="C79" s="359"/>
      <c r="D79" s="359"/>
      <c r="E79" s="359"/>
      <c r="F79" s="359"/>
      <c r="G79" s="359"/>
      <c r="H79" s="359"/>
      <c r="I79" s="359"/>
      <c r="J79" s="359"/>
      <c r="K79" s="359"/>
      <c r="L79" s="359"/>
      <c r="M79" s="359"/>
      <c r="N79" s="359"/>
      <c r="O79" s="359"/>
      <c r="P79" s="359"/>
    </row>
    <row r="80" spans="1:16" s="360" customFormat="1">
      <c r="A80" s="359"/>
      <c r="B80" s="359"/>
      <c r="C80" s="359"/>
      <c r="D80" s="359"/>
      <c r="E80" s="359"/>
      <c r="F80" s="359"/>
      <c r="G80" s="359"/>
      <c r="H80" s="359"/>
      <c r="I80" s="359"/>
      <c r="J80" s="359"/>
      <c r="K80" s="359"/>
      <c r="L80" s="359"/>
      <c r="M80" s="359"/>
      <c r="N80" s="359"/>
      <c r="O80" s="359"/>
      <c r="P80" s="359"/>
    </row>
    <row r="81" spans="1:16" s="360" customFormat="1">
      <c r="A81" s="359"/>
      <c r="B81" s="359"/>
      <c r="C81" s="359"/>
      <c r="D81" s="359"/>
      <c r="E81" s="359"/>
      <c r="F81" s="359"/>
      <c r="G81" s="359"/>
      <c r="H81" s="359"/>
      <c r="I81" s="359"/>
      <c r="J81" s="359"/>
      <c r="K81" s="359"/>
      <c r="L81" s="359"/>
      <c r="M81" s="359"/>
      <c r="N81" s="359"/>
      <c r="O81" s="359"/>
      <c r="P81" s="359"/>
    </row>
    <row r="82" spans="1:16" s="360" customFormat="1">
      <c r="A82" s="359"/>
      <c r="B82" s="359"/>
      <c r="C82" s="359"/>
      <c r="D82" s="359"/>
      <c r="E82" s="359"/>
      <c r="F82" s="359"/>
      <c r="G82" s="359"/>
      <c r="H82" s="359"/>
      <c r="I82" s="359"/>
      <c r="J82" s="359"/>
      <c r="K82" s="359"/>
      <c r="L82" s="359"/>
      <c r="M82" s="359"/>
      <c r="N82" s="359"/>
      <c r="O82" s="359"/>
      <c r="P82" s="359"/>
    </row>
    <row r="83" spans="1:16" s="360" customFormat="1">
      <c r="A83" s="359"/>
      <c r="B83" s="359"/>
      <c r="C83" s="359"/>
      <c r="D83" s="359"/>
      <c r="E83" s="359"/>
      <c r="F83" s="359"/>
      <c r="G83" s="359"/>
      <c r="H83" s="359"/>
      <c r="I83" s="359"/>
      <c r="J83" s="359"/>
      <c r="K83" s="359"/>
      <c r="L83" s="359"/>
      <c r="M83" s="359"/>
      <c r="N83" s="359"/>
      <c r="O83" s="359"/>
      <c r="P83" s="359"/>
    </row>
    <row r="84" spans="1:16" s="360" customFormat="1">
      <c r="A84" s="359"/>
      <c r="B84" s="359"/>
      <c r="C84" s="359"/>
      <c r="D84" s="359"/>
      <c r="E84" s="359"/>
      <c r="F84" s="359"/>
      <c r="G84" s="359"/>
      <c r="H84" s="359"/>
      <c r="I84" s="359"/>
      <c r="J84" s="359"/>
      <c r="K84" s="359"/>
      <c r="L84" s="359"/>
      <c r="M84" s="359"/>
      <c r="N84" s="359"/>
      <c r="O84" s="359"/>
      <c r="P84" s="359"/>
    </row>
    <row r="85" spans="1:16" s="360" customFormat="1">
      <c r="A85" s="359"/>
      <c r="B85" s="359"/>
      <c r="C85" s="359"/>
      <c r="D85" s="359"/>
      <c r="E85" s="359"/>
      <c r="F85" s="359"/>
      <c r="G85" s="359"/>
      <c r="H85" s="359"/>
      <c r="I85" s="359"/>
      <c r="J85" s="359"/>
      <c r="K85" s="359"/>
      <c r="L85" s="359"/>
      <c r="M85" s="359"/>
      <c r="N85" s="359"/>
      <c r="O85" s="359"/>
      <c r="P85" s="359"/>
    </row>
    <row r="86" spans="1:16" s="360" customFormat="1">
      <c r="A86" s="359"/>
      <c r="B86" s="359"/>
      <c r="C86" s="359"/>
      <c r="D86" s="359"/>
      <c r="E86" s="359"/>
      <c r="F86" s="359"/>
      <c r="G86" s="359"/>
      <c r="H86" s="359"/>
      <c r="I86" s="359"/>
      <c r="J86" s="359"/>
      <c r="K86" s="359"/>
      <c r="L86" s="359"/>
      <c r="M86" s="359"/>
      <c r="N86" s="359"/>
      <c r="O86" s="359"/>
      <c r="P86" s="359"/>
    </row>
    <row r="87" spans="1:16" s="360" customFormat="1">
      <c r="A87" s="359"/>
      <c r="B87" s="359"/>
      <c r="C87" s="359"/>
      <c r="D87" s="359"/>
      <c r="E87" s="359"/>
      <c r="F87" s="359"/>
      <c r="G87" s="359"/>
      <c r="H87" s="359"/>
      <c r="I87" s="359"/>
      <c r="J87" s="359"/>
      <c r="K87" s="359"/>
      <c r="L87" s="359"/>
      <c r="M87" s="359"/>
      <c r="N87" s="359"/>
      <c r="O87" s="359"/>
      <c r="P87" s="359"/>
    </row>
    <row r="88" spans="1:16" s="360" customFormat="1">
      <c r="A88" s="359"/>
      <c r="B88" s="359"/>
      <c r="C88" s="359"/>
      <c r="D88" s="359"/>
      <c r="E88" s="359"/>
      <c r="F88" s="359"/>
      <c r="G88" s="359"/>
      <c r="H88" s="359"/>
      <c r="I88" s="359"/>
      <c r="J88" s="359"/>
      <c r="K88" s="359"/>
      <c r="L88" s="359"/>
      <c r="M88" s="359"/>
      <c r="N88" s="359"/>
      <c r="O88" s="359"/>
      <c r="P88" s="359"/>
    </row>
    <row r="89" spans="1:16" s="360" customFormat="1">
      <c r="A89" s="359"/>
      <c r="B89" s="359"/>
      <c r="C89" s="359"/>
      <c r="D89" s="359"/>
      <c r="E89" s="359"/>
      <c r="F89" s="359"/>
      <c r="G89" s="359"/>
      <c r="H89" s="359"/>
      <c r="I89" s="359"/>
      <c r="J89" s="359"/>
      <c r="K89" s="359"/>
      <c r="L89" s="359"/>
      <c r="M89" s="359"/>
      <c r="N89" s="359"/>
      <c r="O89" s="359"/>
      <c r="P89" s="359"/>
    </row>
    <row r="90" spans="1:16" s="360" customFormat="1">
      <c r="A90" s="359"/>
      <c r="B90" s="359"/>
      <c r="C90" s="359"/>
      <c r="D90" s="359"/>
      <c r="E90" s="359"/>
      <c r="F90" s="359"/>
      <c r="G90" s="359"/>
      <c r="H90" s="359"/>
      <c r="I90" s="359"/>
      <c r="J90" s="359"/>
      <c r="K90" s="359"/>
      <c r="L90" s="359"/>
      <c r="M90" s="359"/>
      <c r="N90" s="359"/>
      <c r="O90" s="359"/>
      <c r="P90" s="359"/>
    </row>
    <row r="91" spans="1:16" s="360" customFormat="1">
      <c r="A91" s="359"/>
      <c r="B91" s="359"/>
      <c r="C91" s="359"/>
      <c r="D91" s="359"/>
      <c r="E91" s="359"/>
      <c r="F91" s="359"/>
      <c r="G91" s="359"/>
      <c r="H91" s="359"/>
      <c r="I91" s="359"/>
      <c r="J91" s="359"/>
      <c r="K91" s="359"/>
      <c r="L91" s="359"/>
      <c r="M91" s="359"/>
      <c r="N91" s="359"/>
      <c r="O91" s="359"/>
      <c r="P91" s="359"/>
    </row>
    <row r="92" spans="1:16" s="360" customFormat="1">
      <c r="A92" s="359"/>
      <c r="B92" s="359"/>
      <c r="C92" s="359"/>
      <c r="D92" s="359"/>
      <c r="E92" s="359"/>
      <c r="F92" s="359"/>
      <c r="G92" s="359"/>
      <c r="H92" s="359"/>
      <c r="I92" s="359"/>
      <c r="J92" s="359"/>
      <c r="K92" s="359"/>
      <c r="L92" s="359"/>
      <c r="M92" s="359"/>
      <c r="N92" s="359"/>
      <c r="O92" s="359"/>
      <c r="P92" s="359"/>
    </row>
    <row r="93" spans="1:16" s="360" customFormat="1">
      <c r="A93" s="359"/>
      <c r="B93" s="359"/>
      <c r="C93" s="359"/>
      <c r="D93" s="359"/>
      <c r="E93" s="359"/>
      <c r="F93" s="359"/>
      <c r="G93" s="359"/>
      <c r="H93" s="359"/>
      <c r="I93" s="359"/>
      <c r="J93" s="359"/>
      <c r="K93" s="359"/>
      <c r="L93" s="359"/>
      <c r="M93" s="359"/>
      <c r="N93" s="359"/>
      <c r="O93" s="359"/>
      <c r="P93" s="359"/>
    </row>
    <row r="94" spans="1:16" s="360" customFormat="1">
      <c r="A94" s="359"/>
      <c r="B94" s="359"/>
      <c r="C94" s="359"/>
      <c r="D94" s="359"/>
      <c r="E94" s="359"/>
      <c r="F94" s="359"/>
      <c r="G94" s="359"/>
      <c r="H94" s="359"/>
      <c r="I94" s="359"/>
      <c r="J94" s="359"/>
      <c r="K94" s="359"/>
      <c r="L94" s="359"/>
      <c r="M94" s="359"/>
      <c r="N94" s="359"/>
      <c r="O94" s="359"/>
      <c r="P94" s="359"/>
    </row>
    <row r="95" spans="1:16" s="360" customFormat="1">
      <c r="A95" s="359"/>
      <c r="B95" s="359"/>
      <c r="C95" s="359"/>
      <c r="D95" s="359"/>
      <c r="E95" s="359"/>
      <c r="F95" s="359"/>
      <c r="G95" s="359"/>
      <c r="H95" s="359"/>
      <c r="I95" s="359"/>
      <c r="J95" s="359"/>
      <c r="K95" s="359"/>
      <c r="L95" s="359"/>
      <c r="M95" s="359"/>
      <c r="N95" s="359"/>
      <c r="O95" s="359"/>
      <c r="P95" s="359"/>
    </row>
    <row r="96" spans="1:16" s="360" customFormat="1">
      <c r="A96" s="359"/>
      <c r="B96" s="359"/>
      <c r="C96" s="359"/>
      <c r="D96" s="359"/>
      <c r="E96" s="359"/>
      <c r="F96" s="359"/>
      <c r="G96" s="359"/>
      <c r="H96" s="359"/>
      <c r="I96" s="359"/>
      <c r="J96" s="359"/>
      <c r="K96" s="359"/>
      <c r="L96" s="359"/>
      <c r="M96" s="359"/>
      <c r="N96" s="359"/>
      <c r="O96" s="359"/>
      <c r="P96" s="359"/>
    </row>
    <row r="97" spans="1:16" s="360" customFormat="1">
      <c r="A97" s="359"/>
      <c r="B97" s="359"/>
      <c r="C97" s="359"/>
      <c r="D97" s="359"/>
      <c r="E97" s="359"/>
      <c r="F97" s="359"/>
      <c r="G97" s="359"/>
      <c r="H97" s="359"/>
      <c r="I97" s="359"/>
      <c r="J97" s="359"/>
      <c r="K97" s="359"/>
      <c r="L97" s="359"/>
      <c r="M97" s="359"/>
      <c r="N97" s="359"/>
      <c r="O97" s="359"/>
      <c r="P97" s="359"/>
    </row>
    <row r="98" spans="1:16" s="360" customFormat="1">
      <c r="A98" s="359"/>
      <c r="B98" s="359"/>
      <c r="C98" s="359"/>
      <c r="D98" s="359"/>
      <c r="E98" s="359"/>
      <c r="F98" s="359"/>
      <c r="G98" s="359"/>
      <c r="H98" s="359"/>
      <c r="I98" s="359"/>
      <c r="J98" s="359"/>
      <c r="K98" s="359"/>
      <c r="L98" s="359"/>
      <c r="M98" s="359"/>
      <c r="N98" s="359"/>
      <c r="O98" s="359"/>
      <c r="P98" s="359"/>
    </row>
    <row r="99" spans="1:16" s="360" customFormat="1">
      <c r="A99" s="359"/>
      <c r="B99" s="359"/>
      <c r="C99" s="359"/>
      <c r="D99" s="359"/>
      <c r="E99" s="359"/>
      <c r="F99" s="359"/>
      <c r="G99" s="359"/>
      <c r="H99" s="359"/>
      <c r="I99" s="359"/>
      <c r="J99" s="359"/>
      <c r="K99" s="359"/>
      <c r="L99" s="359"/>
      <c r="M99" s="359"/>
      <c r="N99" s="359"/>
      <c r="O99" s="359"/>
      <c r="P99" s="359"/>
    </row>
    <row r="100" spans="1:16" s="360" customFormat="1">
      <c r="A100" s="359"/>
      <c r="B100" s="359"/>
      <c r="C100" s="359"/>
      <c r="D100" s="359"/>
      <c r="E100" s="359"/>
      <c r="F100" s="359"/>
      <c r="G100" s="359"/>
      <c r="H100" s="359"/>
      <c r="I100" s="359"/>
      <c r="J100" s="359"/>
      <c r="K100" s="359"/>
      <c r="L100" s="359"/>
      <c r="M100" s="359"/>
      <c r="N100" s="359"/>
      <c r="O100" s="359"/>
      <c r="P100" s="359"/>
    </row>
    <row r="101" spans="1:16" s="360" customFormat="1">
      <c r="A101" s="359"/>
      <c r="B101" s="359"/>
      <c r="C101" s="359"/>
      <c r="D101" s="359"/>
      <c r="E101" s="359"/>
      <c r="F101" s="359"/>
      <c r="G101" s="359"/>
      <c r="H101" s="359"/>
      <c r="I101" s="359"/>
      <c r="J101" s="359"/>
      <c r="K101" s="359"/>
      <c r="L101" s="359"/>
      <c r="M101" s="359"/>
      <c r="N101" s="359"/>
      <c r="O101" s="359"/>
      <c r="P101" s="359"/>
    </row>
    <row r="102" spans="1:16" s="360" customFormat="1">
      <c r="A102" s="359"/>
      <c r="B102" s="359"/>
      <c r="C102" s="359"/>
      <c r="D102" s="359"/>
      <c r="E102" s="359"/>
      <c r="F102" s="359"/>
      <c r="G102" s="359"/>
      <c r="H102" s="359"/>
      <c r="I102" s="359"/>
      <c r="J102" s="359"/>
      <c r="K102" s="359"/>
      <c r="L102" s="359"/>
      <c r="M102" s="359"/>
      <c r="N102" s="359"/>
      <c r="O102" s="359"/>
      <c r="P102" s="359"/>
    </row>
    <row r="103" spans="1:16" s="360" customFormat="1">
      <c r="A103" s="359"/>
      <c r="B103" s="359"/>
      <c r="C103" s="359"/>
      <c r="D103" s="359"/>
      <c r="E103" s="359"/>
      <c r="F103" s="359"/>
      <c r="G103" s="359"/>
      <c r="H103" s="359"/>
      <c r="I103" s="359"/>
      <c r="J103" s="359"/>
      <c r="K103" s="359"/>
      <c r="L103" s="359"/>
      <c r="M103" s="359"/>
      <c r="N103" s="359"/>
      <c r="O103" s="359"/>
      <c r="P103" s="359"/>
    </row>
    <row r="104" spans="1:16" s="360" customFormat="1">
      <c r="A104" s="359"/>
      <c r="B104" s="359"/>
      <c r="C104" s="359"/>
      <c r="D104" s="359"/>
      <c r="E104" s="359"/>
      <c r="F104" s="359"/>
      <c r="G104" s="359"/>
      <c r="H104" s="359"/>
      <c r="I104" s="359"/>
      <c r="J104" s="359"/>
      <c r="K104" s="359"/>
      <c r="L104" s="359"/>
      <c r="M104" s="359"/>
      <c r="N104" s="359"/>
      <c r="O104" s="359"/>
      <c r="P104" s="359"/>
    </row>
    <row r="105" spans="1:16" s="360" customFormat="1">
      <c r="A105" s="359"/>
      <c r="B105" s="359"/>
      <c r="C105" s="359"/>
      <c r="D105" s="359"/>
      <c r="E105" s="359"/>
      <c r="F105" s="359"/>
      <c r="G105" s="359"/>
      <c r="H105" s="359"/>
      <c r="I105" s="359"/>
      <c r="J105" s="359"/>
      <c r="K105" s="359"/>
      <c r="L105" s="359"/>
      <c r="M105" s="359"/>
      <c r="N105" s="359"/>
      <c r="O105" s="359"/>
      <c r="P105" s="359"/>
    </row>
    <row r="106" spans="1:16" s="360" customFormat="1">
      <c r="A106" s="359"/>
      <c r="B106" s="359"/>
      <c r="C106" s="359"/>
      <c r="D106" s="359"/>
      <c r="E106" s="359"/>
      <c r="F106" s="359"/>
      <c r="G106" s="359"/>
      <c r="H106" s="359"/>
      <c r="I106" s="359"/>
      <c r="J106" s="359"/>
      <c r="K106" s="359"/>
      <c r="L106" s="359"/>
      <c r="M106" s="359"/>
      <c r="N106" s="359"/>
      <c r="O106" s="359"/>
      <c r="P106" s="359"/>
    </row>
    <row r="107" spans="1:16" s="360" customFormat="1">
      <c r="A107" s="359"/>
      <c r="B107" s="359"/>
      <c r="C107" s="359"/>
      <c r="D107" s="359"/>
      <c r="E107" s="359"/>
      <c r="F107" s="359"/>
      <c r="G107" s="359"/>
      <c r="H107" s="359"/>
      <c r="I107" s="359"/>
      <c r="J107" s="359"/>
      <c r="K107" s="359"/>
      <c r="L107" s="359"/>
      <c r="M107" s="359"/>
      <c r="N107" s="359"/>
      <c r="O107" s="359"/>
      <c r="P107" s="359"/>
    </row>
    <row r="108" spans="1:16" s="360" customFormat="1">
      <c r="A108" s="359"/>
      <c r="B108" s="359"/>
      <c r="C108" s="359"/>
      <c r="D108" s="359"/>
      <c r="E108" s="359"/>
      <c r="F108" s="359"/>
      <c r="G108" s="359"/>
      <c r="H108" s="359"/>
      <c r="I108" s="359"/>
      <c r="J108" s="359"/>
      <c r="K108" s="359"/>
      <c r="L108" s="359"/>
      <c r="M108" s="359"/>
      <c r="N108" s="359"/>
      <c r="O108" s="359"/>
      <c r="P108" s="359"/>
    </row>
    <row r="109" spans="1:16" s="360" customFormat="1">
      <c r="A109" s="359"/>
      <c r="B109" s="359"/>
      <c r="C109" s="359"/>
      <c r="D109" s="359"/>
      <c r="E109" s="359"/>
      <c r="F109" s="359"/>
      <c r="G109" s="359"/>
      <c r="H109" s="359"/>
      <c r="I109" s="359"/>
      <c r="J109" s="359"/>
      <c r="K109" s="359"/>
      <c r="L109" s="359"/>
      <c r="M109" s="359"/>
      <c r="N109" s="359"/>
      <c r="O109" s="359"/>
      <c r="P109" s="359"/>
    </row>
    <row r="110" spans="1:16" s="360" customFormat="1">
      <c r="A110" s="359"/>
      <c r="B110" s="359"/>
      <c r="C110" s="359"/>
      <c r="D110" s="359"/>
      <c r="E110" s="359"/>
      <c r="F110" s="359"/>
      <c r="G110" s="359"/>
      <c r="H110" s="359"/>
      <c r="I110" s="359"/>
      <c r="J110" s="359"/>
      <c r="K110" s="359"/>
      <c r="L110" s="359"/>
      <c r="M110" s="359"/>
      <c r="N110" s="359"/>
      <c r="O110" s="359"/>
      <c r="P110" s="359"/>
    </row>
    <row r="111" spans="1:16" s="360" customFormat="1">
      <c r="A111" s="359"/>
      <c r="B111" s="359"/>
      <c r="C111" s="359"/>
      <c r="D111" s="359"/>
      <c r="E111" s="359"/>
      <c r="F111" s="359"/>
      <c r="G111" s="359"/>
      <c r="H111" s="359"/>
      <c r="I111" s="359"/>
      <c r="J111" s="359"/>
      <c r="K111" s="359"/>
      <c r="L111" s="359"/>
      <c r="M111" s="359"/>
      <c r="N111" s="359"/>
      <c r="O111" s="359"/>
      <c r="P111" s="359"/>
    </row>
    <row r="112" spans="1:16" s="360" customFormat="1">
      <c r="A112" s="359"/>
      <c r="B112" s="359"/>
      <c r="C112" s="359"/>
      <c r="D112" s="359"/>
      <c r="E112" s="359"/>
      <c r="F112" s="359"/>
      <c r="G112" s="359"/>
      <c r="H112" s="359"/>
      <c r="I112" s="359"/>
      <c r="J112" s="359"/>
      <c r="K112" s="359"/>
      <c r="L112" s="359"/>
      <c r="M112" s="359"/>
      <c r="N112" s="359"/>
      <c r="O112" s="359"/>
      <c r="P112" s="359"/>
    </row>
    <row r="113" spans="1:16" s="360" customFormat="1">
      <c r="A113" s="359"/>
      <c r="B113" s="359"/>
      <c r="C113" s="359"/>
      <c r="D113" s="359"/>
      <c r="E113" s="359"/>
      <c r="F113" s="359"/>
      <c r="G113" s="359"/>
      <c r="H113" s="359"/>
      <c r="I113" s="359"/>
      <c r="J113" s="359"/>
      <c r="K113" s="359"/>
      <c r="L113" s="359"/>
      <c r="M113" s="359"/>
      <c r="N113" s="359"/>
      <c r="O113" s="359"/>
      <c r="P113" s="359"/>
    </row>
    <row r="114" spans="1:16" s="360" customFormat="1">
      <c r="A114" s="359"/>
      <c r="B114" s="359"/>
      <c r="C114" s="359"/>
      <c r="D114" s="359"/>
      <c r="E114" s="359"/>
      <c r="F114" s="359"/>
      <c r="G114" s="359"/>
      <c r="H114" s="359"/>
      <c r="I114" s="359"/>
      <c r="J114" s="359"/>
      <c r="K114" s="359"/>
      <c r="L114" s="359"/>
      <c r="M114" s="359"/>
      <c r="N114" s="359"/>
      <c r="O114" s="359"/>
      <c r="P114" s="359"/>
    </row>
    <row r="115" spans="1:16" s="360" customFormat="1">
      <c r="A115" s="359"/>
      <c r="B115" s="359"/>
      <c r="C115" s="359"/>
      <c r="D115" s="359"/>
      <c r="E115" s="359"/>
      <c r="F115" s="359"/>
      <c r="G115" s="359"/>
      <c r="H115" s="359"/>
      <c r="I115" s="359"/>
      <c r="J115" s="359"/>
      <c r="K115" s="359"/>
      <c r="L115" s="359"/>
      <c r="M115" s="359"/>
      <c r="N115" s="359"/>
      <c r="O115" s="359"/>
      <c r="P115" s="359"/>
    </row>
    <row r="116" spans="1:16" s="360" customFormat="1">
      <c r="A116" s="359"/>
      <c r="B116" s="359"/>
      <c r="C116" s="359"/>
      <c r="D116" s="359"/>
      <c r="E116" s="359"/>
      <c r="F116" s="359"/>
      <c r="G116" s="359"/>
      <c r="H116" s="359"/>
      <c r="I116" s="359"/>
      <c r="J116" s="359"/>
      <c r="K116" s="359"/>
      <c r="L116" s="359"/>
      <c r="M116" s="359"/>
      <c r="N116" s="359"/>
      <c r="O116" s="359"/>
      <c r="P116" s="359"/>
    </row>
    <row r="117" spans="1:16" s="360" customFormat="1">
      <c r="A117" s="359"/>
      <c r="B117" s="359"/>
      <c r="C117" s="359"/>
      <c r="D117" s="359"/>
      <c r="E117" s="359"/>
      <c r="F117" s="359"/>
      <c r="G117" s="359"/>
      <c r="H117" s="359"/>
      <c r="I117" s="359"/>
      <c r="J117" s="359"/>
      <c r="K117" s="359"/>
      <c r="L117" s="359"/>
      <c r="M117" s="359"/>
      <c r="N117" s="359"/>
      <c r="O117" s="359"/>
      <c r="P117" s="359"/>
    </row>
    <row r="118" spans="1:16" s="360" customFormat="1">
      <c r="A118" s="359"/>
      <c r="B118" s="359"/>
      <c r="C118" s="359"/>
      <c r="D118" s="359"/>
      <c r="E118" s="359"/>
      <c r="F118" s="359"/>
      <c r="G118" s="359"/>
      <c r="H118" s="359"/>
      <c r="I118" s="359"/>
      <c r="J118" s="359"/>
      <c r="K118" s="359"/>
      <c r="L118" s="359"/>
      <c r="M118" s="359"/>
      <c r="N118" s="359"/>
      <c r="O118" s="359"/>
      <c r="P118" s="359"/>
    </row>
    <row r="119" spans="1:16" s="360" customFormat="1">
      <c r="A119" s="359"/>
      <c r="B119" s="359"/>
      <c r="C119" s="359"/>
      <c r="D119" s="359"/>
      <c r="E119" s="359"/>
      <c r="F119" s="359"/>
      <c r="G119" s="359"/>
      <c r="H119" s="359"/>
      <c r="I119" s="359"/>
      <c r="J119" s="359"/>
      <c r="K119" s="359"/>
      <c r="L119" s="359"/>
      <c r="M119" s="359"/>
      <c r="N119" s="359"/>
      <c r="O119" s="359"/>
      <c r="P119" s="359"/>
    </row>
    <row r="120" spans="1:16" s="360" customFormat="1">
      <c r="A120" s="359"/>
      <c r="B120" s="359"/>
      <c r="C120" s="359"/>
      <c r="D120" s="359"/>
      <c r="E120" s="359"/>
      <c r="F120" s="359"/>
      <c r="G120" s="359"/>
      <c r="H120" s="359"/>
      <c r="I120" s="359"/>
      <c r="J120" s="359"/>
      <c r="K120" s="359"/>
      <c r="L120" s="359"/>
      <c r="M120" s="359"/>
      <c r="N120" s="359"/>
      <c r="O120" s="359"/>
      <c r="P120" s="359"/>
    </row>
    <row r="121" spans="1:16" s="360" customFormat="1">
      <c r="A121" s="359"/>
      <c r="B121" s="359"/>
      <c r="C121" s="359"/>
      <c r="D121" s="359"/>
      <c r="E121" s="359"/>
      <c r="F121" s="359"/>
      <c r="G121" s="359"/>
      <c r="H121" s="359"/>
      <c r="I121" s="359"/>
      <c r="J121" s="359"/>
      <c r="K121" s="359"/>
      <c r="L121" s="359"/>
      <c r="M121" s="359"/>
      <c r="N121" s="359"/>
      <c r="O121" s="359"/>
      <c r="P121" s="359"/>
    </row>
    <row r="122" spans="1:16" s="360" customFormat="1">
      <c r="A122" s="359"/>
      <c r="B122" s="359"/>
      <c r="C122" s="359"/>
      <c r="D122" s="359"/>
      <c r="E122" s="359"/>
      <c r="F122" s="359"/>
      <c r="G122" s="359"/>
      <c r="H122" s="359"/>
      <c r="I122" s="359"/>
      <c r="J122" s="359"/>
      <c r="K122" s="359"/>
      <c r="L122" s="359"/>
      <c r="M122" s="359"/>
      <c r="N122" s="359"/>
      <c r="O122" s="359"/>
      <c r="P122" s="359"/>
    </row>
    <row r="123" spans="1:16" s="360" customFormat="1">
      <c r="A123" s="359"/>
      <c r="B123" s="359"/>
      <c r="C123" s="359"/>
      <c r="D123" s="359"/>
      <c r="E123" s="359"/>
      <c r="F123" s="359"/>
      <c r="G123" s="359"/>
      <c r="H123" s="359"/>
      <c r="I123" s="359"/>
      <c r="J123" s="359"/>
      <c r="K123" s="359"/>
      <c r="L123" s="359"/>
      <c r="M123" s="359"/>
      <c r="N123" s="359"/>
      <c r="O123" s="359"/>
      <c r="P123" s="359"/>
    </row>
    <row r="124" spans="1:16" s="360" customFormat="1">
      <c r="A124" s="359"/>
      <c r="B124" s="359"/>
      <c r="C124" s="359"/>
      <c r="D124" s="359"/>
      <c r="E124" s="359"/>
      <c r="F124" s="359"/>
      <c r="G124" s="359"/>
      <c r="H124" s="359"/>
      <c r="I124" s="359"/>
      <c r="J124" s="359"/>
      <c r="K124" s="359"/>
      <c r="L124" s="359"/>
      <c r="M124" s="359"/>
      <c r="N124" s="359"/>
      <c r="O124" s="359"/>
      <c r="P124" s="359"/>
    </row>
    <row r="125" spans="1:16" s="360" customFormat="1">
      <c r="A125" s="359"/>
      <c r="B125" s="359"/>
      <c r="C125" s="359"/>
      <c r="D125" s="359"/>
      <c r="E125" s="359"/>
      <c r="F125" s="359"/>
      <c r="G125" s="359"/>
      <c r="H125" s="359"/>
      <c r="I125" s="359"/>
      <c r="J125" s="359"/>
      <c r="K125" s="359"/>
      <c r="L125" s="359"/>
      <c r="M125" s="359"/>
      <c r="N125" s="359"/>
      <c r="O125" s="359"/>
      <c r="P125" s="359"/>
    </row>
    <row r="126" spans="1:16" s="360" customFormat="1">
      <c r="A126" s="359"/>
      <c r="B126" s="359"/>
      <c r="C126" s="359"/>
      <c r="D126" s="359"/>
      <c r="E126" s="359"/>
      <c r="F126" s="359"/>
      <c r="G126" s="359"/>
      <c r="H126" s="359"/>
      <c r="I126" s="359"/>
      <c r="J126" s="359"/>
      <c r="K126" s="359"/>
      <c r="L126" s="359"/>
      <c r="M126" s="359"/>
      <c r="N126" s="359"/>
      <c r="O126" s="359"/>
      <c r="P126" s="359"/>
    </row>
    <row r="127" spans="1:16" s="360" customFormat="1">
      <c r="A127" s="359"/>
      <c r="B127" s="359"/>
      <c r="C127" s="359"/>
      <c r="D127" s="359"/>
      <c r="E127" s="359"/>
      <c r="F127" s="359"/>
      <c r="G127" s="359"/>
      <c r="H127" s="359"/>
      <c r="I127" s="359"/>
      <c r="J127" s="359"/>
      <c r="K127" s="359"/>
      <c r="L127" s="359"/>
      <c r="M127" s="359"/>
      <c r="N127" s="359"/>
      <c r="O127" s="359"/>
      <c r="P127" s="359"/>
    </row>
    <row r="128" spans="1:16" s="360" customFormat="1">
      <c r="A128" s="359"/>
      <c r="B128" s="359"/>
      <c r="C128" s="359"/>
      <c r="D128" s="359"/>
      <c r="E128" s="359"/>
      <c r="F128" s="359"/>
      <c r="G128" s="359"/>
      <c r="H128" s="359"/>
      <c r="I128" s="359"/>
      <c r="J128" s="359"/>
      <c r="K128" s="359"/>
      <c r="L128" s="359"/>
      <c r="M128" s="359"/>
      <c r="N128" s="359"/>
      <c r="O128" s="359"/>
      <c r="P128" s="359"/>
    </row>
    <row r="129" spans="1:16" s="360" customFormat="1">
      <c r="A129" s="359"/>
      <c r="B129" s="359"/>
      <c r="C129" s="359"/>
      <c r="D129" s="359"/>
      <c r="E129" s="359"/>
      <c r="F129" s="359"/>
      <c r="G129" s="359"/>
      <c r="H129" s="359"/>
      <c r="I129" s="359"/>
      <c r="J129" s="359"/>
      <c r="K129" s="359"/>
      <c r="L129" s="359"/>
      <c r="M129" s="359"/>
      <c r="N129" s="359"/>
      <c r="O129" s="359"/>
      <c r="P129" s="359"/>
    </row>
    <row r="130" spans="1:16" s="360" customFormat="1">
      <c r="A130" s="359"/>
      <c r="B130" s="359"/>
      <c r="C130" s="359"/>
      <c r="D130" s="359"/>
      <c r="E130" s="359"/>
      <c r="F130" s="359"/>
      <c r="G130" s="359"/>
      <c r="H130" s="359"/>
      <c r="I130" s="359"/>
      <c r="J130" s="359"/>
      <c r="K130" s="359"/>
      <c r="L130" s="359"/>
      <c r="M130" s="359"/>
      <c r="N130" s="359"/>
      <c r="O130" s="359"/>
      <c r="P130" s="359"/>
    </row>
    <row r="131" spans="1:16" s="360" customFormat="1">
      <c r="A131" s="359"/>
      <c r="B131" s="359"/>
      <c r="C131" s="359"/>
      <c r="D131" s="359"/>
      <c r="E131" s="359"/>
      <c r="F131" s="359"/>
      <c r="G131" s="359"/>
      <c r="H131" s="359"/>
      <c r="I131" s="359"/>
      <c r="J131" s="359"/>
      <c r="K131" s="359"/>
      <c r="L131" s="359"/>
      <c r="M131" s="359"/>
      <c r="N131" s="359"/>
      <c r="O131" s="359"/>
      <c r="P131" s="359"/>
    </row>
    <row r="132" spans="1:16" s="360" customFormat="1">
      <c r="A132" s="359"/>
      <c r="B132" s="359"/>
      <c r="C132" s="359"/>
      <c r="D132" s="359"/>
      <c r="E132" s="359"/>
      <c r="F132" s="359"/>
      <c r="G132" s="359"/>
      <c r="H132" s="359"/>
      <c r="I132" s="359"/>
      <c r="J132" s="359"/>
      <c r="K132" s="359"/>
      <c r="L132" s="359"/>
      <c r="M132" s="359"/>
      <c r="N132" s="359"/>
      <c r="O132" s="359"/>
      <c r="P132" s="359"/>
    </row>
    <row r="133" spans="1:16" s="360" customFormat="1">
      <c r="A133" s="359"/>
      <c r="B133" s="359"/>
      <c r="C133" s="359"/>
      <c r="D133" s="359"/>
      <c r="E133" s="359"/>
      <c r="F133" s="359"/>
      <c r="G133" s="359"/>
      <c r="H133" s="359"/>
      <c r="I133" s="359"/>
      <c r="J133" s="359"/>
      <c r="K133" s="359"/>
      <c r="L133" s="359"/>
      <c r="M133" s="359"/>
      <c r="N133" s="359"/>
      <c r="O133" s="359"/>
      <c r="P133" s="359"/>
    </row>
    <row r="134" spans="1:16" s="360" customFormat="1">
      <c r="A134" s="359"/>
      <c r="B134" s="359"/>
      <c r="C134" s="359"/>
      <c r="D134" s="359"/>
      <c r="E134" s="359"/>
      <c r="F134" s="359"/>
      <c r="G134" s="359"/>
      <c r="H134" s="359"/>
      <c r="I134" s="359"/>
      <c r="J134" s="359"/>
      <c r="K134" s="359"/>
      <c r="L134" s="359"/>
      <c r="M134" s="359"/>
      <c r="N134" s="359"/>
      <c r="O134" s="359"/>
      <c r="P134" s="359"/>
    </row>
    <row r="135" spans="1:16" s="360" customFormat="1">
      <c r="A135" s="359"/>
      <c r="B135" s="359"/>
      <c r="C135" s="359"/>
      <c r="D135" s="359"/>
      <c r="E135" s="359"/>
      <c r="F135" s="359"/>
      <c r="G135" s="359"/>
      <c r="H135" s="359"/>
      <c r="I135" s="359"/>
      <c r="J135" s="359"/>
      <c r="K135" s="359"/>
      <c r="L135" s="359"/>
      <c r="M135" s="359"/>
      <c r="N135" s="359"/>
      <c r="O135" s="359"/>
      <c r="P135" s="359"/>
    </row>
    <row r="136" spans="1:16" s="360" customFormat="1">
      <c r="A136" s="359"/>
      <c r="B136" s="359"/>
      <c r="C136" s="359"/>
      <c r="D136" s="359"/>
      <c r="E136" s="359"/>
      <c r="F136" s="359"/>
      <c r="G136" s="359"/>
      <c r="H136" s="359"/>
      <c r="I136" s="359"/>
      <c r="J136" s="359"/>
      <c r="K136" s="359"/>
      <c r="L136" s="359"/>
      <c r="M136" s="359"/>
      <c r="N136" s="359"/>
      <c r="O136" s="359"/>
      <c r="P136" s="359"/>
    </row>
    <row r="137" spans="1:16" s="360" customFormat="1">
      <c r="A137" s="359"/>
      <c r="B137" s="359"/>
      <c r="C137" s="359"/>
      <c r="D137" s="359"/>
      <c r="E137" s="359"/>
      <c r="F137" s="359"/>
      <c r="G137" s="359"/>
      <c r="H137" s="359"/>
      <c r="I137" s="359"/>
      <c r="J137" s="359"/>
      <c r="K137" s="359"/>
      <c r="L137" s="359"/>
      <c r="M137" s="359"/>
      <c r="N137" s="359"/>
      <c r="O137" s="359"/>
      <c r="P137" s="359"/>
    </row>
    <row r="138" spans="1:16" s="360" customFormat="1">
      <c r="A138" s="359"/>
      <c r="B138" s="359"/>
      <c r="C138" s="359"/>
      <c r="D138" s="359"/>
      <c r="E138" s="359"/>
      <c r="F138" s="359"/>
      <c r="G138" s="359"/>
      <c r="H138" s="359"/>
      <c r="I138" s="359"/>
      <c r="J138" s="359"/>
      <c r="K138" s="359"/>
      <c r="L138" s="359"/>
      <c r="M138" s="359"/>
      <c r="N138" s="359"/>
      <c r="O138" s="359"/>
      <c r="P138" s="359"/>
    </row>
    <row r="139" spans="1:16" s="360" customFormat="1">
      <c r="A139" s="359"/>
      <c r="B139" s="359"/>
      <c r="C139" s="359"/>
      <c r="D139" s="359"/>
      <c r="E139" s="359"/>
      <c r="F139" s="359"/>
      <c r="G139" s="359"/>
      <c r="H139" s="359"/>
      <c r="I139" s="359"/>
      <c r="J139" s="359"/>
      <c r="K139" s="359"/>
      <c r="L139" s="359"/>
      <c r="M139" s="359"/>
      <c r="N139" s="359"/>
      <c r="O139" s="359"/>
      <c r="P139" s="359"/>
    </row>
    <row r="140" spans="1:16" s="360" customFormat="1">
      <c r="A140" s="359"/>
      <c r="B140" s="359"/>
      <c r="C140" s="359"/>
      <c r="D140" s="359"/>
      <c r="E140" s="359"/>
      <c r="F140" s="359"/>
      <c r="G140" s="359"/>
      <c r="H140" s="359"/>
      <c r="I140" s="359"/>
      <c r="J140" s="359"/>
      <c r="K140" s="359"/>
      <c r="L140" s="359"/>
      <c r="M140" s="359"/>
      <c r="N140" s="359"/>
      <c r="O140" s="359"/>
      <c r="P140" s="359"/>
    </row>
    <row r="141" spans="1:16" s="360" customFormat="1">
      <c r="A141" s="359"/>
      <c r="B141" s="359"/>
      <c r="C141" s="359"/>
      <c r="D141" s="359"/>
      <c r="E141" s="359"/>
      <c r="F141" s="359"/>
      <c r="G141" s="359"/>
      <c r="H141" s="359"/>
      <c r="I141" s="359"/>
      <c r="J141" s="359"/>
      <c r="K141" s="359"/>
      <c r="L141" s="359"/>
      <c r="M141" s="359"/>
      <c r="N141" s="359"/>
      <c r="O141" s="359"/>
      <c r="P141" s="359"/>
    </row>
    <row r="142" spans="1:16" s="360" customFormat="1">
      <c r="A142" s="359"/>
      <c r="B142" s="359"/>
      <c r="C142" s="359"/>
      <c r="D142" s="359"/>
      <c r="E142" s="359"/>
      <c r="F142" s="359"/>
      <c r="G142" s="359"/>
      <c r="H142" s="359"/>
      <c r="I142" s="359"/>
      <c r="J142" s="359"/>
      <c r="K142" s="359"/>
      <c r="L142" s="359"/>
      <c r="M142" s="359"/>
      <c r="N142" s="359"/>
      <c r="O142" s="359"/>
      <c r="P142" s="359"/>
    </row>
    <row r="143" spans="1:16" s="360" customFormat="1">
      <c r="A143" s="359"/>
      <c r="B143" s="359"/>
      <c r="C143" s="359"/>
      <c r="D143" s="359"/>
      <c r="E143" s="359"/>
      <c r="F143" s="359"/>
      <c r="G143" s="359"/>
      <c r="H143" s="359"/>
      <c r="I143" s="359"/>
      <c r="J143" s="359"/>
      <c r="K143" s="359"/>
      <c r="L143" s="359"/>
      <c r="M143" s="359"/>
      <c r="N143" s="359"/>
      <c r="O143" s="359"/>
      <c r="P143" s="359"/>
    </row>
    <row r="144" spans="1:16" s="360" customFormat="1">
      <c r="A144" s="359"/>
      <c r="B144" s="359"/>
      <c r="C144" s="359"/>
      <c r="D144" s="359"/>
      <c r="E144" s="359"/>
      <c r="F144" s="359"/>
      <c r="G144" s="359"/>
      <c r="H144" s="359"/>
      <c r="I144" s="359"/>
      <c r="J144" s="359"/>
      <c r="K144" s="359"/>
      <c r="L144" s="359"/>
      <c r="M144" s="359"/>
      <c r="N144" s="359"/>
      <c r="O144" s="359"/>
      <c r="P144" s="359"/>
    </row>
    <row r="145" spans="1:16" s="360" customFormat="1">
      <c r="A145" s="359"/>
      <c r="B145" s="359"/>
      <c r="C145" s="359"/>
      <c r="D145" s="359"/>
      <c r="E145" s="359"/>
      <c r="F145" s="359"/>
      <c r="G145" s="359"/>
      <c r="H145" s="359"/>
      <c r="I145" s="359"/>
      <c r="J145" s="359"/>
      <c r="K145" s="359"/>
      <c r="L145" s="359"/>
      <c r="M145" s="359"/>
      <c r="N145" s="359"/>
      <c r="O145" s="359"/>
      <c r="P145" s="359"/>
    </row>
    <row r="146" spans="1:16" s="360" customFormat="1">
      <c r="A146" s="359"/>
      <c r="B146" s="359"/>
      <c r="C146" s="359"/>
      <c r="D146" s="359"/>
      <c r="E146" s="359"/>
      <c r="F146" s="359"/>
      <c r="G146" s="359"/>
      <c r="H146" s="359"/>
      <c r="I146" s="359"/>
      <c r="J146" s="359"/>
      <c r="K146" s="359"/>
      <c r="L146" s="359"/>
      <c r="M146" s="359"/>
      <c r="N146" s="359"/>
      <c r="O146" s="359"/>
      <c r="P146" s="359"/>
    </row>
    <row r="147" spans="1:16" s="360" customFormat="1">
      <c r="A147" s="359"/>
      <c r="B147" s="359"/>
      <c r="C147" s="359"/>
      <c r="D147" s="359"/>
      <c r="E147" s="359"/>
      <c r="F147" s="359"/>
      <c r="G147" s="359"/>
      <c r="H147" s="359"/>
      <c r="I147" s="359"/>
      <c r="J147" s="359"/>
      <c r="K147" s="359"/>
      <c r="L147" s="359"/>
      <c r="M147" s="359"/>
      <c r="N147" s="359"/>
      <c r="O147" s="359"/>
      <c r="P147" s="359"/>
    </row>
    <row r="148" spans="1:16" s="360" customFormat="1">
      <c r="A148" s="359"/>
      <c r="B148" s="359"/>
      <c r="C148" s="359"/>
      <c r="D148" s="359"/>
      <c r="E148" s="359"/>
      <c r="F148" s="359"/>
      <c r="G148" s="359"/>
      <c r="H148" s="359"/>
      <c r="I148" s="359"/>
      <c r="J148" s="359"/>
      <c r="K148" s="359"/>
      <c r="L148" s="359"/>
      <c r="M148" s="359"/>
      <c r="N148" s="359"/>
      <c r="O148" s="359"/>
      <c r="P148" s="359"/>
    </row>
    <row r="149" spans="1:16" s="360" customFormat="1">
      <c r="A149" s="359"/>
      <c r="B149" s="359"/>
      <c r="C149" s="359"/>
      <c r="D149" s="359"/>
      <c r="E149" s="359"/>
      <c r="F149" s="359"/>
      <c r="G149" s="359"/>
      <c r="H149" s="359"/>
      <c r="I149" s="359"/>
      <c r="J149" s="359"/>
      <c r="K149" s="359"/>
      <c r="L149" s="359"/>
      <c r="M149" s="359"/>
      <c r="N149" s="359"/>
      <c r="O149" s="359"/>
      <c r="P149" s="359"/>
    </row>
    <row r="150" spans="1:16" s="360" customFormat="1">
      <c r="A150" s="359"/>
      <c r="B150" s="359"/>
      <c r="C150" s="359"/>
      <c r="D150" s="359"/>
      <c r="E150" s="359"/>
      <c r="F150" s="359"/>
      <c r="G150" s="359"/>
      <c r="H150" s="359"/>
      <c r="I150" s="359"/>
      <c r="J150" s="359"/>
      <c r="K150" s="359"/>
      <c r="L150" s="359"/>
      <c r="M150" s="359"/>
      <c r="N150" s="359"/>
      <c r="O150" s="359"/>
      <c r="P150" s="359"/>
    </row>
    <row r="151" spans="1:16" s="360" customFormat="1">
      <c r="A151" s="359"/>
      <c r="B151" s="359"/>
      <c r="C151" s="359"/>
      <c r="D151" s="359"/>
      <c r="E151" s="359"/>
      <c r="F151" s="359"/>
      <c r="G151" s="359"/>
      <c r="H151" s="359"/>
      <c r="I151" s="359"/>
      <c r="J151" s="359"/>
      <c r="K151" s="359"/>
      <c r="L151" s="359"/>
      <c r="M151" s="359"/>
      <c r="N151" s="359"/>
      <c r="O151" s="359"/>
      <c r="P151" s="359"/>
    </row>
    <row r="152" spans="1:16" s="360" customFormat="1">
      <c r="A152" s="359"/>
      <c r="B152" s="359"/>
      <c r="C152" s="359"/>
      <c r="D152" s="359"/>
      <c r="E152" s="359"/>
      <c r="F152" s="359"/>
      <c r="G152" s="359"/>
      <c r="H152" s="359"/>
      <c r="I152" s="359"/>
      <c r="J152" s="359"/>
      <c r="K152" s="359"/>
      <c r="L152" s="359"/>
      <c r="M152" s="359"/>
      <c r="N152" s="359"/>
      <c r="O152" s="359"/>
      <c r="P152" s="359"/>
    </row>
    <row r="153" spans="1:16" s="360" customFormat="1">
      <c r="A153" s="359"/>
      <c r="B153" s="359"/>
      <c r="C153" s="359"/>
      <c r="D153" s="359"/>
      <c r="E153" s="359"/>
      <c r="F153" s="359"/>
      <c r="G153" s="359"/>
      <c r="H153" s="359"/>
      <c r="I153" s="359"/>
      <c r="J153" s="359"/>
      <c r="K153" s="359"/>
      <c r="L153" s="359"/>
      <c r="M153" s="359"/>
      <c r="N153" s="359"/>
      <c r="O153" s="359"/>
      <c r="P153" s="359"/>
    </row>
    <row r="154" spans="1:16" s="360" customFormat="1">
      <c r="A154" s="359"/>
      <c r="B154" s="359"/>
      <c r="C154" s="359"/>
      <c r="D154" s="359"/>
      <c r="E154" s="359"/>
      <c r="F154" s="359"/>
      <c r="G154" s="359"/>
      <c r="H154" s="359"/>
      <c r="I154" s="359"/>
      <c r="J154" s="359"/>
      <c r="K154" s="359"/>
      <c r="L154" s="359"/>
      <c r="M154" s="359"/>
      <c r="N154" s="359"/>
      <c r="O154" s="359"/>
      <c r="P154" s="359"/>
    </row>
    <row r="155" spans="1:16" s="360" customFormat="1">
      <c r="A155" s="359"/>
      <c r="B155" s="359"/>
      <c r="C155" s="359"/>
      <c r="D155" s="359"/>
      <c r="E155" s="359"/>
      <c r="F155" s="359"/>
      <c r="G155" s="359"/>
      <c r="H155" s="359"/>
      <c r="I155" s="359"/>
      <c r="J155" s="359"/>
      <c r="K155" s="359"/>
      <c r="L155" s="359"/>
      <c r="M155" s="359"/>
      <c r="N155" s="359"/>
      <c r="O155" s="359"/>
      <c r="P155" s="359"/>
    </row>
    <row r="156" spans="1:16" s="360" customFormat="1">
      <c r="A156" s="359"/>
      <c r="B156" s="359"/>
      <c r="C156" s="359"/>
      <c r="D156" s="359"/>
      <c r="E156" s="359"/>
      <c r="F156" s="359"/>
      <c r="G156" s="359"/>
      <c r="H156" s="359"/>
      <c r="I156" s="359"/>
      <c r="J156" s="359"/>
      <c r="K156" s="359"/>
      <c r="L156" s="359"/>
      <c r="M156" s="359"/>
      <c r="N156" s="359"/>
      <c r="O156" s="359"/>
      <c r="P156" s="359"/>
    </row>
    <row r="157" spans="1:16" s="360" customFormat="1">
      <c r="A157" s="359"/>
      <c r="B157" s="359"/>
      <c r="C157" s="359"/>
      <c r="D157" s="359"/>
      <c r="E157" s="359"/>
      <c r="F157" s="359"/>
      <c r="G157" s="359"/>
      <c r="H157" s="359"/>
      <c r="I157" s="359"/>
      <c r="J157" s="359"/>
      <c r="K157" s="359"/>
      <c r="L157" s="359"/>
      <c r="M157" s="359"/>
      <c r="N157" s="359"/>
      <c r="O157" s="359"/>
      <c r="P157" s="359"/>
    </row>
    <row r="158" spans="1:16" s="360" customFormat="1">
      <c r="A158" s="359"/>
      <c r="B158" s="359"/>
      <c r="C158" s="359"/>
      <c r="D158" s="359"/>
      <c r="E158" s="359"/>
      <c r="F158" s="359"/>
      <c r="G158" s="359"/>
      <c r="H158" s="359"/>
      <c r="I158" s="359"/>
      <c r="J158" s="359"/>
      <c r="K158" s="359"/>
      <c r="L158" s="359"/>
      <c r="M158" s="359"/>
      <c r="N158" s="359"/>
      <c r="O158" s="359"/>
      <c r="P158" s="359"/>
    </row>
    <row r="159" spans="1:16" s="360" customFormat="1">
      <c r="A159" s="359"/>
      <c r="B159" s="359"/>
      <c r="C159" s="359"/>
      <c r="D159" s="359"/>
      <c r="E159" s="359"/>
      <c r="F159" s="359"/>
      <c r="G159" s="359"/>
      <c r="H159" s="359"/>
      <c r="I159" s="359"/>
      <c r="J159" s="359"/>
      <c r="K159" s="359"/>
      <c r="L159" s="359"/>
      <c r="M159" s="359"/>
      <c r="N159" s="359"/>
      <c r="O159" s="359"/>
      <c r="P159" s="359"/>
    </row>
    <row r="160" spans="1:16" s="360" customFormat="1">
      <c r="A160" s="359"/>
      <c r="B160" s="359"/>
      <c r="C160" s="359"/>
      <c r="D160" s="359"/>
      <c r="E160" s="359"/>
      <c r="F160" s="359"/>
      <c r="G160" s="359"/>
      <c r="H160" s="359"/>
      <c r="I160" s="359"/>
      <c r="J160" s="359"/>
      <c r="K160" s="359"/>
      <c r="L160" s="359"/>
      <c r="M160" s="359"/>
      <c r="N160" s="359"/>
      <c r="O160" s="359"/>
      <c r="P160" s="359"/>
    </row>
    <row r="161" spans="1:16" s="360" customFormat="1">
      <c r="A161" s="359"/>
      <c r="B161" s="359"/>
      <c r="C161" s="359"/>
      <c r="D161" s="359"/>
      <c r="E161" s="359"/>
      <c r="F161" s="359"/>
      <c r="G161" s="359"/>
      <c r="H161" s="359"/>
      <c r="I161" s="359"/>
      <c r="J161" s="359"/>
      <c r="K161" s="359"/>
      <c r="L161" s="359"/>
      <c r="M161" s="359"/>
      <c r="N161" s="359"/>
      <c r="O161" s="359"/>
      <c r="P161" s="359"/>
    </row>
    <row r="162" spans="1:16" s="360" customFormat="1">
      <c r="A162" s="359"/>
      <c r="B162" s="359"/>
      <c r="C162" s="359"/>
      <c r="D162" s="359"/>
      <c r="E162" s="359"/>
      <c r="F162" s="359"/>
      <c r="G162" s="359"/>
      <c r="H162" s="359"/>
      <c r="I162" s="359"/>
      <c r="J162" s="359"/>
      <c r="K162" s="359"/>
      <c r="L162" s="359"/>
      <c r="M162" s="359"/>
      <c r="N162" s="359"/>
      <c r="O162" s="359"/>
      <c r="P162" s="359"/>
    </row>
    <row r="163" spans="1:16" s="360" customFormat="1">
      <c r="A163" s="359"/>
      <c r="B163" s="359"/>
      <c r="C163" s="359"/>
      <c r="D163" s="359"/>
      <c r="E163" s="359"/>
      <c r="F163" s="359"/>
      <c r="G163" s="359"/>
      <c r="H163" s="359"/>
      <c r="I163" s="359"/>
      <c r="J163" s="359"/>
      <c r="K163" s="359"/>
      <c r="L163" s="359"/>
      <c r="M163" s="359"/>
      <c r="N163" s="359"/>
      <c r="O163" s="359"/>
      <c r="P163" s="359"/>
    </row>
    <row r="164" spans="1:16" s="360" customFormat="1">
      <c r="A164" s="359"/>
      <c r="B164" s="359"/>
      <c r="C164" s="359"/>
      <c r="D164" s="359"/>
      <c r="E164" s="359"/>
      <c r="F164" s="359"/>
      <c r="G164" s="359"/>
      <c r="H164" s="359"/>
      <c r="I164" s="359"/>
      <c r="J164" s="359"/>
      <c r="K164" s="359"/>
      <c r="L164" s="359"/>
      <c r="M164" s="359"/>
      <c r="N164" s="359"/>
      <c r="O164" s="359"/>
      <c r="P164" s="359"/>
    </row>
    <row r="165" spans="1:16" s="360" customFormat="1">
      <c r="A165" s="359"/>
      <c r="B165" s="359"/>
      <c r="C165" s="359"/>
      <c r="D165" s="359"/>
      <c r="E165" s="359"/>
      <c r="F165" s="359"/>
      <c r="G165" s="359"/>
      <c r="H165" s="359"/>
      <c r="I165" s="359"/>
      <c r="J165" s="359"/>
      <c r="K165" s="359"/>
      <c r="L165" s="359"/>
      <c r="M165" s="359"/>
      <c r="N165" s="359"/>
      <c r="O165" s="359"/>
      <c r="P165" s="359"/>
    </row>
    <row r="166" spans="1:16" s="360" customFormat="1">
      <c r="A166" s="359"/>
      <c r="B166" s="359"/>
      <c r="C166" s="359"/>
      <c r="D166" s="359"/>
      <c r="E166" s="359"/>
      <c r="F166" s="359"/>
      <c r="G166" s="359"/>
      <c r="H166" s="359"/>
      <c r="I166" s="359"/>
      <c r="J166" s="359"/>
      <c r="K166" s="359"/>
      <c r="L166" s="359"/>
      <c r="M166" s="359"/>
      <c r="N166" s="359"/>
      <c r="O166" s="359"/>
      <c r="P166" s="359"/>
    </row>
    <row r="167" spans="1:16" s="360" customFormat="1">
      <c r="A167" s="359"/>
      <c r="B167" s="359"/>
      <c r="C167" s="359"/>
      <c r="D167" s="359"/>
      <c r="E167" s="359"/>
      <c r="F167" s="359"/>
      <c r="G167" s="359"/>
      <c r="H167" s="359"/>
      <c r="I167" s="359"/>
      <c r="J167" s="359"/>
      <c r="K167" s="359"/>
      <c r="L167" s="359"/>
      <c r="M167" s="359"/>
      <c r="N167" s="359"/>
      <c r="O167" s="359"/>
      <c r="P167" s="359"/>
    </row>
    <row r="168" spans="1:16" s="360" customFormat="1">
      <c r="A168" s="359"/>
      <c r="B168" s="359"/>
      <c r="C168" s="359"/>
      <c r="D168" s="359"/>
      <c r="E168" s="359"/>
      <c r="F168" s="359"/>
      <c r="G168" s="359"/>
      <c r="H168" s="359"/>
      <c r="I168" s="359"/>
      <c r="J168" s="359"/>
      <c r="K168" s="359"/>
      <c r="L168" s="359"/>
      <c r="M168" s="359"/>
      <c r="N168" s="359"/>
      <c r="O168" s="359"/>
      <c r="P168" s="359"/>
    </row>
    <row r="169" spans="1:16" s="360" customFormat="1">
      <c r="A169" s="359"/>
      <c r="B169" s="359"/>
      <c r="C169" s="359"/>
      <c r="D169" s="359"/>
      <c r="E169" s="359"/>
      <c r="F169" s="359"/>
      <c r="G169" s="359"/>
      <c r="H169" s="359"/>
      <c r="I169" s="359"/>
      <c r="J169" s="359"/>
      <c r="K169" s="359"/>
      <c r="L169" s="359"/>
      <c r="M169" s="359"/>
      <c r="N169" s="359"/>
      <c r="O169" s="359"/>
      <c r="P169" s="359"/>
    </row>
    <row r="170" spans="1:16" s="360" customFormat="1">
      <c r="A170" s="359"/>
      <c r="B170" s="359"/>
      <c r="C170" s="359"/>
      <c r="D170" s="359"/>
      <c r="E170" s="359"/>
      <c r="F170" s="359"/>
      <c r="G170" s="359"/>
      <c r="H170" s="359"/>
      <c r="I170" s="359"/>
      <c r="J170" s="359"/>
      <c r="K170" s="359"/>
      <c r="L170" s="359"/>
      <c r="M170" s="359"/>
      <c r="N170" s="359"/>
      <c r="O170" s="359"/>
      <c r="P170" s="359"/>
    </row>
    <row r="171" spans="1:16" s="360" customFormat="1">
      <c r="A171" s="359"/>
      <c r="B171" s="359"/>
      <c r="C171" s="359"/>
      <c r="D171" s="359"/>
      <c r="E171" s="359"/>
      <c r="F171" s="359"/>
      <c r="G171" s="359"/>
      <c r="H171" s="359"/>
      <c r="I171" s="359"/>
      <c r="J171" s="359"/>
      <c r="K171" s="359"/>
      <c r="L171" s="359"/>
      <c r="M171" s="359"/>
      <c r="N171" s="359"/>
      <c r="O171" s="359"/>
      <c r="P171" s="359"/>
    </row>
    <row r="172" spans="1:16" s="360" customFormat="1">
      <c r="A172" s="359"/>
      <c r="B172" s="359"/>
      <c r="C172" s="359"/>
      <c r="D172" s="359"/>
      <c r="E172" s="359"/>
      <c r="F172" s="359"/>
      <c r="G172" s="359"/>
      <c r="H172" s="359"/>
      <c r="I172" s="359"/>
      <c r="J172" s="359"/>
      <c r="K172" s="359"/>
      <c r="L172" s="359"/>
      <c r="M172" s="359"/>
      <c r="N172" s="359"/>
      <c r="O172" s="359"/>
      <c r="P172" s="359"/>
    </row>
    <row r="173" spans="1:16" s="360" customFormat="1">
      <c r="A173" s="359"/>
      <c r="B173" s="359"/>
      <c r="C173" s="359"/>
      <c r="D173" s="359"/>
      <c r="E173" s="359"/>
      <c r="F173" s="359"/>
      <c r="G173" s="359"/>
      <c r="H173" s="359"/>
      <c r="I173" s="359"/>
      <c r="J173" s="359"/>
      <c r="K173" s="359"/>
      <c r="L173" s="359"/>
      <c r="M173" s="359"/>
      <c r="N173" s="359"/>
      <c r="O173" s="359"/>
      <c r="P173" s="359"/>
    </row>
    <row r="174" spans="1:16" s="360" customFormat="1">
      <c r="A174" s="359"/>
      <c r="B174" s="359"/>
      <c r="C174" s="359"/>
      <c r="D174" s="359"/>
      <c r="E174" s="359"/>
      <c r="F174" s="359"/>
      <c r="G174" s="359"/>
      <c r="H174" s="359"/>
      <c r="I174" s="359"/>
      <c r="J174" s="359"/>
      <c r="K174" s="359"/>
      <c r="L174" s="359"/>
      <c r="M174" s="359"/>
      <c r="N174" s="359"/>
      <c r="O174" s="359"/>
      <c r="P174" s="359"/>
    </row>
    <row r="175" spans="1:16" s="360" customFormat="1">
      <c r="A175" s="359"/>
      <c r="B175" s="359"/>
      <c r="C175" s="359"/>
      <c r="D175" s="359"/>
      <c r="E175" s="359"/>
      <c r="F175" s="359"/>
      <c r="G175" s="359"/>
      <c r="H175" s="359"/>
      <c r="I175" s="359"/>
      <c r="J175" s="359"/>
      <c r="K175" s="359"/>
      <c r="L175" s="359"/>
      <c r="M175" s="359"/>
      <c r="N175" s="359"/>
      <c r="O175" s="359"/>
      <c r="P175" s="359"/>
    </row>
    <row r="176" spans="1:16" s="360" customFormat="1">
      <c r="A176" s="359"/>
      <c r="B176" s="359"/>
      <c r="C176" s="359"/>
      <c r="D176" s="359"/>
      <c r="E176" s="359"/>
      <c r="F176" s="359"/>
      <c r="G176" s="359"/>
      <c r="H176" s="359"/>
      <c r="I176" s="359"/>
      <c r="J176" s="359"/>
      <c r="K176" s="359"/>
      <c r="L176" s="359"/>
      <c r="M176" s="359"/>
      <c r="N176" s="359"/>
      <c r="O176" s="359"/>
      <c r="P176" s="359"/>
    </row>
    <row r="177" spans="1:16" s="360" customFormat="1">
      <c r="A177" s="359"/>
      <c r="B177" s="359"/>
      <c r="C177" s="359"/>
      <c r="D177" s="359"/>
      <c r="E177" s="359"/>
      <c r="F177" s="359"/>
      <c r="G177" s="359"/>
      <c r="H177" s="359"/>
      <c r="I177" s="359"/>
      <c r="J177" s="359"/>
      <c r="K177" s="359"/>
      <c r="L177" s="359"/>
      <c r="M177" s="359"/>
      <c r="N177" s="359"/>
      <c r="O177" s="359"/>
      <c r="P177" s="359"/>
    </row>
    <row r="178" spans="1:16" s="360" customFormat="1">
      <c r="A178" s="359"/>
      <c r="B178" s="359"/>
      <c r="C178" s="359"/>
      <c r="D178" s="359"/>
      <c r="E178" s="359"/>
      <c r="F178" s="359"/>
      <c r="G178" s="359"/>
      <c r="H178" s="359"/>
      <c r="I178" s="359"/>
      <c r="J178" s="359"/>
      <c r="K178" s="359"/>
      <c r="L178" s="359"/>
      <c r="M178" s="359"/>
      <c r="N178" s="359"/>
      <c r="O178" s="359"/>
      <c r="P178" s="359"/>
    </row>
    <row r="179" spans="1:16" s="360" customFormat="1">
      <c r="A179" s="359"/>
      <c r="B179" s="359"/>
      <c r="C179" s="359"/>
      <c r="D179" s="359"/>
      <c r="E179" s="359"/>
      <c r="F179" s="359"/>
      <c r="G179" s="359"/>
      <c r="H179" s="359"/>
      <c r="I179" s="359"/>
      <c r="J179" s="359"/>
      <c r="K179" s="359"/>
      <c r="L179" s="359"/>
      <c r="M179" s="359"/>
      <c r="N179" s="359"/>
      <c r="O179" s="359"/>
      <c r="P179" s="359"/>
    </row>
    <row r="180" spans="1:16" s="360" customFormat="1">
      <c r="A180" s="359"/>
      <c r="B180" s="359"/>
      <c r="C180" s="359"/>
      <c r="D180" s="359"/>
      <c r="E180" s="359"/>
      <c r="F180" s="359"/>
      <c r="G180" s="359"/>
      <c r="H180" s="359"/>
      <c r="I180" s="359"/>
      <c r="J180" s="359"/>
      <c r="K180" s="359"/>
      <c r="L180" s="359"/>
      <c r="M180" s="359"/>
      <c r="N180" s="359"/>
      <c r="O180" s="359"/>
      <c r="P180" s="359"/>
    </row>
    <row r="181" spans="1:16" s="360" customFormat="1">
      <c r="A181" s="359"/>
      <c r="B181" s="359"/>
      <c r="C181" s="359"/>
      <c r="D181" s="359"/>
      <c r="E181" s="359"/>
      <c r="F181" s="359"/>
      <c r="G181" s="359"/>
      <c r="H181" s="359"/>
      <c r="I181" s="359"/>
      <c r="J181" s="359"/>
      <c r="K181" s="359"/>
      <c r="L181" s="359"/>
      <c r="M181" s="359"/>
      <c r="N181" s="359"/>
      <c r="O181" s="359"/>
      <c r="P181" s="359"/>
    </row>
    <row r="182" spans="1:16" s="360" customFormat="1">
      <c r="A182" s="359"/>
      <c r="B182" s="359"/>
      <c r="C182" s="359"/>
      <c r="D182" s="359"/>
      <c r="E182" s="359"/>
      <c r="F182" s="359"/>
      <c r="G182" s="359"/>
      <c r="H182" s="359"/>
      <c r="I182" s="359"/>
      <c r="J182" s="359"/>
      <c r="K182" s="359"/>
      <c r="L182" s="359"/>
      <c r="M182" s="359"/>
      <c r="N182" s="359"/>
      <c r="O182" s="359"/>
      <c r="P182" s="359"/>
    </row>
    <row r="183" spans="1:16" s="360" customFormat="1">
      <c r="A183" s="359"/>
      <c r="B183" s="359"/>
      <c r="C183" s="359"/>
      <c r="D183" s="359"/>
      <c r="E183" s="359"/>
      <c r="F183" s="359"/>
      <c r="G183" s="359"/>
      <c r="H183" s="359"/>
      <c r="I183" s="359"/>
      <c r="J183" s="359"/>
      <c r="K183" s="359"/>
      <c r="L183" s="359"/>
      <c r="M183" s="359"/>
      <c r="N183" s="359"/>
      <c r="O183" s="359"/>
      <c r="P183" s="359"/>
    </row>
    <row r="184" spans="1:16" s="360" customFormat="1">
      <c r="A184" s="359"/>
      <c r="B184" s="359"/>
      <c r="C184" s="359"/>
      <c r="D184" s="359"/>
      <c r="E184" s="359"/>
      <c r="F184" s="359"/>
      <c r="G184" s="359"/>
      <c r="H184" s="359"/>
      <c r="I184" s="359"/>
      <c r="J184" s="359"/>
      <c r="K184" s="359"/>
      <c r="L184" s="359"/>
      <c r="M184" s="359"/>
      <c r="N184" s="359"/>
      <c r="O184" s="359"/>
      <c r="P184" s="359"/>
    </row>
    <row r="185" spans="1:16" s="360" customFormat="1">
      <c r="A185" s="359"/>
      <c r="B185" s="359"/>
      <c r="C185" s="359"/>
      <c r="D185" s="359"/>
      <c r="E185" s="359"/>
      <c r="F185" s="359"/>
      <c r="G185" s="359"/>
      <c r="H185" s="359"/>
      <c r="I185" s="359"/>
      <c r="J185" s="359"/>
      <c r="K185" s="359"/>
      <c r="L185" s="359"/>
      <c r="M185" s="359"/>
      <c r="N185" s="359"/>
      <c r="O185" s="359"/>
      <c r="P185" s="359"/>
    </row>
    <row r="186" spans="1:16" s="360" customFormat="1">
      <c r="A186" s="359"/>
      <c r="B186" s="359"/>
      <c r="C186" s="359"/>
      <c r="D186" s="359"/>
      <c r="E186" s="359"/>
      <c r="F186" s="359"/>
      <c r="G186" s="359"/>
      <c r="H186" s="359"/>
      <c r="I186" s="359"/>
      <c r="J186" s="359"/>
      <c r="K186" s="359"/>
      <c r="L186" s="359"/>
      <c r="M186" s="359"/>
      <c r="N186" s="359"/>
      <c r="O186" s="359"/>
      <c r="P186" s="359"/>
    </row>
    <row r="187" spans="1:16" s="360" customFormat="1">
      <c r="A187" s="359"/>
      <c r="B187" s="359"/>
      <c r="C187" s="359"/>
      <c r="D187" s="359"/>
      <c r="E187" s="359"/>
      <c r="F187" s="359"/>
      <c r="G187" s="359"/>
      <c r="H187" s="359"/>
      <c r="I187" s="359"/>
      <c r="J187" s="359"/>
      <c r="K187" s="359"/>
      <c r="L187" s="359"/>
      <c r="M187" s="359"/>
      <c r="N187" s="359"/>
      <c r="O187" s="359"/>
      <c r="P187" s="359"/>
    </row>
    <row r="188" spans="1:16" s="360" customFormat="1">
      <c r="A188" s="359"/>
      <c r="B188" s="359"/>
      <c r="C188" s="359"/>
      <c r="D188" s="359"/>
      <c r="E188" s="359"/>
      <c r="F188" s="359"/>
      <c r="G188" s="359"/>
      <c r="H188" s="359"/>
      <c r="I188" s="359"/>
      <c r="J188" s="359"/>
      <c r="K188" s="359"/>
      <c r="L188" s="359"/>
      <c r="M188" s="359"/>
      <c r="N188" s="359"/>
      <c r="O188" s="359"/>
      <c r="P188" s="359"/>
    </row>
    <row r="189" spans="1:16" s="360" customFormat="1">
      <c r="A189" s="359"/>
      <c r="B189" s="359"/>
      <c r="C189" s="359"/>
      <c r="D189" s="359"/>
      <c r="E189" s="359"/>
      <c r="F189" s="359"/>
      <c r="G189" s="359"/>
      <c r="H189" s="359"/>
      <c r="I189" s="359"/>
      <c r="J189" s="359"/>
      <c r="K189" s="359"/>
      <c r="L189" s="359"/>
      <c r="M189" s="359"/>
      <c r="N189" s="359"/>
      <c r="O189" s="359"/>
      <c r="P189" s="359"/>
    </row>
    <row r="190" spans="1:16" s="360" customFormat="1">
      <c r="A190" s="359"/>
      <c r="B190" s="359"/>
      <c r="C190" s="359"/>
      <c r="D190" s="359"/>
      <c r="E190" s="359"/>
      <c r="F190" s="359"/>
      <c r="G190" s="359"/>
      <c r="H190" s="359"/>
      <c r="I190" s="359"/>
      <c r="J190" s="359"/>
      <c r="K190" s="359"/>
      <c r="L190" s="359"/>
      <c r="M190" s="359"/>
      <c r="N190" s="359"/>
      <c r="O190" s="359"/>
      <c r="P190" s="359"/>
    </row>
    <row r="191" spans="1:16" s="360" customFormat="1">
      <c r="A191" s="359"/>
      <c r="B191" s="359"/>
      <c r="C191" s="359"/>
      <c r="D191" s="359"/>
      <c r="E191" s="359"/>
      <c r="F191" s="359"/>
      <c r="G191" s="359"/>
      <c r="H191" s="359"/>
      <c r="I191" s="359"/>
      <c r="J191" s="359"/>
      <c r="K191" s="359"/>
      <c r="L191" s="359"/>
      <c r="M191" s="359"/>
      <c r="N191" s="359"/>
      <c r="O191" s="359"/>
      <c r="P191" s="359"/>
    </row>
    <row r="192" spans="1:16" s="360" customFormat="1">
      <c r="A192" s="359"/>
      <c r="B192" s="359"/>
      <c r="C192" s="359"/>
      <c r="D192" s="359"/>
      <c r="E192" s="359"/>
      <c r="F192" s="359"/>
      <c r="G192" s="359"/>
      <c r="H192" s="359"/>
      <c r="I192" s="359"/>
      <c r="J192" s="359"/>
      <c r="K192" s="359"/>
      <c r="L192" s="359"/>
      <c r="M192" s="359"/>
      <c r="N192" s="359"/>
      <c r="O192" s="359"/>
      <c r="P192" s="359"/>
    </row>
    <row r="193" spans="1:16" s="360" customFormat="1">
      <c r="A193" s="359"/>
      <c r="B193" s="359"/>
      <c r="C193" s="359"/>
      <c r="D193" s="359"/>
      <c r="E193" s="359"/>
      <c r="F193" s="359"/>
      <c r="G193" s="359"/>
      <c r="H193" s="359"/>
      <c r="I193" s="359"/>
      <c r="J193" s="359"/>
      <c r="K193" s="359"/>
      <c r="L193" s="359"/>
      <c r="M193" s="359"/>
      <c r="N193" s="359"/>
      <c r="O193" s="359"/>
      <c r="P193" s="359"/>
    </row>
    <row r="194" spans="1:16" s="360" customFormat="1">
      <c r="A194" s="359"/>
      <c r="B194" s="359"/>
      <c r="C194" s="359"/>
      <c r="D194" s="359"/>
      <c r="E194" s="359"/>
      <c r="F194" s="359"/>
      <c r="G194" s="359"/>
      <c r="H194" s="359"/>
      <c r="I194" s="359"/>
      <c r="J194" s="359"/>
      <c r="K194" s="359"/>
      <c r="L194" s="359"/>
      <c r="M194" s="359"/>
      <c r="N194" s="359"/>
      <c r="O194" s="359"/>
      <c r="P194" s="359"/>
    </row>
    <row r="195" spans="1:16" s="360" customFormat="1">
      <c r="A195" s="359"/>
      <c r="B195" s="359"/>
      <c r="C195" s="359"/>
      <c r="D195" s="359"/>
      <c r="E195" s="359"/>
      <c r="F195" s="359"/>
      <c r="G195" s="359"/>
      <c r="H195" s="359"/>
      <c r="I195" s="359"/>
      <c r="J195" s="359"/>
      <c r="K195" s="359"/>
      <c r="L195" s="359"/>
      <c r="M195" s="359"/>
      <c r="N195" s="359"/>
      <c r="O195" s="359"/>
      <c r="P195" s="359"/>
    </row>
    <row r="196" spans="1:16" s="360" customFormat="1">
      <c r="A196" s="359"/>
      <c r="B196" s="359"/>
      <c r="C196" s="359"/>
      <c r="D196" s="359"/>
      <c r="E196" s="359"/>
      <c r="F196" s="359"/>
      <c r="G196" s="359"/>
      <c r="H196" s="359"/>
      <c r="I196" s="359"/>
      <c r="J196" s="359"/>
      <c r="K196" s="359"/>
      <c r="L196" s="359"/>
      <c r="M196" s="359"/>
      <c r="N196" s="359"/>
      <c r="O196" s="359"/>
      <c r="P196" s="359"/>
    </row>
    <row r="197" spans="1:16" s="360" customFormat="1">
      <c r="A197" s="359"/>
      <c r="B197" s="359"/>
      <c r="C197" s="359"/>
      <c r="D197" s="359"/>
      <c r="E197" s="359"/>
      <c r="F197" s="359"/>
      <c r="G197" s="359"/>
      <c r="H197" s="359"/>
      <c r="I197" s="359"/>
      <c r="J197" s="359"/>
      <c r="K197" s="359"/>
      <c r="L197" s="359"/>
      <c r="M197" s="359"/>
      <c r="N197" s="359"/>
      <c r="O197" s="359"/>
      <c r="P197" s="359"/>
    </row>
    <row r="198" spans="1:16" s="360" customFormat="1">
      <c r="A198" s="359"/>
      <c r="B198" s="359"/>
      <c r="C198" s="359"/>
      <c r="D198" s="359"/>
      <c r="E198" s="359"/>
      <c r="F198" s="359"/>
      <c r="G198" s="359"/>
      <c r="H198" s="359"/>
      <c r="I198" s="359"/>
      <c r="J198" s="359"/>
      <c r="K198" s="359"/>
      <c r="L198" s="359"/>
      <c r="M198" s="359"/>
      <c r="N198" s="359"/>
      <c r="O198" s="359"/>
      <c r="P198" s="359"/>
    </row>
  </sheetData>
  <mergeCells count="3">
    <mergeCell ref="H1:I1"/>
    <mergeCell ref="A2:A26"/>
    <mergeCell ref="A28:A35"/>
  </mergeCells>
  <phoneticPr fontId="15" type="noConversion"/>
  <pageMargins left="0.69930555555555596" right="0.69930555555555596"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B451"/>
  <sheetViews>
    <sheetView zoomScale="70" zoomScaleNormal="85" workbookViewId="0">
      <pane xSplit="9" ySplit="1" topLeftCell="J2" activePane="bottomRight" state="frozen"/>
      <selection pane="topRight" activeCell="J1" sqref="J1"/>
      <selection pane="bottomLeft" activeCell="A2" sqref="A2"/>
      <selection pane="bottomRight" activeCell="J1" sqref="J1:J1048576"/>
    </sheetView>
  </sheetViews>
  <sheetFormatPr defaultColWidth="9.44140625" defaultRowHeight="13.2"/>
  <cols>
    <col min="1" max="1" width="10.44140625" style="3" customWidth="1"/>
    <col min="2" max="2" width="6.5546875" style="3" customWidth="1"/>
    <col min="3" max="3" width="26.44140625" style="3" customWidth="1"/>
    <col min="4" max="4" width="24.44140625" style="3" customWidth="1"/>
    <col min="5" max="5" width="11.44140625" style="3" customWidth="1"/>
    <col min="6" max="7" width="9.44140625" style="3" customWidth="1"/>
    <col min="8" max="8" width="16.44140625" style="3" customWidth="1"/>
    <col min="9" max="9" width="7.44140625" style="3" customWidth="1"/>
    <col min="10" max="17" width="9.44140625" style="3" customWidth="1"/>
    <col min="18" max="20" width="9.44140625" style="3"/>
    <col min="21" max="28" width="9.44140625" style="3" customWidth="1"/>
    <col min="29" max="16384" width="9.44140625" style="3"/>
  </cols>
  <sheetData>
    <row r="1" spans="1:28" s="1" customFormat="1" ht="49.5" customHeight="1" thickBot="1">
      <c r="A1" s="4" t="s">
        <v>456</v>
      </c>
      <c r="B1" s="1" t="s">
        <v>457</v>
      </c>
      <c r="C1" s="1" t="s">
        <v>458</v>
      </c>
      <c r="D1" s="5" t="s">
        <v>459</v>
      </c>
      <c r="E1" s="1" t="s">
        <v>80</v>
      </c>
      <c r="F1" s="1" t="s">
        <v>98</v>
      </c>
      <c r="H1" s="427" t="s">
        <v>460</v>
      </c>
      <c r="I1" s="427"/>
      <c r="J1" s="1" t="s">
        <v>17</v>
      </c>
      <c r="K1" s="1" t="s">
        <v>5</v>
      </c>
      <c r="L1" s="1" t="s">
        <v>25</v>
      </c>
      <c r="M1" s="1" t="s">
        <v>21</v>
      </c>
      <c r="N1" s="1" t="s">
        <v>461</v>
      </c>
      <c r="O1" s="1" t="s">
        <v>462</v>
      </c>
      <c r="P1" s="1" t="s">
        <v>463</v>
      </c>
      <c r="Q1" s="1" t="s">
        <v>1120</v>
      </c>
      <c r="T1" s="4" t="s">
        <v>464</v>
      </c>
      <c r="U1" s="1" t="s">
        <v>17</v>
      </c>
      <c r="V1" s="1" t="s">
        <v>5</v>
      </c>
      <c r="W1" s="1" t="s">
        <v>25</v>
      </c>
      <c r="X1" s="1" t="s">
        <v>21</v>
      </c>
      <c r="Y1" s="1" t="s">
        <v>461</v>
      </c>
      <c r="Z1" s="1" t="s">
        <v>462</v>
      </c>
      <c r="AA1" s="1" t="s">
        <v>463</v>
      </c>
      <c r="AB1" s="1" t="s">
        <v>1130</v>
      </c>
    </row>
    <row r="2" spans="1:28" ht="12.75" customHeight="1">
      <c r="A2" s="433" t="s">
        <v>513</v>
      </c>
      <c r="B2" s="6" t="s">
        <v>72</v>
      </c>
      <c r="C2" s="6"/>
      <c r="D2" s="6"/>
      <c r="E2" s="6"/>
      <c r="F2" s="6"/>
      <c r="G2" s="6"/>
      <c r="H2" s="6"/>
      <c r="I2" s="6"/>
      <c r="J2" s="11"/>
      <c r="K2" s="11"/>
      <c r="L2" s="11"/>
      <c r="M2" s="11"/>
      <c r="N2" s="11"/>
      <c r="O2" s="11"/>
      <c r="P2" s="11"/>
      <c r="Q2" s="11"/>
      <c r="T2" s="221" t="s">
        <v>513</v>
      </c>
      <c r="U2" s="11"/>
      <c r="V2" s="11"/>
      <c r="W2" s="11"/>
      <c r="X2" s="11"/>
      <c r="Y2" s="11"/>
      <c r="Z2" s="11"/>
      <c r="AA2" s="11"/>
      <c r="AB2" s="11"/>
    </row>
    <row r="3" spans="1:28" ht="41.25" customHeight="1">
      <c r="A3" s="428"/>
      <c r="B3" s="3" t="s">
        <v>466</v>
      </c>
      <c r="C3" s="3" t="s">
        <v>467</v>
      </c>
      <c r="D3" s="3" t="s">
        <v>468</v>
      </c>
      <c r="E3" s="3" t="s">
        <v>469</v>
      </c>
      <c r="G3" s="3">
        <v>10</v>
      </c>
      <c r="H3" s="3" t="s">
        <v>514</v>
      </c>
      <c r="I3" s="3">
        <v>7.8</v>
      </c>
      <c r="K3" s="3">
        <v>11.450000000000001</v>
      </c>
      <c r="N3" s="3">
        <f t="shared" ref="N3:N8" si="0">AVERAGE(J3:M3)</f>
        <v>11.450000000000001</v>
      </c>
      <c r="P3" s="3">
        <f t="shared" ref="P3:P8" si="1">COUNT(J3:M3)</f>
        <v>1</v>
      </c>
      <c r="Q3" s="3" t="s">
        <v>1121</v>
      </c>
      <c r="T3" s="221"/>
      <c r="U3" s="3">
        <v>10.183</v>
      </c>
      <c r="V3" s="3">
        <v>11.417</v>
      </c>
      <c r="Y3" s="3">
        <f t="shared" ref="Y3:Y8" si="2">AVERAGE(U3:X3)</f>
        <v>10.8</v>
      </c>
      <c r="Z3" s="3">
        <f t="shared" ref="Z3:Z8" si="3">_xlfn.STDEV.S(U3:X3)</f>
        <v>0.87256976798419961</v>
      </c>
      <c r="AA3" s="3">
        <f t="shared" ref="AA3:AA8" si="4">COUNT(U3:X3)</f>
        <v>2</v>
      </c>
      <c r="AB3" s="3" t="s">
        <v>1121</v>
      </c>
    </row>
    <row r="4" spans="1:28" ht="30.75" customHeight="1">
      <c r="A4" s="428"/>
      <c r="G4" s="3">
        <v>20</v>
      </c>
      <c r="H4" s="3" t="s">
        <v>514</v>
      </c>
      <c r="I4" s="3">
        <v>7.8</v>
      </c>
      <c r="K4" s="3">
        <v>12.942562286812208</v>
      </c>
      <c r="N4" s="3">
        <f t="shared" si="0"/>
        <v>12.942562286812208</v>
      </c>
      <c r="P4" s="3">
        <f t="shared" si="1"/>
        <v>1</v>
      </c>
      <c r="Q4" s="3" t="s">
        <v>1122</v>
      </c>
      <c r="T4" s="221"/>
      <c r="U4" s="3">
        <v>11.38</v>
      </c>
      <c r="V4" s="3">
        <v>12.905260578911351</v>
      </c>
      <c r="Y4" s="3">
        <f t="shared" si="2"/>
        <v>12.142630289455676</v>
      </c>
      <c r="Z4" s="3">
        <f t="shared" si="3"/>
        <v>1.078522098424735</v>
      </c>
      <c r="AA4" s="3">
        <f t="shared" si="4"/>
        <v>2</v>
      </c>
      <c r="AB4" s="3" t="s">
        <v>1127</v>
      </c>
    </row>
    <row r="5" spans="1:28" ht="27" customHeight="1">
      <c r="A5" s="428"/>
      <c r="G5" s="3">
        <v>40</v>
      </c>
      <c r="H5" s="3" t="s">
        <v>514</v>
      </c>
      <c r="I5" s="3">
        <v>7.8</v>
      </c>
      <c r="K5" s="3">
        <v>13.834194058640996</v>
      </c>
      <c r="N5" s="3">
        <f t="shared" si="0"/>
        <v>13.834194058640996</v>
      </c>
      <c r="P5" s="3">
        <f t="shared" si="1"/>
        <v>1</v>
      </c>
      <c r="Q5" s="3" t="s">
        <v>1122</v>
      </c>
      <c r="T5" s="221"/>
      <c r="U5" s="3">
        <v>11.97</v>
      </c>
      <c r="V5" s="3">
        <v>13.794322582314779</v>
      </c>
      <c r="Y5" s="3">
        <f t="shared" si="2"/>
        <v>12.88216129115739</v>
      </c>
      <c r="Z5" s="3">
        <f t="shared" si="3"/>
        <v>1.2899908690265331</v>
      </c>
      <c r="AA5" s="3">
        <f t="shared" si="4"/>
        <v>2</v>
      </c>
      <c r="AB5" s="3" t="s">
        <v>1127</v>
      </c>
    </row>
    <row r="6" spans="1:28" ht="26.4">
      <c r="A6" s="428"/>
      <c r="G6" s="3">
        <v>10</v>
      </c>
      <c r="H6" s="8" t="s">
        <v>471</v>
      </c>
      <c r="I6" s="8">
        <v>0.22500000000000001</v>
      </c>
      <c r="J6" s="8"/>
      <c r="K6" s="8">
        <v>0.376</v>
      </c>
      <c r="L6" s="8"/>
      <c r="M6" s="8"/>
      <c r="N6" s="8">
        <f t="shared" si="0"/>
        <v>0.376</v>
      </c>
      <c r="O6" s="8"/>
      <c r="P6" s="8">
        <f t="shared" si="1"/>
        <v>1</v>
      </c>
      <c r="Q6" s="8" t="s">
        <v>1122</v>
      </c>
      <c r="T6" s="221"/>
      <c r="U6" s="232">
        <v>0.38200000000000001</v>
      </c>
      <c r="V6" s="232">
        <v>0.379</v>
      </c>
      <c r="W6" s="232"/>
      <c r="X6" s="232"/>
      <c r="Y6" s="232">
        <f t="shared" si="2"/>
        <v>0.3805</v>
      </c>
      <c r="Z6" s="232">
        <f t="shared" si="3"/>
        <v>2.1213203435596446E-3</v>
      </c>
      <c r="AA6" s="232">
        <f t="shared" si="4"/>
        <v>2</v>
      </c>
      <c r="AB6" s="232" t="s">
        <v>1082</v>
      </c>
    </row>
    <row r="7" spans="1:28" ht="26.4">
      <c r="A7" s="428"/>
      <c r="G7" s="3">
        <v>20</v>
      </c>
      <c r="H7" s="8" t="s">
        <v>471</v>
      </c>
      <c r="I7" s="8">
        <v>0.22500000000000001</v>
      </c>
      <c r="J7" s="8"/>
      <c r="K7" s="8">
        <v>0.42501339911278518</v>
      </c>
      <c r="L7" s="8"/>
      <c r="M7" s="8"/>
      <c r="N7" s="8">
        <f t="shared" si="0"/>
        <v>0.42501339911278518</v>
      </c>
      <c r="O7" s="8"/>
      <c r="P7" s="8">
        <f t="shared" si="1"/>
        <v>1</v>
      </c>
      <c r="Q7" s="8" t="s">
        <v>1122</v>
      </c>
      <c r="T7" s="221"/>
      <c r="U7" s="232">
        <v>0.43</v>
      </c>
      <c r="V7" s="232">
        <v>0.42840446346740846</v>
      </c>
      <c r="W7" s="232"/>
      <c r="X7" s="232"/>
      <c r="Y7" s="232">
        <f t="shared" si="2"/>
        <v>0.4292022317337042</v>
      </c>
      <c r="Z7" s="232">
        <f t="shared" si="3"/>
        <v>1.1282147018263453E-3</v>
      </c>
      <c r="AA7" s="232">
        <f t="shared" si="4"/>
        <v>2</v>
      </c>
      <c r="AB7" s="232" t="s">
        <v>1083</v>
      </c>
    </row>
    <row r="8" spans="1:28" ht="26.4">
      <c r="A8" s="428"/>
      <c r="G8" s="3">
        <v>40</v>
      </c>
      <c r="H8" s="8" t="s">
        <v>471</v>
      </c>
      <c r="I8" s="8">
        <v>0.22500000000000001</v>
      </c>
      <c r="J8" s="8"/>
      <c r="K8" s="8">
        <v>0.45429318480777414</v>
      </c>
      <c r="L8" s="8"/>
      <c r="M8" s="8"/>
      <c r="N8" s="8">
        <f t="shared" si="0"/>
        <v>0.45429318480777414</v>
      </c>
      <c r="O8" s="8"/>
      <c r="P8" s="8">
        <f t="shared" si="1"/>
        <v>1</v>
      </c>
      <c r="Q8" s="8" t="s">
        <v>1122</v>
      </c>
      <c r="T8" s="221"/>
      <c r="U8" s="232">
        <v>0.45</v>
      </c>
      <c r="V8" s="232">
        <v>0.45791786447379362</v>
      </c>
      <c r="W8" s="232"/>
      <c r="X8" s="232"/>
      <c r="Y8" s="232">
        <f t="shared" si="2"/>
        <v>0.45395893223689682</v>
      </c>
      <c r="Z8" s="232">
        <f t="shared" si="3"/>
        <v>5.598775661935518E-3</v>
      </c>
      <c r="AA8" s="232">
        <f t="shared" si="4"/>
        <v>2</v>
      </c>
      <c r="AB8" s="232" t="s">
        <v>1083</v>
      </c>
    </row>
    <row r="9" spans="1:28">
      <c r="A9" s="428"/>
      <c r="T9" s="221"/>
    </row>
    <row r="10" spans="1:28" ht="48.75" customHeight="1">
      <c r="A10" s="428"/>
      <c r="B10" s="3" t="s">
        <v>466</v>
      </c>
      <c r="C10" s="3" t="s">
        <v>467</v>
      </c>
      <c r="D10" s="3" t="s">
        <v>472</v>
      </c>
      <c r="E10" s="3" t="s">
        <v>469</v>
      </c>
      <c r="G10" s="3">
        <v>10</v>
      </c>
      <c r="H10" s="3" t="s">
        <v>514</v>
      </c>
      <c r="I10" s="3">
        <v>7.8</v>
      </c>
      <c r="L10" s="3">
        <v>11.31</v>
      </c>
      <c r="N10" s="3">
        <f t="shared" ref="N10:N15" si="5">AVERAGE(J10:M10)</f>
        <v>11.31</v>
      </c>
      <c r="P10" s="3">
        <f t="shared" ref="P10:P15" si="6">COUNT(J10:M10)</f>
        <v>1</v>
      </c>
      <c r="Q10" s="3" t="s">
        <v>1122</v>
      </c>
      <c r="T10" s="221"/>
      <c r="AA10" s="3">
        <f t="shared" ref="AA10:AA15" si="7">COUNT(U10:X10)</f>
        <v>0</v>
      </c>
      <c r="AB10" s="3" t="s">
        <v>1117</v>
      </c>
    </row>
    <row r="11" spans="1:28" ht="33" customHeight="1">
      <c r="A11" s="428"/>
      <c r="G11" s="3">
        <v>20</v>
      </c>
      <c r="H11" s="3" t="s">
        <v>514</v>
      </c>
      <c r="I11" s="3">
        <v>7.8</v>
      </c>
      <c r="L11" s="3">
        <v>12.833397277227723</v>
      </c>
      <c r="N11" s="3">
        <f t="shared" si="5"/>
        <v>12.833397277227723</v>
      </c>
      <c r="P11" s="3">
        <f t="shared" si="6"/>
        <v>1</v>
      </c>
      <c r="Q11" s="3" t="s">
        <v>1122</v>
      </c>
      <c r="T11" s="221"/>
      <c r="AA11" s="3">
        <f t="shared" si="7"/>
        <v>0</v>
      </c>
      <c r="AB11" s="3" t="s">
        <v>1117</v>
      </c>
    </row>
    <row r="12" spans="1:28" ht="36.75" customHeight="1">
      <c r="A12" s="428"/>
      <c r="G12" s="3">
        <v>40</v>
      </c>
      <c r="H12" s="3" t="s">
        <v>514</v>
      </c>
      <c r="I12" s="3">
        <v>7.8</v>
      </c>
      <c r="L12" s="3">
        <v>13.740125825082508</v>
      </c>
      <c r="N12" s="3">
        <f t="shared" si="5"/>
        <v>13.740125825082508</v>
      </c>
      <c r="P12" s="3">
        <f t="shared" si="6"/>
        <v>1</v>
      </c>
      <c r="Q12" s="3" t="s">
        <v>1122</v>
      </c>
      <c r="T12" s="221"/>
      <c r="AA12" s="3">
        <f t="shared" si="7"/>
        <v>0</v>
      </c>
      <c r="AB12" s="3" t="s">
        <v>1117</v>
      </c>
    </row>
    <row r="13" spans="1:28" ht="26.4">
      <c r="A13" s="428"/>
      <c r="G13" s="3">
        <v>10</v>
      </c>
      <c r="H13" s="8" t="s">
        <v>471</v>
      </c>
      <c r="I13" s="8">
        <v>0.22500000000000001</v>
      </c>
      <c r="J13" s="8"/>
      <c r="K13" s="8"/>
      <c r="L13" s="8">
        <v>0.46600000000000003</v>
      </c>
      <c r="M13" s="8"/>
      <c r="N13" s="8">
        <f t="shared" si="5"/>
        <v>0.46600000000000003</v>
      </c>
      <c r="O13" s="8"/>
      <c r="P13" s="8">
        <f t="shared" si="6"/>
        <v>1</v>
      </c>
      <c r="Q13" s="8" t="s">
        <v>1082</v>
      </c>
      <c r="T13" s="221"/>
      <c r="U13" s="8"/>
      <c r="V13" s="8"/>
      <c r="W13" s="8"/>
      <c r="X13" s="8"/>
      <c r="Y13" s="8"/>
      <c r="Z13" s="8"/>
      <c r="AA13" s="8">
        <f t="shared" si="7"/>
        <v>0</v>
      </c>
      <c r="AB13" s="8" t="s">
        <v>1117</v>
      </c>
    </row>
    <row r="14" spans="1:28" ht="26.4">
      <c r="A14" s="428"/>
      <c r="G14" s="3">
        <v>20</v>
      </c>
      <c r="H14" s="8" t="s">
        <v>471</v>
      </c>
      <c r="I14" s="8">
        <v>0.22500000000000001</v>
      </c>
      <c r="J14" s="8"/>
      <c r="K14" s="8"/>
      <c r="L14" s="8">
        <v>0.5287677392739274</v>
      </c>
      <c r="M14" s="8"/>
      <c r="N14" s="8">
        <f t="shared" si="5"/>
        <v>0.5287677392739274</v>
      </c>
      <c r="O14" s="8"/>
      <c r="P14" s="8">
        <f t="shared" si="6"/>
        <v>1</v>
      </c>
      <c r="Q14" s="8" t="s">
        <v>1122</v>
      </c>
      <c r="T14" s="221"/>
      <c r="U14" s="8"/>
      <c r="V14" s="8"/>
      <c r="W14" s="8"/>
      <c r="X14" s="8"/>
      <c r="Y14" s="8"/>
      <c r="Z14" s="8"/>
      <c r="AA14" s="8">
        <f t="shared" si="7"/>
        <v>0</v>
      </c>
      <c r="AB14" s="8" t="s">
        <v>1117</v>
      </c>
    </row>
    <row r="15" spans="1:28" ht="26.4">
      <c r="A15" s="428"/>
      <c r="G15" s="3">
        <v>40</v>
      </c>
      <c r="H15" s="8" t="s">
        <v>471</v>
      </c>
      <c r="I15" s="8">
        <v>0.22500000000000001</v>
      </c>
      <c r="J15" s="8"/>
      <c r="K15" s="8"/>
      <c r="L15" s="8">
        <v>0.56612720022002205</v>
      </c>
      <c r="M15" s="8"/>
      <c r="N15" s="8">
        <f t="shared" si="5"/>
        <v>0.56612720022002205</v>
      </c>
      <c r="O15" s="8"/>
      <c r="P15" s="8">
        <f t="shared" si="6"/>
        <v>1</v>
      </c>
      <c r="Q15" s="8" t="s">
        <v>1122</v>
      </c>
      <c r="T15" s="221"/>
      <c r="U15" s="8"/>
      <c r="V15" s="8"/>
      <c r="W15" s="8"/>
      <c r="X15" s="8"/>
      <c r="Y15" s="8"/>
      <c r="Z15" s="8"/>
      <c r="AA15" s="8">
        <f t="shared" si="7"/>
        <v>0</v>
      </c>
      <c r="AB15" s="8" t="s">
        <v>1117</v>
      </c>
    </row>
    <row r="16" spans="1:28">
      <c r="A16" s="428"/>
      <c r="T16" s="221"/>
    </row>
    <row r="17" spans="1:28" ht="39.6">
      <c r="A17" s="428"/>
      <c r="B17" s="3" t="s">
        <v>466</v>
      </c>
      <c r="C17" s="3" t="s">
        <v>473</v>
      </c>
      <c r="D17" s="9" t="s">
        <v>474</v>
      </c>
      <c r="E17" s="3" t="s">
        <v>469</v>
      </c>
      <c r="G17" s="3">
        <v>10</v>
      </c>
      <c r="H17" s="3" t="s">
        <v>514</v>
      </c>
      <c r="I17" s="3">
        <v>7.8</v>
      </c>
      <c r="P17" s="3">
        <f t="shared" ref="P17:P22" si="8">COUNT(J17:M17)</f>
        <v>0</v>
      </c>
      <c r="Q17" s="3" t="s">
        <v>1123</v>
      </c>
      <c r="T17" s="221"/>
      <c r="AA17" s="3">
        <f t="shared" ref="AA17:AA22" si="9">COUNT(U17:X17)</f>
        <v>0</v>
      </c>
      <c r="AB17" s="3" t="s">
        <v>1092</v>
      </c>
    </row>
    <row r="18" spans="1:28" ht="26.4">
      <c r="A18" s="428"/>
      <c r="D18" s="9"/>
      <c r="G18" s="3">
        <v>20</v>
      </c>
      <c r="H18" s="3" t="s">
        <v>514</v>
      </c>
      <c r="I18" s="3">
        <v>7.8</v>
      </c>
      <c r="P18" s="3">
        <f t="shared" si="8"/>
        <v>0</v>
      </c>
      <c r="Q18" s="3" t="s">
        <v>1124</v>
      </c>
      <c r="T18" s="221"/>
      <c r="AA18" s="3">
        <f t="shared" si="9"/>
        <v>0</v>
      </c>
      <c r="AB18" s="3" t="s">
        <v>1089</v>
      </c>
    </row>
    <row r="19" spans="1:28" ht="26.4">
      <c r="A19" s="428"/>
      <c r="D19" s="9"/>
      <c r="G19" s="3">
        <v>40</v>
      </c>
      <c r="H19" s="3" t="s">
        <v>514</v>
      </c>
      <c r="I19" s="3">
        <v>7.8</v>
      </c>
      <c r="P19" s="3">
        <f t="shared" si="8"/>
        <v>0</v>
      </c>
      <c r="Q19" s="3" t="s">
        <v>1123</v>
      </c>
      <c r="T19" s="221"/>
      <c r="AA19" s="3">
        <f t="shared" si="9"/>
        <v>0</v>
      </c>
      <c r="AB19" s="3" t="s">
        <v>1126</v>
      </c>
    </row>
    <row r="20" spans="1:28" ht="26.4">
      <c r="A20" s="428"/>
      <c r="G20" s="3">
        <v>10</v>
      </c>
      <c r="H20" s="8" t="s">
        <v>471</v>
      </c>
      <c r="I20" s="8">
        <v>0.22500000000000001</v>
      </c>
      <c r="J20" s="8"/>
      <c r="K20" s="8"/>
      <c r="L20" s="8"/>
      <c r="M20" s="8"/>
      <c r="N20" s="8"/>
      <c r="O20" s="8"/>
      <c r="P20" s="8">
        <f t="shared" si="8"/>
        <v>0</v>
      </c>
      <c r="Q20" s="8" t="s">
        <v>1123</v>
      </c>
      <c r="T20" s="221"/>
      <c r="U20" s="8"/>
      <c r="V20" s="8"/>
      <c r="W20" s="8"/>
      <c r="X20" s="8"/>
      <c r="Y20" s="8"/>
      <c r="Z20" s="8"/>
      <c r="AA20" s="8">
        <f t="shared" si="9"/>
        <v>0</v>
      </c>
      <c r="AB20" s="8" t="s">
        <v>1126</v>
      </c>
    </row>
    <row r="21" spans="1:28" ht="26.4">
      <c r="A21" s="428"/>
      <c r="G21" s="3">
        <v>20</v>
      </c>
      <c r="H21" s="8" t="s">
        <v>471</v>
      </c>
      <c r="I21" s="8">
        <v>0.22500000000000001</v>
      </c>
      <c r="J21" s="8"/>
      <c r="K21" s="8"/>
      <c r="L21" s="8"/>
      <c r="M21" s="8"/>
      <c r="N21" s="8"/>
      <c r="O21" s="8"/>
      <c r="P21" s="8">
        <f t="shared" si="8"/>
        <v>0</v>
      </c>
      <c r="Q21" s="8" t="s">
        <v>1092</v>
      </c>
      <c r="T21" s="221"/>
      <c r="U21" s="8"/>
      <c r="V21" s="8"/>
      <c r="W21" s="8"/>
      <c r="X21" s="8"/>
      <c r="Y21" s="8"/>
      <c r="Z21" s="8"/>
      <c r="AA21" s="8">
        <f t="shared" si="9"/>
        <v>0</v>
      </c>
      <c r="AB21" s="8" t="s">
        <v>1126</v>
      </c>
    </row>
    <row r="22" spans="1:28" ht="26.4">
      <c r="A22" s="428"/>
      <c r="G22" s="3">
        <v>40</v>
      </c>
      <c r="H22" s="8" t="s">
        <v>471</v>
      </c>
      <c r="I22" s="8">
        <v>0.22500000000000001</v>
      </c>
      <c r="J22" s="8"/>
      <c r="K22" s="8"/>
      <c r="L22" s="8"/>
      <c r="M22" s="8"/>
      <c r="N22" s="8"/>
      <c r="O22" s="8"/>
      <c r="P22" s="8">
        <f t="shared" si="8"/>
        <v>0</v>
      </c>
      <c r="Q22" s="8" t="s">
        <v>1096</v>
      </c>
      <c r="T22" s="221"/>
      <c r="U22" s="8"/>
      <c r="V22" s="8"/>
      <c r="W22" s="8"/>
      <c r="X22" s="8"/>
      <c r="Y22" s="8"/>
      <c r="Z22" s="8"/>
      <c r="AA22" s="8">
        <f t="shared" si="9"/>
        <v>0</v>
      </c>
      <c r="AB22" s="8" t="s">
        <v>1089</v>
      </c>
    </row>
    <row r="23" spans="1:28">
      <c r="A23" s="428"/>
      <c r="T23" s="221"/>
    </row>
    <row r="24" spans="1:28" ht="39.6">
      <c r="A24" s="428"/>
      <c r="B24" s="3" t="s">
        <v>466</v>
      </c>
      <c r="C24" s="3" t="s">
        <v>475</v>
      </c>
      <c r="D24" s="9" t="s">
        <v>474</v>
      </c>
      <c r="E24" s="3" t="s">
        <v>469</v>
      </c>
      <c r="G24" s="3">
        <v>10</v>
      </c>
      <c r="H24" s="3" t="s">
        <v>514</v>
      </c>
      <c r="I24" s="3">
        <v>7.8</v>
      </c>
      <c r="P24" s="3">
        <f t="shared" ref="P24:P29" si="10">COUNT(J24:M24)</f>
        <v>0</v>
      </c>
      <c r="Q24" s="3" t="s">
        <v>1123</v>
      </c>
      <c r="T24" s="221"/>
      <c r="AA24" s="3">
        <f t="shared" ref="AA24:AA29" si="11">COUNT(U24:X24)</f>
        <v>0</v>
      </c>
      <c r="AB24" s="3" t="s">
        <v>1096</v>
      </c>
    </row>
    <row r="25" spans="1:28" ht="26.4">
      <c r="A25" s="428"/>
      <c r="D25" s="9"/>
      <c r="G25" s="3">
        <v>20</v>
      </c>
      <c r="H25" s="3" t="s">
        <v>514</v>
      </c>
      <c r="I25" s="3">
        <v>7.8</v>
      </c>
      <c r="P25" s="3">
        <f t="shared" si="10"/>
        <v>0</v>
      </c>
      <c r="Q25" s="3" t="s">
        <v>1123</v>
      </c>
      <c r="T25" s="221"/>
      <c r="AA25" s="3">
        <f t="shared" si="11"/>
        <v>0</v>
      </c>
      <c r="AB25" s="3" t="s">
        <v>1092</v>
      </c>
    </row>
    <row r="26" spans="1:28" ht="26.4">
      <c r="A26" s="428"/>
      <c r="D26" s="9"/>
      <c r="G26" s="3">
        <v>40</v>
      </c>
      <c r="H26" s="3" t="s">
        <v>514</v>
      </c>
      <c r="I26" s="3">
        <v>7.8</v>
      </c>
      <c r="P26" s="3">
        <f t="shared" si="10"/>
        <v>0</v>
      </c>
      <c r="Q26" s="3" t="s">
        <v>1123</v>
      </c>
      <c r="T26" s="221"/>
      <c r="AA26" s="3">
        <f t="shared" si="11"/>
        <v>0</v>
      </c>
      <c r="AB26" s="3" t="s">
        <v>1096</v>
      </c>
    </row>
    <row r="27" spans="1:28" ht="26.4">
      <c r="A27" s="428"/>
      <c r="G27" s="3">
        <v>10</v>
      </c>
      <c r="H27" s="8" t="s">
        <v>471</v>
      </c>
      <c r="I27" s="8">
        <v>0.22500000000000001</v>
      </c>
      <c r="J27" s="8"/>
      <c r="K27" s="8"/>
      <c r="L27" s="8"/>
      <c r="M27" s="8"/>
      <c r="N27" s="8"/>
      <c r="O27" s="8"/>
      <c r="P27" s="8">
        <f t="shared" si="10"/>
        <v>0</v>
      </c>
      <c r="Q27" s="8" t="s">
        <v>1092</v>
      </c>
      <c r="T27" s="221"/>
      <c r="U27" s="8"/>
      <c r="V27" s="8"/>
      <c r="W27" s="8"/>
      <c r="X27" s="8"/>
      <c r="Y27" s="8"/>
      <c r="Z27" s="8"/>
      <c r="AA27" s="8">
        <f t="shared" si="11"/>
        <v>0</v>
      </c>
      <c r="AB27" s="8" t="s">
        <v>1092</v>
      </c>
    </row>
    <row r="28" spans="1:28" ht="26.4">
      <c r="A28" s="428"/>
      <c r="G28" s="3">
        <v>20</v>
      </c>
      <c r="H28" s="8" t="s">
        <v>471</v>
      </c>
      <c r="I28" s="8">
        <v>0.22500000000000001</v>
      </c>
      <c r="J28" s="8"/>
      <c r="K28" s="8"/>
      <c r="L28" s="8"/>
      <c r="M28" s="8"/>
      <c r="N28" s="8"/>
      <c r="O28" s="8"/>
      <c r="P28" s="8">
        <f t="shared" si="10"/>
        <v>0</v>
      </c>
      <c r="Q28" s="8" t="s">
        <v>1123</v>
      </c>
      <c r="T28" s="221"/>
      <c r="U28" s="8"/>
      <c r="V28" s="8"/>
      <c r="W28" s="8"/>
      <c r="X28" s="8"/>
      <c r="Y28" s="8"/>
      <c r="Z28" s="8"/>
      <c r="AA28" s="8">
        <f t="shared" si="11"/>
        <v>0</v>
      </c>
      <c r="AB28" s="8" t="s">
        <v>1092</v>
      </c>
    </row>
    <row r="29" spans="1:28" ht="26.4">
      <c r="A29" s="428"/>
      <c r="G29" s="3">
        <v>40</v>
      </c>
      <c r="H29" s="8" t="s">
        <v>471</v>
      </c>
      <c r="I29" s="8">
        <v>0.22500000000000001</v>
      </c>
      <c r="J29" s="8"/>
      <c r="K29" s="8"/>
      <c r="L29" s="8"/>
      <c r="M29" s="8"/>
      <c r="N29" s="8"/>
      <c r="O29" s="8"/>
      <c r="P29" s="8">
        <f t="shared" si="10"/>
        <v>0</v>
      </c>
      <c r="Q29" s="8" t="s">
        <v>1123</v>
      </c>
      <c r="T29" s="221"/>
      <c r="U29" s="8"/>
      <c r="V29" s="8"/>
      <c r="W29" s="8"/>
      <c r="X29" s="8"/>
      <c r="Y29" s="8"/>
      <c r="Z29" s="8"/>
      <c r="AA29" s="8">
        <f t="shared" si="11"/>
        <v>0</v>
      </c>
      <c r="AB29" s="8" t="s">
        <v>1117</v>
      </c>
    </row>
    <row r="30" spans="1:28">
      <c r="A30" s="428"/>
      <c r="T30" s="221"/>
    </row>
    <row r="31" spans="1:28" ht="43.5" customHeight="1">
      <c r="A31" s="428"/>
      <c r="B31" s="3" t="s">
        <v>466</v>
      </c>
      <c r="C31" s="3" t="s">
        <v>467</v>
      </c>
      <c r="D31" s="3" t="s">
        <v>476</v>
      </c>
      <c r="E31" s="3" t="s">
        <v>469</v>
      </c>
      <c r="G31" s="3">
        <v>10</v>
      </c>
      <c r="H31" s="3" t="s">
        <v>514</v>
      </c>
      <c r="I31" s="3">
        <v>7.8</v>
      </c>
      <c r="P31" s="3">
        <f t="shared" ref="P31:P36" si="12">COUNT(J31:M31)</f>
        <v>0</v>
      </c>
      <c r="Q31" s="3" t="s">
        <v>1123</v>
      </c>
      <c r="T31" s="221"/>
      <c r="AA31" s="3">
        <f t="shared" ref="AA31:AA36" si="13">COUNT(U31:X31)</f>
        <v>0</v>
      </c>
      <c r="AB31" s="3" t="s">
        <v>1117</v>
      </c>
    </row>
    <row r="32" spans="1:28" ht="43.5" customHeight="1">
      <c r="A32" s="428"/>
      <c r="G32" s="3">
        <v>20</v>
      </c>
      <c r="H32" s="3" t="s">
        <v>514</v>
      </c>
      <c r="I32" s="3">
        <v>7.8</v>
      </c>
      <c r="P32" s="3">
        <f t="shared" si="12"/>
        <v>0</v>
      </c>
      <c r="Q32" s="3" t="s">
        <v>1092</v>
      </c>
      <c r="T32" s="221"/>
      <c r="AA32" s="3">
        <f t="shared" si="13"/>
        <v>0</v>
      </c>
      <c r="AB32" s="3" t="s">
        <v>1117</v>
      </c>
    </row>
    <row r="33" spans="1:28" ht="43.5" customHeight="1">
      <c r="A33" s="428"/>
      <c r="G33" s="3">
        <v>40</v>
      </c>
      <c r="H33" s="3" t="s">
        <v>514</v>
      </c>
      <c r="I33" s="3">
        <v>7.8</v>
      </c>
      <c r="P33" s="3">
        <f t="shared" si="12"/>
        <v>0</v>
      </c>
      <c r="Q33" s="3" t="s">
        <v>1089</v>
      </c>
      <c r="T33" s="221"/>
      <c r="AA33" s="3">
        <f t="shared" si="13"/>
        <v>0</v>
      </c>
      <c r="AB33" s="3" t="s">
        <v>1092</v>
      </c>
    </row>
    <row r="34" spans="1:28" ht="26.4">
      <c r="A34" s="428"/>
      <c r="G34" s="3">
        <v>10</v>
      </c>
      <c r="H34" s="8" t="s">
        <v>471</v>
      </c>
      <c r="I34" s="8">
        <v>0.22500000000000001</v>
      </c>
      <c r="J34" s="8"/>
      <c r="K34" s="8"/>
      <c r="L34" s="8"/>
      <c r="M34" s="8"/>
      <c r="N34" s="8"/>
      <c r="O34" s="8"/>
      <c r="P34" s="8">
        <f t="shared" si="12"/>
        <v>0</v>
      </c>
      <c r="Q34" s="8" t="s">
        <v>1089</v>
      </c>
      <c r="T34" s="221"/>
      <c r="U34" s="8"/>
      <c r="V34" s="8"/>
      <c r="W34" s="8"/>
      <c r="X34" s="8"/>
      <c r="Y34" s="8"/>
      <c r="Z34" s="8"/>
      <c r="AA34" s="8">
        <f t="shared" si="13"/>
        <v>0</v>
      </c>
      <c r="AB34" s="8" t="s">
        <v>1087</v>
      </c>
    </row>
    <row r="35" spans="1:28" ht="26.4">
      <c r="A35" s="428"/>
      <c r="G35" s="3">
        <v>20</v>
      </c>
      <c r="H35" s="8" t="s">
        <v>471</v>
      </c>
      <c r="I35" s="8">
        <v>0.22500000000000001</v>
      </c>
      <c r="J35" s="8"/>
      <c r="K35" s="8"/>
      <c r="L35" s="8"/>
      <c r="M35" s="8"/>
      <c r="N35" s="8"/>
      <c r="O35" s="8"/>
      <c r="P35" s="8">
        <f t="shared" si="12"/>
        <v>0</v>
      </c>
      <c r="Q35" s="8" t="s">
        <v>1123</v>
      </c>
      <c r="T35" s="221"/>
      <c r="U35" s="8"/>
      <c r="V35" s="8"/>
      <c r="W35" s="8"/>
      <c r="X35" s="8"/>
      <c r="Y35" s="8"/>
      <c r="Z35" s="8"/>
      <c r="AA35" s="8">
        <f t="shared" si="13"/>
        <v>0</v>
      </c>
      <c r="AB35" s="8" t="s">
        <v>1096</v>
      </c>
    </row>
    <row r="36" spans="1:28" ht="26.4">
      <c r="A36" s="428"/>
      <c r="G36" s="3">
        <v>40</v>
      </c>
      <c r="H36" s="8" t="s">
        <v>471</v>
      </c>
      <c r="I36" s="8">
        <v>0.22500000000000001</v>
      </c>
      <c r="J36" s="8"/>
      <c r="K36" s="8"/>
      <c r="L36" s="8"/>
      <c r="M36" s="8"/>
      <c r="N36" s="8"/>
      <c r="O36" s="8"/>
      <c r="P36" s="8">
        <f t="shared" si="12"/>
        <v>0</v>
      </c>
      <c r="Q36" s="8" t="s">
        <v>1089</v>
      </c>
      <c r="T36" s="221"/>
      <c r="U36" s="8"/>
      <c r="V36" s="8"/>
      <c r="W36" s="8"/>
      <c r="X36" s="8"/>
      <c r="Y36" s="8"/>
      <c r="Z36" s="8"/>
      <c r="AA36" s="8">
        <f t="shared" si="13"/>
        <v>0</v>
      </c>
      <c r="AB36" s="8" t="s">
        <v>1128</v>
      </c>
    </row>
    <row r="37" spans="1:28">
      <c r="A37" s="428"/>
      <c r="T37" s="221"/>
    </row>
    <row r="38" spans="1:28" ht="39.6">
      <c r="A38" s="428"/>
      <c r="B38" s="3" t="s">
        <v>466</v>
      </c>
      <c r="C38" s="3" t="s">
        <v>477</v>
      </c>
      <c r="D38" s="9" t="s">
        <v>478</v>
      </c>
      <c r="E38" s="3" t="s">
        <v>469</v>
      </c>
      <c r="G38" s="3">
        <v>10</v>
      </c>
      <c r="H38" s="3" t="s">
        <v>514</v>
      </c>
      <c r="I38" s="3">
        <v>7.8</v>
      </c>
      <c r="P38" s="3">
        <f t="shared" ref="P38:P43" si="14">COUNT(J38:M38)</f>
        <v>0</v>
      </c>
      <c r="Q38" s="3" t="s">
        <v>1124</v>
      </c>
      <c r="T38" s="221"/>
      <c r="AA38" s="3">
        <f t="shared" ref="AA38:AA43" si="15">COUNT(U38:X38)</f>
        <v>0</v>
      </c>
      <c r="AB38" s="3" t="s">
        <v>1089</v>
      </c>
    </row>
    <row r="39" spans="1:28" ht="26.4">
      <c r="A39" s="428"/>
      <c r="D39" s="9"/>
      <c r="G39" s="3">
        <v>20</v>
      </c>
      <c r="H39" s="3" t="s">
        <v>514</v>
      </c>
      <c r="I39" s="3">
        <v>7.8</v>
      </c>
      <c r="P39" s="3">
        <f t="shared" si="14"/>
        <v>0</v>
      </c>
      <c r="Q39" s="3" t="s">
        <v>1087</v>
      </c>
      <c r="T39" s="221"/>
      <c r="AA39" s="3">
        <f t="shared" si="15"/>
        <v>0</v>
      </c>
      <c r="AB39" s="3" t="s">
        <v>1092</v>
      </c>
    </row>
    <row r="40" spans="1:28" ht="26.4">
      <c r="A40" s="428"/>
      <c r="D40" s="9"/>
      <c r="G40" s="3">
        <v>40</v>
      </c>
      <c r="H40" s="3" t="s">
        <v>514</v>
      </c>
      <c r="I40" s="3">
        <v>7.8</v>
      </c>
      <c r="P40" s="3">
        <f t="shared" si="14"/>
        <v>0</v>
      </c>
      <c r="Q40" s="3" t="s">
        <v>1123</v>
      </c>
      <c r="T40" s="221"/>
      <c r="AA40" s="3">
        <f t="shared" si="15"/>
        <v>0</v>
      </c>
      <c r="AB40" s="3" t="s">
        <v>1117</v>
      </c>
    </row>
    <row r="41" spans="1:28" ht="26.4">
      <c r="A41" s="428"/>
      <c r="G41" s="3">
        <v>10</v>
      </c>
      <c r="H41" s="8" t="s">
        <v>471</v>
      </c>
      <c r="I41" s="8">
        <v>0.22500000000000001</v>
      </c>
      <c r="J41" s="8"/>
      <c r="K41" s="8"/>
      <c r="L41" s="8"/>
      <c r="M41" s="8"/>
      <c r="N41" s="8"/>
      <c r="O41" s="8"/>
      <c r="P41" s="8">
        <f t="shared" si="14"/>
        <v>0</v>
      </c>
      <c r="Q41" s="8" t="s">
        <v>1123</v>
      </c>
      <c r="T41" s="221"/>
      <c r="U41" s="8"/>
      <c r="V41" s="8"/>
      <c r="W41" s="8"/>
      <c r="X41" s="8"/>
      <c r="Y41" s="8"/>
      <c r="Z41" s="8"/>
      <c r="AA41" s="8">
        <f t="shared" si="15"/>
        <v>0</v>
      </c>
      <c r="AB41" s="8" t="s">
        <v>1117</v>
      </c>
    </row>
    <row r="42" spans="1:28" ht="26.4">
      <c r="A42" s="428"/>
      <c r="G42" s="3">
        <v>20</v>
      </c>
      <c r="H42" s="8" t="s">
        <v>471</v>
      </c>
      <c r="I42" s="8">
        <v>0.22500000000000001</v>
      </c>
      <c r="J42" s="8"/>
      <c r="K42" s="8"/>
      <c r="L42" s="8"/>
      <c r="M42" s="8"/>
      <c r="N42" s="8"/>
      <c r="O42" s="8"/>
      <c r="P42" s="8">
        <f t="shared" si="14"/>
        <v>0</v>
      </c>
      <c r="Q42" s="8" t="s">
        <v>1092</v>
      </c>
      <c r="T42" s="221"/>
      <c r="U42" s="8"/>
      <c r="V42" s="8"/>
      <c r="W42" s="8"/>
      <c r="X42" s="8"/>
      <c r="Y42" s="8"/>
      <c r="Z42" s="8"/>
      <c r="AA42" s="8">
        <f t="shared" si="15"/>
        <v>0</v>
      </c>
      <c r="AB42" s="8" t="s">
        <v>1117</v>
      </c>
    </row>
    <row r="43" spans="1:28" ht="26.4">
      <c r="A43" s="428"/>
      <c r="G43" s="3">
        <v>40</v>
      </c>
      <c r="H43" s="8" t="s">
        <v>471</v>
      </c>
      <c r="I43" s="8">
        <v>0.22500000000000001</v>
      </c>
      <c r="J43" s="8"/>
      <c r="K43" s="8"/>
      <c r="L43" s="8"/>
      <c r="M43" s="8"/>
      <c r="N43" s="8"/>
      <c r="O43" s="8"/>
      <c r="P43" s="8">
        <f t="shared" si="14"/>
        <v>0</v>
      </c>
      <c r="Q43" s="8" t="s">
        <v>1123</v>
      </c>
      <c r="T43" s="221"/>
      <c r="U43" s="8"/>
      <c r="V43" s="8"/>
      <c r="W43" s="8"/>
      <c r="X43" s="8"/>
      <c r="Y43" s="8"/>
      <c r="Z43" s="8"/>
      <c r="AA43" s="8">
        <f t="shared" si="15"/>
        <v>0</v>
      </c>
      <c r="AB43" s="8" t="s">
        <v>1093</v>
      </c>
    </row>
    <row r="44" spans="1:28">
      <c r="A44" s="428"/>
      <c r="H44" s="10"/>
      <c r="I44" s="10"/>
      <c r="T44" s="221"/>
    </row>
    <row r="45" spans="1:28" ht="26.4">
      <c r="A45" s="428"/>
      <c r="B45" s="3" t="s">
        <v>466</v>
      </c>
      <c r="C45" s="3" t="s">
        <v>479</v>
      </c>
      <c r="D45" s="9" t="s">
        <v>480</v>
      </c>
      <c r="E45" s="3" t="s">
        <v>469</v>
      </c>
      <c r="G45" s="3">
        <v>10</v>
      </c>
      <c r="H45" s="3" t="s">
        <v>514</v>
      </c>
      <c r="I45" s="3">
        <v>7.8</v>
      </c>
      <c r="P45" s="3">
        <f t="shared" ref="P45:P50" si="16">COUNT(J45:M45)</f>
        <v>0</v>
      </c>
      <c r="Q45" s="3" t="s">
        <v>1092</v>
      </c>
      <c r="T45" s="221"/>
      <c r="AA45" s="3">
        <f t="shared" ref="AA45:AA50" si="17">COUNT(U45:X45)</f>
        <v>0</v>
      </c>
      <c r="AB45" s="3" t="s">
        <v>1128</v>
      </c>
    </row>
    <row r="46" spans="1:28" ht="26.4">
      <c r="A46" s="428"/>
      <c r="D46" s="9"/>
      <c r="G46" s="3">
        <v>20</v>
      </c>
      <c r="H46" s="3" t="s">
        <v>514</v>
      </c>
      <c r="I46" s="3">
        <v>7.8</v>
      </c>
      <c r="P46" s="3">
        <f t="shared" si="16"/>
        <v>0</v>
      </c>
      <c r="Q46" s="3" t="s">
        <v>1092</v>
      </c>
      <c r="T46" s="221"/>
      <c r="AA46" s="3">
        <f t="shared" si="17"/>
        <v>0</v>
      </c>
      <c r="AB46" s="3" t="s">
        <v>1117</v>
      </c>
    </row>
    <row r="47" spans="1:28" ht="26.4">
      <c r="A47" s="428"/>
      <c r="D47" s="9"/>
      <c r="G47" s="3">
        <v>40</v>
      </c>
      <c r="H47" s="3" t="s">
        <v>514</v>
      </c>
      <c r="I47" s="3">
        <v>7.8</v>
      </c>
      <c r="P47" s="3">
        <f t="shared" si="16"/>
        <v>0</v>
      </c>
      <c r="Q47" s="3" t="s">
        <v>1092</v>
      </c>
      <c r="T47" s="221"/>
      <c r="AA47" s="3">
        <f t="shared" si="17"/>
        <v>0</v>
      </c>
      <c r="AB47" s="3" t="s">
        <v>1089</v>
      </c>
    </row>
    <row r="48" spans="1:28" ht="26.4">
      <c r="A48" s="428"/>
      <c r="G48" s="3">
        <v>10</v>
      </c>
      <c r="H48" s="8" t="s">
        <v>471</v>
      </c>
      <c r="I48" s="8">
        <v>0.22500000000000001</v>
      </c>
      <c r="J48" s="8"/>
      <c r="K48" s="8"/>
      <c r="L48" s="8"/>
      <c r="M48" s="8"/>
      <c r="N48" s="8"/>
      <c r="O48" s="8"/>
      <c r="P48" s="8">
        <f t="shared" si="16"/>
        <v>0</v>
      </c>
      <c r="Q48" s="8" t="s">
        <v>1123</v>
      </c>
      <c r="T48" s="221"/>
      <c r="U48" s="8"/>
      <c r="V48" s="8"/>
      <c r="W48" s="8"/>
      <c r="X48" s="8"/>
      <c r="Y48" s="8"/>
      <c r="Z48" s="8"/>
      <c r="AA48" s="8">
        <f t="shared" si="17"/>
        <v>0</v>
      </c>
      <c r="AB48" s="8" t="s">
        <v>1117</v>
      </c>
    </row>
    <row r="49" spans="1:28" ht="26.4">
      <c r="A49" s="428"/>
      <c r="G49" s="3">
        <v>20</v>
      </c>
      <c r="H49" s="8" t="s">
        <v>471</v>
      </c>
      <c r="I49" s="8">
        <v>0.22500000000000001</v>
      </c>
      <c r="J49" s="8"/>
      <c r="K49" s="8"/>
      <c r="L49" s="8"/>
      <c r="M49" s="8"/>
      <c r="N49" s="8"/>
      <c r="O49" s="8"/>
      <c r="P49" s="8">
        <f t="shared" si="16"/>
        <v>0</v>
      </c>
      <c r="Q49" s="8" t="s">
        <v>1123</v>
      </c>
      <c r="T49" s="221"/>
      <c r="U49" s="8"/>
      <c r="V49" s="8"/>
      <c r="W49" s="8"/>
      <c r="X49" s="8"/>
      <c r="Y49" s="8"/>
      <c r="Z49" s="8"/>
      <c r="AA49" s="8">
        <f t="shared" si="17"/>
        <v>0</v>
      </c>
      <c r="AB49" s="8" t="s">
        <v>1092</v>
      </c>
    </row>
    <row r="50" spans="1:28" ht="26.4">
      <c r="A50" s="428"/>
      <c r="G50" s="3">
        <v>40</v>
      </c>
      <c r="H50" s="8" t="s">
        <v>471</v>
      </c>
      <c r="I50" s="8">
        <v>0.22500000000000001</v>
      </c>
      <c r="J50" s="8"/>
      <c r="K50" s="8"/>
      <c r="L50" s="8"/>
      <c r="M50" s="8"/>
      <c r="N50" s="8"/>
      <c r="O50" s="8"/>
      <c r="P50" s="8">
        <f t="shared" si="16"/>
        <v>0</v>
      </c>
      <c r="Q50" s="8" t="s">
        <v>1123</v>
      </c>
      <c r="T50" s="221"/>
      <c r="U50" s="8"/>
      <c r="V50" s="8"/>
      <c r="W50" s="8"/>
      <c r="X50" s="8"/>
      <c r="Y50" s="8"/>
      <c r="Z50" s="8"/>
      <c r="AA50" s="8">
        <f t="shared" si="17"/>
        <v>0</v>
      </c>
      <c r="AB50" s="8" t="s">
        <v>1092</v>
      </c>
    </row>
    <row r="51" spans="1:28">
      <c r="A51" s="428"/>
      <c r="T51" s="221"/>
    </row>
    <row r="52" spans="1:28" ht="39.6">
      <c r="A52" s="428"/>
      <c r="B52" s="3" t="s">
        <v>466</v>
      </c>
      <c r="C52" s="3" t="s">
        <v>475</v>
      </c>
      <c r="D52" s="3" t="s">
        <v>481</v>
      </c>
      <c r="E52" s="3" t="s">
        <v>469</v>
      </c>
      <c r="G52" s="3">
        <v>10</v>
      </c>
      <c r="H52" s="3" t="s">
        <v>514</v>
      </c>
      <c r="I52" s="3">
        <v>7.8</v>
      </c>
      <c r="P52" s="3">
        <f t="shared" ref="P52:P61" si="18">COUNT(J52:M52)</f>
        <v>0</v>
      </c>
      <c r="Q52" s="3" t="s">
        <v>1093</v>
      </c>
      <c r="T52" s="221"/>
      <c r="AA52" s="3">
        <f t="shared" ref="AA52:AA61" si="19">COUNT(U52:X52)</f>
        <v>0</v>
      </c>
      <c r="AB52" s="3" t="s">
        <v>1092</v>
      </c>
    </row>
    <row r="53" spans="1:28" ht="26.4">
      <c r="A53" s="428"/>
      <c r="G53" s="3">
        <v>20</v>
      </c>
      <c r="H53" s="3" t="s">
        <v>514</v>
      </c>
      <c r="I53" s="3">
        <v>7.8</v>
      </c>
      <c r="P53" s="3">
        <f t="shared" si="18"/>
        <v>0</v>
      </c>
      <c r="Q53" s="3" t="s">
        <v>1087</v>
      </c>
      <c r="T53" s="221"/>
      <c r="AA53" s="3">
        <f t="shared" si="19"/>
        <v>0</v>
      </c>
      <c r="AB53" s="3" t="s">
        <v>1093</v>
      </c>
    </row>
    <row r="54" spans="1:28" ht="26.4">
      <c r="A54" s="428"/>
      <c r="G54" s="3">
        <v>40</v>
      </c>
      <c r="H54" s="3" t="s">
        <v>514</v>
      </c>
      <c r="I54" s="3">
        <v>7.8</v>
      </c>
      <c r="P54" s="3">
        <f t="shared" si="18"/>
        <v>0</v>
      </c>
      <c r="Q54" s="3" t="s">
        <v>1087</v>
      </c>
      <c r="T54" s="221"/>
      <c r="AA54" s="3">
        <f t="shared" si="19"/>
        <v>0</v>
      </c>
      <c r="AB54" s="3" t="s">
        <v>1092</v>
      </c>
    </row>
    <row r="55" spans="1:28" ht="26.4">
      <c r="A55" s="428"/>
      <c r="G55" s="3">
        <v>10</v>
      </c>
      <c r="H55" s="8" t="s">
        <v>471</v>
      </c>
      <c r="I55" s="8">
        <v>0.22500000000000001</v>
      </c>
      <c r="J55" s="8"/>
      <c r="K55" s="8"/>
      <c r="L55" s="8"/>
      <c r="M55" s="8"/>
      <c r="N55" s="8"/>
      <c r="O55" s="8"/>
      <c r="P55" s="8">
        <f t="shared" si="18"/>
        <v>0</v>
      </c>
      <c r="Q55" s="8" t="s">
        <v>1092</v>
      </c>
      <c r="T55" s="221"/>
      <c r="U55" s="8"/>
      <c r="V55" s="8"/>
      <c r="W55" s="8"/>
      <c r="X55" s="8"/>
      <c r="Y55" s="8"/>
      <c r="Z55" s="8"/>
      <c r="AA55" s="8">
        <f t="shared" si="19"/>
        <v>0</v>
      </c>
      <c r="AB55" s="8" t="s">
        <v>1117</v>
      </c>
    </row>
    <row r="56" spans="1:28" ht="26.4">
      <c r="A56" s="428"/>
      <c r="G56" s="3">
        <v>20</v>
      </c>
      <c r="H56" s="8" t="s">
        <v>471</v>
      </c>
      <c r="I56" s="8">
        <v>0.22500000000000001</v>
      </c>
      <c r="J56" s="8"/>
      <c r="K56" s="8"/>
      <c r="L56" s="8"/>
      <c r="M56" s="8"/>
      <c r="N56" s="8"/>
      <c r="O56" s="8"/>
      <c r="P56" s="8">
        <f t="shared" si="18"/>
        <v>0</v>
      </c>
      <c r="Q56" s="8" t="s">
        <v>1123</v>
      </c>
      <c r="T56" s="221"/>
      <c r="U56" s="8"/>
      <c r="V56" s="8"/>
      <c r="W56" s="8"/>
      <c r="X56" s="8"/>
      <c r="Y56" s="8"/>
      <c r="Z56" s="8"/>
      <c r="AA56" s="8">
        <f t="shared" si="19"/>
        <v>0</v>
      </c>
      <c r="AB56" s="8" t="s">
        <v>1092</v>
      </c>
    </row>
    <row r="57" spans="1:28" ht="26.4">
      <c r="A57" s="428"/>
      <c r="G57" s="3">
        <v>40</v>
      </c>
      <c r="H57" s="8" t="s">
        <v>471</v>
      </c>
      <c r="I57" s="8">
        <v>0.22500000000000001</v>
      </c>
      <c r="J57" s="8"/>
      <c r="K57" s="8"/>
      <c r="L57" s="8"/>
      <c r="M57" s="8"/>
      <c r="N57" s="8"/>
      <c r="O57" s="8"/>
      <c r="P57" s="8">
        <f t="shared" si="18"/>
        <v>0</v>
      </c>
      <c r="Q57" s="8" t="s">
        <v>1093</v>
      </c>
      <c r="T57" s="221"/>
      <c r="U57" s="8"/>
      <c r="V57" s="8"/>
      <c r="W57" s="8"/>
      <c r="X57" s="8"/>
      <c r="Y57" s="8"/>
      <c r="Z57" s="8"/>
      <c r="AA57" s="8">
        <f t="shared" si="19"/>
        <v>0</v>
      </c>
      <c r="AB57" s="8" t="s">
        <v>1117</v>
      </c>
    </row>
    <row r="58" spans="1:28" ht="39.6">
      <c r="A58" s="428"/>
      <c r="B58" s="247" t="s">
        <v>619</v>
      </c>
      <c r="C58" s="247" t="s">
        <v>664</v>
      </c>
      <c r="D58" s="247" t="s">
        <v>658</v>
      </c>
      <c r="E58" s="247" t="s">
        <v>469</v>
      </c>
      <c r="G58" s="3">
        <v>10</v>
      </c>
      <c r="H58" s="3" t="s">
        <v>470</v>
      </c>
      <c r="I58" s="3">
        <v>7.8</v>
      </c>
      <c r="P58" s="3">
        <f t="shared" si="18"/>
        <v>0</v>
      </c>
      <c r="Q58" s="3" t="s">
        <v>1092</v>
      </c>
      <c r="T58" s="221"/>
      <c r="AA58" s="3">
        <f t="shared" si="19"/>
        <v>0</v>
      </c>
      <c r="AB58" s="3" t="s">
        <v>1128</v>
      </c>
    </row>
    <row r="59" spans="1:28" ht="26.4">
      <c r="A59" s="428"/>
      <c r="G59" s="3">
        <v>10</v>
      </c>
      <c r="H59" s="8" t="s">
        <v>471</v>
      </c>
      <c r="I59" s="8">
        <v>0.22500000000000001</v>
      </c>
      <c r="J59" s="8"/>
      <c r="K59" s="8"/>
      <c r="L59" s="8"/>
      <c r="M59" s="8"/>
      <c r="N59" s="8"/>
      <c r="O59" s="8"/>
      <c r="P59" s="8">
        <f t="shared" si="18"/>
        <v>0</v>
      </c>
      <c r="Q59" s="8" t="s">
        <v>1092</v>
      </c>
      <c r="T59" s="221"/>
      <c r="U59" s="232"/>
      <c r="V59" s="232"/>
      <c r="W59" s="232"/>
      <c r="X59" s="232"/>
      <c r="Y59" s="232"/>
      <c r="Z59" s="232"/>
      <c r="AA59" s="232">
        <f t="shared" si="19"/>
        <v>0</v>
      </c>
      <c r="AB59" s="232" t="s">
        <v>1128</v>
      </c>
    </row>
    <row r="60" spans="1:28" ht="39.6">
      <c r="A60" s="428"/>
      <c r="B60" s="247" t="s">
        <v>619</v>
      </c>
      <c r="C60" s="247" t="s">
        <v>703</v>
      </c>
      <c r="D60" s="247" t="s">
        <v>689</v>
      </c>
      <c r="E60" s="247" t="s">
        <v>469</v>
      </c>
      <c r="G60" s="3">
        <v>10</v>
      </c>
      <c r="H60" s="3" t="s">
        <v>470</v>
      </c>
      <c r="I60" s="3">
        <v>7.8</v>
      </c>
      <c r="P60" s="3">
        <f t="shared" si="18"/>
        <v>0</v>
      </c>
      <c r="Q60" s="3" t="s">
        <v>1093</v>
      </c>
      <c r="T60" s="278"/>
      <c r="AA60" s="3">
        <f t="shared" si="19"/>
        <v>0</v>
      </c>
      <c r="AB60" s="3" t="s">
        <v>1117</v>
      </c>
    </row>
    <row r="61" spans="1:28" ht="26.4">
      <c r="A61" s="428"/>
      <c r="G61" s="3">
        <v>10</v>
      </c>
      <c r="H61" s="8" t="s">
        <v>471</v>
      </c>
      <c r="I61" s="8">
        <v>0.22500000000000001</v>
      </c>
      <c r="J61" s="8"/>
      <c r="K61" s="8"/>
      <c r="L61" s="8"/>
      <c r="M61" s="8"/>
      <c r="N61" s="8"/>
      <c r="O61" s="8"/>
      <c r="P61" s="8">
        <f t="shared" si="18"/>
        <v>0</v>
      </c>
      <c r="Q61" s="8" t="s">
        <v>1124</v>
      </c>
      <c r="T61" s="278"/>
      <c r="U61" s="232"/>
      <c r="V61" s="232"/>
      <c r="W61" s="232"/>
      <c r="X61" s="232"/>
      <c r="Y61" s="232"/>
      <c r="Z61" s="232"/>
      <c r="AA61" s="232">
        <f t="shared" si="19"/>
        <v>0</v>
      </c>
      <c r="AB61" s="232" t="s">
        <v>1117</v>
      </c>
    </row>
    <row r="62" spans="1:28">
      <c r="A62" s="428"/>
      <c r="T62" s="221"/>
    </row>
    <row r="63" spans="1:28">
      <c r="A63" s="428"/>
      <c r="T63" s="221"/>
    </row>
    <row r="64" spans="1:28">
      <c r="A64" s="428"/>
      <c r="B64" s="6" t="s">
        <v>73</v>
      </c>
      <c r="C64" s="6"/>
      <c r="D64" s="6"/>
      <c r="E64" s="6"/>
      <c r="F64" s="6"/>
      <c r="G64" s="6"/>
      <c r="H64" s="11"/>
      <c r="I64" s="11"/>
      <c r="J64" s="11"/>
      <c r="K64" s="11"/>
      <c r="L64" s="11"/>
      <c r="M64" s="11"/>
      <c r="N64" s="11"/>
      <c r="O64" s="11"/>
      <c r="P64" s="11"/>
      <c r="Q64" s="11"/>
      <c r="T64" s="221"/>
      <c r="U64" s="11"/>
      <c r="V64" s="11"/>
      <c r="W64" s="11"/>
      <c r="X64" s="11"/>
      <c r="Y64" s="11"/>
      <c r="Z64" s="11"/>
      <c r="AA64" s="11"/>
      <c r="AB64" s="11"/>
    </row>
    <row r="65" spans="1:28" ht="43.5" customHeight="1">
      <c r="A65" s="428"/>
      <c r="B65" s="3" t="s">
        <v>466</v>
      </c>
      <c r="C65" s="3" t="s">
        <v>467</v>
      </c>
      <c r="D65" s="3" t="s">
        <v>482</v>
      </c>
      <c r="E65" s="3" t="s">
        <v>483</v>
      </c>
      <c r="F65" s="3" t="s">
        <v>100</v>
      </c>
      <c r="G65" s="3">
        <v>20</v>
      </c>
      <c r="H65" s="3" t="s">
        <v>470</v>
      </c>
      <c r="I65" s="3">
        <v>7.8</v>
      </c>
      <c r="K65" s="3">
        <v>13.041509433962261</v>
      </c>
      <c r="N65" s="3">
        <f t="shared" ref="N65:N70" si="20">AVERAGE(J65:M65)</f>
        <v>13.041509433962261</v>
      </c>
      <c r="P65" s="3">
        <f t="shared" ref="P65:P70" si="21">COUNT(J65:M65)</f>
        <v>1</v>
      </c>
      <c r="Q65" s="3" t="s">
        <v>1082</v>
      </c>
      <c r="T65" s="221"/>
      <c r="U65" s="3">
        <v>13.445</v>
      </c>
      <c r="V65" s="3">
        <v>12.818377358490563</v>
      </c>
      <c r="Y65" s="3">
        <f t="shared" ref="Y65:Y70" si="22">AVERAGE(U65:X65)</f>
        <v>13.131688679245283</v>
      </c>
      <c r="Z65" s="3">
        <f t="shared" ref="Z65:Z70" si="23">_xlfn.STDEV.S(U65:X65)</f>
        <v>0.44308911905634984</v>
      </c>
      <c r="AA65" s="3">
        <f t="shared" ref="AA65:AA70" si="24">COUNT(U65:X65)</f>
        <v>2</v>
      </c>
      <c r="AB65" s="3" t="s">
        <v>1082</v>
      </c>
    </row>
    <row r="66" spans="1:28" ht="43.5" customHeight="1">
      <c r="A66" s="428"/>
      <c r="G66" s="3">
        <v>40</v>
      </c>
      <c r="H66" s="3" t="s">
        <v>470</v>
      </c>
      <c r="I66" s="3">
        <v>7.8</v>
      </c>
      <c r="K66" s="3">
        <v>15.185798471027148</v>
      </c>
      <c r="N66" s="3">
        <f t="shared" si="20"/>
        <v>15.185798471027148</v>
      </c>
      <c r="P66" s="3">
        <f t="shared" si="21"/>
        <v>1</v>
      </c>
      <c r="Q66" s="3" t="s">
        <v>1082</v>
      </c>
      <c r="T66" s="221"/>
      <c r="U66" s="3">
        <v>15.17</v>
      </c>
      <c r="V66" s="3">
        <v>14.925978950311919</v>
      </c>
      <c r="Y66" s="3">
        <f t="shared" si="22"/>
        <v>15.047989475155958</v>
      </c>
      <c r="Z66" s="3">
        <f t="shared" si="23"/>
        <v>0.17254893898670171</v>
      </c>
      <c r="AA66" s="3">
        <f t="shared" si="24"/>
        <v>2</v>
      </c>
      <c r="AB66" s="3" t="s">
        <v>1127</v>
      </c>
    </row>
    <row r="67" spans="1:28" ht="43.5" customHeight="1">
      <c r="A67" s="428"/>
      <c r="G67" s="3">
        <v>100</v>
      </c>
      <c r="H67" s="3" t="s">
        <v>470</v>
      </c>
      <c r="I67" s="3">
        <v>7.8</v>
      </c>
      <c r="K67" s="3">
        <v>16.646592149363922</v>
      </c>
      <c r="N67" s="3">
        <f t="shared" si="20"/>
        <v>16.646592149363922</v>
      </c>
      <c r="P67" s="3">
        <f t="shared" si="21"/>
        <v>1</v>
      </c>
      <c r="Q67" s="3" t="s">
        <v>1122</v>
      </c>
      <c r="T67" s="221"/>
      <c r="U67" s="3">
        <v>16.190000000000001</v>
      </c>
      <c r="V67" s="3">
        <v>16.361779361808399</v>
      </c>
      <c r="Y67" s="3">
        <f t="shared" si="22"/>
        <v>16.2758896809042</v>
      </c>
      <c r="Z67" s="3">
        <f t="shared" si="23"/>
        <v>0.12146635160261522</v>
      </c>
      <c r="AA67" s="3">
        <f t="shared" si="24"/>
        <v>2</v>
      </c>
      <c r="AB67" s="3" t="s">
        <v>1083</v>
      </c>
    </row>
    <row r="68" spans="1:28" ht="26.4">
      <c r="A68" s="428"/>
      <c r="G68" s="3">
        <v>20</v>
      </c>
      <c r="H68" s="8" t="s">
        <v>471</v>
      </c>
      <c r="I68" s="8">
        <v>0.22500000000000001</v>
      </c>
      <c r="J68" s="8"/>
      <c r="K68" s="8">
        <v>0.38207547169811312</v>
      </c>
      <c r="L68" s="8"/>
      <c r="M68" s="8"/>
      <c r="N68" s="8">
        <f t="shared" si="20"/>
        <v>0.38207547169811312</v>
      </c>
      <c r="O68" s="8"/>
      <c r="P68" s="8">
        <f t="shared" si="21"/>
        <v>1</v>
      </c>
      <c r="Q68" s="8" t="s">
        <v>1122</v>
      </c>
      <c r="T68" s="221"/>
      <c r="U68" s="8">
        <v>0.48599999999999999</v>
      </c>
      <c r="V68" s="8">
        <v>0.39226415094339617</v>
      </c>
      <c r="W68" s="8"/>
      <c r="X68" s="8"/>
      <c r="Y68" s="8">
        <f t="shared" si="22"/>
        <v>0.43913207547169808</v>
      </c>
      <c r="Z68" s="8">
        <f t="shared" si="23"/>
        <v>6.6281254508203116E-2</v>
      </c>
      <c r="AA68" s="8">
        <f t="shared" si="24"/>
        <v>2</v>
      </c>
      <c r="AB68" s="8" t="s">
        <v>1082</v>
      </c>
    </row>
    <row r="69" spans="1:28" ht="26.4">
      <c r="A69" s="428"/>
      <c r="G69" s="3">
        <v>40</v>
      </c>
      <c r="H69" s="8" t="s">
        <v>471</v>
      </c>
      <c r="I69" s="8">
        <v>0.22500000000000001</v>
      </c>
      <c r="J69" s="8"/>
      <c r="K69" s="8">
        <v>0.44489643958087349</v>
      </c>
      <c r="L69" s="8"/>
      <c r="M69" s="8"/>
      <c r="N69" s="8">
        <f t="shared" si="20"/>
        <v>0.44489643958087349</v>
      </c>
      <c r="O69" s="8"/>
      <c r="P69" s="8">
        <f t="shared" si="21"/>
        <v>1</v>
      </c>
      <c r="Q69" s="8" t="s">
        <v>1082</v>
      </c>
      <c r="T69" s="221"/>
      <c r="U69" s="8">
        <v>0.55000000000000004</v>
      </c>
      <c r="V69" s="8">
        <v>0.45676034463636345</v>
      </c>
      <c r="W69" s="8"/>
      <c r="X69" s="8"/>
      <c r="Y69" s="8">
        <f t="shared" si="22"/>
        <v>0.50338017231818177</v>
      </c>
      <c r="Z69" s="8">
        <f t="shared" si="23"/>
        <v>6.5930392583124081E-2</v>
      </c>
      <c r="AA69" s="8">
        <f t="shared" si="24"/>
        <v>2</v>
      </c>
      <c r="AB69" s="8" t="s">
        <v>1083</v>
      </c>
    </row>
    <row r="70" spans="1:28" ht="26.4">
      <c r="A70" s="428"/>
      <c r="G70" s="3">
        <v>100</v>
      </c>
      <c r="H70" s="8" t="s">
        <v>471</v>
      </c>
      <c r="I70" s="8">
        <v>0.22500000000000001</v>
      </c>
      <c r="J70" s="8"/>
      <c r="K70" s="8">
        <v>0.48769312937589615</v>
      </c>
      <c r="L70" s="8"/>
      <c r="M70" s="8"/>
      <c r="N70" s="8">
        <f t="shared" si="20"/>
        <v>0.48769312937589615</v>
      </c>
      <c r="O70" s="8"/>
      <c r="P70" s="8">
        <f t="shared" si="21"/>
        <v>1</v>
      </c>
      <c r="Q70" s="8" t="s">
        <v>1091</v>
      </c>
      <c r="T70" s="221"/>
      <c r="U70" s="8">
        <v>0.59</v>
      </c>
      <c r="V70" s="8">
        <v>0.50069827949258683</v>
      </c>
      <c r="W70" s="8"/>
      <c r="X70" s="8"/>
      <c r="Y70" s="8">
        <f t="shared" si="22"/>
        <v>0.5453491397462934</v>
      </c>
      <c r="Z70" s="8">
        <f t="shared" si="23"/>
        <v>6.3145852142417608E-2</v>
      </c>
      <c r="AA70" s="8">
        <f t="shared" si="24"/>
        <v>2</v>
      </c>
      <c r="AB70" s="8" t="s">
        <v>1127</v>
      </c>
    </row>
    <row r="71" spans="1:28">
      <c r="A71" s="428"/>
      <c r="T71" s="221"/>
    </row>
    <row r="72" spans="1:28" ht="43.5" customHeight="1">
      <c r="A72" s="428"/>
      <c r="B72" s="3" t="s">
        <v>466</v>
      </c>
      <c r="C72" s="3" t="s">
        <v>467</v>
      </c>
      <c r="D72" s="3" t="s">
        <v>482</v>
      </c>
      <c r="E72" s="3" t="s">
        <v>469</v>
      </c>
      <c r="F72" s="3" t="s">
        <v>100</v>
      </c>
      <c r="G72" s="3">
        <v>20</v>
      </c>
      <c r="H72" s="3" t="s">
        <v>470</v>
      </c>
      <c r="I72" s="3">
        <v>7.8</v>
      </c>
      <c r="K72" s="3">
        <v>12.950830188679246</v>
      </c>
      <c r="N72" s="3">
        <f>AVERAGE(J72:M72)</f>
        <v>12.950830188679246</v>
      </c>
      <c r="P72" s="3">
        <f>COUNT(J72:M72)</f>
        <v>1</v>
      </c>
      <c r="Q72" s="3" t="s">
        <v>1122</v>
      </c>
      <c r="T72" s="221"/>
      <c r="U72" s="3">
        <v>13.818</v>
      </c>
      <c r="V72" s="3">
        <v>12.741962264150944</v>
      </c>
      <c r="X72" s="3">
        <v>12.737</v>
      </c>
      <c r="Y72" s="3">
        <f>AVERAGE(U72:X72)</f>
        <v>13.098987421383647</v>
      </c>
      <c r="Z72" s="3">
        <f>_xlfn.STDEV.S(U72:X72)</f>
        <v>0.62268810183973933</v>
      </c>
      <c r="AA72" s="3">
        <f>COUNT(U72:X72)</f>
        <v>3</v>
      </c>
      <c r="AB72" s="3" t="s">
        <v>1121</v>
      </c>
    </row>
    <row r="73" spans="1:28" ht="43.5" customHeight="1">
      <c r="A73" s="428"/>
      <c r="G73" s="3">
        <v>40</v>
      </c>
      <c r="H73" s="3" t="s">
        <v>470</v>
      </c>
      <c r="I73" s="3">
        <v>7.8</v>
      </c>
      <c r="K73" s="3">
        <v>14.779724068635025</v>
      </c>
      <c r="N73" s="3">
        <f>AVERAGE(J73:M73)</f>
        <v>14.779724068635025</v>
      </c>
      <c r="P73" s="3">
        <f>COUNT(J73:M73)</f>
        <v>1</v>
      </c>
      <c r="Q73" s="3" t="s">
        <v>1122</v>
      </c>
      <c r="T73" s="221"/>
      <c r="U73" s="3">
        <v>15.62</v>
      </c>
      <c r="V73" s="3">
        <v>14.541360176410166</v>
      </c>
      <c r="X73" s="3">
        <v>14.32574734815746</v>
      </c>
      <c r="Y73" s="3">
        <f>AVERAGE(U73:X73)</f>
        <v>14.82903584152254</v>
      </c>
      <c r="Z73" s="3">
        <f>_xlfn.STDEV.S(U73:X73)</f>
        <v>0.69342659880029633</v>
      </c>
      <c r="AA73" s="3">
        <f>COUNT(U73:X73)</f>
        <v>3</v>
      </c>
      <c r="AB73" s="3" t="s">
        <v>1083</v>
      </c>
    </row>
    <row r="74" spans="1:28" ht="26.4">
      <c r="A74" s="428"/>
      <c r="G74" s="3">
        <v>20</v>
      </c>
      <c r="H74" s="8" t="s">
        <v>471</v>
      </c>
      <c r="I74" s="8">
        <v>0.22500000000000001</v>
      </c>
      <c r="J74" s="8"/>
      <c r="K74" s="8">
        <v>0.388188679245283</v>
      </c>
      <c r="L74" s="8"/>
      <c r="M74" s="8"/>
      <c r="N74" s="8">
        <f>AVERAGE(J74:M74)</f>
        <v>0.388188679245283</v>
      </c>
      <c r="O74" s="8"/>
      <c r="P74" s="8">
        <f>COUNT(J74:M74)</f>
        <v>1</v>
      </c>
      <c r="Q74" s="8" t="s">
        <v>1122</v>
      </c>
      <c r="T74" s="221"/>
      <c r="U74" s="206">
        <v>0.49</v>
      </c>
      <c r="V74" s="206">
        <v>0.40245283018867928</v>
      </c>
      <c r="W74" s="206"/>
      <c r="X74" s="206">
        <v>0.42299999999999999</v>
      </c>
      <c r="Y74" s="206">
        <f>AVERAGE(U74:X74)</f>
        <v>0.43848427672955975</v>
      </c>
      <c r="Z74" s="206">
        <f>_xlfn.STDEV.S(U74:X74)</f>
        <v>4.5781533994299989E-2</v>
      </c>
      <c r="AA74" s="206">
        <f>COUNT(U74:X74)</f>
        <v>3</v>
      </c>
      <c r="AB74" s="206" t="s">
        <v>1082</v>
      </c>
    </row>
    <row r="75" spans="1:28" ht="26.4">
      <c r="A75" s="428"/>
      <c r="G75" s="3">
        <v>40</v>
      </c>
      <c r="H75" s="8" t="s">
        <v>471</v>
      </c>
      <c r="I75" s="8">
        <v>0.22500000000000001</v>
      </c>
      <c r="J75" s="8"/>
      <c r="K75" s="8">
        <v>0.44300801433010334</v>
      </c>
      <c r="L75" s="8"/>
      <c r="M75" s="8"/>
      <c r="N75" s="8">
        <f>AVERAGE(J75:M75)</f>
        <v>0.44300801433010334</v>
      </c>
      <c r="O75" s="8"/>
      <c r="P75" s="8">
        <f>COUNT(J75:M75)</f>
        <v>1</v>
      </c>
      <c r="Q75" s="8" t="s">
        <v>1122</v>
      </c>
      <c r="T75" s="221"/>
      <c r="U75" s="206">
        <v>0.55000000000000004</v>
      </c>
      <c r="V75" s="206">
        <v>0.45928652404302062</v>
      </c>
      <c r="W75" s="206"/>
      <c r="X75" s="206">
        <v>0.47576282706057987</v>
      </c>
      <c r="Y75" s="206">
        <f>AVERAGE(U75:X75)</f>
        <v>0.49501645036786684</v>
      </c>
      <c r="Z75" s="206">
        <f>_xlfn.STDEV.S(U75:X75)</f>
        <v>4.8324529877625803E-2</v>
      </c>
      <c r="AA75" s="206">
        <f>COUNT(U75:X75)</f>
        <v>3</v>
      </c>
      <c r="AB75" s="206" t="s">
        <v>1083</v>
      </c>
    </row>
    <row r="76" spans="1:28">
      <c r="A76" s="428"/>
      <c r="T76" s="221"/>
    </row>
    <row r="77" spans="1:28" ht="43.5" customHeight="1">
      <c r="A77" s="428"/>
      <c r="B77" s="3" t="s">
        <v>466</v>
      </c>
      <c r="C77" s="3" t="s">
        <v>479</v>
      </c>
      <c r="D77" s="9" t="s">
        <v>484</v>
      </c>
      <c r="E77" s="3" t="s">
        <v>483</v>
      </c>
      <c r="F77" s="3" t="s">
        <v>100</v>
      </c>
      <c r="G77" s="3">
        <v>20</v>
      </c>
      <c r="H77" s="3" t="s">
        <v>470</v>
      </c>
      <c r="I77" s="3">
        <v>7.8</v>
      </c>
      <c r="K77" s="3">
        <v>16.098113207547172</v>
      </c>
      <c r="N77" s="3">
        <f t="shared" ref="N77:N82" si="25">AVERAGE(J77:M77)</f>
        <v>16.098113207547172</v>
      </c>
      <c r="P77" s="3">
        <f t="shared" ref="P77:P82" si="26">COUNT(J77:M77)</f>
        <v>1</v>
      </c>
      <c r="Q77" s="3" t="s">
        <v>1082</v>
      </c>
      <c r="T77" s="221"/>
      <c r="V77" s="3">
        <v>15.835245283018867</v>
      </c>
      <c r="Y77" s="3">
        <f t="shared" ref="Y77:Y82" si="27">AVERAGE(U77:X77)</f>
        <v>15.835245283018867</v>
      </c>
      <c r="AA77" s="3">
        <f t="shared" ref="AA77:AA82" si="28">COUNT(U77:X77)</f>
        <v>1</v>
      </c>
      <c r="AB77" s="3" t="s">
        <v>1083</v>
      </c>
    </row>
    <row r="78" spans="1:28" ht="43.5" customHeight="1">
      <c r="A78" s="428"/>
      <c r="D78" s="9"/>
      <c r="G78" s="3">
        <v>40</v>
      </c>
      <c r="H78" s="3" t="s">
        <v>470</v>
      </c>
      <c r="I78" s="3">
        <v>7.8</v>
      </c>
      <c r="K78" s="3">
        <v>18.838360599308015</v>
      </c>
      <c r="N78" s="3">
        <f t="shared" si="25"/>
        <v>18.838360599308015</v>
      </c>
      <c r="P78" s="3">
        <f t="shared" si="26"/>
        <v>1</v>
      </c>
      <c r="Q78" s="3" t="s">
        <v>1122</v>
      </c>
      <c r="T78" s="221"/>
      <c r="V78" s="3">
        <v>18.530746862939562</v>
      </c>
      <c r="Y78" s="3">
        <f t="shared" si="27"/>
        <v>18.530746862939562</v>
      </c>
      <c r="AA78" s="3">
        <f t="shared" si="28"/>
        <v>1</v>
      </c>
      <c r="AB78" s="3" t="s">
        <v>1083</v>
      </c>
    </row>
    <row r="79" spans="1:28" ht="43.5" customHeight="1">
      <c r="A79" s="428"/>
      <c r="D79" s="9"/>
      <c r="G79" s="3">
        <v>100</v>
      </c>
      <c r="H79" s="3" t="s">
        <v>470</v>
      </c>
      <c r="I79" s="3">
        <v>7.8</v>
      </c>
      <c r="K79" s="3">
        <v>20.70167639369609</v>
      </c>
      <c r="N79" s="3">
        <f t="shared" si="25"/>
        <v>20.70167639369609</v>
      </c>
      <c r="P79" s="3">
        <f t="shared" si="26"/>
        <v>1</v>
      </c>
      <c r="Q79" s="3" t="s">
        <v>1122</v>
      </c>
      <c r="T79" s="221"/>
      <c r="V79" s="3">
        <v>20.363636361444595</v>
      </c>
      <c r="Y79" s="3">
        <f t="shared" si="27"/>
        <v>20.363636361444595</v>
      </c>
      <c r="AA79" s="3">
        <f t="shared" si="28"/>
        <v>1</v>
      </c>
      <c r="AB79" s="3" t="s">
        <v>1113</v>
      </c>
    </row>
    <row r="80" spans="1:28" ht="26.4">
      <c r="A80" s="428"/>
      <c r="G80" s="3">
        <v>20</v>
      </c>
      <c r="H80" s="8" t="s">
        <v>471</v>
      </c>
      <c r="I80" s="8">
        <v>0.22500000000000001</v>
      </c>
      <c r="J80" s="8"/>
      <c r="K80" s="8">
        <v>0.49415094339622639</v>
      </c>
      <c r="L80" s="8"/>
      <c r="M80" s="8"/>
      <c r="N80" s="8">
        <f t="shared" si="25"/>
        <v>0.49415094339622639</v>
      </c>
      <c r="O80" s="8"/>
      <c r="P80" s="8">
        <f t="shared" si="26"/>
        <v>1</v>
      </c>
      <c r="Q80" s="8" t="s">
        <v>1085</v>
      </c>
      <c r="T80" s="221"/>
      <c r="U80" s="8"/>
      <c r="V80" s="8">
        <v>0.48396226415094334</v>
      </c>
      <c r="W80" s="8"/>
      <c r="X80" s="8"/>
      <c r="Y80" s="8">
        <f t="shared" si="27"/>
        <v>0.48396226415094334</v>
      </c>
      <c r="Z80" s="8"/>
      <c r="AA80" s="8">
        <f t="shared" si="28"/>
        <v>1</v>
      </c>
      <c r="AB80" s="8" t="s">
        <v>1085</v>
      </c>
    </row>
    <row r="81" spans="1:28" ht="26.4">
      <c r="A81" s="428"/>
      <c r="G81" s="3">
        <v>40</v>
      </c>
      <c r="H81" s="8" t="s">
        <v>471</v>
      </c>
      <c r="I81" s="8">
        <v>0.22500000000000001</v>
      </c>
      <c r="J81" s="8"/>
      <c r="K81" s="8">
        <v>0.5782661323205307</v>
      </c>
      <c r="L81" s="8"/>
      <c r="M81" s="8"/>
      <c r="N81" s="8">
        <f t="shared" si="25"/>
        <v>0.5782661323205307</v>
      </c>
      <c r="O81" s="8"/>
      <c r="P81" s="8">
        <f t="shared" si="26"/>
        <v>1</v>
      </c>
      <c r="Q81" s="8" t="s">
        <v>1122</v>
      </c>
      <c r="T81" s="221"/>
      <c r="U81" s="8"/>
      <c r="V81" s="8">
        <v>0.56634311928299397</v>
      </c>
      <c r="W81" s="8"/>
      <c r="X81" s="8"/>
      <c r="Y81" s="8">
        <f t="shared" si="27"/>
        <v>0.56634311928299397</v>
      </c>
      <c r="Z81" s="8"/>
      <c r="AA81" s="8">
        <f t="shared" si="28"/>
        <v>1</v>
      </c>
      <c r="AB81" s="8" t="s">
        <v>1083</v>
      </c>
    </row>
    <row r="82" spans="1:28" ht="26.4">
      <c r="A82" s="428"/>
      <c r="G82" s="3">
        <v>100</v>
      </c>
      <c r="H82" s="8" t="s">
        <v>471</v>
      </c>
      <c r="I82" s="8">
        <v>0.22500000000000001</v>
      </c>
      <c r="J82" s="8"/>
      <c r="K82" s="8">
        <v>0.63546285132548119</v>
      </c>
      <c r="L82" s="8"/>
      <c r="M82" s="8"/>
      <c r="N82" s="8">
        <f t="shared" si="25"/>
        <v>0.63546285132548119</v>
      </c>
      <c r="O82" s="8"/>
      <c r="P82" s="8">
        <f t="shared" si="26"/>
        <v>1</v>
      </c>
      <c r="Q82" s="8" t="s">
        <v>1082</v>
      </c>
      <c r="T82" s="221"/>
      <c r="U82" s="8"/>
      <c r="V82" s="8">
        <v>0.6223605244940279</v>
      </c>
      <c r="W82" s="8"/>
      <c r="X82" s="8"/>
      <c r="Y82" s="8">
        <f t="shared" si="27"/>
        <v>0.6223605244940279</v>
      </c>
      <c r="Z82" s="8"/>
      <c r="AA82" s="8">
        <f t="shared" si="28"/>
        <v>1</v>
      </c>
      <c r="AB82" s="8" t="s">
        <v>1091</v>
      </c>
    </row>
    <row r="83" spans="1:28">
      <c r="A83" s="428"/>
      <c r="T83" s="221"/>
    </row>
    <row r="84" spans="1:28" ht="43.5" customHeight="1">
      <c r="A84" s="428"/>
      <c r="B84" s="3" t="s">
        <v>466</v>
      </c>
      <c r="C84" s="3" t="s">
        <v>479</v>
      </c>
      <c r="D84" s="9" t="s">
        <v>484</v>
      </c>
      <c r="E84" s="3" t="s">
        <v>469</v>
      </c>
      <c r="F84" s="3" t="s">
        <v>100</v>
      </c>
      <c r="G84" s="3">
        <v>20</v>
      </c>
      <c r="H84" s="3" t="s">
        <v>470</v>
      </c>
      <c r="I84" s="3">
        <v>7.8</v>
      </c>
      <c r="K84" s="3">
        <v>15.707886792452831</v>
      </c>
      <c r="N84" s="3">
        <f>AVERAGE(J84:M84)</f>
        <v>15.707886792452831</v>
      </c>
      <c r="P84" s="3">
        <f>COUNT(J84:M84)</f>
        <v>1</v>
      </c>
      <c r="Q84" s="3" t="s">
        <v>1082</v>
      </c>
      <c r="T84" s="221"/>
      <c r="V84" s="3">
        <v>15.458264150943396</v>
      </c>
      <c r="Y84" s="3">
        <f>AVERAGE(U84:X84)</f>
        <v>15.458264150943396</v>
      </c>
      <c r="AA84" s="3">
        <f>COUNT(U84:X84)</f>
        <v>1</v>
      </c>
      <c r="AB84" s="3" t="s">
        <v>1082</v>
      </c>
    </row>
    <row r="85" spans="1:28" ht="43.5" customHeight="1">
      <c r="A85" s="428"/>
      <c r="D85" s="9"/>
      <c r="G85" s="3">
        <v>40</v>
      </c>
      <c r="H85" s="3" t="s">
        <v>470</v>
      </c>
      <c r="I85" s="3">
        <v>7.8</v>
      </c>
      <c r="K85" s="3">
        <v>18.017034513884198</v>
      </c>
      <c r="N85" s="3">
        <f>AVERAGE(J85:M85)</f>
        <v>18.017034513884198</v>
      </c>
      <c r="P85" s="3">
        <f>COUNT(J85:M85)</f>
        <v>1</v>
      </c>
      <c r="Q85" s="3" t="s">
        <v>1082</v>
      </c>
      <c r="T85" s="221"/>
      <c r="V85" s="3">
        <v>17.730715939848935</v>
      </c>
      <c r="Y85" s="3">
        <f>AVERAGE(U85:X85)</f>
        <v>17.730715939848935</v>
      </c>
      <c r="AA85" s="3">
        <f>COUNT(U85:X85)</f>
        <v>1</v>
      </c>
      <c r="AB85" s="3" t="s">
        <v>1083</v>
      </c>
    </row>
    <row r="86" spans="1:28" ht="26.4">
      <c r="A86" s="428"/>
      <c r="G86" s="3">
        <v>20</v>
      </c>
      <c r="H86" s="8" t="s">
        <v>471</v>
      </c>
      <c r="I86" s="8">
        <v>0.22500000000000001</v>
      </c>
      <c r="J86" s="8"/>
      <c r="K86" s="8">
        <v>0.48396226415094334</v>
      </c>
      <c r="L86" s="8"/>
      <c r="M86" s="8"/>
      <c r="N86" s="8">
        <f>AVERAGE(J86:M86)</f>
        <v>0.48396226415094334</v>
      </c>
      <c r="O86" s="8"/>
      <c r="P86" s="8">
        <f>COUNT(J86:M86)</f>
        <v>1</v>
      </c>
      <c r="Q86" s="8" t="s">
        <v>1082</v>
      </c>
      <c r="T86" s="221"/>
      <c r="U86" s="8"/>
      <c r="V86" s="8">
        <v>0.49211320754716981</v>
      </c>
      <c r="W86" s="8"/>
      <c r="X86" s="8"/>
      <c r="Y86" s="8">
        <f>AVERAGE(U86:X86)</f>
        <v>0.49211320754716981</v>
      </c>
      <c r="Z86" s="8"/>
      <c r="AA86" s="8">
        <f>COUNT(U86:X86)</f>
        <v>1</v>
      </c>
      <c r="AB86" s="8" t="s">
        <v>1083</v>
      </c>
    </row>
    <row r="87" spans="1:28" ht="26.4">
      <c r="A87" s="428"/>
      <c r="G87" s="3">
        <v>40</v>
      </c>
      <c r="H87" s="8" t="s">
        <v>471</v>
      </c>
      <c r="I87" s="8">
        <v>0.22500000000000001</v>
      </c>
      <c r="J87" s="8"/>
      <c r="K87" s="8">
        <v>0.5551074394561194</v>
      </c>
      <c r="L87" s="8"/>
      <c r="M87" s="8"/>
      <c r="N87" s="8">
        <f>AVERAGE(J87:M87)</f>
        <v>0.5551074394561194</v>
      </c>
      <c r="O87" s="8"/>
      <c r="P87" s="8">
        <f>COUNT(J87:M87)</f>
        <v>1</v>
      </c>
      <c r="Q87" s="8" t="s">
        <v>1091</v>
      </c>
      <c r="T87" s="221"/>
      <c r="U87" s="8"/>
      <c r="V87" s="8">
        <v>0.56445661738380137</v>
      </c>
      <c r="W87" s="8"/>
      <c r="X87" s="8"/>
      <c r="Y87" s="8">
        <f>AVERAGE(U87:X87)</f>
        <v>0.56445661738380137</v>
      </c>
      <c r="Z87" s="8"/>
      <c r="AA87" s="8">
        <f>COUNT(U87:X87)</f>
        <v>1</v>
      </c>
      <c r="AB87" s="8" t="s">
        <v>1091</v>
      </c>
    </row>
    <row r="88" spans="1:28">
      <c r="A88" s="428"/>
      <c r="T88" s="221"/>
    </row>
    <row r="89" spans="1:28" ht="39.6">
      <c r="A89" s="428"/>
      <c r="B89" s="3" t="s">
        <v>466</v>
      </c>
      <c r="C89" s="3" t="s">
        <v>473</v>
      </c>
      <c r="D89" s="9" t="s">
        <v>485</v>
      </c>
      <c r="E89" s="3" t="s">
        <v>469</v>
      </c>
      <c r="F89" s="3" t="s">
        <v>101</v>
      </c>
      <c r="G89" s="3">
        <v>20</v>
      </c>
      <c r="H89" s="3" t="s">
        <v>470</v>
      </c>
      <c r="I89" s="3">
        <v>7.8</v>
      </c>
      <c r="P89" s="3">
        <f>COUNT(J89:M89)</f>
        <v>0</v>
      </c>
      <c r="Q89" s="3" t="s">
        <v>1123</v>
      </c>
      <c r="T89" s="221"/>
      <c r="AA89" s="3">
        <f>COUNT(U89:X89)</f>
        <v>0</v>
      </c>
      <c r="AB89" s="3" t="s">
        <v>1117</v>
      </c>
    </row>
    <row r="90" spans="1:28" ht="26.4">
      <c r="A90" s="428"/>
      <c r="D90" s="9"/>
      <c r="G90" s="3">
        <v>40</v>
      </c>
      <c r="H90" s="3" t="s">
        <v>470</v>
      </c>
      <c r="I90" s="3">
        <v>7.8</v>
      </c>
      <c r="P90" s="3">
        <f>COUNT(J90:M90)</f>
        <v>0</v>
      </c>
      <c r="Q90" s="3" t="s">
        <v>1092</v>
      </c>
      <c r="T90" s="221"/>
      <c r="AA90" s="3">
        <f>COUNT(U90:X90)</f>
        <v>0</v>
      </c>
      <c r="AB90" s="3" t="s">
        <v>1117</v>
      </c>
    </row>
    <row r="91" spans="1:28" ht="26.4">
      <c r="A91" s="428"/>
      <c r="G91" s="3">
        <v>20</v>
      </c>
      <c r="H91" s="8" t="s">
        <v>471</v>
      </c>
      <c r="I91" s="8">
        <v>0.22500000000000001</v>
      </c>
      <c r="J91" s="8"/>
      <c r="K91" s="8"/>
      <c r="L91" s="8"/>
      <c r="M91" s="8"/>
      <c r="N91" s="8"/>
      <c r="O91" s="8"/>
      <c r="P91" s="8">
        <f>COUNT(J91:M91)</f>
        <v>0</v>
      </c>
      <c r="Q91" s="8" t="s">
        <v>1123</v>
      </c>
      <c r="T91" s="221"/>
      <c r="U91" s="8"/>
      <c r="V91" s="8"/>
      <c r="W91" s="8"/>
      <c r="X91" s="8"/>
      <c r="Y91" s="8"/>
      <c r="Z91" s="8"/>
      <c r="AA91" s="8">
        <f>COUNT(U91:X91)</f>
        <v>0</v>
      </c>
      <c r="AB91" s="8" t="s">
        <v>1092</v>
      </c>
    </row>
    <row r="92" spans="1:28" ht="26.4">
      <c r="A92" s="428"/>
      <c r="G92" s="3">
        <v>40</v>
      </c>
      <c r="H92" s="8" t="s">
        <v>471</v>
      </c>
      <c r="I92" s="8">
        <v>0.22500000000000001</v>
      </c>
      <c r="J92" s="8"/>
      <c r="K92" s="8"/>
      <c r="L92" s="8"/>
      <c r="M92" s="8"/>
      <c r="N92" s="8"/>
      <c r="O92" s="8"/>
      <c r="P92" s="8">
        <f>COUNT(J92:M92)</f>
        <v>0</v>
      </c>
      <c r="Q92" s="8" t="s">
        <v>1093</v>
      </c>
      <c r="T92" s="221"/>
      <c r="U92" s="8"/>
      <c r="V92" s="8"/>
      <c r="W92" s="8"/>
      <c r="X92" s="8"/>
      <c r="Y92" s="8"/>
      <c r="Z92" s="8"/>
      <c r="AA92" s="8">
        <f>COUNT(U92:X92)</f>
        <v>0</v>
      </c>
      <c r="AB92" s="8" t="s">
        <v>1117</v>
      </c>
    </row>
    <row r="93" spans="1:28">
      <c r="A93" s="428"/>
      <c r="T93" s="221"/>
    </row>
    <row r="94" spans="1:28" ht="39.6">
      <c r="A94" s="428"/>
      <c r="B94" s="3" t="s">
        <v>466</v>
      </c>
      <c r="C94" s="3" t="s">
        <v>475</v>
      </c>
      <c r="D94" s="9" t="s">
        <v>485</v>
      </c>
      <c r="E94" s="3" t="s">
        <v>469</v>
      </c>
      <c r="F94" s="3" t="s">
        <v>101</v>
      </c>
      <c r="G94" s="3">
        <v>20</v>
      </c>
      <c r="H94" s="3" t="s">
        <v>470</v>
      </c>
      <c r="I94" s="3">
        <v>7.8</v>
      </c>
      <c r="P94" s="3">
        <f>COUNT(J94:M94)</f>
        <v>0</v>
      </c>
      <c r="Q94" s="3" t="s">
        <v>1092</v>
      </c>
      <c r="T94" s="221"/>
      <c r="AA94" s="3">
        <f>COUNT(U94:X94)</f>
        <v>0</v>
      </c>
      <c r="AB94" s="3" t="s">
        <v>1092</v>
      </c>
    </row>
    <row r="95" spans="1:28" ht="26.4">
      <c r="A95" s="428"/>
      <c r="D95" s="9"/>
      <c r="G95" s="3">
        <v>40</v>
      </c>
      <c r="H95" s="3" t="s">
        <v>470</v>
      </c>
      <c r="I95" s="3">
        <v>7.8</v>
      </c>
      <c r="P95" s="3">
        <f>COUNT(J95:M95)</f>
        <v>0</v>
      </c>
      <c r="Q95" s="3" t="s">
        <v>1123</v>
      </c>
      <c r="T95" s="221"/>
      <c r="AA95" s="3">
        <f>COUNT(U95:X95)</f>
        <v>0</v>
      </c>
      <c r="AB95" s="3" t="s">
        <v>1093</v>
      </c>
    </row>
    <row r="96" spans="1:28" ht="26.4">
      <c r="A96" s="428"/>
      <c r="G96" s="3">
        <v>20</v>
      </c>
      <c r="H96" s="8" t="s">
        <v>471</v>
      </c>
      <c r="I96" s="8">
        <v>0.22500000000000001</v>
      </c>
      <c r="J96" s="8"/>
      <c r="K96" s="8"/>
      <c r="L96" s="8"/>
      <c r="M96" s="8"/>
      <c r="N96" s="8"/>
      <c r="O96" s="8"/>
      <c r="P96" s="8">
        <f>COUNT(J96:M96)</f>
        <v>0</v>
      </c>
      <c r="Q96" s="8" t="s">
        <v>1092</v>
      </c>
      <c r="T96" s="221"/>
      <c r="U96" s="8"/>
      <c r="V96" s="8"/>
      <c r="W96" s="8"/>
      <c r="X96" s="8"/>
      <c r="Y96" s="8"/>
      <c r="Z96" s="8"/>
      <c r="AA96" s="8">
        <f>COUNT(U96:X96)</f>
        <v>0</v>
      </c>
      <c r="AB96" s="8" t="s">
        <v>1117</v>
      </c>
    </row>
    <row r="97" spans="1:28" ht="26.4">
      <c r="A97" s="428"/>
      <c r="G97" s="3">
        <v>40</v>
      </c>
      <c r="H97" s="8" t="s">
        <v>471</v>
      </c>
      <c r="I97" s="8">
        <v>0.22500000000000001</v>
      </c>
      <c r="J97" s="8"/>
      <c r="K97" s="8"/>
      <c r="L97" s="8"/>
      <c r="M97" s="8"/>
      <c r="N97" s="8"/>
      <c r="O97" s="8"/>
      <c r="P97" s="8">
        <f>COUNT(J97:M97)</f>
        <v>0</v>
      </c>
      <c r="Q97" s="8" t="s">
        <v>1123</v>
      </c>
      <c r="T97" s="221"/>
      <c r="U97" s="8"/>
      <c r="V97" s="8"/>
      <c r="W97" s="8"/>
      <c r="X97" s="8"/>
      <c r="Y97" s="8"/>
      <c r="Z97" s="8"/>
      <c r="AA97" s="8">
        <f>COUNT(U97:X97)</f>
        <v>0</v>
      </c>
      <c r="AB97" s="8" t="s">
        <v>1117</v>
      </c>
    </row>
    <row r="98" spans="1:28">
      <c r="A98" s="428"/>
      <c r="T98" s="221"/>
    </row>
    <row r="99" spans="1:28" ht="26.4">
      <c r="A99" s="428"/>
      <c r="B99" s="3" t="s">
        <v>466</v>
      </c>
      <c r="C99" s="3" t="s">
        <v>467</v>
      </c>
      <c r="D99" s="9" t="s">
        <v>482</v>
      </c>
      <c r="E99" s="3" t="s">
        <v>469</v>
      </c>
      <c r="F99" s="3" t="s">
        <v>101</v>
      </c>
      <c r="G99" s="3">
        <v>20</v>
      </c>
      <c r="H99" s="3" t="s">
        <v>470</v>
      </c>
      <c r="I99" s="3">
        <v>7.8</v>
      </c>
      <c r="L99" s="3">
        <v>10.841012658227845</v>
      </c>
      <c r="N99" s="3">
        <f>AVERAGE(J99:M99)</f>
        <v>10.841012658227845</v>
      </c>
      <c r="P99" s="3">
        <f>COUNT(J99:M99)</f>
        <v>1</v>
      </c>
      <c r="Q99" s="3" t="s">
        <v>1122</v>
      </c>
      <c r="T99" s="221"/>
      <c r="X99" s="3">
        <v>12.321</v>
      </c>
      <c r="Y99" s="3">
        <f>AVERAGE(U99:X99)</f>
        <v>12.321</v>
      </c>
      <c r="AA99" s="3">
        <f>COUNT(U99:X99)</f>
        <v>1</v>
      </c>
      <c r="AB99" s="3" t="s">
        <v>1083</v>
      </c>
    </row>
    <row r="100" spans="1:28" ht="26.4">
      <c r="A100" s="428"/>
      <c r="D100" s="9"/>
      <c r="G100" s="3">
        <v>40</v>
      </c>
      <c r="H100" s="3" t="s">
        <v>470</v>
      </c>
      <c r="I100" s="3">
        <v>7.8</v>
      </c>
      <c r="L100" s="3">
        <v>12.563643677765544</v>
      </c>
      <c r="N100" s="3">
        <f>AVERAGE(J100:M100)</f>
        <v>12.563643677765544</v>
      </c>
      <c r="P100" s="3">
        <f>COUNT(J100:M100)</f>
        <v>1</v>
      </c>
      <c r="Q100" s="3" t="s">
        <v>1082</v>
      </c>
      <c r="T100" s="221"/>
      <c r="X100" s="3">
        <v>13.896560342991053</v>
      </c>
      <c r="Y100" s="3">
        <f>AVERAGE(U100:X100)</f>
        <v>13.896560342991053</v>
      </c>
      <c r="AA100" s="3">
        <f>COUNT(U100:X100)</f>
        <v>1</v>
      </c>
      <c r="AB100" s="3" t="s">
        <v>1083</v>
      </c>
    </row>
    <row r="101" spans="1:28" ht="26.4">
      <c r="A101" s="428"/>
      <c r="G101" s="3">
        <v>20</v>
      </c>
      <c r="H101" s="8" t="s">
        <v>471</v>
      </c>
      <c r="I101" s="8">
        <v>0.22500000000000001</v>
      </c>
      <c r="J101" s="8"/>
      <c r="K101" s="8"/>
      <c r="L101" s="8">
        <v>0.24584810126582271</v>
      </c>
      <c r="M101" s="8"/>
      <c r="N101" s="8">
        <f>AVERAGE(J101:M101)</f>
        <v>0.24584810126582271</v>
      </c>
      <c r="O101" s="8"/>
      <c r="P101" s="8">
        <f>COUNT(J101:M101)</f>
        <v>1</v>
      </c>
      <c r="Q101" s="8" t="s">
        <v>1125</v>
      </c>
      <c r="T101" s="221"/>
      <c r="U101" s="8"/>
      <c r="V101" s="8"/>
      <c r="W101" s="8"/>
      <c r="X101" s="8">
        <v>0.39900000000000002</v>
      </c>
      <c r="Y101" s="8">
        <f>AVERAGE(U101:X101)</f>
        <v>0.39900000000000002</v>
      </c>
      <c r="Z101" s="8"/>
      <c r="AA101" s="8">
        <f>COUNT(U101:X101)</f>
        <v>1</v>
      </c>
      <c r="AB101" s="8" t="s">
        <v>1083</v>
      </c>
    </row>
    <row r="102" spans="1:28" ht="26.4">
      <c r="A102" s="428"/>
      <c r="G102" s="3">
        <v>40</v>
      </c>
      <c r="H102" s="8" t="s">
        <v>471</v>
      </c>
      <c r="I102" s="8">
        <v>0.22500000000000001</v>
      </c>
      <c r="J102" s="8"/>
      <c r="K102" s="8"/>
      <c r="L102" s="8">
        <v>0.28491323094386345</v>
      </c>
      <c r="M102" s="8"/>
      <c r="N102" s="8">
        <f>AVERAGE(J102:M102)</f>
        <v>0.28491323094386345</v>
      </c>
      <c r="O102" s="8"/>
      <c r="P102" s="8">
        <f>COUNT(J102:M102)</f>
        <v>1</v>
      </c>
      <c r="Q102" s="8" t="s">
        <v>1091</v>
      </c>
      <c r="T102" s="221"/>
      <c r="U102" s="8"/>
      <c r="V102" s="8"/>
      <c r="W102" s="8"/>
      <c r="X102" s="8">
        <v>0.45002252876011939</v>
      </c>
      <c r="Y102" s="8">
        <f>AVERAGE(U102:X102)</f>
        <v>0.45002252876011939</v>
      </c>
      <c r="Z102" s="8"/>
      <c r="AA102" s="8">
        <f>COUNT(U102:X102)</f>
        <v>1</v>
      </c>
      <c r="AB102" s="8" t="s">
        <v>1083</v>
      </c>
    </row>
    <row r="103" spans="1:28">
      <c r="A103" s="428"/>
      <c r="T103" s="221"/>
    </row>
    <row r="104" spans="1:28" ht="39.6">
      <c r="A104" s="428"/>
      <c r="B104" s="3" t="s">
        <v>466</v>
      </c>
      <c r="C104" s="3" t="s">
        <v>475</v>
      </c>
      <c r="D104" s="9" t="s">
        <v>485</v>
      </c>
      <c r="E104" s="9" t="s">
        <v>483</v>
      </c>
      <c r="F104" s="3" t="s">
        <v>101</v>
      </c>
      <c r="G104" s="3">
        <v>20</v>
      </c>
      <c r="H104" s="3" t="s">
        <v>470</v>
      </c>
      <c r="I104" s="3">
        <v>7.8</v>
      </c>
      <c r="P104" s="3">
        <f t="shared" ref="P104:P109" si="29">COUNT(J104:M104)</f>
        <v>0</v>
      </c>
      <c r="Q104" s="3" t="s">
        <v>1092</v>
      </c>
      <c r="T104" s="221"/>
      <c r="AA104" s="3">
        <f t="shared" ref="AA104:AA109" si="30">COUNT(U104:X104)</f>
        <v>0</v>
      </c>
      <c r="AB104" s="3" t="s">
        <v>1117</v>
      </c>
    </row>
    <row r="105" spans="1:28" ht="26.4">
      <c r="A105" s="428"/>
      <c r="D105" s="9"/>
      <c r="E105" s="9"/>
      <c r="G105" s="3">
        <v>40</v>
      </c>
      <c r="H105" s="3" t="s">
        <v>470</v>
      </c>
      <c r="I105" s="3">
        <v>7.8</v>
      </c>
      <c r="P105" s="3">
        <f t="shared" si="29"/>
        <v>0</v>
      </c>
      <c r="Q105" s="3" t="s">
        <v>1093</v>
      </c>
      <c r="T105" s="221"/>
      <c r="AA105" s="3">
        <f t="shared" si="30"/>
        <v>0</v>
      </c>
      <c r="AB105" s="3" t="s">
        <v>1117</v>
      </c>
    </row>
    <row r="106" spans="1:28" ht="26.4">
      <c r="A106" s="428"/>
      <c r="D106" s="9"/>
      <c r="E106" s="9"/>
      <c r="G106" s="3">
        <v>100</v>
      </c>
      <c r="H106" s="3" t="s">
        <v>470</v>
      </c>
      <c r="I106" s="3">
        <v>7.8</v>
      </c>
      <c r="P106" s="3">
        <f t="shared" si="29"/>
        <v>0</v>
      </c>
      <c r="Q106" s="3" t="s">
        <v>1123</v>
      </c>
      <c r="T106" s="221"/>
      <c r="AA106" s="3">
        <f t="shared" si="30"/>
        <v>0</v>
      </c>
      <c r="AB106" s="3" t="s">
        <v>1092</v>
      </c>
    </row>
    <row r="107" spans="1:28" ht="26.4">
      <c r="A107" s="428"/>
      <c r="G107" s="3">
        <v>20</v>
      </c>
      <c r="H107" s="8" t="s">
        <v>471</v>
      </c>
      <c r="I107" s="8">
        <v>0.22500000000000001</v>
      </c>
      <c r="J107" s="8"/>
      <c r="K107" s="8"/>
      <c r="L107" s="8"/>
      <c r="M107" s="8"/>
      <c r="N107" s="8"/>
      <c r="O107" s="8"/>
      <c r="P107" s="8">
        <f t="shared" si="29"/>
        <v>0</v>
      </c>
      <c r="Q107" s="8" t="s">
        <v>1089</v>
      </c>
      <c r="T107" s="221"/>
      <c r="U107" s="8"/>
      <c r="V107" s="8"/>
      <c r="W107" s="8"/>
      <c r="X107" s="8"/>
      <c r="Y107" s="8"/>
      <c r="Z107" s="8"/>
      <c r="AA107" s="8">
        <f t="shared" si="30"/>
        <v>0</v>
      </c>
      <c r="AB107" s="8" t="s">
        <v>1117</v>
      </c>
    </row>
    <row r="108" spans="1:28" ht="26.4">
      <c r="A108" s="428"/>
      <c r="G108" s="3">
        <v>40</v>
      </c>
      <c r="H108" s="8" t="s">
        <v>471</v>
      </c>
      <c r="I108" s="8">
        <v>0.22500000000000001</v>
      </c>
      <c r="J108" s="8"/>
      <c r="K108" s="8"/>
      <c r="L108" s="8"/>
      <c r="M108" s="8"/>
      <c r="N108" s="8"/>
      <c r="O108" s="8"/>
      <c r="P108" s="8">
        <f t="shared" si="29"/>
        <v>0</v>
      </c>
      <c r="Q108" s="8" t="s">
        <v>1089</v>
      </c>
      <c r="T108" s="221"/>
      <c r="U108" s="8"/>
      <c r="V108" s="8"/>
      <c r="W108" s="8"/>
      <c r="X108" s="8"/>
      <c r="Y108" s="8"/>
      <c r="Z108" s="8"/>
      <c r="AA108" s="8">
        <f t="shared" si="30"/>
        <v>0</v>
      </c>
      <c r="AB108" s="8" t="s">
        <v>1092</v>
      </c>
    </row>
    <row r="109" spans="1:28" ht="26.4">
      <c r="A109" s="428"/>
      <c r="G109" s="3">
        <v>100</v>
      </c>
      <c r="H109" s="8" t="s">
        <v>471</v>
      </c>
      <c r="I109" s="8">
        <v>0.22500000000000001</v>
      </c>
      <c r="J109" s="8"/>
      <c r="K109" s="8"/>
      <c r="L109" s="8"/>
      <c r="M109" s="8"/>
      <c r="N109" s="8"/>
      <c r="O109" s="8"/>
      <c r="P109" s="8">
        <f t="shared" si="29"/>
        <v>0</v>
      </c>
      <c r="Q109" s="8" t="s">
        <v>1092</v>
      </c>
      <c r="T109" s="221"/>
      <c r="U109" s="8"/>
      <c r="V109" s="8"/>
      <c r="W109" s="8"/>
      <c r="X109" s="8"/>
      <c r="Y109" s="8"/>
      <c r="Z109" s="8"/>
      <c r="AA109" s="8">
        <f t="shared" si="30"/>
        <v>0</v>
      </c>
      <c r="AB109" s="8" t="s">
        <v>1117</v>
      </c>
    </row>
    <row r="110" spans="1:28">
      <c r="A110" s="428"/>
      <c r="T110" s="221"/>
    </row>
    <row r="111" spans="1:28" ht="26.4">
      <c r="A111" s="428"/>
      <c r="B111" s="3" t="s">
        <v>466</v>
      </c>
      <c r="C111" s="3" t="s">
        <v>479</v>
      </c>
      <c r="D111" s="9" t="s">
        <v>486</v>
      </c>
      <c r="E111" s="3" t="s">
        <v>469</v>
      </c>
      <c r="F111" s="3" t="s">
        <v>101</v>
      </c>
      <c r="G111" s="3">
        <v>20</v>
      </c>
      <c r="H111" s="3" t="s">
        <v>470</v>
      </c>
      <c r="I111" s="3">
        <v>7.8</v>
      </c>
      <c r="P111" s="3">
        <f>COUNT(J111:M111)</f>
        <v>0</v>
      </c>
      <c r="Q111" s="3" t="s">
        <v>1123</v>
      </c>
      <c r="T111" s="221"/>
      <c r="AA111" s="3">
        <f>COUNT(U111:X111)</f>
        <v>0</v>
      </c>
      <c r="AB111" s="3" t="s">
        <v>1089</v>
      </c>
    </row>
    <row r="112" spans="1:28" ht="26.4">
      <c r="A112" s="428"/>
      <c r="D112" s="9"/>
      <c r="G112" s="3">
        <v>40</v>
      </c>
      <c r="H112" s="3" t="s">
        <v>470</v>
      </c>
      <c r="I112" s="3">
        <v>7.8</v>
      </c>
      <c r="P112" s="3">
        <f>COUNT(J112:M112)</f>
        <v>0</v>
      </c>
      <c r="Q112" s="3" t="s">
        <v>1123</v>
      </c>
      <c r="T112" s="221"/>
      <c r="AA112" s="3">
        <f>COUNT(U112:X112)</f>
        <v>0</v>
      </c>
      <c r="AB112" s="3" t="s">
        <v>1128</v>
      </c>
    </row>
    <row r="113" spans="1:28" ht="26.4">
      <c r="A113" s="428"/>
      <c r="G113" s="3">
        <v>20</v>
      </c>
      <c r="H113" s="8" t="s">
        <v>471</v>
      </c>
      <c r="I113" s="8">
        <v>0.22500000000000001</v>
      </c>
      <c r="J113" s="8"/>
      <c r="K113" s="8"/>
      <c r="L113" s="8"/>
      <c r="M113" s="8"/>
      <c r="N113" s="8"/>
      <c r="O113" s="8"/>
      <c r="P113" s="8">
        <f>COUNT(J113:M113)</f>
        <v>0</v>
      </c>
      <c r="Q113" s="8" t="s">
        <v>1123</v>
      </c>
      <c r="T113" s="221"/>
      <c r="U113" s="8"/>
      <c r="V113" s="8"/>
      <c r="W113" s="8"/>
      <c r="X113" s="8"/>
      <c r="Y113" s="8"/>
      <c r="Z113" s="8"/>
      <c r="AA113" s="8">
        <f>COUNT(U113:X113)</f>
        <v>0</v>
      </c>
      <c r="AB113" s="8" t="s">
        <v>1089</v>
      </c>
    </row>
    <row r="114" spans="1:28" ht="26.4">
      <c r="A114" s="428"/>
      <c r="G114" s="3">
        <v>40</v>
      </c>
      <c r="H114" s="8" t="s">
        <v>471</v>
      </c>
      <c r="I114" s="8">
        <v>0.22500000000000001</v>
      </c>
      <c r="J114" s="8"/>
      <c r="K114" s="8"/>
      <c r="L114" s="8"/>
      <c r="M114" s="8"/>
      <c r="N114" s="8"/>
      <c r="O114" s="8"/>
      <c r="P114" s="8">
        <f>COUNT(J114:M114)</f>
        <v>0</v>
      </c>
      <c r="Q114" s="8" t="s">
        <v>1123</v>
      </c>
      <c r="T114" s="221"/>
      <c r="U114" s="8"/>
      <c r="V114" s="8"/>
      <c r="W114" s="8"/>
      <c r="X114" s="8"/>
      <c r="Y114" s="8"/>
      <c r="Z114" s="8"/>
      <c r="AA114" s="8">
        <f>COUNT(U114:X114)</f>
        <v>0</v>
      </c>
      <c r="AB114" s="8" t="s">
        <v>1117</v>
      </c>
    </row>
    <row r="115" spans="1:28">
      <c r="A115" s="428"/>
      <c r="T115" s="221"/>
    </row>
    <row r="116" spans="1:28" ht="26.4">
      <c r="A116" s="428"/>
      <c r="B116" s="3" t="s">
        <v>466</v>
      </c>
      <c r="C116" s="3" t="s">
        <v>487</v>
      </c>
      <c r="D116" s="9" t="s">
        <v>488</v>
      </c>
      <c r="E116" s="3" t="s">
        <v>469</v>
      </c>
      <c r="F116" s="3" t="s">
        <v>101</v>
      </c>
      <c r="G116" s="3">
        <v>20</v>
      </c>
      <c r="H116" s="3" t="s">
        <v>470</v>
      </c>
      <c r="I116" s="3">
        <v>7.8</v>
      </c>
      <c r="P116" s="3">
        <f>COUNT(J116:M116)</f>
        <v>0</v>
      </c>
      <c r="Q116" s="3" t="s">
        <v>1126</v>
      </c>
      <c r="T116" s="221"/>
      <c r="AA116" s="3">
        <f>COUNT(U116:X116)</f>
        <v>0</v>
      </c>
      <c r="AB116" s="3" t="s">
        <v>1117</v>
      </c>
    </row>
    <row r="117" spans="1:28" ht="26.4">
      <c r="A117" s="428"/>
      <c r="D117" s="9"/>
      <c r="G117" s="3">
        <v>40</v>
      </c>
      <c r="H117" s="3" t="s">
        <v>470</v>
      </c>
      <c r="I117" s="3">
        <v>7.8</v>
      </c>
      <c r="P117" s="3">
        <f>COUNT(J117:M117)</f>
        <v>0</v>
      </c>
      <c r="Q117" s="3" t="s">
        <v>1092</v>
      </c>
      <c r="T117" s="221"/>
      <c r="AA117" s="3">
        <f>COUNT(U117:X117)</f>
        <v>0</v>
      </c>
      <c r="AB117" s="3" t="s">
        <v>1131</v>
      </c>
    </row>
    <row r="118" spans="1:28" ht="26.4">
      <c r="A118" s="428"/>
      <c r="G118" s="3">
        <v>20</v>
      </c>
      <c r="H118" s="8" t="s">
        <v>471</v>
      </c>
      <c r="I118" s="8">
        <v>0.22500000000000001</v>
      </c>
      <c r="J118" s="8"/>
      <c r="K118" s="8"/>
      <c r="L118" s="8"/>
      <c r="M118" s="8"/>
      <c r="N118" s="8"/>
      <c r="O118" s="8"/>
      <c r="P118" s="8">
        <f>COUNT(J118:M118)</f>
        <v>0</v>
      </c>
      <c r="Q118" s="8" t="s">
        <v>1092</v>
      </c>
      <c r="T118" s="221"/>
      <c r="U118" s="8"/>
      <c r="V118" s="8"/>
      <c r="W118" s="8"/>
      <c r="X118" s="8"/>
      <c r="Y118" s="8"/>
      <c r="Z118" s="8"/>
      <c r="AA118" s="8">
        <f>COUNT(U118:X118)</f>
        <v>0</v>
      </c>
      <c r="AB118" s="8" t="s">
        <v>1126</v>
      </c>
    </row>
    <row r="119" spans="1:28" ht="26.4">
      <c r="A119" s="428"/>
      <c r="G119" s="3">
        <v>40</v>
      </c>
      <c r="H119" s="8" t="s">
        <v>471</v>
      </c>
      <c r="I119" s="8">
        <v>0.22500000000000001</v>
      </c>
      <c r="J119" s="8"/>
      <c r="K119" s="8"/>
      <c r="L119" s="8"/>
      <c r="M119" s="8"/>
      <c r="N119" s="8"/>
      <c r="O119" s="8"/>
      <c r="P119" s="8">
        <f>COUNT(J119:M119)</f>
        <v>0</v>
      </c>
      <c r="Q119" s="8" t="s">
        <v>1092</v>
      </c>
      <c r="T119" s="221"/>
      <c r="U119" s="8"/>
      <c r="V119" s="8"/>
      <c r="W119" s="8"/>
      <c r="X119" s="8"/>
      <c r="Y119" s="8"/>
      <c r="Z119" s="8"/>
      <c r="AA119" s="8">
        <f>COUNT(U119:X119)</f>
        <v>0</v>
      </c>
      <c r="AB119" s="8" t="s">
        <v>1126</v>
      </c>
    </row>
    <row r="120" spans="1:28">
      <c r="A120" s="428"/>
      <c r="T120" s="221"/>
    </row>
    <row r="121" spans="1:28" ht="26.4">
      <c r="A121" s="428"/>
      <c r="B121" s="3" t="s">
        <v>466</v>
      </c>
      <c r="C121" s="3" t="s">
        <v>479</v>
      </c>
      <c r="D121" s="9" t="s">
        <v>486</v>
      </c>
      <c r="E121" s="9" t="s">
        <v>483</v>
      </c>
      <c r="F121" s="3" t="s">
        <v>101</v>
      </c>
      <c r="G121" s="3">
        <v>20</v>
      </c>
      <c r="H121" s="3" t="s">
        <v>470</v>
      </c>
      <c r="I121" s="3">
        <v>7.8</v>
      </c>
      <c r="P121" s="3">
        <f t="shared" ref="P121:P126" si="31">COUNT(J121:M121)</f>
        <v>0</v>
      </c>
      <c r="Q121" s="3" t="s">
        <v>1092</v>
      </c>
      <c r="T121" s="221"/>
      <c r="AA121" s="3">
        <f t="shared" ref="AA121:AA126" si="32">COUNT(U121:X121)</f>
        <v>0</v>
      </c>
      <c r="AB121" s="3" t="s">
        <v>1093</v>
      </c>
    </row>
    <row r="122" spans="1:28" ht="26.4">
      <c r="A122" s="428"/>
      <c r="D122" s="9"/>
      <c r="E122" s="9"/>
      <c r="G122" s="3">
        <v>40</v>
      </c>
      <c r="H122" s="3" t="s">
        <v>470</v>
      </c>
      <c r="I122" s="3">
        <v>7.8</v>
      </c>
      <c r="P122" s="3">
        <f t="shared" si="31"/>
        <v>0</v>
      </c>
      <c r="Q122" s="3" t="s">
        <v>1126</v>
      </c>
      <c r="T122" s="221"/>
      <c r="AA122" s="3">
        <f t="shared" si="32"/>
        <v>0</v>
      </c>
      <c r="AB122" s="3" t="s">
        <v>1126</v>
      </c>
    </row>
    <row r="123" spans="1:28" ht="26.4">
      <c r="A123" s="428"/>
      <c r="D123" s="9"/>
      <c r="E123" s="9"/>
      <c r="G123" s="3">
        <v>100</v>
      </c>
      <c r="H123" s="3" t="s">
        <v>470</v>
      </c>
      <c r="I123" s="3">
        <v>7.8</v>
      </c>
      <c r="P123" s="3">
        <f t="shared" si="31"/>
        <v>0</v>
      </c>
      <c r="Q123" s="3" t="s">
        <v>1126</v>
      </c>
      <c r="T123" s="221"/>
      <c r="AA123" s="3">
        <f t="shared" si="32"/>
        <v>0</v>
      </c>
      <c r="AB123" s="3" t="s">
        <v>1089</v>
      </c>
    </row>
    <row r="124" spans="1:28" ht="26.4">
      <c r="A124" s="428"/>
      <c r="G124" s="3">
        <v>20</v>
      </c>
      <c r="H124" s="8" t="s">
        <v>471</v>
      </c>
      <c r="I124" s="8">
        <v>0.22500000000000001</v>
      </c>
      <c r="J124" s="8"/>
      <c r="K124" s="8"/>
      <c r="L124" s="8"/>
      <c r="M124" s="8"/>
      <c r="N124" s="8"/>
      <c r="O124" s="8"/>
      <c r="P124" s="8">
        <f t="shared" si="31"/>
        <v>0</v>
      </c>
      <c r="Q124" s="8" t="s">
        <v>1126</v>
      </c>
      <c r="T124" s="221"/>
      <c r="U124" s="8"/>
      <c r="V124" s="8"/>
      <c r="W124" s="8"/>
      <c r="X124" s="8"/>
      <c r="Y124" s="8"/>
      <c r="Z124" s="8"/>
      <c r="AA124" s="8">
        <f t="shared" si="32"/>
        <v>0</v>
      </c>
      <c r="AB124" s="8" t="s">
        <v>1126</v>
      </c>
    </row>
    <row r="125" spans="1:28" ht="26.4">
      <c r="A125" s="428"/>
      <c r="G125" s="3">
        <v>40</v>
      </c>
      <c r="H125" s="8" t="s">
        <v>471</v>
      </c>
      <c r="I125" s="8">
        <v>0.22500000000000001</v>
      </c>
      <c r="J125" s="8"/>
      <c r="K125" s="8"/>
      <c r="L125" s="8"/>
      <c r="M125" s="8"/>
      <c r="N125" s="8"/>
      <c r="O125" s="8"/>
      <c r="P125" s="8">
        <f t="shared" si="31"/>
        <v>0</v>
      </c>
      <c r="Q125" s="8" t="s">
        <v>1092</v>
      </c>
      <c r="T125" s="221"/>
      <c r="U125" s="8"/>
      <c r="V125" s="8"/>
      <c r="W125" s="8"/>
      <c r="X125" s="8"/>
      <c r="Y125" s="8"/>
      <c r="Z125" s="8"/>
      <c r="AA125" s="8">
        <f t="shared" si="32"/>
        <v>0</v>
      </c>
      <c r="AB125" s="8" t="s">
        <v>1092</v>
      </c>
    </row>
    <row r="126" spans="1:28" ht="26.4">
      <c r="A126" s="428"/>
      <c r="G126" s="3">
        <v>100</v>
      </c>
      <c r="H126" s="8" t="s">
        <v>471</v>
      </c>
      <c r="I126" s="8">
        <v>0.22500000000000001</v>
      </c>
      <c r="J126" s="8"/>
      <c r="K126" s="8"/>
      <c r="L126" s="8"/>
      <c r="M126" s="8"/>
      <c r="N126" s="8"/>
      <c r="O126" s="8"/>
      <c r="P126" s="8">
        <f t="shared" si="31"/>
        <v>0</v>
      </c>
      <c r="Q126" s="8" t="s">
        <v>1126</v>
      </c>
      <c r="T126" s="221"/>
      <c r="U126" s="8"/>
      <c r="V126" s="8"/>
      <c r="W126" s="8"/>
      <c r="X126" s="8"/>
      <c r="Y126" s="8"/>
      <c r="Z126" s="8"/>
      <c r="AA126" s="8">
        <f t="shared" si="32"/>
        <v>0</v>
      </c>
      <c r="AB126" s="8" t="s">
        <v>1100</v>
      </c>
    </row>
    <row r="127" spans="1:28">
      <c r="A127" s="428"/>
      <c r="T127" s="221"/>
    </row>
    <row r="128" spans="1:28" ht="26.4">
      <c r="A128" s="428"/>
      <c r="B128" s="3" t="s">
        <v>466</v>
      </c>
      <c r="C128" s="3" t="s">
        <v>487</v>
      </c>
      <c r="D128" s="9" t="s">
        <v>488</v>
      </c>
      <c r="E128" s="9" t="s">
        <v>483</v>
      </c>
      <c r="F128" s="3" t="s">
        <v>101</v>
      </c>
      <c r="G128" s="3">
        <v>20</v>
      </c>
      <c r="H128" s="3" t="s">
        <v>470</v>
      </c>
      <c r="I128" s="3">
        <v>7.8</v>
      </c>
      <c r="P128" s="3">
        <f t="shared" ref="P128:P133" si="33">COUNT(J128:M128)</f>
        <v>0</v>
      </c>
      <c r="Q128" s="3" t="s">
        <v>1126</v>
      </c>
      <c r="T128" s="221"/>
      <c r="AA128" s="3">
        <f t="shared" ref="AA128:AA133" si="34">COUNT(U128:X128)</f>
        <v>0</v>
      </c>
      <c r="AB128" s="3" t="s">
        <v>1132</v>
      </c>
    </row>
    <row r="129" spans="1:28" ht="26.4">
      <c r="A129" s="428"/>
      <c r="D129" s="9"/>
      <c r="E129" s="9"/>
      <c r="G129" s="3">
        <v>40</v>
      </c>
      <c r="H129" s="3" t="s">
        <v>470</v>
      </c>
      <c r="I129" s="3">
        <v>7.8</v>
      </c>
      <c r="P129" s="3">
        <f t="shared" si="33"/>
        <v>0</v>
      </c>
      <c r="Q129" s="3" t="s">
        <v>1126</v>
      </c>
      <c r="T129" s="221"/>
      <c r="AA129" s="3">
        <f t="shared" si="34"/>
        <v>0</v>
      </c>
      <c r="AB129" s="3" t="s">
        <v>1126</v>
      </c>
    </row>
    <row r="130" spans="1:28" ht="26.4">
      <c r="A130" s="428"/>
      <c r="D130" s="9"/>
      <c r="E130" s="9"/>
      <c r="G130" s="3">
        <v>100</v>
      </c>
      <c r="H130" s="3" t="s">
        <v>470</v>
      </c>
      <c r="I130" s="3">
        <v>7.8</v>
      </c>
      <c r="P130" s="3">
        <f t="shared" si="33"/>
        <v>0</v>
      </c>
      <c r="Q130" s="3" t="s">
        <v>1089</v>
      </c>
      <c r="T130" s="221"/>
      <c r="AA130" s="3">
        <f t="shared" si="34"/>
        <v>0</v>
      </c>
      <c r="AB130" s="3" t="s">
        <v>1093</v>
      </c>
    </row>
    <row r="131" spans="1:28" ht="26.4">
      <c r="A131" s="428"/>
      <c r="G131" s="3">
        <v>20</v>
      </c>
      <c r="H131" s="8" t="s">
        <v>471</v>
      </c>
      <c r="I131" s="8">
        <v>0.22500000000000001</v>
      </c>
      <c r="J131" s="8"/>
      <c r="K131" s="8"/>
      <c r="L131" s="8"/>
      <c r="M131" s="8"/>
      <c r="N131" s="8"/>
      <c r="O131" s="8"/>
      <c r="P131" s="8">
        <f t="shared" si="33"/>
        <v>0</v>
      </c>
      <c r="Q131" s="8" t="s">
        <v>1092</v>
      </c>
      <c r="T131" s="221"/>
      <c r="U131" s="8"/>
      <c r="V131" s="8"/>
      <c r="W131" s="8"/>
      <c r="X131" s="8"/>
      <c r="Y131" s="8"/>
      <c r="Z131" s="8"/>
      <c r="AA131" s="8">
        <f t="shared" si="34"/>
        <v>0</v>
      </c>
      <c r="AB131" s="8" t="s">
        <v>1126</v>
      </c>
    </row>
    <row r="132" spans="1:28" ht="26.4">
      <c r="A132" s="428"/>
      <c r="G132" s="3">
        <v>40</v>
      </c>
      <c r="H132" s="8" t="s">
        <v>471</v>
      </c>
      <c r="I132" s="8">
        <v>0.22500000000000001</v>
      </c>
      <c r="J132" s="8"/>
      <c r="K132" s="8"/>
      <c r="L132" s="8"/>
      <c r="M132" s="8"/>
      <c r="N132" s="8"/>
      <c r="O132" s="8"/>
      <c r="P132" s="8">
        <f t="shared" si="33"/>
        <v>0</v>
      </c>
      <c r="Q132" s="8" t="s">
        <v>1092</v>
      </c>
      <c r="T132" s="221"/>
      <c r="U132" s="8"/>
      <c r="V132" s="8"/>
      <c r="W132" s="8"/>
      <c r="X132" s="8"/>
      <c r="Y132" s="8"/>
      <c r="Z132" s="8"/>
      <c r="AA132" s="8">
        <f t="shared" si="34"/>
        <v>0</v>
      </c>
      <c r="AB132" s="8" t="s">
        <v>1126</v>
      </c>
    </row>
    <row r="133" spans="1:28" ht="26.4">
      <c r="A133" s="428"/>
      <c r="G133" s="3">
        <v>100</v>
      </c>
      <c r="H133" s="8" t="s">
        <v>471</v>
      </c>
      <c r="I133" s="8">
        <v>0.22500000000000001</v>
      </c>
      <c r="J133" s="8"/>
      <c r="K133" s="8"/>
      <c r="L133" s="8"/>
      <c r="M133" s="8"/>
      <c r="N133" s="8"/>
      <c r="O133" s="8"/>
      <c r="P133" s="8">
        <f t="shared" si="33"/>
        <v>0</v>
      </c>
      <c r="Q133" s="8" t="s">
        <v>1126</v>
      </c>
      <c r="T133" s="221"/>
      <c r="U133" s="8"/>
      <c r="V133" s="8"/>
      <c r="W133" s="8"/>
      <c r="X133" s="8"/>
      <c r="Y133" s="8"/>
      <c r="Z133" s="8"/>
      <c r="AA133" s="8">
        <f t="shared" si="34"/>
        <v>0</v>
      </c>
      <c r="AB133" s="8" t="s">
        <v>1093</v>
      </c>
    </row>
    <row r="134" spans="1:28">
      <c r="A134" s="428"/>
      <c r="T134" s="221"/>
    </row>
    <row r="135" spans="1:28" ht="36" customHeight="1">
      <c r="A135" s="428"/>
      <c r="B135" s="3" t="s">
        <v>466</v>
      </c>
      <c r="C135" s="3" t="s">
        <v>489</v>
      </c>
      <c r="D135" s="9" t="s">
        <v>490</v>
      </c>
      <c r="E135" s="3" t="s">
        <v>469</v>
      </c>
      <c r="F135" s="208" t="s">
        <v>531</v>
      </c>
      <c r="G135" s="3">
        <v>20</v>
      </c>
      <c r="H135" s="3" t="s">
        <v>470</v>
      </c>
      <c r="I135" s="3">
        <v>7.8</v>
      </c>
      <c r="J135" s="3">
        <v>12.200251572327048</v>
      </c>
      <c r="N135" s="3">
        <f>AVERAGE(J135:M135)</f>
        <v>12.200251572327048</v>
      </c>
      <c r="P135" s="3">
        <f>COUNT(J135:M135)</f>
        <v>1</v>
      </c>
      <c r="Q135" s="3" t="s">
        <v>1091</v>
      </c>
      <c r="T135" s="221"/>
      <c r="AA135" s="3">
        <f>COUNT(U135:X135)</f>
        <v>0</v>
      </c>
      <c r="AB135" s="3" t="s">
        <v>1117</v>
      </c>
    </row>
    <row r="136" spans="1:28" ht="36" customHeight="1">
      <c r="A136" s="428"/>
      <c r="D136" s="9"/>
      <c r="G136" s="3">
        <v>40</v>
      </c>
      <c r="H136" s="3" t="s">
        <v>470</v>
      </c>
      <c r="I136" s="3">
        <v>7.8</v>
      </c>
      <c r="J136" s="3">
        <v>14.823305660377361</v>
      </c>
      <c r="N136" s="3">
        <f>AVERAGE(J136:M136)</f>
        <v>14.823305660377361</v>
      </c>
      <c r="P136" s="3">
        <f>COUNT(J136:M136)</f>
        <v>1</v>
      </c>
      <c r="Q136" s="3" t="s">
        <v>1082</v>
      </c>
      <c r="T136" s="221"/>
      <c r="AA136" s="3">
        <f>COUNT(U136:X136)</f>
        <v>0</v>
      </c>
      <c r="AB136" s="3" t="s">
        <v>1128</v>
      </c>
    </row>
    <row r="137" spans="1:28" ht="26.4">
      <c r="A137" s="428"/>
      <c r="G137" s="3">
        <v>20</v>
      </c>
      <c r="H137" s="8" t="s">
        <v>471</v>
      </c>
      <c r="I137" s="8">
        <v>0.22500000000000001</v>
      </c>
      <c r="J137" s="8">
        <v>0.2958490566037737</v>
      </c>
      <c r="K137" s="8"/>
      <c r="L137" s="8"/>
      <c r="M137" s="8"/>
      <c r="N137" s="8">
        <f>AVERAGE(J137:M137)</f>
        <v>0.2958490566037737</v>
      </c>
      <c r="O137" s="8"/>
      <c r="P137" s="8">
        <f>COUNT(J137:M137)</f>
        <v>1</v>
      </c>
      <c r="Q137" s="8" t="s">
        <v>1127</v>
      </c>
      <c r="T137" s="221"/>
      <c r="U137" s="8"/>
      <c r="V137" s="8"/>
      <c r="W137" s="8"/>
      <c r="X137" s="8"/>
      <c r="Y137" s="8"/>
      <c r="Z137" s="8"/>
      <c r="AA137" s="8">
        <f>COUNT(U137:X137)</f>
        <v>0</v>
      </c>
      <c r="AB137" s="8" t="s">
        <v>1092</v>
      </c>
    </row>
    <row r="138" spans="1:28" ht="26.4">
      <c r="A138" s="428"/>
      <c r="G138" s="3">
        <v>40</v>
      </c>
      <c r="H138" s="8" t="s">
        <v>471</v>
      </c>
      <c r="I138" s="8">
        <v>0.22500000000000001</v>
      </c>
      <c r="J138" s="8">
        <v>0.35945660377358502</v>
      </c>
      <c r="K138" s="8"/>
      <c r="L138" s="8"/>
      <c r="M138" s="8"/>
      <c r="N138" s="8">
        <f>AVERAGE(J138:M138)</f>
        <v>0.35945660377358502</v>
      </c>
      <c r="O138" s="8"/>
      <c r="P138" s="8">
        <f>COUNT(J138:M138)</f>
        <v>1</v>
      </c>
      <c r="Q138" s="8" t="s">
        <v>1082</v>
      </c>
      <c r="T138" s="221"/>
      <c r="U138" s="8"/>
      <c r="V138" s="8"/>
      <c r="W138" s="8"/>
      <c r="X138" s="8"/>
      <c r="Y138" s="8"/>
      <c r="Z138" s="8"/>
      <c r="AA138" s="8">
        <f>COUNT(U138:X138)</f>
        <v>0</v>
      </c>
      <c r="AB138" s="8" t="s">
        <v>1117</v>
      </c>
    </row>
    <row r="139" spans="1:28">
      <c r="A139" s="428"/>
      <c r="T139" s="221"/>
    </row>
    <row r="140" spans="1:28" ht="26.4">
      <c r="A140" s="428"/>
      <c r="B140" s="3" t="s">
        <v>466</v>
      </c>
      <c r="C140" s="3" t="s">
        <v>479</v>
      </c>
      <c r="D140" s="9" t="s">
        <v>486</v>
      </c>
      <c r="E140" s="9" t="s">
        <v>483</v>
      </c>
      <c r="F140" s="3" t="s">
        <v>491</v>
      </c>
      <c r="G140" s="3">
        <v>20</v>
      </c>
      <c r="H140" s="3" t="s">
        <v>470</v>
      </c>
      <c r="I140" s="3">
        <v>7.8</v>
      </c>
      <c r="P140" s="3">
        <f t="shared" ref="P140:P145" si="35">COUNT(J140:M140)</f>
        <v>0</v>
      </c>
      <c r="Q140" s="3" t="s">
        <v>1126</v>
      </c>
      <c r="T140" s="221"/>
      <c r="AA140" s="3">
        <f t="shared" ref="AA140:AA145" si="36">COUNT(U140:X140)</f>
        <v>0</v>
      </c>
      <c r="AB140" s="3" t="s">
        <v>1128</v>
      </c>
    </row>
    <row r="141" spans="1:28" ht="26.4">
      <c r="A141" s="428"/>
      <c r="D141" s="9"/>
      <c r="E141" s="9"/>
      <c r="G141" s="3">
        <v>40</v>
      </c>
      <c r="H141" s="3" t="s">
        <v>470</v>
      </c>
      <c r="I141" s="3">
        <v>7.8</v>
      </c>
      <c r="P141" s="3">
        <f t="shared" si="35"/>
        <v>0</v>
      </c>
      <c r="Q141" s="3" t="s">
        <v>1092</v>
      </c>
      <c r="T141" s="221"/>
      <c r="AA141" s="3">
        <f t="shared" si="36"/>
        <v>0</v>
      </c>
      <c r="AB141" s="3" t="s">
        <v>1128</v>
      </c>
    </row>
    <row r="142" spans="1:28" ht="26.4">
      <c r="A142" s="428"/>
      <c r="D142" s="9"/>
      <c r="E142" s="9"/>
      <c r="G142" s="3">
        <v>100</v>
      </c>
      <c r="H142" s="3" t="s">
        <v>470</v>
      </c>
      <c r="I142" s="3">
        <v>7.8</v>
      </c>
      <c r="P142" s="3">
        <f t="shared" si="35"/>
        <v>0</v>
      </c>
      <c r="Q142" s="3" t="s">
        <v>1123</v>
      </c>
      <c r="T142" s="221"/>
      <c r="AA142" s="3">
        <f t="shared" si="36"/>
        <v>0</v>
      </c>
      <c r="AB142" s="3" t="s">
        <v>1133</v>
      </c>
    </row>
    <row r="143" spans="1:28" ht="26.4">
      <c r="A143" s="428"/>
      <c r="G143" s="3">
        <v>20</v>
      </c>
      <c r="H143" s="8" t="s">
        <v>471</v>
      </c>
      <c r="I143" s="8">
        <v>0.22500000000000001</v>
      </c>
      <c r="J143" s="8"/>
      <c r="K143" s="8"/>
      <c r="L143" s="8"/>
      <c r="M143" s="8"/>
      <c r="N143" s="8"/>
      <c r="O143" s="8"/>
      <c r="P143" s="8">
        <f t="shared" si="35"/>
        <v>0</v>
      </c>
      <c r="Q143" s="8" t="s">
        <v>1089</v>
      </c>
      <c r="T143" s="221"/>
      <c r="U143" s="8"/>
      <c r="V143" s="8"/>
      <c r="W143" s="8"/>
      <c r="X143" s="8"/>
      <c r="Y143" s="8"/>
      <c r="Z143" s="8"/>
      <c r="AA143" s="8">
        <f t="shared" si="36"/>
        <v>0</v>
      </c>
      <c r="AB143" s="8" t="s">
        <v>1092</v>
      </c>
    </row>
    <row r="144" spans="1:28" ht="26.4">
      <c r="A144" s="428"/>
      <c r="G144" s="3">
        <v>40</v>
      </c>
      <c r="H144" s="8" t="s">
        <v>471</v>
      </c>
      <c r="I144" s="8">
        <v>0.22500000000000001</v>
      </c>
      <c r="J144" s="8"/>
      <c r="K144" s="8"/>
      <c r="L144" s="8"/>
      <c r="M144" s="8"/>
      <c r="N144" s="8"/>
      <c r="O144" s="8"/>
      <c r="P144" s="8">
        <f t="shared" si="35"/>
        <v>0</v>
      </c>
      <c r="Q144" s="8" t="s">
        <v>1123</v>
      </c>
      <c r="T144" s="221"/>
      <c r="U144" s="8"/>
      <c r="V144" s="8"/>
      <c r="W144" s="8"/>
      <c r="X144" s="8"/>
      <c r="Y144" s="8"/>
      <c r="Z144" s="8"/>
      <c r="AA144" s="8">
        <f t="shared" si="36"/>
        <v>0</v>
      </c>
      <c r="AB144" s="8" t="s">
        <v>1128</v>
      </c>
    </row>
    <row r="145" spans="1:28" ht="26.4">
      <c r="A145" s="428"/>
      <c r="G145" s="3">
        <v>100</v>
      </c>
      <c r="H145" s="8" t="s">
        <v>471</v>
      </c>
      <c r="I145" s="8">
        <v>0.22500000000000001</v>
      </c>
      <c r="J145" s="8"/>
      <c r="K145" s="8"/>
      <c r="L145" s="8"/>
      <c r="M145" s="8"/>
      <c r="N145" s="8"/>
      <c r="O145" s="8"/>
      <c r="P145" s="8">
        <f t="shared" si="35"/>
        <v>0</v>
      </c>
      <c r="Q145" s="8" t="s">
        <v>1123</v>
      </c>
      <c r="T145" s="221"/>
      <c r="U145" s="8"/>
      <c r="V145" s="8"/>
      <c r="W145" s="8"/>
      <c r="X145" s="8"/>
      <c r="Y145" s="8"/>
      <c r="Z145" s="8"/>
      <c r="AA145" s="8">
        <f t="shared" si="36"/>
        <v>0</v>
      </c>
      <c r="AB145" s="8" t="s">
        <v>1117</v>
      </c>
    </row>
    <row r="146" spans="1:28">
      <c r="A146" s="428"/>
      <c r="T146" s="221"/>
    </row>
    <row r="147" spans="1:28" ht="35.25" customHeight="1">
      <c r="A147" s="428"/>
      <c r="B147" s="3" t="s">
        <v>466</v>
      </c>
      <c r="C147" s="247" t="s">
        <v>475</v>
      </c>
      <c r="D147" s="247" t="s">
        <v>787</v>
      </c>
      <c r="E147" s="247" t="s">
        <v>469</v>
      </c>
      <c r="F147" s="247" t="s">
        <v>101</v>
      </c>
      <c r="G147" s="3">
        <v>20</v>
      </c>
      <c r="H147" s="3" t="s">
        <v>470</v>
      </c>
      <c r="I147" s="3">
        <v>7.8</v>
      </c>
      <c r="P147" s="3">
        <f t="shared" ref="P147:P194" si="37">COUNT(J147:M147)</f>
        <v>0</v>
      </c>
      <c r="Q147" s="3" t="s">
        <v>1089</v>
      </c>
      <c r="T147" s="221"/>
      <c r="AA147" s="3">
        <f t="shared" ref="AA147:AA194" si="38">COUNT(U147:X147)</f>
        <v>0</v>
      </c>
      <c r="AB147" s="3" t="s">
        <v>1126</v>
      </c>
    </row>
    <row r="148" spans="1:28" ht="35.25" customHeight="1">
      <c r="A148" s="428"/>
      <c r="G148" s="3">
        <v>40</v>
      </c>
      <c r="H148" s="3" t="s">
        <v>470</v>
      </c>
      <c r="I148" s="3">
        <v>7.8</v>
      </c>
      <c r="P148" s="3">
        <f t="shared" si="37"/>
        <v>0</v>
      </c>
      <c r="Q148" s="3" t="s">
        <v>1123</v>
      </c>
      <c r="T148" s="221"/>
      <c r="AA148" s="3">
        <f t="shared" si="38"/>
        <v>0</v>
      </c>
      <c r="AB148" s="3" t="s">
        <v>1132</v>
      </c>
    </row>
    <row r="149" spans="1:28" ht="26.4">
      <c r="A149" s="428"/>
      <c r="G149" s="3">
        <v>20</v>
      </c>
      <c r="H149" s="8" t="s">
        <v>471</v>
      </c>
      <c r="I149" s="8">
        <v>0.22500000000000001</v>
      </c>
      <c r="J149" s="8"/>
      <c r="K149" s="8"/>
      <c r="L149" s="8"/>
      <c r="M149" s="8"/>
      <c r="N149" s="8"/>
      <c r="O149" s="8"/>
      <c r="P149" s="8">
        <f t="shared" si="37"/>
        <v>0</v>
      </c>
      <c r="Q149" s="8" t="s">
        <v>1092</v>
      </c>
      <c r="T149" s="221"/>
      <c r="U149" s="8"/>
      <c r="V149" s="8"/>
      <c r="W149" s="8"/>
      <c r="X149" s="8"/>
      <c r="Y149" s="8"/>
      <c r="Z149" s="8"/>
      <c r="AA149" s="8">
        <f t="shared" si="38"/>
        <v>0</v>
      </c>
      <c r="AB149" s="8" t="s">
        <v>1093</v>
      </c>
    </row>
    <row r="150" spans="1:28" ht="26.4">
      <c r="A150" s="428"/>
      <c r="G150" s="3">
        <v>40</v>
      </c>
      <c r="H150" s="8" t="s">
        <v>471</v>
      </c>
      <c r="I150" s="8">
        <v>0.22500000000000001</v>
      </c>
      <c r="J150" s="8"/>
      <c r="K150" s="8"/>
      <c r="L150" s="8"/>
      <c r="M150" s="8"/>
      <c r="N150" s="8"/>
      <c r="O150" s="8"/>
      <c r="P150" s="8">
        <f t="shared" si="37"/>
        <v>0</v>
      </c>
      <c r="Q150" s="8" t="s">
        <v>1092</v>
      </c>
      <c r="T150" s="221"/>
      <c r="U150" s="8"/>
      <c r="V150" s="8"/>
      <c r="W150" s="8"/>
      <c r="X150" s="8"/>
      <c r="Y150" s="8"/>
      <c r="Z150" s="8"/>
      <c r="AA150" s="8">
        <f t="shared" si="38"/>
        <v>0</v>
      </c>
      <c r="AB150" s="8" t="s">
        <v>1126</v>
      </c>
    </row>
    <row r="151" spans="1:28" ht="35.25" customHeight="1">
      <c r="A151" s="428"/>
      <c r="B151" s="3" t="s">
        <v>466</v>
      </c>
      <c r="C151" s="247" t="s">
        <v>475</v>
      </c>
      <c r="D151" s="247" t="s">
        <v>788</v>
      </c>
      <c r="E151" s="247" t="s">
        <v>469</v>
      </c>
      <c r="F151" s="247" t="s">
        <v>101</v>
      </c>
      <c r="G151" s="3">
        <v>20</v>
      </c>
      <c r="H151" s="3" t="s">
        <v>470</v>
      </c>
      <c r="I151" s="3">
        <v>7.8</v>
      </c>
      <c r="P151" s="3">
        <f t="shared" si="37"/>
        <v>0</v>
      </c>
      <c r="Q151" s="3" t="s">
        <v>1123</v>
      </c>
      <c r="T151" s="315"/>
      <c r="AA151" s="3">
        <f t="shared" si="38"/>
        <v>0</v>
      </c>
      <c r="AB151" s="3" t="s">
        <v>1092</v>
      </c>
    </row>
    <row r="152" spans="1:28" ht="35.25" customHeight="1">
      <c r="A152" s="428"/>
      <c r="G152" s="3">
        <v>40</v>
      </c>
      <c r="H152" s="3" t="s">
        <v>470</v>
      </c>
      <c r="I152" s="3">
        <v>7.8</v>
      </c>
      <c r="P152" s="3">
        <f t="shared" si="37"/>
        <v>0</v>
      </c>
      <c r="Q152" s="3" t="s">
        <v>1123</v>
      </c>
      <c r="T152" s="315"/>
      <c r="AA152" s="3">
        <f t="shared" si="38"/>
        <v>0</v>
      </c>
      <c r="AB152" s="3" t="s">
        <v>1126</v>
      </c>
    </row>
    <row r="153" spans="1:28" ht="26.4">
      <c r="A153" s="428"/>
      <c r="G153" s="3">
        <v>20</v>
      </c>
      <c r="H153" s="8" t="s">
        <v>471</v>
      </c>
      <c r="I153" s="8">
        <v>0.22500000000000001</v>
      </c>
      <c r="J153" s="8"/>
      <c r="K153" s="8"/>
      <c r="L153" s="8"/>
      <c r="M153" s="8"/>
      <c r="N153" s="8"/>
      <c r="O153" s="8"/>
      <c r="P153" s="8">
        <f t="shared" si="37"/>
        <v>0</v>
      </c>
      <c r="Q153" s="8" t="s">
        <v>1092</v>
      </c>
      <c r="T153" s="315"/>
      <c r="U153" s="8"/>
      <c r="V153" s="8"/>
      <c r="W153" s="8"/>
      <c r="X153" s="8"/>
      <c r="Y153" s="8"/>
      <c r="Z153" s="8"/>
      <c r="AA153" s="8">
        <f t="shared" si="38"/>
        <v>0</v>
      </c>
      <c r="AB153" s="8" t="s">
        <v>1092</v>
      </c>
    </row>
    <row r="154" spans="1:28" ht="26.4">
      <c r="A154" s="428"/>
      <c r="G154" s="3">
        <v>40</v>
      </c>
      <c r="H154" s="8" t="s">
        <v>471</v>
      </c>
      <c r="I154" s="8">
        <v>0.22500000000000001</v>
      </c>
      <c r="J154" s="8"/>
      <c r="K154" s="8"/>
      <c r="L154" s="8"/>
      <c r="M154" s="8"/>
      <c r="N154" s="8"/>
      <c r="O154" s="8"/>
      <c r="P154" s="8">
        <f t="shared" si="37"/>
        <v>0</v>
      </c>
      <c r="Q154" s="8" t="s">
        <v>1092</v>
      </c>
      <c r="T154" s="315"/>
      <c r="U154" s="8"/>
      <c r="V154" s="8"/>
      <c r="W154" s="8"/>
      <c r="X154" s="8"/>
      <c r="Y154" s="8"/>
      <c r="Z154" s="8"/>
      <c r="AA154" s="8">
        <f t="shared" si="38"/>
        <v>0</v>
      </c>
      <c r="AB154" s="8" t="s">
        <v>1126</v>
      </c>
    </row>
    <row r="155" spans="1:28" ht="43.5" customHeight="1">
      <c r="A155" s="428"/>
      <c r="B155" s="3" t="s">
        <v>466</v>
      </c>
      <c r="C155" s="3" t="s">
        <v>492</v>
      </c>
      <c r="D155" s="3" t="s">
        <v>493</v>
      </c>
      <c r="E155" s="3" t="s">
        <v>483</v>
      </c>
      <c r="F155" s="3" t="s">
        <v>104</v>
      </c>
      <c r="G155" s="3">
        <v>20</v>
      </c>
      <c r="H155" s="3" t="s">
        <v>470</v>
      </c>
      <c r="I155" s="3">
        <v>7.8</v>
      </c>
      <c r="P155" s="3">
        <f t="shared" si="37"/>
        <v>0</v>
      </c>
      <c r="Q155" s="3" t="s">
        <v>1093</v>
      </c>
      <c r="T155" s="221"/>
      <c r="AA155" s="3">
        <f t="shared" si="38"/>
        <v>0</v>
      </c>
      <c r="AB155" s="3" t="s">
        <v>1093</v>
      </c>
    </row>
    <row r="156" spans="1:28" ht="43.5" customHeight="1">
      <c r="A156" s="428"/>
      <c r="G156" s="3">
        <v>40</v>
      </c>
      <c r="H156" s="3" t="s">
        <v>470</v>
      </c>
      <c r="I156" s="3">
        <v>7.8</v>
      </c>
      <c r="P156" s="3">
        <f t="shared" si="37"/>
        <v>0</v>
      </c>
      <c r="Q156" s="3" t="s">
        <v>1123</v>
      </c>
      <c r="T156" s="221"/>
      <c r="AA156" s="3">
        <f t="shared" si="38"/>
        <v>0</v>
      </c>
      <c r="AB156" s="3" t="s">
        <v>1117</v>
      </c>
    </row>
    <row r="157" spans="1:28" ht="43.5" customHeight="1">
      <c r="A157" s="428"/>
      <c r="G157" s="3">
        <v>100</v>
      </c>
      <c r="H157" s="3" t="s">
        <v>518</v>
      </c>
      <c r="I157" s="3">
        <v>7.8</v>
      </c>
      <c r="P157" s="3">
        <f t="shared" si="37"/>
        <v>0</v>
      </c>
      <c r="Q157" s="3" t="s">
        <v>1089</v>
      </c>
      <c r="T157" s="221"/>
      <c r="AA157" s="3">
        <f t="shared" si="38"/>
        <v>0</v>
      </c>
      <c r="AB157" s="3" t="s">
        <v>1126</v>
      </c>
    </row>
    <row r="158" spans="1:28" ht="26.4">
      <c r="A158" s="428"/>
      <c r="G158" s="3">
        <v>20</v>
      </c>
      <c r="H158" s="8" t="s">
        <v>471</v>
      </c>
      <c r="I158" s="8">
        <v>0.22500000000000001</v>
      </c>
      <c r="J158" s="8"/>
      <c r="K158" s="8"/>
      <c r="L158" s="8"/>
      <c r="M158" s="8"/>
      <c r="N158" s="8"/>
      <c r="O158" s="8"/>
      <c r="P158" s="8">
        <f t="shared" si="37"/>
        <v>0</v>
      </c>
      <c r="Q158" s="8" t="s">
        <v>1126</v>
      </c>
      <c r="T158" s="221"/>
      <c r="U158" s="8"/>
      <c r="V158" s="8"/>
      <c r="W158" s="8"/>
      <c r="X158" s="8"/>
      <c r="Y158" s="8"/>
      <c r="Z158" s="8"/>
      <c r="AA158" s="8">
        <f t="shared" si="38"/>
        <v>0</v>
      </c>
      <c r="AB158" s="8" t="s">
        <v>1126</v>
      </c>
    </row>
    <row r="159" spans="1:28" ht="26.4">
      <c r="A159" s="428"/>
      <c r="G159" s="3">
        <v>40</v>
      </c>
      <c r="H159" s="8" t="s">
        <v>471</v>
      </c>
      <c r="I159" s="8">
        <v>0.22500000000000001</v>
      </c>
      <c r="J159" s="8"/>
      <c r="K159" s="8"/>
      <c r="L159" s="8"/>
      <c r="M159" s="8"/>
      <c r="N159" s="8"/>
      <c r="O159" s="8"/>
      <c r="P159" s="8">
        <f t="shared" si="37"/>
        <v>0</v>
      </c>
      <c r="Q159" s="8" t="s">
        <v>1126</v>
      </c>
      <c r="T159" s="221"/>
      <c r="U159" s="8"/>
      <c r="V159" s="8"/>
      <c r="W159" s="8"/>
      <c r="X159" s="8"/>
      <c r="Y159" s="8"/>
      <c r="Z159" s="8"/>
      <c r="AA159" s="8">
        <f t="shared" si="38"/>
        <v>0</v>
      </c>
      <c r="AB159" s="8" t="s">
        <v>1126</v>
      </c>
    </row>
    <row r="160" spans="1:28" ht="26.4">
      <c r="A160" s="428"/>
      <c r="G160" s="3">
        <v>100</v>
      </c>
      <c r="H160" s="206" t="s">
        <v>519</v>
      </c>
      <c r="I160" s="206">
        <v>0.22500000000000001</v>
      </c>
      <c r="J160" s="206"/>
      <c r="K160" s="206"/>
      <c r="L160" s="206"/>
      <c r="M160" s="206"/>
      <c r="N160" s="206"/>
      <c r="O160" s="206"/>
      <c r="P160" s="206">
        <f t="shared" si="37"/>
        <v>0</v>
      </c>
      <c r="Q160" s="206" t="s">
        <v>1128</v>
      </c>
      <c r="T160" s="221"/>
      <c r="U160" s="206"/>
      <c r="V160" s="206"/>
      <c r="W160" s="206"/>
      <c r="X160" s="206"/>
      <c r="Y160" s="206"/>
      <c r="Z160" s="206"/>
      <c r="AA160" s="206">
        <f t="shared" si="38"/>
        <v>0</v>
      </c>
      <c r="AB160" s="206" t="s">
        <v>1092</v>
      </c>
    </row>
    <row r="161" spans="1:28" ht="43.5" customHeight="1">
      <c r="A161" s="428"/>
      <c r="B161" s="247" t="s">
        <v>466</v>
      </c>
      <c r="C161" s="247" t="s">
        <v>571</v>
      </c>
      <c r="D161" s="247" t="s">
        <v>572</v>
      </c>
      <c r="E161" s="247" t="s">
        <v>483</v>
      </c>
      <c r="F161" s="247" t="s">
        <v>100</v>
      </c>
      <c r="G161" s="3">
        <v>20</v>
      </c>
      <c r="H161" s="3" t="s">
        <v>470</v>
      </c>
      <c r="I161" s="3">
        <v>7.8</v>
      </c>
      <c r="P161" s="3">
        <f t="shared" si="37"/>
        <v>0</v>
      </c>
      <c r="Q161" s="3" t="s">
        <v>1092</v>
      </c>
      <c r="T161" s="221"/>
      <c r="AA161" s="3">
        <f t="shared" si="38"/>
        <v>0</v>
      </c>
      <c r="AB161" s="3" t="s">
        <v>1126</v>
      </c>
    </row>
    <row r="162" spans="1:28" ht="43.5" customHeight="1">
      <c r="A162" s="428"/>
      <c r="B162" s="247"/>
      <c r="C162" s="247"/>
      <c r="D162" s="247"/>
      <c r="E162" s="247"/>
      <c r="F162" s="247"/>
      <c r="G162" s="3">
        <v>40</v>
      </c>
      <c r="H162" s="3" t="s">
        <v>470</v>
      </c>
      <c r="I162" s="3">
        <v>7.8</v>
      </c>
      <c r="P162" s="3">
        <f t="shared" si="37"/>
        <v>0</v>
      </c>
      <c r="Q162" s="3" t="s">
        <v>1093</v>
      </c>
      <c r="T162" s="221"/>
      <c r="AA162" s="3">
        <f t="shared" si="38"/>
        <v>0</v>
      </c>
      <c r="AB162" s="3" t="s">
        <v>1126</v>
      </c>
    </row>
    <row r="163" spans="1:28" ht="43.5" customHeight="1">
      <c r="A163" s="428"/>
      <c r="B163" s="247"/>
      <c r="C163" s="247"/>
      <c r="D163" s="247"/>
      <c r="E163" s="247"/>
      <c r="F163" s="247"/>
      <c r="G163" s="3">
        <v>100</v>
      </c>
      <c r="H163" s="3" t="s">
        <v>518</v>
      </c>
      <c r="I163" s="3">
        <v>7.8</v>
      </c>
      <c r="P163" s="3">
        <f t="shared" si="37"/>
        <v>0</v>
      </c>
      <c r="Q163" s="3" t="s">
        <v>1128</v>
      </c>
      <c r="T163" s="221"/>
      <c r="AA163" s="3">
        <f t="shared" si="38"/>
        <v>0</v>
      </c>
      <c r="AB163" s="3" t="s">
        <v>1093</v>
      </c>
    </row>
    <row r="164" spans="1:28" ht="26.4">
      <c r="A164" s="428"/>
      <c r="B164" s="247"/>
      <c r="C164" s="247"/>
      <c r="D164" s="247"/>
      <c r="E164" s="247"/>
      <c r="F164" s="247"/>
      <c r="G164" s="3">
        <v>20</v>
      </c>
      <c r="H164" s="8" t="s">
        <v>471</v>
      </c>
      <c r="I164" s="8">
        <v>0.22500000000000001</v>
      </c>
      <c r="J164" s="8"/>
      <c r="K164" s="8"/>
      <c r="L164" s="8"/>
      <c r="M164" s="8"/>
      <c r="N164" s="8"/>
      <c r="O164" s="8"/>
      <c r="P164" s="8">
        <f t="shared" si="37"/>
        <v>0</v>
      </c>
      <c r="Q164" s="8" t="s">
        <v>1092</v>
      </c>
      <c r="T164" s="221"/>
      <c r="U164" s="8"/>
      <c r="V164" s="8"/>
      <c r="W164" s="8"/>
      <c r="X164" s="8"/>
      <c r="Y164" s="8"/>
      <c r="Z164" s="8"/>
      <c r="AA164" s="8">
        <f t="shared" si="38"/>
        <v>0</v>
      </c>
      <c r="AB164" s="8" t="s">
        <v>1117</v>
      </c>
    </row>
    <row r="165" spans="1:28" ht="26.4">
      <c r="A165" s="428"/>
      <c r="B165" s="247"/>
      <c r="C165" s="247"/>
      <c r="D165" s="247"/>
      <c r="E165" s="247"/>
      <c r="F165" s="247"/>
      <c r="G165" s="3">
        <v>40</v>
      </c>
      <c r="H165" s="8" t="s">
        <v>471</v>
      </c>
      <c r="I165" s="8">
        <v>0.22500000000000001</v>
      </c>
      <c r="J165" s="8"/>
      <c r="K165" s="8"/>
      <c r="L165" s="8"/>
      <c r="M165" s="8"/>
      <c r="N165" s="8"/>
      <c r="O165" s="8"/>
      <c r="P165" s="8">
        <f t="shared" si="37"/>
        <v>0</v>
      </c>
      <c r="Q165" s="8" t="s">
        <v>1126</v>
      </c>
      <c r="T165" s="221"/>
      <c r="U165" s="8"/>
      <c r="V165" s="8"/>
      <c r="W165" s="8"/>
      <c r="X165" s="8"/>
      <c r="Y165" s="8"/>
      <c r="Z165" s="8"/>
      <c r="AA165" s="8">
        <f t="shared" si="38"/>
        <v>0</v>
      </c>
      <c r="AB165" s="8" t="s">
        <v>1117</v>
      </c>
    </row>
    <row r="166" spans="1:28" ht="26.4">
      <c r="A166" s="428"/>
      <c r="B166" s="247"/>
      <c r="C166" s="247"/>
      <c r="D166" s="247"/>
      <c r="E166" s="247"/>
      <c r="F166" s="247"/>
      <c r="G166" s="3">
        <v>100</v>
      </c>
      <c r="H166" s="206" t="s">
        <v>519</v>
      </c>
      <c r="I166" s="206">
        <v>0.22500000000000001</v>
      </c>
      <c r="J166" s="206"/>
      <c r="K166" s="206"/>
      <c r="L166" s="206"/>
      <c r="M166" s="206"/>
      <c r="N166" s="206"/>
      <c r="O166" s="206"/>
      <c r="P166" s="206">
        <f t="shared" si="37"/>
        <v>0</v>
      </c>
      <c r="Q166" s="206" t="s">
        <v>1093</v>
      </c>
      <c r="T166" s="221"/>
      <c r="U166" s="206"/>
      <c r="V166" s="206"/>
      <c r="W166" s="206"/>
      <c r="X166" s="206"/>
      <c r="Y166" s="206"/>
      <c r="Z166" s="206"/>
      <c r="AA166" s="206">
        <f t="shared" si="38"/>
        <v>0</v>
      </c>
      <c r="AB166" s="206" t="s">
        <v>1117</v>
      </c>
    </row>
    <row r="167" spans="1:28" ht="43.5" customHeight="1">
      <c r="A167" s="428"/>
      <c r="B167" s="247" t="s">
        <v>466</v>
      </c>
      <c r="C167" s="247" t="s">
        <v>543</v>
      </c>
      <c r="D167" s="247" t="s">
        <v>573</v>
      </c>
      <c r="E167" s="247" t="s">
        <v>483</v>
      </c>
      <c r="F167" s="247" t="s">
        <v>100</v>
      </c>
      <c r="G167" s="3">
        <v>20</v>
      </c>
      <c r="H167" s="3" t="s">
        <v>470</v>
      </c>
      <c r="I167" s="3">
        <v>7.8</v>
      </c>
      <c r="P167" s="3">
        <f t="shared" si="37"/>
        <v>0</v>
      </c>
      <c r="Q167" s="3" t="s">
        <v>1092</v>
      </c>
      <c r="T167" s="221"/>
      <c r="AA167" s="3">
        <f t="shared" si="38"/>
        <v>0</v>
      </c>
      <c r="AB167" s="3" t="s">
        <v>1117</v>
      </c>
    </row>
    <row r="168" spans="1:28" ht="43.5" customHeight="1">
      <c r="A168" s="428"/>
      <c r="G168" s="3">
        <v>40</v>
      </c>
      <c r="H168" s="3" t="s">
        <v>470</v>
      </c>
      <c r="I168" s="3">
        <v>7.8</v>
      </c>
      <c r="P168" s="3">
        <f t="shared" si="37"/>
        <v>0</v>
      </c>
      <c r="Q168" s="3" t="s">
        <v>1093</v>
      </c>
      <c r="T168" s="221"/>
      <c r="AA168" s="3">
        <f t="shared" si="38"/>
        <v>0</v>
      </c>
      <c r="AB168" s="3" t="s">
        <v>1128</v>
      </c>
    </row>
    <row r="169" spans="1:28" ht="43.5" customHeight="1">
      <c r="A169" s="428"/>
      <c r="G169" s="3">
        <v>100</v>
      </c>
      <c r="H169" s="3" t="s">
        <v>518</v>
      </c>
      <c r="I169" s="3">
        <v>7.8</v>
      </c>
      <c r="P169" s="3">
        <f t="shared" si="37"/>
        <v>0</v>
      </c>
      <c r="Q169" s="3" t="s">
        <v>1092</v>
      </c>
      <c r="T169" s="221"/>
      <c r="AA169" s="3">
        <f t="shared" si="38"/>
        <v>0</v>
      </c>
      <c r="AB169" s="3" t="s">
        <v>1128</v>
      </c>
    </row>
    <row r="170" spans="1:28" ht="26.4">
      <c r="A170" s="428"/>
      <c r="G170" s="3">
        <v>20</v>
      </c>
      <c r="H170" s="8" t="s">
        <v>471</v>
      </c>
      <c r="I170" s="8">
        <v>0.22500000000000001</v>
      </c>
      <c r="J170" s="8"/>
      <c r="K170" s="8"/>
      <c r="L170" s="8"/>
      <c r="M170" s="8"/>
      <c r="N170" s="8"/>
      <c r="O170" s="8"/>
      <c r="P170" s="8">
        <f t="shared" si="37"/>
        <v>0</v>
      </c>
      <c r="Q170" s="8" t="s">
        <v>1126</v>
      </c>
      <c r="T170" s="221"/>
      <c r="U170" s="8"/>
      <c r="V170" s="8"/>
      <c r="W170" s="8"/>
      <c r="X170" s="8"/>
      <c r="Y170" s="8"/>
      <c r="Z170" s="8"/>
      <c r="AA170" s="8">
        <f t="shared" si="38"/>
        <v>0</v>
      </c>
      <c r="AB170" s="8" t="s">
        <v>1092</v>
      </c>
    </row>
    <row r="171" spans="1:28" ht="26.4">
      <c r="A171" s="428"/>
      <c r="G171" s="3">
        <v>40</v>
      </c>
      <c r="H171" s="8" t="s">
        <v>471</v>
      </c>
      <c r="I171" s="8">
        <v>0.22500000000000001</v>
      </c>
      <c r="J171" s="8"/>
      <c r="K171" s="8"/>
      <c r="L171" s="8"/>
      <c r="M171" s="8"/>
      <c r="N171" s="8"/>
      <c r="O171" s="8"/>
      <c r="P171" s="8">
        <f t="shared" si="37"/>
        <v>0</v>
      </c>
      <c r="Q171" s="8" t="s">
        <v>1092</v>
      </c>
      <c r="T171" s="221"/>
      <c r="U171" s="8"/>
      <c r="V171" s="8"/>
      <c r="W171" s="8"/>
      <c r="X171" s="8"/>
      <c r="Y171" s="8"/>
      <c r="Z171" s="8"/>
      <c r="AA171" s="8">
        <f t="shared" si="38"/>
        <v>0</v>
      </c>
      <c r="AB171" s="8" t="s">
        <v>1126</v>
      </c>
    </row>
    <row r="172" spans="1:28" ht="26.4">
      <c r="A172" s="428"/>
      <c r="G172" s="3">
        <v>100</v>
      </c>
      <c r="H172" s="206" t="s">
        <v>519</v>
      </c>
      <c r="I172" s="206">
        <v>0.22500000000000001</v>
      </c>
      <c r="J172" s="206"/>
      <c r="K172" s="206"/>
      <c r="L172" s="206"/>
      <c r="M172" s="206"/>
      <c r="N172" s="206"/>
      <c r="O172" s="206"/>
      <c r="P172" s="206">
        <f t="shared" si="37"/>
        <v>0</v>
      </c>
      <c r="Q172" s="206" t="s">
        <v>1123</v>
      </c>
      <c r="T172" s="221"/>
      <c r="U172" s="206"/>
      <c r="V172" s="206"/>
      <c r="W172" s="206"/>
      <c r="X172" s="206"/>
      <c r="Y172" s="206"/>
      <c r="Z172" s="206"/>
      <c r="AA172" s="206">
        <f t="shared" si="38"/>
        <v>0</v>
      </c>
      <c r="AB172" s="206" t="s">
        <v>1089</v>
      </c>
    </row>
    <row r="173" spans="1:28" ht="43.5" customHeight="1">
      <c r="A173" s="428"/>
      <c r="B173" s="247" t="s">
        <v>466</v>
      </c>
      <c r="C173" s="247" t="s">
        <v>566</v>
      </c>
      <c r="D173" s="247" t="s">
        <v>567</v>
      </c>
      <c r="E173" s="247" t="s">
        <v>483</v>
      </c>
      <c r="F173" s="247" t="s">
        <v>491</v>
      </c>
      <c r="G173" s="3">
        <v>20</v>
      </c>
      <c r="H173" s="3" t="s">
        <v>470</v>
      </c>
      <c r="I173" s="3">
        <v>7.8</v>
      </c>
      <c r="P173" s="3">
        <f t="shared" si="37"/>
        <v>0</v>
      </c>
      <c r="Q173" s="3" t="s">
        <v>1123</v>
      </c>
      <c r="T173" s="221"/>
      <c r="AA173" s="3">
        <f t="shared" si="38"/>
        <v>0</v>
      </c>
      <c r="AB173" s="3" t="s">
        <v>1092</v>
      </c>
    </row>
    <row r="174" spans="1:28" ht="43.5" customHeight="1">
      <c r="A174" s="428"/>
      <c r="G174" s="3">
        <v>40</v>
      </c>
      <c r="H174" s="3" t="s">
        <v>470</v>
      </c>
      <c r="I174" s="3">
        <v>7.8</v>
      </c>
      <c r="P174" s="3">
        <f t="shared" si="37"/>
        <v>0</v>
      </c>
      <c r="Q174" s="3" t="s">
        <v>1126</v>
      </c>
      <c r="T174" s="221"/>
      <c r="AA174" s="3">
        <f t="shared" si="38"/>
        <v>0</v>
      </c>
      <c r="AB174" s="3" t="s">
        <v>1126</v>
      </c>
    </row>
    <row r="175" spans="1:28" ht="43.5" customHeight="1">
      <c r="A175" s="428"/>
      <c r="G175" s="3">
        <v>100</v>
      </c>
      <c r="H175" s="3" t="s">
        <v>518</v>
      </c>
      <c r="I175" s="3">
        <v>7.8</v>
      </c>
      <c r="P175" s="3">
        <f t="shared" si="37"/>
        <v>0</v>
      </c>
      <c r="Q175" s="3" t="s">
        <v>1092</v>
      </c>
      <c r="T175" s="221"/>
      <c r="AA175" s="3">
        <f t="shared" si="38"/>
        <v>0</v>
      </c>
      <c r="AB175" s="3" t="s">
        <v>1092</v>
      </c>
    </row>
    <row r="176" spans="1:28" ht="26.4">
      <c r="A176" s="428"/>
      <c r="G176" s="3">
        <v>20</v>
      </c>
      <c r="H176" s="8" t="s">
        <v>471</v>
      </c>
      <c r="I176" s="8">
        <v>0.22500000000000001</v>
      </c>
      <c r="J176" s="8"/>
      <c r="K176" s="8"/>
      <c r="L176" s="8"/>
      <c r="M176" s="8"/>
      <c r="N176" s="8"/>
      <c r="O176" s="8"/>
      <c r="P176" s="8">
        <f t="shared" si="37"/>
        <v>0</v>
      </c>
      <c r="Q176" s="8" t="s">
        <v>1092</v>
      </c>
      <c r="T176" s="221"/>
      <c r="U176" s="8"/>
      <c r="V176" s="8"/>
      <c r="W176" s="8"/>
      <c r="X176" s="8"/>
      <c r="Y176" s="8"/>
      <c r="Z176" s="8"/>
      <c r="AA176" s="8">
        <f t="shared" si="38"/>
        <v>0</v>
      </c>
      <c r="AB176" s="8" t="s">
        <v>1089</v>
      </c>
    </row>
    <row r="177" spans="1:28" ht="26.4">
      <c r="A177" s="428"/>
      <c r="G177" s="3">
        <v>40</v>
      </c>
      <c r="H177" s="8" t="s">
        <v>471</v>
      </c>
      <c r="I177" s="8">
        <v>0.22500000000000001</v>
      </c>
      <c r="J177" s="8"/>
      <c r="K177" s="8"/>
      <c r="L177" s="8"/>
      <c r="M177" s="8"/>
      <c r="N177" s="8"/>
      <c r="O177" s="8"/>
      <c r="P177" s="8">
        <f t="shared" si="37"/>
        <v>0</v>
      </c>
      <c r="Q177" s="8" t="s">
        <v>1126</v>
      </c>
      <c r="T177" s="221"/>
      <c r="U177" s="8"/>
      <c r="V177" s="8"/>
      <c r="W177" s="8"/>
      <c r="X177" s="8"/>
      <c r="Y177" s="8"/>
      <c r="Z177" s="8"/>
      <c r="AA177" s="8">
        <f t="shared" si="38"/>
        <v>0</v>
      </c>
      <c r="AB177" s="8" t="s">
        <v>1092</v>
      </c>
    </row>
    <row r="178" spans="1:28" ht="26.4">
      <c r="A178" s="428"/>
      <c r="G178" s="3">
        <v>100</v>
      </c>
      <c r="H178" s="206" t="s">
        <v>519</v>
      </c>
      <c r="I178" s="206">
        <v>0.22500000000000001</v>
      </c>
      <c r="J178" s="206"/>
      <c r="K178" s="206"/>
      <c r="L178" s="206"/>
      <c r="M178" s="206"/>
      <c r="N178" s="206"/>
      <c r="O178" s="206"/>
      <c r="P178" s="206">
        <f t="shared" si="37"/>
        <v>0</v>
      </c>
      <c r="Q178" s="206" t="s">
        <v>1089</v>
      </c>
      <c r="T178" s="221"/>
      <c r="U178" s="206"/>
      <c r="V178" s="206"/>
      <c r="W178" s="206"/>
      <c r="X178" s="206"/>
      <c r="Y178" s="206"/>
      <c r="Z178" s="206"/>
      <c r="AA178" s="206">
        <f t="shared" si="38"/>
        <v>0</v>
      </c>
      <c r="AB178" s="206" t="s">
        <v>1126</v>
      </c>
    </row>
    <row r="179" spans="1:28" ht="43.5" customHeight="1">
      <c r="A179" s="428"/>
      <c r="B179" s="247" t="s">
        <v>466</v>
      </c>
      <c r="C179" s="247" t="s">
        <v>568</v>
      </c>
      <c r="D179" s="247" t="s">
        <v>570</v>
      </c>
      <c r="E179" s="247" t="s">
        <v>483</v>
      </c>
      <c r="F179" s="247" t="s">
        <v>569</v>
      </c>
      <c r="G179" s="3">
        <v>20</v>
      </c>
      <c r="H179" s="3" t="s">
        <v>470</v>
      </c>
      <c r="I179" s="3">
        <v>7.8</v>
      </c>
      <c r="P179" s="3">
        <f t="shared" si="37"/>
        <v>0</v>
      </c>
      <c r="Q179" s="3" t="s">
        <v>1089</v>
      </c>
      <c r="T179" s="221"/>
      <c r="AA179" s="3">
        <f t="shared" si="38"/>
        <v>0</v>
      </c>
      <c r="AB179" s="3" t="s">
        <v>1126</v>
      </c>
    </row>
    <row r="180" spans="1:28" ht="43.5" customHeight="1">
      <c r="A180" s="428"/>
      <c r="G180" s="3">
        <v>40</v>
      </c>
      <c r="H180" s="3" t="s">
        <v>470</v>
      </c>
      <c r="I180" s="3">
        <v>7.8</v>
      </c>
      <c r="P180" s="3">
        <f t="shared" si="37"/>
        <v>0</v>
      </c>
      <c r="Q180" s="3" t="s">
        <v>1126</v>
      </c>
      <c r="T180" s="221"/>
      <c r="AA180" s="3">
        <f t="shared" si="38"/>
        <v>0</v>
      </c>
      <c r="AB180" s="3" t="s">
        <v>1089</v>
      </c>
    </row>
    <row r="181" spans="1:28" ht="43.5" customHeight="1">
      <c r="A181" s="428"/>
      <c r="G181" s="3">
        <v>100</v>
      </c>
      <c r="H181" s="3" t="s">
        <v>518</v>
      </c>
      <c r="I181" s="3">
        <v>7.8</v>
      </c>
      <c r="P181" s="3">
        <f t="shared" si="37"/>
        <v>0</v>
      </c>
      <c r="Q181" s="3" t="s">
        <v>1089</v>
      </c>
      <c r="T181" s="221"/>
      <c r="AA181" s="3">
        <f t="shared" si="38"/>
        <v>0</v>
      </c>
      <c r="AB181" s="3" t="s">
        <v>1126</v>
      </c>
    </row>
    <row r="182" spans="1:28" ht="26.4">
      <c r="A182" s="428"/>
      <c r="G182" s="3">
        <v>20</v>
      </c>
      <c r="H182" s="8" t="s">
        <v>471</v>
      </c>
      <c r="I182" s="8">
        <v>0.22500000000000001</v>
      </c>
      <c r="J182" s="8"/>
      <c r="K182" s="8"/>
      <c r="L182" s="8"/>
      <c r="M182" s="8"/>
      <c r="N182" s="8"/>
      <c r="O182" s="8"/>
      <c r="P182" s="8">
        <f t="shared" si="37"/>
        <v>0</v>
      </c>
      <c r="Q182" s="8" t="s">
        <v>1092</v>
      </c>
      <c r="T182" s="221"/>
      <c r="U182" s="8"/>
      <c r="V182" s="8"/>
      <c r="W182" s="8"/>
      <c r="X182" s="8"/>
      <c r="Y182" s="8"/>
      <c r="Z182" s="8"/>
      <c r="AA182" s="8">
        <f t="shared" si="38"/>
        <v>0</v>
      </c>
      <c r="AB182" s="8" t="s">
        <v>1092</v>
      </c>
    </row>
    <row r="183" spans="1:28" ht="26.4">
      <c r="A183" s="428"/>
      <c r="G183" s="3">
        <v>40</v>
      </c>
      <c r="H183" s="8" t="s">
        <v>471</v>
      </c>
      <c r="I183" s="8">
        <v>0.22500000000000001</v>
      </c>
      <c r="J183" s="8"/>
      <c r="K183" s="8"/>
      <c r="L183" s="8"/>
      <c r="M183" s="8"/>
      <c r="N183" s="8"/>
      <c r="O183" s="8"/>
      <c r="P183" s="8">
        <f t="shared" si="37"/>
        <v>0</v>
      </c>
      <c r="Q183" s="8" t="s">
        <v>1126</v>
      </c>
      <c r="T183" s="221"/>
      <c r="U183" s="8"/>
      <c r="V183" s="8"/>
      <c r="W183" s="8"/>
      <c r="X183" s="8"/>
      <c r="Y183" s="8"/>
      <c r="Z183" s="8"/>
      <c r="AA183" s="8">
        <f t="shared" si="38"/>
        <v>0</v>
      </c>
      <c r="AB183" s="8" t="s">
        <v>1126</v>
      </c>
    </row>
    <row r="184" spans="1:28" ht="26.4">
      <c r="A184" s="428"/>
      <c r="G184" s="3">
        <v>100</v>
      </c>
      <c r="H184" s="206" t="s">
        <v>519</v>
      </c>
      <c r="I184" s="206">
        <v>0.22500000000000001</v>
      </c>
      <c r="J184" s="206"/>
      <c r="K184" s="206"/>
      <c r="L184" s="206"/>
      <c r="M184" s="206"/>
      <c r="N184" s="206"/>
      <c r="O184" s="206"/>
      <c r="P184" s="206">
        <f t="shared" si="37"/>
        <v>0</v>
      </c>
      <c r="Q184" s="206" t="s">
        <v>1126</v>
      </c>
      <c r="T184" s="221"/>
      <c r="U184" s="206"/>
      <c r="V184" s="206"/>
      <c r="W184" s="206"/>
      <c r="X184" s="206"/>
      <c r="Y184" s="206"/>
      <c r="Z184" s="206"/>
      <c r="AA184" s="206">
        <f t="shared" si="38"/>
        <v>0</v>
      </c>
      <c r="AB184" s="206" t="s">
        <v>1092</v>
      </c>
    </row>
    <row r="185" spans="1:28" ht="43.5" customHeight="1">
      <c r="A185" s="428"/>
      <c r="B185" s="247" t="s">
        <v>619</v>
      </c>
      <c r="C185" s="247" t="s">
        <v>620</v>
      </c>
      <c r="D185" s="247" t="s">
        <v>622</v>
      </c>
      <c r="E185" s="247" t="s">
        <v>469</v>
      </c>
      <c r="F185" s="247" t="s">
        <v>621</v>
      </c>
      <c r="G185" s="3">
        <v>20</v>
      </c>
      <c r="H185" s="3" t="s">
        <v>470</v>
      </c>
      <c r="I185" s="3">
        <v>7.8</v>
      </c>
      <c r="K185" s="3">
        <v>8.7759999999999998</v>
      </c>
      <c r="N185" s="3">
        <f>AVERAGE(J185:M185)</f>
        <v>8.7759999999999998</v>
      </c>
      <c r="P185" s="3">
        <f t="shared" si="37"/>
        <v>1</v>
      </c>
      <c r="Q185" s="3" t="s">
        <v>1121</v>
      </c>
      <c r="T185" s="221"/>
      <c r="V185" s="3">
        <v>9.048</v>
      </c>
      <c r="Y185" s="3">
        <f>AVERAGE(U185:X185)</f>
        <v>9.048</v>
      </c>
      <c r="AA185" s="3">
        <f t="shared" si="38"/>
        <v>1</v>
      </c>
      <c r="AB185" s="3" t="s">
        <v>1082</v>
      </c>
    </row>
    <row r="186" spans="1:28" ht="26.4">
      <c r="A186" s="221"/>
      <c r="G186" s="3">
        <v>20</v>
      </c>
      <c r="H186" s="8" t="s">
        <v>471</v>
      </c>
      <c r="I186" s="8">
        <v>0.22500000000000001</v>
      </c>
      <c r="J186" s="8"/>
      <c r="K186" s="8">
        <v>0.25</v>
      </c>
      <c r="L186" s="8"/>
      <c r="M186" s="8"/>
      <c r="N186" s="8">
        <f>AVERAGE(J186:M186)</f>
        <v>0.25</v>
      </c>
      <c r="O186" s="8"/>
      <c r="P186" s="8">
        <f t="shared" si="37"/>
        <v>1</v>
      </c>
      <c r="Q186" s="8" t="s">
        <v>1121</v>
      </c>
      <c r="T186" s="221"/>
      <c r="U186" s="232"/>
      <c r="V186" s="232">
        <v>0.25600000000000001</v>
      </c>
      <c r="W186" s="232"/>
      <c r="X186" s="232"/>
      <c r="Y186" s="232">
        <f>AVERAGE(U186:X186)</f>
        <v>0.25600000000000001</v>
      </c>
      <c r="Z186" s="232"/>
      <c r="AA186" s="232">
        <f t="shared" si="38"/>
        <v>1</v>
      </c>
      <c r="AB186" s="232" t="s">
        <v>1082</v>
      </c>
    </row>
    <row r="187" spans="1:28" ht="43.5" customHeight="1">
      <c r="A187" s="221"/>
      <c r="B187" s="247" t="s">
        <v>619</v>
      </c>
      <c r="C187" s="247" t="s">
        <v>704</v>
      </c>
      <c r="D187" s="247" t="s">
        <v>702</v>
      </c>
      <c r="E187" s="247" t="s">
        <v>469</v>
      </c>
      <c r="F187" s="247" t="s">
        <v>659</v>
      </c>
      <c r="G187" s="3">
        <v>20</v>
      </c>
      <c r="H187" s="3" t="s">
        <v>470</v>
      </c>
      <c r="I187" s="3">
        <v>7.8</v>
      </c>
      <c r="P187" s="3">
        <f t="shared" si="37"/>
        <v>0</v>
      </c>
      <c r="Q187" s="3" t="s">
        <v>1126</v>
      </c>
      <c r="T187" s="221"/>
      <c r="AA187" s="3">
        <f t="shared" si="38"/>
        <v>0</v>
      </c>
      <c r="AB187" s="3" t="s">
        <v>1117</v>
      </c>
    </row>
    <row r="188" spans="1:28" ht="26.4">
      <c r="A188" s="221"/>
      <c r="G188" s="3">
        <v>20</v>
      </c>
      <c r="H188" s="8" t="s">
        <v>471</v>
      </c>
      <c r="I188" s="8">
        <v>0.22500000000000001</v>
      </c>
      <c r="J188" s="8"/>
      <c r="K188" s="8"/>
      <c r="L188" s="8"/>
      <c r="M188" s="8"/>
      <c r="N188" s="8"/>
      <c r="O188" s="8"/>
      <c r="P188" s="8">
        <f t="shared" si="37"/>
        <v>0</v>
      </c>
      <c r="Q188" s="8" t="s">
        <v>1092</v>
      </c>
      <c r="T188" s="221"/>
      <c r="U188" s="232"/>
      <c r="V188" s="232"/>
      <c r="W188" s="232"/>
      <c r="X188" s="232"/>
      <c r="Y188" s="232"/>
      <c r="Z188" s="232"/>
      <c r="AA188" s="232">
        <f t="shared" si="38"/>
        <v>0</v>
      </c>
      <c r="AB188" s="232" t="s">
        <v>1117</v>
      </c>
    </row>
    <row r="189" spans="1:28" ht="43.5" customHeight="1">
      <c r="A189" s="221"/>
      <c r="B189" s="247" t="s">
        <v>619</v>
      </c>
      <c r="C189" s="247" t="s">
        <v>665</v>
      </c>
      <c r="D189" s="247" t="s">
        <v>660</v>
      </c>
      <c r="E189" s="247" t="s">
        <v>469</v>
      </c>
      <c r="F189" s="247" t="s">
        <v>659</v>
      </c>
      <c r="G189" s="3">
        <v>20</v>
      </c>
      <c r="H189" s="3" t="s">
        <v>470</v>
      </c>
      <c r="I189" s="3">
        <v>7.8</v>
      </c>
      <c r="P189" s="3">
        <f t="shared" si="37"/>
        <v>0</v>
      </c>
      <c r="Q189" s="3" t="s">
        <v>1126</v>
      </c>
      <c r="T189" s="221"/>
      <c r="AA189" s="3">
        <f t="shared" si="38"/>
        <v>0</v>
      </c>
      <c r="AB189" s="3" t="s">
        <v>1089</v>
      </c>
    </row>
    <row r="190" spans="1:28" ht="26.4">
      <c r="A190" s="221"/>
      <c r="G190" s="3">
        <v>20</v>
      </c>
      <c r="H190" s="8" t="s">
        <v>471</v>
      </c>
      <c r="I190" s="8">
        <v>0.22500000000000001</v>
      </c>
      <c r="J190" s="8"/>
      <c r="K190" s="8"/>
      <c r="L190" s="8"/>
      <c r="M190" s="8"/>
      <c r="N190" s="8"/>
      <c r="O190" s="8"/>
      <c r="P190" s="8">
        <f t="shared" si="37"/>
        <v>0</v>
      </c>
      <c r="Q190" s="8" t="s">
        <v>1126</v>
      </c>
      <c r="T190" s="221"/>
      <c r="U190" s="232"/>
      <c r="V190" s="232"/>
      <c r="W190" s="232"/>
      <c r="X190" s="232"/>
      <c r="Y190" s="232"/>
      <c r="Z190" s="232"/>
      <c r="AA190" s="232">
        <f t="shared" si="38"/>
        <v>0</v>
      </c>
      <c r="AB190" s="232" t="s">
        <v>1092</v>
      </c>
    </row>
    <row r="191" spans="1:28" ht="43.5" customHeight="1">
      <c r="A191" s="221"/>
      <c r="B191" s="247" t="s">
        <v>619</v>
      </c>
      <c r="C191" s="247" t="s">
        <v>666</v>
      </c>
      <c r="D191" s="247" t="s">
        <v>661</v>
      </c>
      <c r="E191" s="247" t="s">
        <v>469</v>
      </c>
      <c r="F191" s="247" t="s">
        <v>659</v>
      </c>
      <c r="G191" s="3">
        <v>20</v>
      </c>
      <c r="H191" s="3" t="s">
        <v>470</v>
      </c>
      <c r="I191" s="3">
        <v>7.8</v>
      </c>
      <c r="P191" s="3">
        <f t="shared" si="37"/>
        <v>0</v>
      </c>
      <c r="Q191" s="3" t="s">
        <v>1126</v>
      </c>
      <c r="T191" s="221"/>
      <c r="AA191" s="3">
        <f t="shared" si="38"/>
        <v>0</v>
      </c>
      <c r="AB191" s="3" t="s">
        <v>1093</v>
      </c>
    </row>
    <row r="192" spans="1:28" ht="26.4">
      <c r="A192" s="221"/>
      <c r="G192" s="3">
        <v>20</v>
      </c>
      <c r="H192" s="8" t="s">
        <v>471</v>
      </c>
      <c r="I192" s="8">
        <v>0.22500000000000001</v>
      </c>
      <c r="J192" s="8"/>
      <c r="K192" s="8"/>
      <c r="L192" s="8"/>
      <c r="M192" s="8"/>
      <c r="N192" s="8"/>
      <c r="O192" s="8"/>
      <c r="P192" s="8">
        <f t="shared" si="37"/>
        <v>0</v>
      </c>
      <c r="Q192" s="8" t="s">
        <v>1126</v>
      </c>
      <c r="T192" s="221"/>
      <c r="U192" s="232"/>
      <c r="V192" s="232"/>
      <c r="W192" s="232"/>
      <c r="X192" s="232"/>
      <c r="Y192" s="232"/>
      <c r="Z192" s="232"/>
      <c r="AA192" s="232">
        <f t="shared" si="38"/>
        <v>0</v>
      </c>
      <c r="AB192" s="232" t="s">
        <v>1117</v>
      </c>
    </row>
    <row r="193" spans="1:28" ht="43.5" customHeight="1">
      <c r="A193" s="315"/>
      <c r="B193" s="247" t="s">
        <v>619</v>
      </c>
      <c r="C193" s="247" t="s">
        <v>666</v>
      </c>
      <c r="D193" s="247" t="s">
        <v>782</v>
      </c>
      <c r="E193" s="247" t="s">
        <v>469</v>
      </c>
      <c r="F193" s="247" t="s">
        <v>659</v>
      </c>
      <c r="G193" s="3">
        <v>20</v>
      </c>
      <c r="H193" s="3" t="s">
        <v>470</v>
      </c>
      <c r="I193" s="3">
        <v>7.8</v>
      </c>
      <c r="P193" s="3">
        <f t="shared" si="37"/>
        <v>0</v>
      </c>
      <c r="Q193" s="3" t="s">
        <v>1128</v>
      </c>
      <c r="T193" s="315"/>
      <c r="AA193" s="3">
        <f t="shared" si="38"/>
        <v>0</v>
      </c>
      <c r="AB193" s="3" t="s">
        <v>1117</v>
      </c>
    </row>
    <row r="194" spans="1:28" ht="26.4">
      <c r="A194" s="315"/>
      <c r="G194" s="3">
        <v>20</v>
      </c>
      <c r="H194" s="8" t="s">
        <v>471</v>
      </c>
      <c r="I194" s="8">
        <v>0.22500000000000001</v>
      </c>
      <c r="J194" s="8"/>
      <c r="K194" s="8"/>
      <c r="L194" s="8"/>
      <c r="M194" s="8"/>
      <c r="N194" s="8"/>
      <c r="O194" s="8"/>
      <c r="P194" s="8">
        <f t="shared" si="37"/>
        <v>0</v>
      </c>
      <c r="Q194" s="8" t="s">
        <v>1126</v>
      </c>
      <c r="T194" s="315"/>
      <c r="U194" s="232"/>
      <c r="V194" s="232"/>
      <c r="W194" s="232"/>
      <c r="X194" s="232"/>
      <c r="Y194" s="232"/>
      <c r="Z194" s="232"/>
      <c r="AA194" s="232">
        <f t="shared" si="38"/>
        <v>0</v>
      </c>
      <c r="AB194" s="232" t="s">
        <v>1117</v>
      </c>
    </row>
    <row r="196" spans="1:28" ht="12.75" customHeight="1">
      <c r="A196" s="429" t="s">
        <v>494</v>
      </c>
      <c r="B196" s="6" t="s">
        <v>72</v>
      </c>
      <c r="C196" s="6"/>
      <c r="D196" s="6"/>
      <c r="E196" s="6"/>
      <c r="F196" s="6"/>
      <c r="G196" s="6"/>
      <c r="H196" s="11"/>
      <c r="I196" s="11"/>
      <c r="J196" s="11"/>
      <c r="K196" s="11"/>
      <c r="L196" s="11"/>
      <c r="M196" s="11"/>
      <c r="N196" s="11"/>
      <c r="O196" s="11"/>
      <c r="P196" s="11"/>
      <c r="Q196" s="11"/>
      <c r="T196" s="429" t="s">
        <v>494</v>
      </c>
      <c r="U196" s="11"/>
      <c r="V196" s="11"/>
      <c r="W196" s="11"/>
      <c r="X196" s="11"/>
      <c r="Y196" s="11"/>
      <c r="Z196" s="11"/>
      <c r="AA196" s="11"/>
      <c r="AB196" s="11"/>
    </row>
    <row r="197" spans="1:28" ht="26.4">
      <c r="A197" s="429"/>
      <c r="B197" s="3" t="s">
        <v>466</v>
      </c>
      <c r="C197" s="3" t="s">
        <v>495</v>
      </c>
      <c r="D197" s="3" t="s">
        <v>496</v>
      </c>
      <c r="E197" s="3" t="s">
        <v>469</v>
      </c>
      <c r="H197" s="3" t="s">
        <v>470</v>
      </c>
      <c r="I197" s="3">
        <v>5.4</v>
      </c>
      <c r="K197" s="3">
        <v>6.7745197938144335</v>
      </c>
      <c r="N197" s="3">
        <f>AVERAGE(J197:M197)</f>
        <v>6.7745197938144335</v>
      </c>
      <c r="P197" s="3">
        <f>COUNT(J197:M197)</f>
        <v>1</v>
      </c>
      <c r="Q197" s="3" t="s">
        <v>1127</v>
      </c>
      <c r="T197" s="429"/>
      <c r="V197" s="3">
        <v>6.6718600000000006</v>
      </c>
      <c r="Y197" s="3">
        <f>AVERAGE(U197:X197)</f>
        <v>6.6718600000000006</v>
      </c>
      <c r="AA197" s="3">
        <f>COUNT(U197:X197)</f>
        <v>1</v>
      </c>
      <c r="AB197" s="3" t="s">
        <v>1099</v>
      </c>
    </row>
    <row r="198" spans="1:28" ht="26.4">
      <c r="A198" s="429"/>
      <c r="H198" s="8" t="s">
        <v>471</v>
      </c>
      <c r="I198" s="8">
        <v>0.15</v>
      </c>
      <c r="J198" s="8"/>
      <c r="K198" s="8">
        <v>0.25459628865979383</v>
      </c>
      <c r="L198" s="8"/>
      <c r="M198" s="8"/>
      <c r="N198" s="8">
        <f>AVERAGE(J198:M198)</f>
        <v>0.25459628865979383</v>
      </c>
      <c r="O198" s="8"/>
      <c r="P198" s="8">
        <f>COUNT(J198:M198)</f>
        <v>1</v>
      </c>
      <c r="Q198" s="8" t="s">
        <v>1121</v>
      </c>
      <c r="T198" s="429"/>
      <c r="U198" s="8"/>
      <c r="V198" s="8">
        <v>0.21866536082474228</v>
      </c>
      <c r="W198" s="8"/>
      <c r="X198" s="8"/>
      <c r="Y198" s="8">
        <f>AVERAGE(U198:X198)</f>
        <v>0.21866536082474228</v>
      </c>
      <c r="Z198" s="8"/>
      <c r="AA198" s="8">
        <f>COUNT(U198:X198)</f>
        <v>1</v>
      </c>
      <c r="AB198" s="8" t="s">
        <v>1098</v>
      </c>
    </row>
    <row r="199" spans="1:28">
      <c r="A199" s="429"/>
      <c r="T199" s="429"/>
    </row>
    <row r="200" spans="1:28" ht="26.4">
      <c r="A200" s="429"/>
      <c r="B200" s="3" t="s">
        <v>466</v>
      </c>
      <c r="C200" s="3" t="s">
        <v>467</v>
      </c>
      <c r="D200" s="3" t="s">
        <v>497</v>
      </c>
      <c r="E200" s="3" t="s">
        <v>469</v>
      </c>
      <c r="H200" s="3" t="s">
        <v>470</v>
      </c>
      <c r="I200" s="3">
        <v>5.4</v>
      </c>
      <c r="K200" s="3">
        <v>8.12038969072165</v>
      </c>
      <c r="N200" s="3">
        <f>AVERAGE(J200:M200)</f>
        <v>8.12038969072165</v>
      </c>
      <c r="P200" s="3">
        <f>COUNT(J200:M200)</f>
        <v>1</v>
      </c>
      <c r="Q200" s="3" t="s">
        <v>1082</v>
      </c>
      <c r="T200" s="429"/>
      <c r="V200" s="3">
        <v>8.0834321649484533</v>
      </c>
      <c r="Y200" s="3">
        <f>AVERAGE(U200:X200)</f>
        <v>8.0834321649484533</v>
      </c>
      <c r="AA200" s="3">
        <f>COUNT(U200:X200)</f>
        <v>1</v>
      </c>
      <c r="AB200" s="3" t="s">
        <v>1082</v>
      </c>
    </row>
    <row r="201" spans="1:28" ht="26.4">
      <c r="A201" s="429"/>
      <c r="H201" s="8" t="s">
        <v>471</v>
      </c>
      <c r="I201" s="8">
        <v>0.15</v>
      </c>
      <c r="J201" s="8"/>
      <c r="K201" s="8">
        <v>0.38805402061855676</v>
      </c>
      <c r="L201" s="8"/>
      <c r="M201" s="8"/>
      <c r="N201" s="8">
        <f>AVERAGE(J201:M201)</f>
        <v>0.38805402061855676</v>
      </c>
      <c r="O201" s="8"/>
      <c r="P201" s="8">
        <f>COUNT(J201:M201)</f>
        <v>1</v>
      </c>
      <c r="Q201" s="8" t="s">
        <v>1082</v>
      </c>
      <c r="T201" s="429"/>
      <c r="U201" s="206"/>
      <c r="V201" s="206">
        <v>0.32337835051546393</v>
      </c>
      <c r="W201" s="206"/>
      <c r="X201" s="206"/>
      <c r="Y201" s="206">
        <f>AVERAGE(U201:X201)</f>
        <v>0.32337835051546393</v>
      </c>
      <c r="Z201" s="206"/>
      <c r="AA201" s="206">
        <f>COUNT(U201:X201)</f>
        <v>1</v>
      </c>
      <c r="AB201" s="206" t="s">
        <v>1121</v>
      </c>
    </row>
    <row r="202" spans="1:28">
      <c r="A202" s="429"/>
      <c r="T202" s="429"/>
    </row>
    <row r="203" spans="1:28" ht="26.4">
      <c r="A203" s="429"/>
      <c r="B203" s="3" t="s">
        <v>466</v>
      </c>
      <c r="C203" s="3" t="s">
        <v>467</v>
      </c>
      <c r="D203" s="3" t="s">
        <v>498</v>
      </c>
      <c r="E203" s="3" t="s">
        <v>469</v>
      </c>
      <c r="H203" s="3" t="s">
        <v>470</v>
      </c>
      <c r="I203" s="3">
        <v>5.4</v>
      </c>
      <c r="K203" s="3">
        <v>8.8277156701030943</v>
      </c>
      <c r="N203" s="3">
        <f>AVERAGE(J203:M203)</f>
        <v>8.8277156701030943</v>
      </c>
      <c r="P203" s="3">
        <f>COUNT(J203:M203)</f>
        <v>1</v>
      </c>
      <c r="Q203" s="3" t="s">
        <v>1082</v>
      </c>
      <c r="T203" s="429"/>
      <c r="U203" s="3">
        <v>9.6639999999999997</v>
      </c>
      <c r="V203" s="3">
        <v>8.7958911340206196</v>
      </c>
      <c r="Y203" s="3">
        <f>AVERAGE(U203:X203)</f>
        <v>9.2299455670103097</v>
      </c>
      <c r="Z203" s="3">
        <f>_xlfn.STDEV.S(U203:X203)</f>
        <v>0.61384566594218348</v>
      </c>
      <c r="AA203" s="3">
        <f>COUNT(U203:X203)</f>
        <v>2</v>
      </c>
      <c r="AB203" s="3" t="s">
        <v>1121</v>
      </c>
    </row>
    <row r="204" spans="1:28" ht="26.4">
      <c r="A204" s="429"/>
      <c r="H204" s="8" t="s">
        <v>471</v>
      </c>
      <c r="I204" s="8">
        <v>0.15</v>
      </c>
      <c r="J204" s="8"/>
      <c r="K204" s="8">
        <v>0.45170309278350518</v>
      </c>
      <c r="L204" s="8"/>
      <c r="M204" s="8"/>
      <c r="N204" s="8">
        <f>AVERAGE(J204:M204)</f>
        <v>0.45170309278350518</v>
      </c>
      <c r="O204" s="8"/>
      <c r="P204" s="8">
        <f>COUNT(J204:M204)</f>
        <v>1</v>
      </c>
      <c r="Q204" s="8" t="s">
        <v>1085</v>
      </c>
      <c r="T204" s="429"/>
      <c r="U204" s="8">
        <v>0.47699999999999998</v>
      </c>
      <c r="V204" s="8">
        <v>0.37470824742268044</v>
      </c>
      <c r="W204" s="8"/>
      <c r="X204" s="8"/>
      <c r="Y204" s="8">
        <f>AVERAGE(U204:X204)</f>
        <v>0.42585412371134024</v>
      </c>
      <c r="Z204" s="8">
        <f>_xlfn.STDEV.S(U204:X204)</f>
        <v>7.2331191906879019E-2</v>
      </c>
      <c r="AA204" s="8">
        <f>COUNT(U204:X204)</f>
        <v>2</v>
      </c>
      <c r="AB204" s="8" t="s">
        <v>1121</v>
      </c>
    </row>
    <row r="205" spans="1:28">
      <c r="A205" s="429"/>
      <c r="T205" s="429"/>
    </row>
    <row r="206" spans="1:28" ht="26.4">
      <c r="A206" s="429"/>
      <c r="B206" s="3" t="s">
        <v>466</v>
      </c>
      <c r="C206" s="3" t="s">
        <v>473</v>
      </c>
      <c r="D206" s="3" t="s">
        <v>499</v>
      </c>
      <c r="E206" s="3" t="s">
        <v>469</v>
      </c>
      <c r="H206" s="3" t="s">
        <v>470</v>
      </c>
      <c r="I206" s="3">
        <v>5.4</v>
      </c>
      <c r="P206" s="3">
        <f>COUNT(J206:M206)</f>
        <v>0</v>
      </c>
      <c r="Q206" s="3" t="s">
        <v>1089</v>
      </c>
      <c r="T206" s="429"/>
      <c r="AA206" s="3">
        <f>COUNT(U206:X206)</f>
        <v>0</v>
      </c>
      <c r="AB206" s="3" t="s">
        <v>1092</v>
      </c>
    </row>
    <row r="207" spans="1:28" ht="26.4">
      <c r="A207" s="429"/>
      <c r="H207" s="8" t="s">
        <v>471</v>
      </c>
      <c r="I207" s="8">
        <v>0.15</v>
      </c>
      <c r="J207" s="8"/>
      <c r="K207" s="8"/>
      <c r="L207" s="8"/>
      <c r="M207" s="8"/>
      <c r="N207" s="8"/>
      <c r="O207" s="8"/>
      <c r="P207" s="8">
        <f>COUNT(J207:M207)</f>
        <v>0</v>
      </c>
      <c r="Q207" s="8" t="s">
        <v>1126</v>
      </c>
      <c r="T207" s="429"/>
      <c r="U207" s="8"/>
      <c r="V207" s="8"/>
      <c r="W207" s="8"/>
      <c r="X207" s="8"/>
      <c r="Y207" s="8"/>
      <c r="Z207" s="8"/>
      <c r="AA207" s="8">
        <f>COUNT(U207:X207)</f>
        <v>0</v>
      </c>
      <c r="AB207" s="8" t="s">
        <v>1126</v>
      </c>
    </row>
    <row r="208" spans="1:28">
      <c r="A208" s="429"/>
      <c r="T208" s="429"/>
    </row>
    <row r="209" spans="1:28" ht="26.4">
      <c r="A209" s="429"/>
      <c r="B209" s="3" t="s">
        <v>466</v>
      </c>
      <c r="C209" s="3" t="s">
        <v>475</v>
      </c>
      <c r="D209" s="3" t="s">
        <v>499</v>
      </c>
      <c r="E209" s="3" t="s">
        <v>469</v>
      </c>
      <c r="H209" s="3" t="s">
        <v>470</v>
      </c>
      <c r="I209" s="3">
        <v>5.4</v>
      </c>
      <c r="P209" s="3">
        <f>COUNT(J209:M209)</f>
        <v>0</v>
      </c>
      <c r="Q209" s="3" t="s">
        <v>1089</v>
      </c>
      <c r="T209" s="429"/>
      <c r="AA209" s="3">
        <f>COUNT(U209:X209)</f>
        <v>0</v>
      </c>
      <c r="AB209" s="3" t="s">
        <v>1092</v>
      </c>
    </row>
    <row r="210" spans="1:28" ht="26.4">
      <c r="A210" s="429"/>
      <c r="H210" s="8" t="s">
        <v>471</v>
      </c>
      <c r="I210" s="8">
        <v>0.15</v>
      </c>
      <c r="J210" s="8"/>
      <c r="K210" s="8"/>
      <c r="L210" s="8"/>
      <c r="M210" s="8"/>
      <c r="N210" s="8"/>
      <c r="O210" s="8"/>
      <c r="P210" s="8">
        <f>COUNT(J210:M210)</f>
        <v>0</v>
      </c>
      <c r="Q210" s="8" t="s">
        <v>1089</v>
      </c>
      <c r="T210" s="429"/>
      <c r="U210" s="8"/>
      <c r="V210" s="8"/>
      <c r="W210" s="8"/>
      <c r="X210" s="8"/>
      <c r="Y210" s="8"/>
      <c r="Z210" s="8"/>
      <c r="AA210" s="8">
        <f>COUNT(U210:X210)</f>
        <v>0</v>
      </c>
      <c r="AB210" s="8" t="s">
        <v>1092</v>
      </c>
    </row>
    <row r="211" spans="1:28">
      <c r="A211" s="429"/>
      <c r="T211" s="429"/>
    </row>
    <row r="212" spans="1:28" ht="26.4">
      <c r="A212" s="429"/>
      <c r="B212" s="3" t="s">
        <v>466</v>
      </c>
      <c r="C212" s="3" t="s">
        <v>495</v>
      </c>
      <c r="D212" s="9" t="s">
        <v>500</v>
      </c>
      <c r="E212" s="3" t="s">
        <v>469</v>
      </c>
      <c r="H212" s="3" t="s">
        <v>470</v>
      </c>
      <c r="I212" s="3">
        <v>5.4</v>
      </c>
      <c r="P212" s="3">
        <f>COUNT(J212:M212)</f>
        <v>0</v>
      </c>
      <c r="Q212" s="3" t="s">
        <v>1126</v>
      </c>
      <c r="T212" s="429"/>
      <c r="AA212" s="3">
        <f>COUNT(U212:X212)</f>
        <v>0</v>
      </c>
      <c r="AB212" s="3" t="s">
        <v>1092</v>
      </c>
    </row>
    <row r="213" spans="1:28" ht="26.4">
      <c r="A213" s="429"/>
      <c r="H213" s="8" t="s">
        <v>471</v>
      </c>
      <c r="I213" s="8">
        <v>0.15</v>
      </c>
      <c r="J213" s="8"/>
      <c r="K213" s="8"/>
      <c r="L213" s="8"/>
      <c r="M213" s="8"/>
      <c r="N213" s="8"/>
      <c r="O213" s="8"/>
      <c r="P213" s="8">
        <f>COUNT(J213:M213)</f>
        <v>0</v>
      </c>
      <c r="Q213" s="8" t="s">
        <v>1128</v>
      </c>
      <c r="T213" s="429"/>
      <c r="U213" s="8"/>
      <c r="V213" s="8"/>
      <c r="W213" s="8"/>
      <c r="X213" s="8"/>
      <c r="Y213" s="8"/>
      <c r="Z213" s="8"/>
      <c r="AA213" s="8">
        <f>COUNT(U213:X213)</f>
        <v>0</v>
      </c>
      <c r="AB213" s="8" t="s">
        <v>1128</v>
      </c>
    </row>
    <row r="214" spans="1:28">
      <c r="A214" s="429"/>
      <c r="T214" s="429"/>
    </row>
    <row r="215" spans="1:28" ht="26.4">
      <c r="A215" s="429"/>
      <c r="B215" s="3" t="s">
        <v>466</v>
      </c>
      <c r="C215" s="3" t="s">
        <v>495</v>
      </c>
      <c r="D215" s="3" t="s">
        <v>501</v>
      </c>
      <c r="E215" s="3" t="s">
        <v>469</v>
      </c>
      <c r="H215" s="3" t="s">
        <v>470</v>
      </c>
      <c r="I215" s="3">
        <v>5.4</v>
      </c>
      <c r="P215" s="3">
        <f>COUNT(J215:M215)</f>
        <v>0</v>
      </c>
      <c r="Q215" s="3" t="s">
        <v>1089</v>
      </c>
      <c r="T215" s="429"/>
      <c r="AA215" s="3">
        <f>COUNT(U215:X215)</f>
        <v>0</v>
      </c>
      <c r="AB215" s="3" t="s">
        <v>1117</v>
      </c>
    </row>
    <row r="216" spans="1:28" ht="26.4">
      <c r="A216" s="429"/>
      <c r="H216" s="8" t="s">
        <v>471</v>
      </c>
      <c r="I216" s="8">
        <v>0.15</v>
      </c>
      <c r="J216" s="8"/>
      <c r="K216" s="8"/>
      <c r="L216" s="8"/>
      <c r="M216" s="8"/>
      <c r="N216" s="8"/>
      <c r="O216" s="8"/>
      <c r="P216" s="8">
        <f>COUNT(J216:M216)</f>
        <v>0</v>
      </c>
      <c r="Q216" s="8" t="s">
        <v>1092</v>
      </c>
      <c r="T216" s="429"/>
      <c r="U216" s="8"/>
      <c r="V216" s="8"/>
      <c r="W216" s="8"/>
      <c r="X216" s="8"/>
      <c r="Y216" s="8"/>
      <c r="Z216" s="8"/>
      <c r="AA216" s="8">
        <f>COUNT(U216:X216)</f>
        <v>0</v>
      </c>
      <c r="AB216" s="8" t="s">
        <v>1117</v>
      </c>
    </row>
    <row r="217" spans="1:28">
      <c r="A217" s="429"/>
      <c r="T217" s="429"/>
    </row>
    <row r="218" spans="1:28" ht="26.4">
      <c r="A218" s="429"/>
      <c r="B218" s="3" t="s">
        <v>466</v>
      </c>
      <c r="C218" s="3" t="s">
        <v>502</v>
      </c>
      <c r="D218" s="3" t="s">
        <v>503</v>
      </c>
      <c r="E218" s="3" t="s">
        <v>469</v>
      </c>
      <c r="H218" s="3" t="s">
        <v>470</v>
      </c>
      <c r="I218" s="3">
        <v>5.4</v>
      </c>
      <c r="P218" s="3">
        <f>COUNT(J218:M218)</f>
        <v>0</v>
      </c>
      <c r="Q218" s="3" t="s">
        <v>1093</v>
      </c>
      <c r="T218" s="429"/>
      <c r="AA218" s="3">
        <f>COUNT(U218:X218)</f>
        <v>0</v>
      </c>
      <c r="AB218" s="3" t="s">
        <v>1117</v>
      </c>
    </row>
    <row r="219" spans="1:28" ht="26.4">
      <c r="A219" s="429"/>
      <c r="H219" s="8" t="s">
        <v>471</v>
      </c>
      <c r="I219" s="8">
        <v>0.15</v>
      </c>
      <c r="J219" s="8"/>
      <c r="K219" s="8"/>
      <c r="L219" s="8"/>
      <c r="M219" s="8"/>
      <c r="N219" s="8"/>
      <c r="O219" s="8"/>
      <c r="P219" s="8">
        <f>COUNT(J219:M219)</f>
        <v>0</v>
      </c>
      <c r="Q219" s="8" t="s">
        <v>1124</v>
      </c>
      <c r="T219" s="429"/>
      <c r="U219" s="8"/>
      <c r="V219" s="8"/>
      <c r="W219" s="8"/>
      <c r="X219" s="8"/>
      <c r="Y219" s="8"/>
      <c r="Z219" s="8"/>
      <c r="AA219" s="8">
        <f>COUNT(U219:X219)</f>
        <v>0</v>
      </c>
      <c r="AB219" s="8" t="s">
        <v>1092</v>
      </c>
    </row>
    <row r="220" spans="1:28" ht="26.4">
      <c r="A220" s="429"/>
      <c r="B220" s="247" t="s">
        <v>619</v>
      </c>
      <c r="C220" s="247" t="s">
        <v>667</v>
      </c>
      <c r="D220" s="247" t="s">
        <v>662</v>
      </c>
      <c r="E220" s="247" t="s">
        <v>469</v>
      </c>
      <c r="H220" s="3" t="s">
        <v>470</v>
      </c>
      <c r="I220" s="3">
        <v>5.4</v>
      </c>
      <c r="P220" s="3">
        <f>COUNT(J220:M220)</f>
        <v>0</v>
      </c>
      <c r="Q220" s="3" t="s">
        <v>1123</v>
      </c>
      <c r="T220" s="429"/>
      <c r="AA220" s="3">
        <f>COUNT(U220:X220)</f>
        <v>0</v>
      </c>
      <c r="AB220" s="3" t="s">
        <v>1089</v>
      </c>
    </row>
    <row r="221" spans="1:28" ht="26.4">
      <c r="A221" s="429"/>
      <c r="H221" s="8" t="s">
        <v>471</v>
      </c>
      <c r="I221" s="8">
        <v>0.15</v>
      </c>
      <c r="J221" s="8"/>
      <c r="K221" s="8"/>
      <c r="L221" s="8"/>
      <c r="M221" s="8"/>
      <c r="N221" s="8"/>
      <c r="O221" s="8"/>
      <c r="P221" s="8">
        <f>COUNT(J221:M221)</f>
        <v>0</v>
      </c>
      <c r="Q221" s="8" t="s">
        <v>1089</v>
      </c>
      <c r="T221" s="429"/>
      <c r="U221" s="232"/>
      <c r="V221" s="232"/>
      <c r="W221" s="232"/>
      <c r="X221" s="232"/>
      <c r="Y221" s="232"/>
      <c r="Z221" s="232"/>
      <c r="AA221" s="232">
        <f>COUNT(U221:X221)</f>
        <v>0</v>
      </c>
      <c r="AB221" s="232" t="s">
        <v>1092</v>
      </c>
    </row>
    <row r="222" spans="1:28">
      <c r="A222" s="429"/>
      <c r="T222" s="429"/>
    </row>
    <row r="223" spans="1:28">
      <c r="A223" s="429"/>
      <c r="B223" s="6" t="s">
        <v>73</v>
      </c>
      <c r="C223" s="6"/>
      <c r="D223" s="6"/>
      <c r="E223" s="6"/>
      <c r="F223" s="6"/>
      <c r="G223" s="6"/>
      <c r="H223" s="11"/>
      <c r="I223" s="11"/>
      <c r="J223" s="11"/>
      <c r="K223" s="11"/>
      <c r="L223" s="11"/>
      <c r="M223" s="11"/>
      <c r="N223" s="11"/>
      <c r="O223" s="11"/>
      <c r="P223" s="11"/>
      <c r="Q223" s="11"/>
      <c r="T223" s="429"/>
      <c r="U223" s="11"/>
      <c r="V223" s="11"/>
      <c r="W223" s="11"/>
      <c r="X223" s="11"/>
      <c r="Y223" s="11"/>
      <c r="Z223" s="11"/>
      <c r="AA223" s="11"/>
      <c r="AB223" s="11"/>
    </row>
    <row r="224" spans="1:28" ht="26.4">
      <c r="A224" s="429"/>
      <c r="B224" s="3" t="s">
        <v>466</v>
      </c>
      <c r="C224" s="3" t="s">
        <v>467</v>
      </c>
      <c r="D224" s="9" t="s">
        <v>504</v>
      </c>
      <c r="E224" s="3" t="s">
        <v>483</v>
      </c>
      <c r="F224" s="3" t="s">
        <v>100</v>
      </c>
      <c r="H224" s="3" t="s">
        <v>470</v>
      </c>
      <c r="I224" s="3">
        <v>5.4</v>
      </c>
      <c r="K224" s="3">
        <v>6.1357579831932769</v>
      </c>
      <c r="N224" s="3">
        <f>AVERAGE(J224:M224)</f>
        <v>6.1357579831932769</v>
      </c>
      <c r="P224" s="3">
        <f>COUNT(J224:M224)</f>
        <v>1</v>
      </c>
      <c r="Q224" s="3" t="s">
        <v>1099</v>
      </c>
      <c r="T224" s="429"/>
      <c r="V224" s="3">
        <v>6.1053647058823524</v>
      </c>
      <c r="Y224" s="3">
        <f>AVERAGE(U224:X224)</f>
        <v>6.1053647058823524</v>
      </c>
      <c r="AA224" s="3">
        <f>COUNT(U224:X224)</f>
        <v>1</v>
      </c>
      <c r="AB224" s="3" t="s">
        <v>1121</v>
      </c>
    </row>
    <row r="225" spans="1:28" ht="26.4">
      <c r="A225" s="429"/>
      <c r="H225" s="8" t="s">
        <v>471</v>
      </c>
      <c r="I225" s="8">
        <v>0.15</v>
      </c>
      <c r="J225" s="8"/>
      <c r="K225" s="8">
        <v>0.27630252100840336</v>
      </c>
      <c r="L225" s="8"/>
      <c r="M225" s="8"/>
      <c r="N225" s="8">
        <f>AVERAGE(J225:M225)</f>
        <v>0.27630252100840336</v>
      </c>
      <c r="O225" s="8"/>
      <c r="P225" s="8">
        <f>COUNT(J225:M225)</f>
        <v>1</v>
      </c>
      <c r="Q225" s="8" t="s">
        <v>1125</v>
      </c>
      <c r="T225" s="429"/>
      <c r="U225" s="8"/>
      <c r="V225" s="8">
        <v>0.24959327731092437</v>
      </c>
      <c r="W225" s="8"/>
      <c r="X225" s="8"/>
      <c r="Y225" s="8">
        <f>AVERAGE(U225:X225)</f>
        <v>0.24959327731092437</v>
      </c>
      <c r="Z225" s="8"/>
      <c r="AA225" s="8">
        <f>COUNT(U225:X225)</f>
        <v>1</v>
      </c>
      <c r="AB225" s="8" t="s">
        <v>1121</v>
      </c>
    </row>
    <row r="226" spans="1:28">
      <c r="A226" s="13"/>
      <c r="T226" s="222"/>
    </row>
    <row r="227" spans="1:28" ht="26.4">
      <c r="A227" s="13"/>
      <c r="B227" s="3" t="s">
        <v>466</v>
      </c>
      <c r="C227" s="3" t="s">
        <v>467</v>
      </c>
      <c r="D227" s="9" t="s">
        <v>504</v>
      </c>
      <c r="E227" s="3" t="s">
        <v>469</v>
      </c>
      <c r="F227" s="3" t="s">
        <v>100</v>
      </c>
      <c r="H227" s="3" t="s">
        <v>470</v>
      </c>
      <c r="I227" s="3">
        <v>5.4</v>
      </c>
      <c r="K227" s="3">
        <v>6.5704775086505194</v>
      </c>
      <c r="N227" s="3">
        <f>AVERAGE(J227:M227)</f>
        <v>6.5704775086505194</v>
      </c>
      <c r="P227" s="3">
        <f>COUNT(J227:M227)</f>
        <v>1</v>
      </c>
      <c r="Q227" s="3" t="s">
        <v>1082</v>
      </c>
      <c r="T227" s="222"/>
      <c r="V227" s="3">
        <v>6.4782435986159168</v>
      </c>
      <c r="Y227" s="3">
        <f>AVERAGE(U227:X227)</f>
        <v>6.4782435986159168</v>
      </c>
      <c r="AA227" s="3">
        <f>COUNT(U227:X227)</f>
        <v>1</v>
      </c>
      <c r="AB227" s="3" t="s">
        <v>1134</v>
      </c>
    </row>
    <row r="228" spans="1:28" ht="26.4">
      <c r="A228" s="13"/>
      <c r="H228" s="8" t="s">
        <v>471</v>
      </c>
      <c r="I228" s="8">
        <v>0.15</v>
      </c>
      <c r="J228" s="8"/>
      <c r="K228" s="8">
        <v>0.27765259515570934</v>
      </c>
      <c r="L228" s="8"/>
      <c r="M228" s="8"/>
      <c r="N228" s="8">
        <f>AVERAGE(J228:M228)</f>
        <v>0.27765259515570934</v>
      </c>
      <c r="O228" s="8"/>
      <c r="P228" s="8">
        <f>COUNT(J228:M228)</f>
        <v>1</v>
      </c>
      <c r="Q228" s="8" t="s">
        <v>1082</v>
      </c>
      <c r="T228" s="222"/>
      <c r="U228" s="8"/>
      <c r="V228" s="8">
        <v>0.2462740484429066</v>
      </c>
      <c r="W228" s="8"/>
      <c r="X228" s="8"/>
      <c r="Y228" s="8">
        <f>AVERAGE(U228:X228)</f>
        <v>0.2462740484429066</v>
      </c>
      <c r="Z228" s="8"/>
      <c r="AA228" s="8">
        <f>COUNT(U228:X228)</f>
        <v>1</v>
      </c>
      <c r="AB228" s="8" t="s">
        <v>1121</v>
      </c>
    </row>
    <row r="229" spans="1:28">
      <c r="A229" s="13"/>
      <c r="T229" s="222"/>
    </row>
    <row r="230" spans="1:28" ht="26.4">
      <c r="A230" s="13"/>
      <c r="B230" s="3" t="s">
        <v>466</v>
      </c>
      <c r="C230" s="3" t="s">
        <v>479</v>
      </c>
      <c r="D230" s="3" t="s">
        <v>505</v>
      </c>
      <c r="E230" s="3" t="s">
        <v>483</v>
      </c>
      <c r="F230" s="3" t="s">
        <v>100</v>
      </c>
      <c r="H230" s="3" t="s">
        <v>470</v>
      </c>
      <c r="I230" s="3">
        <v>5.4</v>
      </c>
      <c r="K230" s="3">
        <v>7.0300571428571423</v>
      </c>
      <c r="N230" s="3">
        <f>AVERAGE(J230:M230)</f>
        <v>7.0300571428571423</v>
      </c>
      <c r="P230" s="3">
        <f>COUNT(J230:M230)</f>
        <v>1</v>
      </c>
      <c r="Q230" s="3" t="s">
        <v>1122</v>
      </c>
      <c r="T230" s="222"/>
      <c r="V230" s="3">
        <v>7.0005848739495793</v>
      </c>
      <c r="Y230" s="3">
        <f>AVERAGE(U230:X230)</f>
        <v>7.0005848739495793</v>
      </c>
      <c r="AA230" s="3">
        <f>COUNT(U230:X230)</f>
        <v>1</v>
      </c>
      <c r="AB230" s="3" t="s">
        <v>1134</v>
      </c>
    </row>
    <row r="231" spans="1:28" ht="26.4">
      <c r="A231" s="13"/>
      <c r="H231" s="8" t="s">
        <v>471</v>
      </c>
      <c r="I231" s="8">
        <v>0.15</v>
      </c>
      <c r="J231" s="8"/>
      <c r="K231" s="8">
        <v>0.35550924369747899</v>
      </c>
      <c r="L231" s="8"/>
      <c r="M231" s="8"/>
      <c r="N231" s="8">
        <f>AVERAGE(J231:M231)</f>
        <v>0.35550924369747899</v>
      </c>
      <c r="O231" s="8"/>
      <c r="P231" s="8">
        <f>COUNT(J231:M231)</f>
        <v>1</v>
      </c>
      <c r="Q231" s="8" t="s">
        <v>1121</v>
      </c>
      <c r="T231" s="14"/>
      <c r="U231" s="8"/>
      <c r="V231" s="8">
        <v>0.3251159663865546</v>
      </c>
      <c r="W231" s="8"/>
      <c r="X231" s="8"/>
      <c r="Y231" s="8">
        <f>AVERAGE(U231:X231)</f>
        <v>0.3251159663865546</v>
      </c>
      <c r="Z231" s="8"/>
      <c r="AA231" s="8">
        <f>COUNT(U231:X231)</f>
        <v>1</v>
      </c>
      <c r="AB231" s="8" t="s">
        <v>1134</v>
      </c>
    </row>
    <row r="232" spans="1:28">
      <c r="A232" s="13"/>
      <c r="T232" s="14"/>
    </row>
    <row r="233" spans="1:28" ht="26.4">
      <c r="A233" s="13"/>
      <c r="B233" s="3" t="s">
        <v>466</v>
      </c>
      <c r="C233" s="3" t="s">
        <v>479</v>
      </c>
      <c r="D233" s="3" t="s">
        <v>505</v>
      </c>
      <c r="E233" s="3" t="s">
        <v>469</v>
      </c>
      <c r="F233" s="3" t="s">
        <v>100</v>
      </c>
      <c r="H233" s="3" t="s">
        <v>470</v>
      </c>
      <c r="I233" s="3">
        <v>5.4</v>
      </c>
      <c r="K233" s="3">
        <v>7.4890131487889278</v>
      </c>
      <c r="N233" s="3">
        <f>AVERAGE(J233:M233)</f>
        <v>7.4890131487889278</v>
      </c>
      <c r="P233" s="3">
        <f>COUNT(J233:M233)</f>
        <v>1</v>
      </c>
      <c r="Q233" s="3" t="s">
        <v>1091</v>
      </c>
      <c r="T233" s="222"/>
      <c r="V233" s="3">
        <v>7.4747501730103805</v>
      </c>
      <c r="Y233" s="3">
        <f>AVERAGE(U233:X233)</f>
        <v>7.4747501730103805</v>
      </c>
      <c r="AA233" s="3">
        <f>COUNT(U233:X233)</f>
        <v>1</v>
      </c>
      <c r="AB233" s="3" t="s">
        <v>1134</v>
      </c>
    </row>
    <row r="234" spans="1:28" ht="26.4">
      <c r="A234" s="13"/>
      <c r="H234" s="8" t="s">
        <v>471</v>
      </c>
      <c r="I234" s="8">
        <v>0.15</v>
      </c>
      <c r="J234" s="8"/>
      <c r="K234" s="8">
        <v>0.35847612456747407</v>
      </c>
      <c r="L234" s="8"/>
      <c r="M234" s="8"/>
      <c r="N234" s="8">
        <f>AVERAGE(J234:M234)</f>
        <v>0.35847612456747407</v>
      </c>
      <c r="O234" s="8"/>
      <c r="P234" s="8">
        <f>COUNT(J234:M234)</f>
        <v>1</v>
      </c>
      <c r="Q234" s="8" t="s">
        <v>1082</v>
      </c>
      <c r="T234" s="14"/>
      <c r="U234" s="8"/>
      <c r="V234" s="8">
        <v>0.29476816608996542</v>
      </c>
      <c r="W234" s="8"/>
      <c r="X234" s="8"/>
      <c r="Y234" s="8">
        <f>AVERAGE(U234:X234)</f>
        <v>0.29476816608996542</v>
      </c>
      <c r="Z234" s="8"/>
      <c r="AA234" s="8">
        <f>COUNT(U234:X234)</f>
        <v>1</v>
      </c>
      <c r="AB234" s="8" t="s">
        <v>1121</v>
      </c>
    </row>
    <row r="235" spans="1:28">
      <c r="A235" s="13"/>
      <c r="T235" s="14"/>
    </row>
    <row r="236" spans="1:28" ht="26.4">
      <c r="A236" s="13"/>
      <c r="B236" s="3" t="s">
        <v>466</v>
      </c>
      <c r="C236" s="3" t="s">
        <v>467</v>
      </c>
      <c r="D236" s="3" t="s">
        <v>506</v>
      </c>
      <c r="E236" s="3" t="s">
        <v>483</v>
      </c>
      <c r="F236" s="3" t="s">
        <v>100</v>
      </c>
      <c r="H236" s="3" t="s">
        <v>470</v>
      </c>
      <c r="I236" s="3">
        <v>5.4</v>
      </c>
      <c r="K236" s="3">
        <v>6.7344134453781512</v>
      </c>
      <c r="N236" s="3">
        <f>AVERAGE(J236:M236)</f>
        <v>6.7344134453781512</v>
      </c>
      <c r="P236" s="3">
        <f>COUNT(J236:M236)</f>
        <v>1</v>
      </c>
      <c r="Q236" s="3" t="s">
        <v>1121</v>
      </c>
      <c r="T236" s="222"/>
      <c r="U236" s="3">
        <v>8.5229999999999997</v>
      </c>
      <c r="V236" s="3">
        <v>6.7500705882352934</v>
      </c>
      <c r="Y236" s="3">
        <f>AVERAGE(U236:X236)</f>
        <v>7.6365352941176461</v>
      </c>
      <c r="Z236" s="3">
        <f>_xlfn.STDEV.S(U236:X236)</f>
        <v>1.2536504096239038</v>
      </c>
      <c r="AA236" s="3">
        <f>COUNT(U236:X236)</f>
        <v>2</v>
      </c>
      <c r="AB236" s="3" t="s">
        <v>1134</v>
      </c>
    </row>
    <row r="237" spans="1:28" ht="26.4">
      <c r="A237" s="13"/>
      <c r="H237" s="8" t="s">
        <v>471</v>
      </c>
      <c r="I237" s="8">
        <v>0.15</v>
      </c>
      <c r="J237" s="8"/>
      <c r="K237" s="8">
        <v>0.33064201680672267</v>
      </c>
      <c r="L237" s="8"/>
      <c r="M237" s="8"/>
      <c r="N237" s="8">
        <f>AVERAGE(J237:M237)</f>
        <v>0.33064201680672267</v>
      </c>
      <c r="O237" s="8"/>
      <c r="P237" s="8">
        <f>COUNT(J237:M237)</f>
        <v>1</v>
      </c>
      <c r="Q237" s="8" t="s">
        <v>1121</v>
      </c>
      <c r="T237" s="14"/>
      <c r="U237" s="8">
        <v>0.4</v>
      </c>
      <c r="V237" s="8">
        <v>0.30945882352941179</v>
      </c>
      <c r="W237" s="8"/>
      <c r="X237" s="8"/>
      <c r="Y237" s="8">
        <f>AVERAGE(U237:X237)</f>
        <v>0.3547294117647059</v>
      </c>
      <c r="Z237" s="8">
        <f>_xlfn.STDEV.S(U237:X237)</f>
        <v>6.4022279858960973E-2</v>
      </c>
      <c r="AA237" s="8">
        <f>COUNT(U237:X237)</f>
        <v>2</v>
      </c>
      <c r="AB237" s="8" t="s">
        <v>1082</v>
      </c>
    </row>
    <row r="238" spans="1:28">
      <c r="A238" s="13"/>
      <c r="T238" s="14"/>
    </row>
    <row r="239" spans="1:28" ht="26.4">
      <c r="A239" s="13"/>
      <c r="B239" s="3" t="s">
        <v>466</v>
      </c>
      <c r="C239" s="3" t="s">
        <v>467</v>
      </c>
      <c r="D239" s="3" t="s">
        <v>506</v>
      </c>
      <c r="E239" s="3" t="s">
        <v>469</v>
      </c>
      <c r="F239" s="3" t="s">
        <v>100</v>
      </c>
      <c r="H239" s="3" t="s">
        <v>470</v>
      </c>
      <c r="I239" s="3">
        <v>5.4</v>
      </c>
      <c r="K239" s="3">
        <v>7.1980484429065745</v>
      </c>
      <c r="N239" s="3">
        <f>AVERAGE(J239:M239)</f>
        <v>7.1980484429065745</v>
      </c>
      <c r="P239" s="3">
        <f>COUNT(J239:M239)</f>
        <v>1</v>
      </c>
      <c r="Q239" s="3" t="s">
        <v>1125</v>
      </c>
      <c r="T239" s="222"/>
      <c r="U239" s="3">
        <v>8.2439999999999998</v>
      </c>
      <c r="V239" s="3">
        <v>7.1828346020761247</v>
      </c>
      <c r="Y239" s="3">
        <f>AVERAGE(U239:X239)</f>
        <v>7.7134173010380618</v>
      </c>
      <c r="Z239" s="3">
        <f>_xlfn.STDEV.S(U239:X239)</f>
        <v>0.75035724883249311</v>
      </c>
      <c r="AA239" s="3">
        <f>COUNT(U239:X239)</f>
        <v>2</v>
      </c>
      <c r="AB239" s="3" t="s">
        <v>1082</v>
      </c>
    </row>
    <row r="240" spans="1:28" ht="26.4">
      <c r="A240" s="13"/>
      <c r="H240" s="8" t="s">
        <v>471</v>
      </c>
      <c r="I240" s="8">
        <v>0.15</v>
      </c>
      <c r="J240" s="8"/>
      <c r="K240" s="8">
        <v>0.32329411764705884</v>
      </c>
      <c r="L240" s="8"/>
      <c r="M240" s="8"/>
      <c r="N240" s="8">
        <f>AVERAGE(J240:M240)</f>
        <v>0.32329411764705884</v>
      </c>
      <c r="O240" s="8"/>
      <c r="P240" s="8">
        <f>COUNT(J240:M240)</f>
        <v>1</v>
      </c>
      <c r="Q240" s="8" t="s">
        <v>1082</v>
      </c>
      <c r="T240" s="14"/>
      <c r="U240" s="8">
        <v>0.40100000000000002</v>
      </c>
      <c r="V240" s="8">
        <v>0.28811211072664361</v>
      </c>
      <c r="W240" s="8"/>
      <c r="X240" s="8"/>
      <c r="Y240" s="8">
        <f>AVERAGE(U240:X240)</f>
        <v>0.34455605536332179</v>
      </c>
      <c r="Z240" s="8">
        <f>_xlfn.STDEV.S(U240:X240)</f>
        <v>7.9823792019026688E-2</v>
      </c>
      <c r="AA240" s="8">
        <f>COUNT(U240:X240)</f>
        <v>2</v>
      </c>
      <c r="AB240" s="8" t="s">
        <v>1121</v>
      </c>
    </row>
    <row r="241" spans="1:28">
      <c r="A241" s="13"/>
      <c r="T241" s="14"/>
    </row>
    <row r="242" spans="1:28" ht="26.4">
      <c r="A242" s="13"/>
      <c r="B242" s="3" t="s">
        <v>466</v>
      </c>
      <c r="C242" s="3" t="s">
        <v>473</v>
      </c>
      <c r="D242" s="3" t="s">
        <v>507</v>
      </c>
      <c r="E242" s="3" t="s">
        <v>469</v>
      </c>
      <c r="F242" s="3" t="s">
        <v>101</v>
      </c>
      <c r="H242" s="3" t="s">
        <v>470</v>
      </c>
      <c r="I242" s="3">
        <v>5.4</v>
      </c>
      <c r="P242" s="3">
        <f>COUNT(J242:M242)</f>
        <v>0</v>
      </c>
      <c r="Q242" s="3" t="s">
        <v>1123</v>
      </c>
      <c r="T242" s="14"/>
      <c r="AA242" s="3">
        <f>COUNT(U242:X242)</f>
        <v>0</v>
      </c>
      <c r="AB242" s="3" t="s">
        <v>1100</v>
      </c>
    </row>
    <row r="243" spans="1:28" ht="26.4">
      <c r="A243" s="13"/>
      <c r="H243" s="8" t="s">
        <v>471</v>
      </c>
      <c r="I243" s="8">
        <v>0.15</v>
      </c>
      <c r="J243" s="8"/>
      <c r="K243" s="8"/>
      <c r="L243" s="8"/>
      <c r="M243" s="8"/>
      <c r="N243" s="8"/>
      <c r="O243" s="8"/>
      <c r="P243" s="8">
        <f>COUNT(J243:M243)</f>
        <v>0</v>
      </c>
      <c r="Q243" s="8" t="s">
        <v>1123</v>
      </c>
      <c r="T243" s="14"/>
      <c r="U243" s="8"/>
      <c r="V243" s="8"/>
      <c r="W243" s="8"/>
      <c r="X243" s="8"/>
      <c r="Y243" s="8"/>
      <c r="Z243" s="8"/>
      <c r="AA243" s="8">
        <f>COUNT(U243:X243)</f>
        <v>0</v>
      </c>
      <c r="AB243" s="8" t="s">
        <v>1092</v>
      </c>
    </row>
    <row r="244" spans="1:28">
      <c r="A244" s="13"/>
      <c r="T244" s="14"/>
    </row>
    <row r="245" spans="1:28" ht="26.4">
      <c r="A245" s="13"/>
      <c r="B245" s="3" t="s">
        <v>466</v>
      </c>
      <c r="C245" s="3" t="s">
        <v>495</v>
      </c>
      <c r="D245" s="9" t="s">
        <v>508</v>
      </c>
      <c r="E245" s="3" t="s">
        <v>469</v>
      </c>
      <c r="F245" s="9" t="s">
        <v>101</v>
      </c>
      <c r="G245" s="9"/>
      <c r="H245" s="3" t="s">
        <v>470</v>
      </c>
      <c r="I245" s="3">
        <v>5.4</v>
      </c>
      <c r="P245" s="3">
        <f>COUNT(J245:M245)</f>
        <v>0</v>
      </c>
      <c r="Q245" s="3" t="s">
        <v>1124</v>
      </c>
      <c r="T245" s="14"/>
      <c r="AA245" s="3">
        <f>COUNT(U245:X245)</f>
        <v>0</v>
      </c>
      <c r="AB245" s="3" t="s">
        <v>1089</v>
      </c>
    </row>
    <row r="246" spans="1:28" ht="26.4">
      <c r="A246" s="13"/>
      <c r="H246" s="8" t="s">
        <v>471</v>
      </c>
      <c r="I246" s="8">
        <v>0.15</v>
      </c>
      <c r="J246" s="8"/>
      <c r="K246" s="8"/>
      <c r="L246" s="8"/>
      <c r="M246" s="8"/>
      <c r="N246" s="8"/>
      <c r="O246" s="8"/>
      <c r="P246" s="8">
        <f>COUNT(J246:M246)</f>
        <v>0</v>
      </c>
      <c r="Q246" s="8" t="s">
        <v>1092</v>
      </c>
      <c r="T246" s="14"/>
      <c r="U246" s="8"/>
      <c r="V246" s="8"/>
      <c r="W246" s="8"/>
      <c r="X246" s="8"/>
      <c r="Y246" s="8"/>
      <c r="Z246" s="8"/>
      <c r="AA246" s="8">
        <f>COUNT(U246:X246)</f>
        <v>0</v>
      </c>
      <c r="AB246" s="8" t="s">
        <v>1126</v>
      </c>
    </row>
    <row r="247" spans="1:28">
      <c r="A247" s="13"/>
      <c r="T247" s="14"/>
    </row>
    <row r="248" spans="1:28" ht="26.4">
      <c r="A248" s="13"/>
      <c r="B248" s="3" t="s">
        <v>466</v>
      </c>
      <c r="C248" s="3" t="s">
        <v>495</v>
      </c>
      <c r="D248" s="9" t="s">
        <v>508</v>
      </c>
      <c r="E248" s="9" t="s">
        <v>483</v>
      </c>
      <c r="F248" s="9" t="s">
        <v>101</v>
      </c>
      <c r="G248" s="9"/>
      <c r="H248" s="3" t="s">
        <v>470</v>
      </c>
      <c r="I248" s="3">
        <v>5.4</v>
      </c>
      <c r="P248" s="3">
        <f>COUNT(J248:M248)</f>
        <v>0</v>
      </c>
      <c r="Q248" s="3" t="s">
        <v>1087</v>
      </c>
      <c r="T248" s="14"/>
      <c r="AA248" s="3">
        <f>COUNT(U248:X248)</f>
        <v>0</v>
      </c>
      <c r="AB248" s="3" t="s">
        <v>1092</v>
      </c>
    </row>
    <row r="249" spans="1:28" ht="26.4">
      <c r="A249" s="13"/>
      <c r="H249" s="8" t="s">
        <v>471</v>
      </c>
      <c r="I249" s="8">
        <v>0.15</v>
      </c>
      <c r="J249" s="8"/>
      <c r="K249" s="8"/>
      <c r="L249" s="8"/>
      <c r="M249" s="8"/>
      <c r="N249" s="8"/>
      <c r="O249" s="8"/>
      <c r="P249" s="8">
        <f>COUNT(J249:M249)</f>
        <v>0</v>
      </c>
      <c r="Q249" s="8" t="s">
        <v>1124</v>
      </c>
      <c r="T249" s="14"/>
      <c r="U249" s="8"/>
      <c r="V249" s="8"/>
      <c r="W249" s="8"/>
      <c r="X249" s="8"/>
      <c r="Y249" s="8"/>
      <c r="Z249" s="8"/>
      <c r="AA249" s="8">
        <f>COUNT(U249:X249)</f>
        <v>0</v>
      </c>
      <c r="AB249" s="8" t="s">
        <v>1126</v>
      </c>
    </row>
    <row r="250" spans="1:28">
      <c r="A250" s="13"/>
      <c r="H250" s="8"/>
      <c r="I250" s="8"/>
      <c r="J250" s="8"/>
      <c r="K250" s="8"/>
      <c r="L250" s="8"/>
      <c r="M250" s="8"/>
      <c r="N250" s="8"/>
      <c r="O250" s="8"/>
      <c r="P250" s="8"/>
      <c r="Q250" s="8"/>
      <c r="T250" s="14"/>
      <c r="U250" s="8"/>
      <c r="V250" s="8"/>
      <c r="W250" s="8"/>
      <c r="X250" s="8"/>
      <c r="Y250" s="8"/>
      <c r="Z250" s="8"/>
      <c r="AA250" s="8"/>
      <c r="AB250" s="8"/>
    </row>
    <row r="251" spans="1:28" ht="26.4">
      <c r="A251" s="13"/>
      <c r="B251" s="3" t="s">
        <v>466</v>
      </c>
      <c r="C251" s="3" t="s">
        <v>495</v>
      </c>
      <c r="D251" s="9" t="s">
        <v>509</v>
      </c>
      <c r="E251" s="3" t="s">
        <v>469</v>
      </c>
      <c r="F251" s="9" t="s">
        <v>101</v>
      </c>
      <c r="G251" s="9"/>
      <c r="H251" s="3" t="s">
        <v>470</v>
      </c>
      <c r="I251" s="3">
        <v>5.4</v>
      </c>
      <c r="P251" s="3">
        <f>COUNT(J251:M251)</f>
        <v>0</v>
      </c>
      <c r="Q251" s="3" t="s">
        <v>1124</v>
      </c>
      <c r="T251" s="14"/>
      <c r="AA251" s="3">
        <f>COUNT(U251:X251)</f>
        <v>0</v>
      </c>
      <c r="AB251" s="3" t="s">
        <v>1092</v>
      </c>
    </row>
    <row r="252" spans="1:28" ht="26.4">
      <c r="A252" s="13"/>
      <c r="H252" s="8" t="s">
        <v>471</v>
      </c>
      <c r="I252" s="8">
        <v>0.15</v>
      </c>
      <c r="J252" s="8"/>
      <c r="K252" s="8"/>
      <c r="L252" s="8"/>
      <c r="M252" s="8"/>
      <c r="N252" s="8"/>
      <c r="O252" s="8"/>
      <c r="P252" s="8">
        <f>COUNT(J252:M252)</f>
        <v>0</v>
      </c>
      <c r="Q252" s="8" t="s">
        <v>1126</v>
      </c>
      <c r="T252" s="14"/>
      <c r="U252" s="8"/>
      <c r="V252" s="8"/>
      <c r="W252" s="8"/>
      <c r="X252" s="8"/>
      <c r="Y252" s="8"/>
      <c r="Z252" s="8"/>
      <c r="AA252" s="8">
        <f>COUNT(U252:X252)</f>
        <v>0</v>
      </c>
      <c r="AB252" s="8" t="s">
        <v>1092</v>
      </c>
    </row>
    <row r="253" spans="1:28">
      <c r="A253" s="13"/>
      <c r="T253" s="14"/>
    </row>
    <row r="254" spans="1:28" ht="26.4">
      <c r="A254" s="13"/>
      <c r="B254" s="3" t="s">
        <v>466</v>
      </c>
      <c r="C254" s="3" t="s">
        <v>495</v>
      </c>
      <c r="D254" s="9" t="s">
        <v>509</v>
      </c>
      <c r="E254" s="9" t="s">
        <v>483</v>
      </c>
      <c r="F254" s="9" t="s">
        <v>101</v>
      </c>
      <c r="G254" s="9"/>
      <c r="H254" s="3" t="s">
        <v>470</v>
      </c>
      <c r="I254" s="3">
        <v>5.4</v>
      </c>
      <c r="P254" s="3">
        <f>COUNT(J254:M254)</f>
        <v>0</v>
      </c>
      <c r="Q254" s="3" t="s">
        <v>1126</v>
      </c>
      <c r="T254" s="14"/>
      <c r="AA254" s="3">
        <f>COUNT(U254:X254)</f>
        <v>0</v>
      </c>
      <c r="AB254" s="3" t="s">
        <v>1092</v>
      </c>
    </row>
    <row r="255" spans="1:28" ht="26.4">
      <c r="A255" s="13"/>
      <c r="H255" s="8" t="s">
        <v>471</v>
      </c>
      <c r="I255" s="8">
        <v>0.15</v>
      </c>
      <c r="J255" s="8"/>
      <c r="K255" s="8"/>
      <c r="L255" s="8"/>
      <c r="M255" s="8"/>
      <c r="N255" s="8"/>
      <c r="O255" s="8"/>
      <c r="P255" s="8">
        <f>COUNT(J255:M255)</f>
        <v>0</v>
      </c>
      <c r="Q255" s="8" t="s">
        <v>1092</v>
      </c>
      <c r="T255" s="14"/>
      <c r="U255" s="8"/>
      <c r="V255" s="8"/>
      <c r="W255" s="8"/>
      <c r="X255" s="8"/>
      <c r="Y255" s="8"/>
      <c r="Z255" s="8"/>
      <c r="AA255" s="8">
        <f>COUNT(U255:X255)</f>
        <v>0</v>
      </c>
      <c r="AB255" s="8" t="s">
        <v>1126</v>
      </c>
    </row>
    <row r="256" spans="1:28">
      <c r="A256" s="13"/>
      <c r="T256" s="14"/>
    </row>
    <row r="257" spans="1:28" ht="26.4">
      <c r="A257" s="13"/>
      <c r="B257" s="3" t="s">
        <v>466</v>
      </c>
      <c r="C257" s="3" t="s">
        <v>489</v>
      </c>
      <c r="D257" s="3" t="s">
        <v>510</v>
      </c>
      <c r="E257" s="3" t="s">
        <v>469</v>
      </c>
      <c r="F257" s="208" t="s">
        <v>531</v>
      </c>
      <c r="G257" s="9"/>
      <c r="H257" s="3" t="s">
        <v>470</v>
      </c>
      <c r="I257" s="3">
        <v>5.4</v>
      </c>
      <c r="J257" s="3">
        <v>7.2796419437340152</v>
      </c>
      <c r="N257" s="3">
        <f>AVERAGE(J257:M257)</f>
        <v>7.2796419437340152</v>
      </c>
      <c r="P257" s="3">
        <f>COUNT(J257:M257)</f>
        <v>1</v>
      </c>
      <c r="Q257" s="3" t="s">
        <v>1121</v>
      </c>
      <c r="T257" s="14"/>
      <c r="AA257" s="3">
        <f>COUNT(U257:X257)</f>
        <v>0</v>
      </c>
      <c r="AB257" s="3" t="s">
        <v>1126</v>
      </c>
    </row>
    <row r="258" spans="1:28" ht="26.4">
      <c r="A258" s="13"/>
      <c r="H258" s="8" t="s">
        <v>471</v>
      </c>
      <c r="I258" s="8">
        <v>0.15</v>
      </c>
      <c r="J258" s="8">
        <v>0.16338107416879799</v>
      </c>
      <c r="K258" s="8"/>
      <c r="L258" s="8"/>
      <c r="M258" s="8"/>
      <c r="N258" s="8">
        <f>AVERAGE(J258:M258)</f>
        <v>0.16338107416879799</v>
      </c>
      <c r="O258" s="8"/>
      <c r="P258" s="8">
        <f>COUNT(J258:M258)</f>
        <v>1</v>
      </c>
      <c r="Q258" s="8" t="s">
        <v>1121</v>
      </c>
      <c r="T258" s="14"/>
      <c r="U258" s="8"/>
      <c r="V258" s="8"/>
      <c r="W258" s="8"/>
      <c r="X258" s="8"/>
      <c r="Y258" s="8"/>
      <c r="Z258" s="8"/>
      <c r="AA258" s="8">
        <f>COUNT(U258:X258)</f>
        <v>0</v>
      </c>
      <c r="AB258" s="8" t="s">
        <v>1092</v>
      </c>
    </row>
    <row r="259" spans="1:28">
      <c r="A259" s="13"/>
      <c r="T259" s="14"/>
    </row>
    <row r="260" spans="1:28" ht="26.4">
      <c r="A260" s="13"/>
      <c r="B260" s="3" t="s">
        <v>466</v>
      </c>
      <c r="C260" s="3" t="s">
        <v>511</v>
      </c>
      <c r="D260" s="9" t="s">
        <v>504</v>
      </c>
      <c r="E260" s="3" t="s">
        <v>483</v>
      </c>
      <c r="F260" s="9" t="s">
        <v>101</v>
      </c>
      <c r="G260" s="9"/>
      <c r="H260" s="3" t="s">
        <v>470</v>
      </c>
      <c r="I260" s="3">
        <v>5.4</v>
      </c>
      <c r="P260" s="3">
        <f>COUNT(J260:M260)</f>
        <v>0</v>
      </c>
      <c r="Q260" s="3" t="s">
        <v>1092</v>
      </c>
      <c r="T260" s="14"/>
      <c r="AA260" s="3">
        <f>COUNT(U260:X260)</f>
        <v>0</v>
      </c>
      <c r="AB260" s="3" t="s">
        <v>1092</v>
      </c>
    </row>
    <row r="261" spans="1:28" ht="26.4">
      <c r="A261" s="13"/>
      <c r="H261" s="8" t="s">
        <v>471</v>
      </c>
      <c r="I261" s="8">
        <v>0.15</v>
      </c>
      <c r="J261" s="8"/>
      <c r="K261" s="8"/>
      <c r="L261" s="8"/>
      <c r="M261" s="8"/>
      <c r="N261" s="8"/>
      <c r="O261" s="8"/>
      <c r="P261" s="8">
        <f>COUNT(J261:M261)</f>
        <v>0</v>
      </c>
      <c r="Q261" s="8" t="s">
        <v>1126</v>
      </c>
      <c r="T261" s="14"/>
      <c r="U261" s="8"/>
      <c r="V261" s="8"/>
      <c r="W261" s="8"/>
      <c r="X261" s="8"/>
      <c r="Y261" s="8"/>
      <c r="Z261" s="8"/>
      <c r="AA261" s="8">
        <f>COUNT(U261:X261)</f>
        <v>0</v>
      </c>
      <c r="AB261" s="8" t="s">
        <v>1089</v>
      </c>
    </row>
    <row r="262" spans="1:28">
      <c r="A262" s="13"/>
      <c r="T262" s="14"/>
    </row>
    <row r="263" spans="1:28" ht="26.4">
      <c r="A263" s="13"/>
      <c r="B263" s="3" t="s">
        <v>466</v>
      </c>
      <c r="C263" s="3" t="s">
        <v>479</v>
      </c>
      <c r="D263" s="3" t="s">
        <v>505</v>
      </c>
      <c r="E263" s="3" t="s">
        <v>483</v>
      </c>
      <c r="F263" s="9" t="s">
        <v>101</v>
      </c>
      <c r="G263" s="9"/>
      <c r="H263" s="3" t="s">
        <v>470</v>
      </c>
      <c r="I263" s="3">
        <v>5.4</v>
      </c>
      <c r="P263" s="3">
        <f>COUNT(J263:M263)</f>
        <v>0</v>
      </c>
      <c r="Q263" s="3" t="s">
        <v>1089</v>
      </c>
      <c r="T263" s="429"/>
      <c r="AA263" s="3">
        <f>COUNT(U263:X263)</f>
        <v>0</v>
      </c>
      <c r="AB263" s="3" t="s">
        <v>1089</v>
      </c>
    </row>
    <row r="264" spans="1:28" ht="26.4">
      <c r="A264" s="429"/>
      <c r="H264" s="8" t="s">
        <v>471</v>
      </c>
      <c r="I264" s="8">
        <v>0.15</v>
      </c>
      <c r="J264" s="8"/>
      <c r="K264" s="8"/>
      <c r="L264" s="8"/>
      <c r="M264" s="8"/>
      <c r="N264" s="8"/>
      <c r="O264" s="8"/>
      <c r="P264" s="8">
        <f>COUNT(J264:M264)</f>
        <v>0</v>
      </c>
      <c r="Q264" s="8" t="s">
        <v>1092</v>
      </c>
      <c r="T264" s="429"/>
      <c r="U264" s="8"/>
      <c r="V264" s="8"/>
      <c r="W264" s="8"/>
      <c r="X264" s="8"/>
      <c r="Y264" s="8"/>
      <c r="Z264" s="8"/>
      <c r="AA264" s="8">
        <f>COUNT(U264:X264)</f>
        <v>0</v>
      </c>
      <c r="AB264" s="8" t="s">
        <v>1126</v>
      </c>
    </row>
    <row r="265" spans="1:28">
      <c r="A265" s="429"/>
      <c r="T265" s="429"/>
    </row>
    <row r="266" spans="1:28" ht="26.4">
      <c r="A266" s="429"/>
      <c r="B266" s="3" t="s">
        <v>466</v>
      </c>
      <c r="C266" s="3" t="s">
        <v>492</v>
      </c>
      <c r="D266" s="3" t="s">
        <v>512</v>
      </c>
      <c r="E266" s="3" t="s">
        <v>483</v>
      </c>
      <c r="F266" s="9" t="s">
        <v>104</v>
      </c>
      <c r="G266" s="9"/>
      <c r="H266" s="3" t="s">
        <v>470</v>
      </c>
      <c r="I266" s="3">
        <v>5.4</v>
      </c>
      <c r="P266" s="3">
        <f t="shared" ref="P266:P271" si="39">COUNT(J266:M266)</f>
        <v>0</v>
      </c>
      <c r="Q266" s="3" t="s">
        <v>1126</v>
      </c>
      <c r="T266" s="429"/>
      <c r="AA266" s="3">
        <f t="shared" ref="AA266:AA271" si="40">COUNT(U266:X266)</f>
        <v>0</v>
      </c>
      <c r="AB266" s="3" t="s">
        <v>1126</v>
      </c>
    </row>
    <row r="267" spans="1:28" ht="26.4">
      <c r="A267" s="13"/>
      <c r="H267" s="8" t="s">
        <v>471</v>
      </c>
      <c r="I267" s="8">
        <v>0.15</v>
      </c>
      <c r="J267" s="8"/>
      <c r="K267" s="8"/>
      <c r="L267" s="8"/>
      <c r="M267" s="8"/>
      <c r="N267" s="8"/>
      <c r="O267" s="8"/>
      <c r="P267" s="8">
        <f t="shared" si="39"/>
        <v>0</v>
      </c>
      <c r="Q267" s="8" t="s">
        <v>1126</v>
      </c>
      <c r="T267" s="14"/>
      <c r="U267" s="8"/>
      <c r="V267" s="8"/>
      <c r="W267" s="8"/>
      <c r="X267" s="8"/>
      <c r="Y267" s="8"/>
      <c r="Z267" s="8"/>
      <c r="AA267" s="8">
        <f t="shared" si="40"/>
        <v>0</v>
      </c>
      <c r="AB267" s="8" t="s">
        <v>1092</v>
      </c>
    </row>
    <row r="268" spans="1:28" ht="26.4">
      <c r="A268" s="222"/>
      <c r="B268" s="247" t="s">
        <v>466</v>
      </c>
      <c r="C268" s="247" t="s">
        <v>479</v>
      </c>
      <c r="D268" s="247" t="s">
        <v>505</v>
      </c>
      <c r="E268" s="247" t="s">
        <v>483</v>
      </c>
      <c r="F268" s="247" t="s">
        <v>580</v>
      </c>
      <c r="H268" s="3" t="s">
        <v>470</v>
      </c>
      <c r="I268" s="3">
        <v>5.4</v>
      </c>
      <c r="P268" s="3">
        <f t="shared" si="39"/>
        <v>0</v>
      </c>
      <c r="Q268" s="3" t="s">
        <v>1129</v>
      </c>
      <c r="T268" s="222"/>
      <c r="AA268" s="3">
        <f t="shared" si="40"/>
        <v>0</v>
      </c>
      <c r="AB268" s="3" t="s">
        <v>1126</v>
      </c>
    </row>
    <row r="269" spans="1:28" ht="26.4">
      <c r="A269" s="222"/>
      <c r="B269" s="247"/>
      <c r="C269" s="247"/>
      <c r="D269" s="247"/>
      <c r="E269" s="247"/>
      <c r="H269" s="8" t="s">
        <v>471</v>
      </c>
      <c r="I269" s="8">
        <v>0.15</v>
      </c>
      <c r="J269" s="8"/>
      <c r="K269" s="8"/>
      <c r="L269" s="8"/>
      <c r="M269" s="8"/>
      <c r="N269" s="8"/>
      <c r="O269" s="8"/>
      <c r="P269" s="8">
        <f t="shared" si="39"/>
        <v>0</v>
      </c>
      <c r="Q269" s="8" t="s">
        <v>1126</v>
      </c>
      <c r="T269" s="14"/>
      <c r="U269" s="12"/>
      <c r="V269" s="12"/>
      <c r="W269" s="12"/>
      <c r="X269" s="12"/>
      <c r="Y269" s="12"/>
      <c r="Z269" s="12"/>
      <c r="AA269" s="12">
        <f t="shared" si="40"/>
        <v>0</v>
      </c>
      <c r="AB269" s="12" t="s">
        <v>1126</v>
      </c>
    </row>
    <row r="270" spans="1:28" ht="26.4">
      <c r="A270" s="222"/>
      <c r="B270" s="247" t="s">
        <v>466</v>
      </c>
      <c r="C270" s="247" t="s">
        <v>479</v>
      </c>
      <c r="D270" s="247" t="s">
        <v>505</v>
      </c>
      <c r="E270" s="247" t="s">
        <v>483</v>
      </c>
      <c r="F270" s="247" t="s">
        <v>581</v>
      </c>
      <c r="H270" s="3" t="s">
        <v>470</v>
      </c>
      <c r="I270" s="3">
        <v>5.4</v>
      </c>
      <c r="P270" s="3">
        <f t="shared" si="39"/>
        <v>0</v>
      </c>
      <c r="Q270" s="3" t="s">
        <v>1092</v>
      </c>
      <c r="T270" s="222"/>
      <c r="AA270" s="3">
        <f t="shared" si="40"/>
        <v>0</v>
      </c>
      <c r="AB270" s="3" t="s">
        <v>1126</v>
      </c>
    </row>
    <row r="271" spans="1:28" ht="26.4">
      <c r="A271" s="222"/>
      <c r="H271" s="8" t="s">
        <v>471</v>
      </c>
      <c r="I271" s="8">
        <v>0.15</v>
      </c>
      <c r="J271" s="8"/>
      <c r="K271" s="8"/>
      <c r="L271" s="8"/>
      <c r="M271" s="8"/>
      <c r="N271" s="8"/>
      <c r="O271" s="8"/>
      <c r="P271" s="8">
        <f t="shared" si="39"/>
        <v>0</v>
      </c>
      <c r="Q271" s="8" t="s">
        <v>1092</v>
      </c>
      <c r="T271" s="14"/>
      <c r="U271" s="12"/>
      <c r="V271" s="12"/>
      <c r="W271" s="12"/>
      <c r="X271" s="12"/>
      <c r="Y271" s="12"/>
      <c r="Z271" s="12"/>
      <c r="AA271" s="12">
        <f t="shared" si="40"/>
        <v>0</v>
      </c>
      <c r="AB271" s="12" t="s">
        <v>1092</v>
      </c>
    </row>
    <row r="272" spans="1:28">
      <c r="A272" s="279"/>
      <c r="H272" s="8"/>
      <c r="I272" s="8"/>
      <c r="J272" s="8"/>
      <c r="K272" s="8"/>
      <c r="L272" s="8"/>
      <c r="M272" s="8"/>
      <c r="N272" s="8"/>
      <c r="O272" s="8"/>
      <c r="P272" s="8"/>
      <c r="Q272" s="8"/>
      <c r="T272" s="279"/>
      <c r="U272" s="232"/>
      <c r="V272" s="232"/>
      <c r="W272" s="232"/>
      <c r="X272" s="232"/>
      <c r="Y272" s="232"/>
      <c r="Z272" s="232"/>
      <c r="AA272" s="232"/>
      <c r="AB272" s="232"/>
    </row>
    <row r="273" spans="1:28" s="247" customFormat="1" ht="26.4">
      <c r="A273" s="301"/>
      <c r="B273" s="247" t="s">
        <v>466</v>
      </c>
      <c r="C273" s="247" t="s">
        <v>719</v>
      </c>
      <c r="D273" s="247" t="s">
        <v>720</v>
      </c>
      <c r="E273" s="247" t="s">
        <v>469</v>
      </c>
      <c r="F273" s="247" t="s">
        <v>101</v>
      </c>
      <c r="H273" s="247" t="s">
        <v>470</v>
      </c>
      <c r="I273" s="247">
        <v>5.4</v>
      </c>
      <c r="P273" s="247">
        <f t="shared" ref="P273:P282" si="41">COUNT(J273:M273)</f>
        <v>0</v>
      </c>
      <c r="Q273" s="247" t="s">
        <v>1126</v>
      </c>
      <c r="T273" s="302"/>
      <c r="X273" s="247">
        <v>10.468999999999999</v>
      </c>
      <c r="Y273" s="247">
        <f t="shared" ref="Y273:Y278" si="42">AVERAGE(U273:X273)</f>
        <v>10.468999999999999</v>
      </c>
      <c r="AA273" s="247">
        <f t="shared" ref="AA273:AA282" si="43">COUNT(U273:X273)</f>
        <v>1</v>
      </c>
      <c r="AB273" s="247" t="s">
        <v>1082</v>
      </c>
    </row>
    <row r="274" spans="1:28" s="247" customFormat="1" ht="26.4">
      <c r="A274" s="301"/>
      <c r="H274" s="303" t="s">
        <v>471</v>
      </c>
      <c r="I274" s="303">
        <v>0.15</v>
      </c>
      <c r="J274" s="303"/>
      <c r="K274" s="303"/>
      <c r="L274" s="303"/>
      <c r="M274" s="303"/>
      <c r="N274" s="303"/>
      <c r="O274" s="303"/>
      <c r="P274" s="303">
        <f t="shared" si="41"/>
        <v>0</v>
      </c>
      <c r="Q274" s="303" t="s">
        <v>1126</v>
      </c>
      <c r="T274" s="302"/>
      <c r="U274" s="304"/>
      <c r="V274" s="304"/>
      <c r="W274" s="304"/>
      <c r="X274" s="304">
        <v>0.38300000000000001</v>
      </c>
      <c r="Y274" s="304">
        <f t="shared" si="42"/>
        <v>0.38300000000000001</v>
      </c>
      <c r="Z274" s="304"/>
      <c r="AA274" s="304">
        <f t="shared" si="43"/>
        <v>1</v>
      </c>
      <c r="AB274" s="304" t="s">
        <v>1121</v>
      </c>
    </row>
    <row r="275" spans="1:28" s="247" customFormat="1" ht="26.4">
      <c r="A275" s="301"/>
      <c r="B275" s="247" t="s">
        <v>466</v>
      </c>
      <c r="C275" s="247" t="s">
        <v>719</v>
      </c>
      <c r="D275" s="247" t="s">
        <v>720</v>
      </c>
      <c r="E275" s="247" t="s">
        <v>469</v>
      </c>
      <c r="F275" s="247" t="s">
        <v>721</v>
      </c>
      <c r="H275" s="247" t="s">
        <v>470</v>
      </c>
      <c r="I275" s="247">
        <v>5.4</v>
      </c>
      <c r="P275" s="247">
        <f t="shared" si="41"/>
        <v>0</v>
      </c>
      <c r="Q275" s="247" t="s">
        <v>1126</v>
      </c>
      <c r="T275" s="302"/>
      <c r="X275" s="247">
        <v>8.8629999999999995</v>
      </c>
      <c r="Y275" s="247">
        <f t="shared" si="42"/>
        <v>8.8629999999999995</v>
      </c>
      <c r="AA275" s="247">
        <f t="shared" si="43"/>
        <v>1</v>
      </c>
      <c r="AB275" s="247" t="s">
        <v>1121</v>
      </c>
    </row>
    <row r="276" spans="1:28" s="247" customFormat="1" ht="26.4">
      <c r="A276" s="301"/>
      <c r="H276" s="303" t="s">
        <v>471</v>
      </c>
      <c r="I276" s="303">
        <v>0.15</v>
      </c>
      <c r="J276" s="303"/>
      <c r="K276" s="303"/>
      <c r="L276" s="303"/>
      <c r="M276" s="303"/>
      <c r="N276" s="303"/>
      <c r="O276" s="303"/>
      <c r="P276" s="303">
        <f t="shared" si="41"/>
        <v>0</v>
      </c>
      <c r="Q276" s="303" t="s">
        <v>1089</v>
      </c>
      <c r="T276" s="302"/>
      <c r="U276" s="304"/>
      <c r="V276" s="304"/>
      <c r="W276" s="304"/>
      <c r="X276" s="304">
        <v>0.28100000000000003</v>
      </c>
      <c r="Y276" s="304">
        <f t="shared" si="42"/>
        <v>0.28100000000000003</v>
      </c>
      <c r="Z276" s="304"/>
      <c r="AA276" s="304">
        <f t="shared" si="43"/>
        <v>1</v>
      </c>
      <c r="AB276" s="304" t="s">
        <v>1121</v>
      </c>
    </row>
    <row r="277" spans="1:28" ht="38.25" customHeight="1">
      <c r="A277" s="316"/>
      <c r="B277" s="247" t="s">
        <v>619</v>
      </c>
      <c r="C277" s="247" t="s">
        <v>665</v>
      </c>
      <c r="D277" s="247" t="s">
        <v>629</v>
      </c>
      <c r="E277" s="247" t="s">
        <v>469</v>
      </c>
      <c r="F277" s="247" t="s">
        <v>595</v>
      </c>
      <c r="H277" s="3" t="s">
        <v>470</v>
      </c>
      <c r="I277" s="3">
        <v>5.4</v>
      </c>
      <c r="K277" s="3">
        <v>6.6479999999999997</v>
      </c>
      <c r="N277" s="3">
        <f>AVERAGE(J277:M277)</f>
        <v>6.6479999999999997</v>
      </c>
      <c r="P277" s="3">
        <f t="shared" si="41"/>
        <v>1</v>
      </c>
      <c r="Q277" s="3" t="s">
        <v>1121</v>
      </c>
      <c r="T277" s="316"/>
      <c r="V277" s="3">
        <v>6.5940000000000003</v>
      </c>
      <c r="Y277" s="3">
        <f t="shared" si="42"/>
        <v>6.5940000000000003</v>
      </c>
      <c r="AA277" s="3">
        <f t="shared" si="43"/>
        <v>1</v>
      </c>
      <c r="AB277" s="3" t="s">
        <v>1121</v>
      </c>
    </row>
    <row r="278" spans="1:28" ht="26.4">
      <c r="A278" s="316"/>
      <c r="H278" s="8" t="s">
        <v>471</v>
      </c>
      <c r="I278" s="8">
        <v>0.15</v>
      </c>
      <c r="J278" s="8"/>
      <c r="K278" s="8">
        <v>0.32500000000000001</v>
      </c>
      <c r="L278" s="8"/>
      <c r="M278" s="8"/>
      <c r="N278" s="8">
        <f>AVERAGE(J278:M278)</f>
        <v>0.32500000000000001</v>
      </c>
      <c r="O278" s="8"/>
      <c r="P278" s="8">
        <f t="shared" si="41"/>
        <v>1</v>
      </c>
      <c r="Q278" s="8" t="s">
        <v>1121</v>
      </c>
      <c r="T278" s="14"/>
      <c r="U278" s="12"/>
      <c r="V278" s="12">
        <v>0.29899999999999999</v>
      </c>
      <c r="W278" s="12"/>
      <c r="X278" s="12"/>
      <c r="Y278" s="12">
        <f t="shared" si="42"/>
        <v>0.29899999999999999</v>
      </c>
      <c r="Z278" s="12"/>
      <c r="AA278" s="12">
        <f t="shared" si="43"/>
        <v>1</v>
      </c>
      <c r="AB278" s="12" t="s">
        <v>1082</v>
      </c>
    </row>
    <row r="279" spans="1:28" ht="26.4">
      <c r="A279" s="316"/>
      <c r="B279" s="247" t="s">
        <v>619</v>
      </c>
      <c r="C279" s="247" t="s">
        <v>667</v>
      </c>
      <c r="D279" s="247" t="s">
        <v>663</v>
      </c>
      <c r="E279" s="247" t="s">
        <v>469</v>
      </c>
      <c r="F279" s="247" t="s">
        <v>659</v>
      </c>
      <c r="H279" s="3" t="s">
        <v>470</v>
      </c>
      <c r="I279" s="3">
        <v>5.4</v>
      </c>
      <c r="P279" s="3">
        <f t="shared" si="41"/>
        <v>0</v>
      </c>
      <c r="Q279" s="3" t="s">
        <v>1126</v>
      </c>
      <c r="T279" s="316"/>
      <c r="AA279" s="3">
        <f t="shared" si="43"/>
        <v>0</v>
      </c>
      <c r="AB279" s="3" t="s">
        <v>1126</v>
      </c>
    </row>
    <row r="280" spans="1:28" ht="26.4">
      <c r="A280" s="316"/>
      <c r="H280" s="8" t="s">
        <v>471</v>
      </c>
      <c r="I280" s="8">
        <v>0.15</v>
      </c>
      <c r="J280" s="8"/>
      <c r="K280" s="8"/>
      <c r="L280" s="8"/>
      <c r="M280" s="8"/>
      <c r="N280" s="8"/>
      <c r="O280" s="8"/>
      <c r="P280" s="8">
        <f t="shared" si="41"/>
        <v>0</v>
      </c>
      <c r="Q280" s="8" t="s">
        <v>1129</v>
      </c>
      <c r="T280" s="316"/>
      <c r="U280" s="232"/>
      <c r="V280" s="232"/>
      <c r="W280" s="232"/>
      <c r="X280" s="232"/>
      <c r="Y280" s="232"/>
      <c r="Z280" s="232"/>
      <c r="AA280" s="232">
        <f t="shared" si="43"/>
        <v>0</v>
      </c>
      <c r="AB280" s="232" t="s">
        <v>1126</v>
      </c>
    </row>
    <row r="281" spans="1:28" ht="26.4">
      <c r="A281" s="316"/>
      <c r="B281" s="247" t="s">
        <v>619</v>
      </c>
      <c r="C281" s="247" t="s">
        <v>796</v>
      </c>
      <c r="D281" s="247" t="s">
        <v>798</v>
      </c>
      <c r="E281" s="247" t="s">
        <v>469</v>
      </c>
      <c r="F281" s="247" t="s">
        <v>659</v>
      </c>
      <c r="H281" s="3" t="s">
        <v>470</v>
      </c>
      <c r="I281" s="3">
        <v>5.4</v>
      </c>
      <c r="P281" s="3">
        <f t="shared" si="41"/>
        <v>0</v>
      </c>
      <c r="Q281" s="3" t="s">
        <v>1126</v>
      </c>
      <c r="T281" s="316"/>
      <c r="AA281" s="3">
        <f t="shared" si="43"/>
        <v>0</v>
      </c>
      <c r="AB281" s="3" t="s">
        <v>1089</v>
      </c>
    </row>
    <row r="282" spans="1:28" ht="26.4">
      <c r="A282" s="316"/>
      <c r="H282" s="8" t="s">
        <v>471</v>
      </c>
      <c r="I282" s="8">
        <v>0.15</v>
      </c>
      <c r="J282" s="8"/>
      <c r="K282" s="8"/>
      <c r="L282" s="8"/>
      <c r="M282" s="8"/>
      <c r="N282" s="8"/>
      <c r="O282" s="8"/>
      <c r="P282" s="8">
        <f t="shared" si="41"/>
        <v>0</v>
      </c>
      <c r="Q282" s="8" t="s">
        <v>1129</v>
      </c>
      <c r="T282" s="316"/>
      <c r="U282" s="232"/>
      <c r="V282" s="232"/>
      <c r="W282" s="232"/>
      <c r="X282" s="232"/>
      <c r="Y282" s="232"/>
      <c r="Z282" s="232"/>
      <c r="AA282" s="232">
        <f t="shared" si="43"/>
        <v>0</v>
      </c>
      <c r="AB282" s="232" t="s">
        <v>1126</v>
      </c>
    </row>
    <row r="328" spans="1:28" s="2" customForma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s="2" customForma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s="2" customForma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s="2" customForma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s="2" customForma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s="2" customForma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s="2" customForma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s="2" customForma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s="2" customForma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s="2" customForma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s="2" customForma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s="2" customForma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s="2" customForma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s="2" customForma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s="2" customForma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s="2" customForma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s="2" customForma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s="2" customForma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s="2" customForma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s="2" customForma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s="2" customForma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s="2" customForma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s="2" customForma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s="2" customForma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s="2" customForma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s="2" customForma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s="2" customForma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s="2" customForma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s="2" customForma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s="2" customForma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s="2" customForma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s="2" customForma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s="2" customForma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s="2" customForma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s="2" customForma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s="2" customForma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s="2" customForma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s="2" customForma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s="2" customForma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s="2" customForma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s="2" customForma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s="2" customForma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s="2" customForma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s="2" customForma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s="2" customForma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s="2" customForma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s="2" customForma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s="2" customForma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s="2" customForma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s="2" customForma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s="2" customForma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s="2" customForma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s="2" customForma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s="2" customForma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s="2" customForma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s="2" customForma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s="2" customForma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s="2" customForma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s="2" customForma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s="2" customForma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s="2" customForma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s="2" customForma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s="2" customForma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s="2" customForma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s="2" customForma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s="2" customForma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s="2" customForma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s="2" customForma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s="2" customForma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s="2" customForma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s="2" customForma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s="2" customForma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s="2" customForma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s="2" customForma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s="2" customForma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s="2" customForma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s="2" customForma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s="2" customForma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s="2" customForma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s="2" customForma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s="2" customForma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s="2" customForma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s="2" customForma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s="2" customForma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s="2" customForma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s="2" customForma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s="2" customForma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s="2" customForma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s="2" customForma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s="2" customForma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s="2" customForma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s="2" customForma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s="2" customForma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s="2" customForma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s="2" customForma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s="2" customForma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s="2" customForma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s="2" customForma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s="2" customForma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s="2" customForma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s="2" customForma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s="2" customForma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s="2" customForma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s="2" customForma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s="2" customForma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s="2" customForma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s="2" customForma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s="2" customForma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s="2" customForma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s="2" customForma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s="2" customForma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s="2" customForma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s="2" customForma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s="2" customForma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s="2" customForma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s="2" customForma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s="2" customForma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s="2" customForma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s="2" customForma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s="2" customForma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s="2" customForma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s="2" customForma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s="2" customForma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s="2" customForma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sheetData>
  <customSheetViews>
    <customSheetView guid="{35BB8162-AD08-4F19-B47C-5A1FD7B0567B}" scale="70">
      <pane ySplit="1.5" topLeftCell="J5" activePane="bottomRight" state="frozen"/>
      <selection pane="bottomRight" activeCell="O10" sqref="O10"/>
      <pageMargins left="0.69930555555555596" right="0.69930555555555596" top="0.75" bottom="0.75" header="0.3" footer="0.3"/>
      <pageSetup paperSize="9" orientation="portrait" r:id="rId1"/>
    </customSheetView>
    <customSheetView guid="{0F2BBD7E-9334-44AA-B170-23CF20E0BAAC}" scale="85">
      <pane xSplit="9" ySplit="1" topLeftCell="J2" activePane="bottomRight" state="frozen"/>
      <selection pane="bottomRight" activeCell="O5" sqref="O5"/>
      <pageMargins left="0.69930555555555596" right="0.69930555555555596" top="0.75" bottom="0.75" header="0.3" footer="0.3"/>
      <pageSetup paperSize="9" orientation="portrait" r:id="rId2"/>
    </customSheetView>
    <customSheetView guid="{02347D80-63DB-496D-935F-2CF95DC088FE}" scale="80">
      <pane xSplit="9" ySplit="1" topLeftCell="J80" activePane="bottomRight" state="frozen"/>
      <selection pane="bottomRight" activeCell="M86" sqref="M86"/>
      <pageMargins left="0.69930555555555596" right="0.69930555555555596" top="0.75" bottom="0.75" header="0.3" footer="0.3"/>
      <pageSetup paperSize="9" orientation="portrait" r:id="rId3"/>
    </customSheetView>
    <customSheetView guid="{0EBD1C52-A862-496E-88D9-4B6EAB1093EB}" scale="70">
      <pane xSplit="9" ySplit="1" topLeftCell="J257" activePane="bottomRight" state="frozen"/>
      <selection pane="bottomRight" activeCell="N266" sqref="N266"/>
      <pageMargins left="0.69930555555555596" right="0.69930555555555596" top="0.75" bottom="0.75" header="0.3" footer="0.3"/>
      <pageSetup paperSize="9" orientation="portrait" r:id="rId4"/>
    </customSheetView>
    <customSheetView guid="{279B0F34-BE9C-4778-A036-3ED8EAAF78FA}" scale="70">
      <pane xSplit="9" ySplit="1" topLeftCell="J251" activePane="bottomRight" state="frozen"/>
      <selection pane="bottomRight" activeCell="Q286" sqref="Q286"/>
      <pageMargins left="0.69930555555555596" right="0.69930555555555596" top="0.75" bottom="0.75" header="0.3" footer="0.3"/>
      <pageSetup paperSize="9" orientation="portrait" r:id="rId5"/>
    </customSheetView>
    <customSheetView guid="{FE13EA77-3511-4AB1-99FB-5446425992B9}" scale="70">
      <pane xSplit="9" ySplit="1" topLeftCell="T221" activePane="bottomRight" state="frozen"/>
      <selection pane="bottomRight" activeCell="AT155" sqref="AT155"/>
      <pageMargins left="0.69930555555555596" right="0.69930555555555596" top="0.75" bottom="0.75" header="0.3" footer="0.3"/>
      <pageSetup paperSize="9" orientation="portrait" r:id="rId6"/>
    </customSheetView>
    <customSheetView guid="{15D5C299-761A-4CBF-AA27-B17032FC4CEB}" scale="70">
      <pane xSplit="9" ySplit="1" topLeftCell="J2" activePane="bottomRight" state="frozen"/>
      <selection pane="bottomRight" activeCell="N1" sqref="N1:N1048576"/>
      <pageMargins left="0.69930555555555596" right="0.69930555555555596" top="0.75" bottom="0.75" header="0.3" footer="0.3"/>
      <pageSetup paperSize="9" orientation="portrait" r:id="rId7"/>
    </customSheetView>
  </customSheetViews>
  <mergeCells count="6">
    <mergeCell ref="H1:I1"/>
    <mergeCell ref="A2:A185"/>
    <mergeCell ref="A196:A225"/>
    <mergeCell ref="A264:A266"/>
    <mergeCell ref="T196:T225"/>
    <mergeCell ref="T263:T266"/>
  </mergeCells>
  <phoneticPr fontId="15" type="noConversion"/>
  <pageMargins left="0.69930555555555596" right="0.69930555555555596" top="0.75" bottom="0.75" header="0.3" footer="0.3"/>
  <pageSetup paperSize="9"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95"/>
  <sheetViews>
    <sheetView tabSelected="1" zoomScale="70" zoomScaleNormal="70" workbookViewId="0">
      <pane xSplit="10" ySplit="2" topLeftCell="K3" activePane="bottomRight" state="frozen"/>
      <selection pane="topRight" activeCell="H1" sqref="H1"/>
      <selection pane="bottomLeft" activeCell="A3" sqref="A3"/>
      <selection pane="bottomRight" activeCell="K1" sqref="K1:K1048576"/>
    </sheetView>
  </sheetViews>
  <sheetFormatPr defaultColWidth="9.44140625" defaultRowHeight="13.2"/>
  <cols>
    <col min="1" max="1" width="10.44140625" style="359" customWidth="1"/>
    <col min="2" max="2" width="6.44140625" style="359" customWidth="1"/>
    <col min="3" max="3" width="32" style="359" customWidth="1"/>
    <col min="4" max="4" width="26.6640625" style="359" customWidth="1"/>
    <col min="5" max="5" width="11.44140625" style="359" customWidth="1"/>
    <col min="6" max="6" width="9.33203125" style="359" customWidth="1"/>
    <col min="7" max="7" width="19.6640625" style="359" customWidth="1"/>
    <col min="8" max="8" width="10.109375" style="359" customWidth="1"/>
    <col min="9" max="9" width="16.44140625" style="359" customWidth="1"/>
    <col min="10" max="10" width="6.44140625" style="359" customWidth="1"/>
    <col min="11" max="17" width="9.44140625" style="359" customWidth="1"/>
    <col min="18" max="16384" width="9.44140625" style="359"/>
  </cols>
  <sheetData>
    <row r="1" spans="1:17" s="355" customFormat="1" ht="47.25" customHeight="1" thickBot="1">
      <c r="A1" s="354" t="s">
        <v>1030</v>
      </c>
      <c r="B1" s="355" t="s">
        <v>1031</v>
      </c>
      <c r="C1" s="355" t="s">
        <v>1032</v>
      </c>
      <c r="D1" s="355" t="s">
        <v>1033</v>
      </c>
      <c r="E1" s="355" t="s">
        <v>1034</v>
      </c>
      <c r="F1" s="355" t="s">
        <v>1035</v>
      </c>
      <c r="G1" s="355" t="s">
        <v>1036</v>
      </c>
      <c r="H1" s="355" t="s">
        <v>1037</v>
      </c>
      <c r="I1" s="430" t="s">
        <v>1038</v>
      </c>
      <c r="J1" s="430"/>
      <c r="K1" s="355" t="s">
        <v>17</v>
      </c>
      <c r="L1" s="355" t="s">
        <v>5</v>
      </c>
      <c r="M1" s="355" t="s">
        <v>21</v>
      </c>
      <c r="N1" s="355" t="s">
        <v>461</v>
      </c>
      <c r="O1" s="355" t="s">
        <v>462</v>
      </c>
      <c r="P1" s="355" t="s">
        <v>463</v>
      </c>
      <c r="Q1" s="355" t="s">
        <v>1135</v>
      </c>
    </row>
    <row r="2" spans="1:17" ht="12.75" customHeight="1">
      <c r="A2" s="434" t="s">
        <v>1039</v>
      </c>
      <c r="B2" s="369" t="s">
        <v>1040</v>
      </c>
      <c r="C2" s="369"/>
      <c r="D2" s="369"/>
      <c r="E2" s="369"/>
      <c r="F2" s="369"/>
      <c r="G2" s="369"/>
      <c r="H2" s="369"/>
      <c r="I2" s="370"/>
      <c r="J2" s="370"/>
      <c r="K2" s="370"/>
      <c r="L2" s="370"/>
      <c r="M2" s="370"/>
      <c r="N2" s="370"/>
      <c r="O2" s="370"/>
      <c r="P2" s="370"/>
      <c r="Q2" s="370"/>
    </row>
    <row r="3" spans="1:17">
      <c r="A3" s="431"/>
    </row>
    <row r="4" spans="1:17">
      <c r="A4" s="431"/>
    </row>
    <row r="5" spans="1:17">
      <c r="A5" s="431"/>
      <c r="B5" s="369" t="s">
        <v>1045</v>
      </c>
      <c r="C5" s="369"/>
      <c r="D5" s="369"/>
      <c r="E5" s="369"/>
      <c r="F5" s="369"/>
      <c r="G5" s="369"/>
      <c r="H5" s="369"/>
      <c r="I5" s="370"/>
      <c r="J5" s="370"/>
      <c r="K5" s="370"/>
      <c r="L5" s="370"/>
      <c r="M5" s="370"/>
      <c r="N5" s="370"/>
      <c r="O5" s="370"/>
      <c r="P5" s="370"/>
      <c r="Q5" s="370"/>
    </row>
    <row r="6" spans="1:17" ht="52.8">
      <c r="A6" s="371"/>
      <c r="B6" s="359" t="s">
        <v>1046</v>
      </c>
      <c r="C6" s="359" t="s">
        <v>1050</v>
      </c>
      <c r="D6" s="363" t="s">
        <v>1051</v>
      </c>
      <c r="E6" s="363" t="s">
        <v>1047</v>
      </c>
      <c r="F6" s="363" t="s">
        <v>1052</v>
      </c>
      <c r="G6" s="363"/>
      <c r="H6" s="359">
        <v>80</v>
      </c>
      <c r="I6" s="359" t="s">
        <v>1048</v>
      </c>
      <c r="J6" s="359">
        <v>7.8</v>
      </c>
      <c r="P6" s="359">
        <f>COUNT(K6:M6)</f>
        <v>0</v>
      </c>
      <c r="Q6" s="359" t="s">
        <v>1111</v>
      </c>
    </row>
    <row r="7" spans="1:17" ht="26.4">
      <c r="A7" s="371"/>
      <c r="D7" s="363"/>
      <c r="E7" s="363"/>
      <c r="F7" s="363"/>
      <c r="G7" s="363"/>
      <c r="H7" s="359">
        <v>200</v>
      </c>
      <c r="I7" s="359" t="s">
        <v>1043</v>
      </c>
      <c r="J7" s="359">
        <v>7.8</v>
      </c>
      <c r="P7" s="359">
        <f>COUNT(K7:M7)</f>
        <v>0</v>
      </c>
      <c r="Q7" s="359" t="s">
        <v>1111</v>
      </c>
    </row>
    <row r="8" spans="1:17" ht="26.4">
      <c r="A8" s="371"/>
      <c r="H8" s="359">
        <v>80</v>
      </c>
      <c r="I8" s="362" t="s">
        <v>1044</v>
      </c>
      <c r="J8" s="362">
        <v>0.22500000000000001</v>
      </c>
      <c r="K8" s="362"/>
      <c r="L8" s="362"/>
      <c r="M8" s="362"/>
      <c r="N8" s="362"/>
      <c r="O8" s="362"/>
      <c r="P8" s="362">
        <f>COUNT(K8:M8)</f>
        <v>0</v>
      </c>
      <c r="Q8" s="362" t="s">
        <v>1136</v>
      </c>
    </row>
    <row r="9" spans="1:17" ht="26.4">
      <c r="A9" s="371"/>
      <c r="H9" s="359">
        <v>200</v>
      </c>
      <c r="I9" s="362" t="s">
        <v>1049</v>
      </c>
      <c r="J9" s="362">
        <v>0.22500000000000001</v>
      </c>
      <c r="K9" s="362"/>
      <c r="L9" s="362"/>
      <c r="M9" s="362"/>
      <c r="N9" s="362"/>
      <c r="O9" s="362"/>
      <c r="P9" s="362">
        <f>COUNT(K9:M9)</f>
        <v>0</v>
      </c>
      <c r="Q9" s="362" t="s">
        <v>1111</v>
      </c>
    </row>
    <row r="10" spans="1:17">
      <c r="A10" s="371"/>
    </row>
    <row r="11" spans="1:17" ht="52.8">
      <c r="A11" s="371"/>
      <c r="B11" s="359" t="s">
        <v>1046</v>
      </c>
      <c r="C11" s="359" t="s">
        <v>1053</v>
      </c>
      <c r="D11" s="363" t="s">
        <v>1054</v>
      </c>
      <c r="E11" s="363" t="s">
        <v>1047</v>
      </c>
      <c r="F11" s="363" t="s">
        <v>1052</v>
      </c>
      <c r="G11" s="363"/>
      <c r="H11" s="359">
        <v>80</v>
      </c>
      <c r="I11" s="359" t="s">
        <v>1048</v>
      </c>
      <c r="J11" s="359">
        <v>7.8</v>
      </c>
      <c r="P11" s="359">
        <f t="shared" ref="P11:P20" si="0">COUNT(K11:M11)</f>
        <v>0</v>
      </c>
      <c r="Q11" s="359" t="s">
        <v>1137</v>
      </c>
    </row>
    <row r="12" spans="1:17" ht="26.4">
      <c r="A12" s="371"/>
      <c r="D12" s="363"/>
      <c r="E12" s="363"/>
      <c r="F12" s="363"/>
      <c r="G12" s="363"/>
      <c r="H12" s="359">
        <v>200</v>
      </c>
      <c r="I12" s="359" t="s">
        <v>1048</v>
      </c>
      <c r="J12" s="359">
        <v>7.8</v>
      </c>
      <c r="P12" s="359">
        <f t="shared" si="0"/>
        <v>0</v>
      </c>
      <c r="Q12" s="359" t="s">
        <v>1138</v>
      </c>
    </row>
    <row r="13" spans="1:17" ht="26.4">
      <c r="A13" s="371"/>
      <c r="H13" s="359">
        <v>80</v>
      </c>
      <c r="I13" s="362" t="s">
        <v>1044</v>
      </c>
      <c r="J13" s="362">
        <v>0.22500000000000001</v>
      </c>
      <c r="K13" s="362"/>
      <c r="L13" s="362"/>
      <c r="M13" s="362"/>
      <c r="N13" s="362"/>
      <c r="O13" s="362"/>
      <c r="P13" s="362">
        <f t="shared" si="0"/>
        <v>0</v>
      </c>
      <c r="Q13" s="362" t="s">
        <v>1111</v>
      </c>
    </row>
    <row r="14" spans="1:17" ht="26.4">
      <c r="A14" s="371"/>
      <c r="H14" s="359">
        <v>200</v>
      </c>
      <c r="I14" s="362" t="s">
        <v>1049</v>
      </c>
      <c r="J14" s="362">
        <v>0.22500000000000001</v>
      </c>
      <c r="K14" s="362"/>
      <c r="L14" s="362"/>
      <c r="M14" s="362"/>
      <c r="N14" s="362"/>
      <c r="O14" s="362"/>
      <c r="P14" s="362">
        <f t="shared" si="0"/>
        <v>0</v>
      </c>
      <c r="Q14" s="362" t="s">
        <v>1111</v>
      </c>
    </row>
    <row r="15" spans="1:17" ht="43.5" customHeight="1">
      <c r="A15" s="371"/>
      <c r="B15" s="364" t="s">
        <v>466</v>
      </c>
      <c r="C15" s="364" t="s">
        <v>1057</v>
      </c>
      <c r="D15" s="364" t="s">
        <v>989</v>
      </c>
      <c r="E15" s="364" t="s">
        <v>990</v>
      </c>
      <c r="F15" s="364" t="s">
        <v>100</v>
      </c>
      <c r="H15" s="359">
        <v>80</v>
      </c>
      <c r="I15" s="359" t="s">
        <v>470</v>
      </c>
      <c r="J15" s="359">
        <v>7.8</v>
      </c>
      <c r="K15" s="359">
        <v>19.3</v>
      </c>
      <c r="N15" s="359">
        <f t="shared" ref="N15:N20" si="1">AVERAGE(K15:M15)</f>
        <v>19.3</v>
      </c>
      <c r="P15" s="359">
        <f t="shared" si="0"/>
        <v>1</v>
      </c>
      <c r="Q15" s="359" t="s">
        <v>1104</v>
      </c>
    </row>
    <row r="16" spans="1:17" ht="43.5" customHeight="1">
      <c r="A16" s="371"/>
      <c r="B16" s="364"/>
      <c r="C16" s="364"/>
      <c r="D16" s="364"/>
      <c r="E16" s="364"/>
      <c r="F16" s="364"/>
      <c r="H16" s="359">
        <v>200</v>
      </c>
      <c r="I16" s="359" t="s">
        <v>470</v>
      </c>
      <c r="J16" s="359">
        <v>7.8</v>
      </c>
      <c r="K16" s="359">
        <v>21.5</v>
      </c>
      <c r="N16" s="359">
        <f t="shared" si="1"/>
        <v>21.5</v>
      </c>
      <c r="P16" s="359">
        <f t="shared" si="0"/>
        <v>1</v>
      </c>
      <c r="Q16" s="359" t="s">
        <v>1082</v>
      </c>
    </row>
    <row r="17" spans="1:17" ht="43.5" customHeight="1">
      <c r="A17" s="371"/>
      <c r="B17" s="364"/>
      <c r="C17" s="364"/>
      <c r="D17" s="364"/>
      <c r="E17" s="364"/>
      <c r="F17" s="364"/>
      <c r="H17" s="359">
        <v>400</v>
      </c>
      <c r="I17" s="359" t="s">
        <v>470</v>
      </c>
      <c r="J17" s="359">
        <v>7.8</v>
      </c>
      <c r="K17" s="359">
        <v>22.6</v>
      </c>
      <c r="N17" s="359">
        <f t="shared" si="1"/>
        <v>22.6</v>
      </c>
      <c r="P17" s="359">
        <f t="shared" si="0"/>
        <v>1</v>
      </c>
      <c r="Q17" s="359" t="s">
        <v>1139</v>
      </c>
    </row>
    <row r="18" spans="1:17" ht="26.4">
      <c r="A18" s="371"/>
      <c r="B18" s="364"/>
      <c r="C18" s="364"/>
      <c r="D18" s="364"/>
      <c r="E18" s="364"/>
      <c r="F18" s="364"/>
      <c r="H18" s="359">
        <v>80</v>
      </c>
      <c r="I18" s="365" t="s">
        <v>471</v>
      </c>
      <c r="J18" s="365">
        <v>0.22500000000000001</v>
      </c>
      <c r="K18" s="365">
        <v>0.05</v>
      </c>
      <c r="L18" s="365"/>
      <c r="M18" s="365"/>
      <c r="N18" s="365">
        <f t="shared" si="1"/>
        <v>0.05</v>
      </c>
      <c r="O18" s="365"/>
      <c r="P18" s="365">
        <f t="shared" si="0"/>
        <v>1</v>
      </c>
      <c r="Q18" s="365" t="s">
        <v>1140</v>
      </c>
    </row>
    <row r="19" spans="1:17" ht="43.5" customHeight="1">
      <c r="A19" s="371"/>
      <c r="B19" s="364"/>
      <c r="C19" s="364"/>
      <c r="D19" s="364"/>
      <c r="E19" s="364"/>
      <c r="F19" s="364"/>
      <c r="H19" s="359">
        <v>200</v>
      </c>
      <c r="I19" s="365" t="s">
        <v>471</v>
      </c>
      <c r="J19" s="365">
        <v>0.22500000000000001</v>
      </c>
      <c r="K19" s="362">
        <v>0.06</v>
      </c>
      <c r="L19" s="362"/>
      <c r="M19" s="362"/>
      <c r="N19" s="362">
        <f t="shared" si="1"/>
        <v>0.06</v>
      </c>
      <c r="O19" s="362"/>
      <c r="P19" s="362">
        <f t="shared" si="0"/>
        <v>1</v>
      </c>
      <c r="Q19" s="362" t="s">
        <v>1141</v>
      </c>
    </row>
    <row r="20" spans="1:17" ht="43.5" customHeight="1">
      <c r="A20" s="371"/>
      <c r="B20" s="364"/>
      <c r="C20" s="364"/>
      <c r="D20" s="364"/>
      <c r="E20" s="364"/>
      <c r="F20" s="364"/>
      <c r="H20" s="359">
        <v>400</v>
      </c>
      <c r="I20" s="365" t="s">
        <v>471</v>
      </c>
      <c r="J20" s="365">
        <v>0.22500000000000001</v>
      </c>
      <c r="K20" s="362">
        <v>0.06</v>
      </c>
      <c r="L20" s="362"/>
      <c r="M20" s="362"/>
      <c r="N20" s="362">
        <f t="shared" si="1"/>
        <v>0.06</v>
      </c>
      <c r="O20" s="362"/>
      <c r="P20" s="362">
        <f t="shared" si="0"/>
        <v>1</v>
      </c>
      <c r="Q20" s="362" t="s">
        <v>1141</v>
      </c>
    </row>
    <row r="21" spans="1:17">
      <c r="A21" s="371"/>
      <c r="B21" s="364"/>
      <c r="C21" s="364"/>
      <c r="D21" s="364"/>
      <c r="E21" s="364"/>
      <c r="F21" s="364"/>
    </row>
    <row r="22" spans="1:17" ht="43.5" customHeight="1">
      <c r="A22" s="371"/>
      <c r="B22" s="364" t="s">
        <v>466</v>
      </c>
      <c r="C22" s="364" t="s">
        <v>1057</v>
      </c>
      <c r="D22" s="364" t="s">
        <v>1058</v>
      </c>
      <c r="E22" s="364" t="s">
        <v>990</v>
      </c>
      <c r="F22" s="364" t="s">
        <v>100</v>
      </c>
      <c r="H22" s="359">
        <v>80</v>
      </c>
      <c r="I22" s="359" t="s">
        <v>470</v>
      </c>
      <c r="J22" s="359">
        <v>7.8</v>
      </c>
      <c r="K22" s="359">
        <v>15.3</v>
      </c>
      <c r="N22" s="359">
        <f t="shared" ref="N22:N33" si="2">AVERAGE(K22:M22)</f>
        <v>15.3</v>
      </c>
      <c r="P22" s="359">
        <f t="shared" ref="P22:P33" si="3">COUNT(K22:M22)</f>
        <v>1</v>
      </c>
      <c r="Q22" s="359" t="s">
        <v>1082</v>
      </c>
    </row>
    <row r="23" spans="1:17" ht="43.5" customHeight="1">
      <c r="A23" s="371"/>
      <c r="B23" s="364"/>
      <c r="C23" s="364"/>
      <c r="D23" s="364"/>
      <c r="E23" s="364"/>
      <c r="F23" s="364"/>
      <c r="H23" s="359">
        <v>200</v>
      </c>
      <c r="I23" s="359" t="s">
        <v>470</v>
      </c>
      <c r="J23" s="359">
        <v>7.8</v>
      </c>
      <c r="K23" s="359">
        <v>17.100000000000001</v>
      </c>
      <c r="N23" s="359">
        <f t="shared" si="2"/>
        <v>17.100000000000001</v>
      </c>
      <c r="P23" s="359">
        <f t="shared" si="3"/>
        <v>1</v>
      </c>
      <c r="Q23" s="359" t="s">
        <v>1099</v>
      </c>
    </row>
    <row r="24" spans="1:17" ht="43.5" customHeight="1">
      <c r="A24" s="371"/>
      <c r="B24" s="364"/>
      <c r="C24" s="364"/>
      <c r="D24" s="364"/>
      <c r="E24" s="364"/>
      <c r="F24" s="364"/>
      <c r="H24" s="359">
        <v>400</v>
      </c>
      <c r="I24" s="359" t="s">
        <v>470</v>
      </c>
      <c r="J24" s="359">
        <v>7.8</v>
      </c>
      <c r="K24" s="359">
        <v>18</v>
      </c>
      <c r="N24" s="359">
        <f t="shared" si="2"/>
        <v>18</v>
      </c>
      <c r="P24" s="359">
        <f t="shared" si="3"/>
        <v>1</v>
      </c>
      <c r="Q24" s="359" t="s">
        <v>1099</v>
      </c>
    </row>
    <row r="25" spans="1:17" ht="26.4">
      <c r="A25" s="371"/>
      <c r="B25" s="364"/>
      <c r="C25" s="364"/>
      <c r="D25" s="364"/>
      <c r="E25" s="364"/>
      <c r="F25" s="364"/>
      <c r="H25" s="359">
        <v>80</v>
      </c>
      <c r="I25" s="365" t="s">
        <v>471</v>
      </c>
      <c r="J25" s="365">
        <v>0.22500000000000001</v>
      </c>
      <c r="K25" s="365">
        <v>0.05</v>
      </c>
      <c r="L25" s="365"/>
      <c r="M25" s="365"/>
      <c r="N25" s="365">
        <f t="shared" si="2"/>
        <v>0.05</v>
      </c>
      <c r="O25" s="365"/>
      <c r="P25" s="365">
        <f t="shared" si="3"/>
        <v>1</v>
      </c>
      <c r="Q25" s="365" t="s">
        <v>1141</v>
      </c>
    </row>
    <row r="26" spans="1:17" ht="43.5" customHeight="1">
      <c r="A26" s="371"/>
      <c r="B26" s="364"/>
      <c r="C26" s="364"/>
      <c r="D26" s="364"/>
      <c r="E26" s="364"/>
      <c r="F26" s="364"/>
      <c r="H26" s="359">
        <v>200</v>
      </c>
      <c r="I26" s="365" t="s">
        <v>471</v>
      </c>
      <c r="J26" s="365">
        <v>0.22500000000000001</v>
      </c>
      <c r="K26" s="362">
        <v>0.06</v>
      </c>
      <c r="L26" s="362"/>
      <c r="M26" s="362"/>
      <c r="N26" s="362">
        <f t="shared" si="2"/>
        <v>0.06</v>
      </c>
      <c r="O26" s="362"/>
      <c r="P26" s="362">
        <f t="shared" si="3"/>
        <v>1</v>
      </c>
      <c r="Q26" s="362" t="s">
        <v>1141</v>
      </c>
    </row>
    <row r="27" spans="1:17" ht="43.5" customHeight="1">
      <c r="A27" s="371"/>
      <c r="B27" s="364"/>
      <c r="C27" s="364"/>
      <c r="D27" s="364"/>
      <c r="E27" s="364"/>
      <c r="F27" s="364"/>
      <c r="H27" s="359">
        <v>400</v>
      </c>
      <c r="I27" s="365" t="s">
        <v>471</v>
      </c>
      <c r="J27" s="365">
        <v>0.22500000000000001</v>
      </c>
      <c r="K27" s="362">
        <v>0.06</v>
      </c>
      <c r="L27" s="362"/>
      <c r="M27" s="362"/>
      <c r="N27" s="362">
        <f t="shared" si="2"/>
        <v>0.06</v>
      </c>
      <c r="O27" s="362"/>
      <c r="P27" s="362">
        <f t="shared" si="3"/>
        <v>1</v>
      </c>
      <c r="Q27" s="362" t="s">
        <v>1142</v>
      </c>
    </row>
    <row r="28" spans="1:17" ht="43.5" customHeight="1">
      <c r="A28" s="371"/>
      <c r="B28" s="364" t="s">
        <v>466</v>
      </c>
      <c r="C28" s="364" t="s">
        <v>1057</v>
      </c>
      <c r="D28" s="364" t="s">
        <v>989</v>
      </c>
      <c r="E28" s="364" t="s">
        <v>990</v>
      </c>
      <c r="F28" s="364" t="s">
        <v>100</v>
      </c>
      <c r="G28" s="366" t="s">
        <v>1059</v>
      </c>
      <c r="H28" s="359">
        <v>80</v>
      </c>
      <c r="I28" s="359" t="s">
        <v>470</v>
      </c>
      <c r="J28" s="359">
        <v>7.8</v>
      </c>
      <c r="K28" s="359">
        <v>21.6</v>
      </c>
      <c r="N28" s="359">
        <f t="shared" si="2"/>
        <v>21.6</v>
      </c>
      <c r="P28" s="359">
        <f t="shared" si="3"/>
        <v>1</v>
      </c>
      <c r="Q28" s="359" t="s">
        <v>1119</v>
      </c>
    </row>
    <row r="29" spans="1:17" ht="43.5" customHeight="1">
      <c r="A29" s="371"/>
      <c r="B29" s="364"/>
      <c r="C29" s="364"/>
      <c r="D29" s="364"/>
      <c r="E29" s="364"/>
      <c r="F29" s="364"/>
      <c r="H29" s="359">
        <v>200</v>
      </c>
      <c r="I29" s="359" t="s">
        <v>470</v>
      </c>
      <c r="J29" s="359">
        <v>7.8</v>
      </c>
      <c r="K29" s="359">
        <v>24.2</v>
      </c>
      <c r="N29" s="359">
        <f t="shared" si="2"/>
        <v>24.2</v>
      </c>
      <c r="P29" s="359">
        <f t="shared" si="3"/>
        <v>1</v>
      </c>
      <c r="Q29" s="359" t="s">
        <v>1099</v>
      </c>
    </row>
    <row r="30" spans="1:17" ht="43.5" customHeight="1">
      <c r="A30" s="371"/>
      <c r="B30" s="364"/>
      <c r="C30" s="364"/>
      <c r="D30" s="364"/>
      <c r="E30" s="364"/>
      <c r="F30" s="364"/>
      <c r="H30" s="359">
        <v>400</v>
      </c>
      <c r="I30" s="359" t="s">
        <v>470</v>
      </c>
      <c r="J30" s="359">
        <v>7.8</v>
      </c>
      <c r="K30" s="359">
        <v>25.4</v>
      </c>
      <c r="N30" s="359">
        <f t="shared" si="2"/>
        <v>25.4</v>
      </c>
      <c r="P30" s="359">
        <f t="shared" si="3"/>
        <v>1</v>
      </c>
      <c r="Q30" s="359" t="s">
        <v>1099</v>
      </c>
    </row>
    <row r="31" spans="1:17" ht="26.4">
      <c r="A31" s="371"/>
      <c r="B31" s="364"/>
      <c r="C31" s="364"/>
      <c r="D31" s="364"/>
      <c r="E31" s="364"/>
      <c r="F31" s="364"/>
      <c r="G31" s="366"/>
      <c r="H31" s="359">
        <v>80</v>
      </c>
      <c r="I31" s="365" t="s">
        <v>471</v>
      </c>
      <c r="J31" s="365">
        <v>0.22500000000000001</v>
      </c>
      <c r="K31" s="365">
        <v>0.57999999999999996</v>
      </c>
      <c r="L31" s="365"/>
      <c r="M31" s="365"/>
      <c r="N31" s="365">
        <f t="shared" si="2"/>
        <v>0.57999999999999996</v>
      </c>
      <c r="O31" s="365"/>
      <c r="P31" s="365">
        <f t="shared" si="3"/>
        <v>1</v>
      </c>
      <c r="Q31" s="365" t="s">
        <v>1085</v>
      </c>
    </row>
    <row r="32" spans="1:17" ht="43.5" customHeight="1">
      <c r="A32" s="371"/>
      <c r="B32" s="364"/>
      <c r="C32" s="364"/>
      <c r="D32" s="364"/>
      <c r="E32" s="364"/>
      <c r="F32" s="364"/>
      <c r="H32" s="359">
        <v>200</v>
      </c>
      <c r="I32" s="365" t="s">
        <v>471</v>
      </c>
      <c r="J32" s="365">
        <v>0.22500000000000001</v>
      </c>
      <c r="K32" s="362">
        <v>0.65</v>
      </c>
      <c r="L32" s="362"/>
      <c r="M32" s="362"/>
      <c r="N32" s="362">
        <f t="shared" si="2"/>
        <v>0.65</v>
      </c>
      <c r="O32" s="362"/>
      <c r="P32" s="362">
        <f t="shared" si="3"/>
        <v>1</v>
      </c>
      <c r="Q32" s="362" t="s">
        <v>1104</v>
      </c>
    </row>
    <row r="33" spans="1:17" ht="43.5" customHeight="1">
      <c r="A33" s="371"/>
      <c r="B33" s="364"/>
      <c r="C33" s="364"/>
      <c r="D33" s="364"/>
      <c r="E33" s="364"/>
      <c r="F33" s="364"/>
      <c r="H33" s="359">
        <v>400</v>
      </c>
      <c r="I33" s="365" t="s">
        <v>471</v>
      </c>
      <c r="J33" s="365">
        <v>0.22500000000000001</v>
      </c>
      <c r="K33" s="362">
        <v>0.68</v>
      </c>
      <c r="L33" s="362"/>
      <c r="M33" s="362"/>
      <c r="N33" s="362">
        <f t="shared" si="2"/>
        <v>0.68</v>
      </c>
      <c r="O33" s="362"/>
      <c r="P33" s="362">
        <f t="shared" si="3"/>
        <v>1</v>
      </c>
      <c r="Q33" s="362" t="s">
        <v>1104</v>
      </c>
    </row>
    <row r="34" spans="1:17">
      <c r="A34" s="371"/>
      <c r="B34" s="364"/>
      <c r="C34" s="364"/>
      <c r="D34" s="364"/>
      <c r="E34" s="364"/>
      <c r="F34" s="364"/>
      <c r="G34" s="366"/>
      <c r="H34" s="366"/>
    </row>
    <row r="35" spans="1:17" ht="43.5" customHeight="1">
      <c r="A35" s="371"/>
      <c r="B35" s="364" t="s">
        <v>466</v>
      </c>
      <c r="C35" s="364" t="s">
        <v>1057</v>
      </c>
      <c r="D35" s="364" t="s">
        <v>1058</v>
      </c>
      <c r="E35" s="364" t="s">
        <v>990</v>
      </c>
      <c r="F35" s="364" t="s">
        <v>100</v>
      </c>
      <c r="G35" s="366" t="s">
        <v>1059</v>
      </c>
      <c r="H35" s="359">
        <v>80</v>
      </c>
      <c r="I35" s="359" t="s">
        <v>470</v>
      </c>
      <c r="J35" s="359">
        <v>7.8</v>
      </c>
      <c r="K35" s="359">
        <v>16.899999999999999</v>
      </c>
      <c r="N35" s="359">
        <f t="shared" ref="N35:N40" si="4">AVERAGE(K35:M35)</f>
        <v>16.899999999999999</v>
      </c>
      <c r="P35" s="359">
        <f t="shared" ref="P35:P52" si="5">COUNT(K35:M35)</f>
        <v>1</v>
      </c>
      <c r="Q35" s="359" t="s">
        <v>1112</v>
      </c>
    </row>
    <row r="36" spans="1:17" ht="43.5" customHeight="1">
      <c r="A36" s="371"/>
      <c r="B36" s="364"/>
      <c r="C36" s="364"/>
      <c r="D36" s="364"/>
      <c r="E36" s="364"/>
      <c r="F36" s="364"/>
      <c r="H36" s="359">
        <v>200</v>
      </c>
      <c r="I36" s="359" t="s">
        <v>470</v>
      </c>
      <c r="J36" s="359">
        <v>7.8</v>
      </c>
      <c r="K36" s="359">
        <v>18.899999999999999</v>
      </c>
      <c r="N36" s="359">
        <f t="shared" si="4"/>
        <v>18.899999999999999</v>
      </c>
      <c r="P36" s="359">
        <f t="shared" si="5"/>
        <v>1</v>
      </c>
      <c r="Q36" s="359" t="s">
        <v>1090</v>
      </c>
    </row>
    <row r="37" spans="1:17" ht="43.5" customHeight="1">
      <c r="A37" s="371"/>
      <c r="B37" s="364"/>
      <c r="C37" s="364"/>
      <c r="D37" s="364"/>
      <c r="E37" s="364"/>
      <c r="F37" s="364"/>
      <c r="H37" s="359">
        <v>400</v>
      </c>
      <c r="I37" s="359" t="s">
        <v>470</v>
      </c>
      <c r="J37" s="359">
        <v>7.8</v>
      </c>
      <c r="K37" s="359">
        <v>19.8</v>
      </c>
      <c r="N37" s="359">
        <f t="shared" si="4"/>
        <v>19.8</v>
      </c>
      <c r="P37" s="359">
        <f t="shared" si="5"/>
        <v>1</v>
      </c>
      <c r="Q37" s="359" t="s">
        <v>1090</v>
      </c>
    </row>
    <row r="38" spans="1:17" ht="26.4">
      <c r="A38" s="371"/>
      <c r="B38" s="364"/>
      <c r="C38" s="364"/>
      <c r="D38" s="364"/>
      <c r="E38" s="364"/>
      <c r="F38" s="364"/>
      <c r="G38" s="366"/>
      <c r="H38" s="359">
        <v>80</v>
      </c>
      <c r="I38" s="365" t="s">
        <v>471</v>
      </c>
      <c r="J38" s="365">
        <v>0.22500000000000001</v>
      </c>
      <c r="K38" s="365">
        <v>0.44</v>
      </c>
      <c r="L38" s="365"/>
      <c r="M38" s="365"/>
      <c r="N38" s="365">
        <f t="shared" si="4"/>
        <v>0.44</v>
      </c>
      <c r="O38" s="365"/>
      <c r="P38" s="365">
        <f t="shared" si="5"/>
        <v>1</v>
      </c>
      <c r="Q38" s="365" t="s">
        <v>1104</v>
      </c>
    </row>
    <row r="39" spans="1:17" ht="43.5" customHeight="1">
      <c r="A39" s="371"/>
      <c r="B39" s="364"/>
      <c r="C39" s="364"/>
      <c r="D39" s="364"/>
      <c r="E39" s="364"/>
      <c r="F39" s="364"/>
      <c r="H39" s="359">
        <v>200</v>
      </c>
      <c r="I39" s="365" t="s">
        <v>471</v>
      </c>
      <c r="J39" s="365">
        <v>0.22500000000000001</v>
      </c>
      <c r="K39" s="362">
        <v>0.49</v>
      </c>
      <c r="L39" s="362"/>
      <c r="M39" s="362"/>
      <c r="N39" s="362">
        <f t="shared" si="4"/>
        <v>0.49</v>
      </c>
      <c r="O39" s="362"/>
      <c r="P39" s="362">
        <f t="shared" si="5"/>
        <v>1</v>
      </c>
      <c r="Q39" s="362" t="s">
        <v>1104</v>
      </c>
    </row>
    <row r="40" spans="1:17" ht="43.5" customHeight="1">
      <c r="A40" s="371"/>
      <c r="B40" s="364"/>
      <c r="C40" s="364"/>
      <c r="D40" s="364"/>
      <c r="E40" s="364"/>
      <c r="F40" s="364"/>
      <c r="H40" s="359">
        <v>400</v>
      </c>
      <c r="I40" s="365" t="s">
        <v>471</v>
      </c>
      <c r="J40" s="365">
        <v>0.22500000000000001</v>
      </c>
      <c r="K40" s="362">
        <v>0.51</v>
      </c>
      <c r="L40" s="362"/>
      <c r="M40" s="362"/>
      <c r="N40" s="362">
        <f t="shared" si="4"/>
        <v>0.51</v>
      </c>
      <c r="O40" s="362"/>
      <c r="P40" s="362">
        <f t="shared" si="5"/>
        <v>1</v>
      </c>
      <c r="Q40" s="362" t="s">
        <v>1104</v>
      </c>
    </row>
    <row r="41" spans="1:17" ht="48.75" customHeight="1">
      <c r="A41" s="371"/>
      <c r="B41" s="364" t="s">
        <v>466</v>
      </c>
      <c r="C41" s="364" t="s">
        <v>1060</v>
      </c>
      <c r="D41" s="364" t="s">
        <v>1061</v>
      </c>
      <c r="E41" s="364" t="s">
        <v>990</v>
      </c>
      <c r="F41" s="364" t="s">
        <v>100</v>
      </c>
      <c r="G41" s="367" t="s">
        <v>1062</v>
      </c>
      <c r="H41" s="359">
        <v>80</v>
      </c>
      <c r="I41" s="359" t="s">
        <v>470</v>
      </c>
      <c r="J41" s="359">
        <v>7.8</v>
      </c>
      <c r="P41" s="359">
        <f t="shared" si="5"/>
        <v>0</v>
      </c>
      <c r="Q41" s="359" t="s">
        <v>1093</v>
      </c>
    </row>
    <row r="42" spans="1:17" ht="43.5" customHeight="1">
      <c r="A42" s="371"/>
      <c r="B42" s="364"/>
      <c r="C42" s="364"/>
      <c r="D42" s="364"/>
      <c r="E42" s="364"/>
      <c r="F42" s="364"/>
      <c r="H42" s="359">
        <v>200</v>
      </c>
      <c r="I42" s="359" t="s">
        <v>470</v>
      </c>
      <c r="J42" s="359">
        <v>7.8</v>
      </c>
      <c r="P42" s="359">
        <f t="shared" si="5"/>
        <v>0</v>
      </c>
      <c r="Q42" s="359" t="s">
        <v>1092</v>
      </c>
    </row>
    <row r="43" spans="1:17" ht="43.5" customHeight="1">
      <c r="A43" s="371"/>
      <c r="B43" s="364"/>
      <c r="C43" s="364"/>
      <c r="D43" s="364"/>
      <c r="E43" s="364"/>
      <c r="F43" s="364"/>
      <c r="H43" s="359">
        <v>400</v>
      </c>
      <c r="I43" s="359" t="s">
        <v>470</v>
      </c>
      <c r="J43" s="359">
        <v>7.8</v>
      </c>
      <c r="P43" s="359">
        <f t="shared" si="5"/>
        <v>0</v>
      </c>
      <c r="Q43" s="359" t="s">
        <v>1111</v>
      </c>
    </row>
    <row r="44" spans="1:17" ht="26.4">
      <c r="A44" s="371"/>
      <c r="H44" s="359">
        <v>80</v>
      </c>
      <c r="I44" s="365" t="s">
        <v>471</v>
      </c>
      <c r="J44" s="365">
        <v>0.22500000000000001</v>
      </c>
      <c r="K44" s="365"/>
      <c r="L44" s="365"/>
      <c r="M44" s="365"/>
      <c r="N44" s="365"/>
      <c r="O44" s="365"/>
      <c r="P44" s="365">
        <f t="shared" si="5"/>
        <v>0</v>
      </c>
      <c r="Q44" s="365" t="s">
        <v>1111</v>
      </c>
    </row>
    <row r="45" spans="1:17" ht="43.5" customHeight="1">
      <c r="A45" s="371"/>
      <c r="B45" s="364"/>
      <c r="C45" s="364"/>
      <c r="D45" s="364"/>
      <c r="E45" s="364"/>
      <c r="F45" s="364"/>
      <c r="H45" s="359">
        <v>200</v>
      </c>
      <c r="I45" s="365" t="s">
        <v>471</v>
      </c>
      <c r="J45" s="365">
        <v>0.22500000000000001</v>
      </c>
      <c r="K45" s="362"/>
      <c r="L45" s="362"/>
      <c r="M45" s="362"/>
      <c r="N45" s="362"/>
      <c r="O45" s="362"/>
      <c r="P45" s="362">
        <f t="shared" si="5"/>
        <v>0</v>
      </c>
      <c r="Q45" s="362" t="s">
        <v>1092</v>
      </c>
    </row>
    <row r="46" spans="1:17" ht="43.5" customHeight="1">
      <c r="A46" s="371"/>
      <c r="B46" s="364"/>
      <c r="C46" s="364"/>
      <c r="D46" s="364"/>
      <c r="E46" s="364"/>
      <c r="F46" s="364"/>
      <c r="H46" s="359">
        <v>400</v>
      </c>
      <c r="I46" s="365" t="s">
        <v>471</v>
      </c>
      <c r="J46" s="365">
        <v>0.22500000000000001</v>
      </c>
      <c r="K46" s="362"/>
      <c r="L46" s="362"/>
      <c r="M46" s="362"/>
      <c r="N46" s="362"/>
      <c r="O46" s="362"/>
      <c r="P46" s="362">
        <f t="shared" si="5"/>
        <v>0</v>
      </c>
      <c r="Q46" s="362" t="s">
        <v>1092</v>
      </c>
    </row>
    <row r="47" spans="1:17" ht="58.5" customHeight="1">
      <c r="A47" s="371"/>
      <c r="B47" s="364" t="s">
        <v>466</v>
      </c>
      <c r="C47" s="364" t="s">
        <v>1063</v>
      </c>
      <c r="D47" s="364" t="s">
        <v>1064</v>
      </c>
      <c r="E47" s="364" t="s">
        <v>990</v>
      </c>
      <c r="F47" s="364" t="s">
        <v>1065</v>
      </c>
      <c r="G47" s="367" t="s">
        <v>1066</v>
      </c>
      <c r="H47" s="359">
        <v>80</v>
      </c>
      <c r="I47" s="359" t="s">
        <v>470</v>
      </c>
      <c r="J47" s="359">
        <v>7.8</v>
      </c>
      <c r="P47" s="359">
        <f t="shared" si="5"/>
        <v>0</v>
      </c>
      <c r="Q47" s="359" t="s">
        <v>1093</v>
      </c>
    </row>
    <row r="48" spans="1:17" ht="43.5" customHeight="1">
      <c r="A48" s="371"/>
      <c r="B48" s="364"/>
      <c r="C48" s="364"/>
      <c r="D48" s="364"/>
      <c r="E48" s="364"/>
      <c r="F48" s="364"/>
      <c r="H48" s="359">
        <v>200</v>
      </c>
      <c r="I48" s="359" t="s">
        <v>470</v>
      </c>
      <c r="J48" s="359">
        <v>7.8</v>
      </c>
      <c r="P48" s="359">
        <f t="shared" si="5"/>
        <v>0</v>
      </c>
      <c r="Q48" s="359" t="s">
        <v>1109</v>
      </c>
    </row>
    <row r="49" spans="1:17" ht="43.5" customHeight="1">
      <c r="A49" s="371"/>
      <c r="B49" s="364"/>
      <c r="C49" s="364"/>
      <c r="D49" s="364"/>
      <c r="E49" s="364"/>
      <c r="F49" s="364"/>
      <c r="H49" s="359">
        <v>400</v>
      </c>
      <c r="I49" s="359" t="s">
        <v>470</v>
      </c>
      <c r="J49" s="359">
        <v>7.8</v>
      </c>
      <c r="P49" s="359">
        <f t="shared" si="5"/>
        <v>0</v>
      </c>
      <c r="Q49" s="359" t="s">
        <v>1111</v>
      </c>
    </row>
    <row r="50" spans="1:17" ht="26.4">
      <c r="A50" s="371"/>
      <c r="H50" s="359">
        <v>80</v>
      </c>
      <c r="I50" s="365" t="s">
        <v>471</v>
      </c>
      <c r="J50" s="365">
        <v>0.22500000000000001</v>
      </c>
      <c r="K50" s="365"/>
      <c r="L50" s="365"/>
      <c r="M50" s="365"/>
      <c r="N50" s="365"/>
      <c r="O50" s="365"/>
      <c r="P50" s="365">
        <f t="shared" si="5"/>
        <v>0</v>
      </c>
      <c r="Q50" s="365" t="s">
        <v>1111</v>
      </c>
    </row>
    <row r="51" spans="1:17" ht="43.5" customHeight="1">
      <c r="A51" s="371"/>
      <c r="B51" s="364"/>
      <c r="C51" s="364"/>
      <c r="D51" s="364"/>
      <c r="E51" s="364"/>
      <c r="F51" s="364"/>
      <c r="H51" s="359">
        <v>200</v>
      </c>
      <c r="I51" s="365" t="s">
        <v>471</v>
      </c>
      <c r="J51" s="365">
        <v>0.22500000000000001</v>
      </c>
      <c r="K51" s="362"/>
      <c r="L51" s="362"/>
      <c r="M51" s="362"/>
      <c r="N51" s="362"/>
      <c r="O51" s="362"/>
      <c r="P51" s="362">
        <f t="shared" si="5"/>
        <v>0</v>
      </c>
      <c r="Q51" s="362" t="s">
        <v>1093</v>
      </c>
    </row>
    <row r="52" spans="1:17" ht="43.5" customHeight="1">
      <c r="A52" s="371"/>
      <c r="B52" s="364"/>
      <c r="C52" s="364"/>
      <c r="D52" s="364"/>
      <c r="E52" s="364"/>
      <c r="F52" s="364"/>
      <c r="H52" s="359">
        <v>400</v>
      </c>
      <c r="I52" s="365" t="s">
        <v>471</v>
      </c>
      <c r="J52" s="365">
        <v>0.22500000000000001</v>
      </c>
      <c r="K52" s="362"/>
      <c r="L52" s="362"/>
      <c r="M52" s="362"/>
      <c r="N52" s="362"/>
      <c r="O52" s="362"/>
      <c r="P52" s="362">
        <f t="shared" si="5"/>
        <v>0</v>
      </c>
      <c r="Q52" s="362" t="s">
        <v>1092</v>
      </c>
    </row>
    <row r="54" spans="1:17">
      <c r="A54" s="432" t="s">
        <v>1067</v>
      </c>
    </row>
    <row r="55" spans="1:17">
      <c r="A55" s="432"/>
      <c r="B55" s="369" t="s">
        <v>1040</v>
      </c>
      <c r="C55" s="369"/>
      <c r="D55" s="369"/>
      <c r="E55" s="369"/>
      <c r="F55" s="369"/>
      <c r="G55" s="369"/>
      <c r="H55" s="369"/>
      <c r="I55" s="370"/>
      <c r="J55" s="370"/>
      <c r="K55" s="370"/>
      <c r="L55" s="370"/>
      <c r="M55" s="370"/>
      <c r="N55" s="370"/>
      <c r="O55" s="370"/>
      <c r="P55" s="370"/>
      <c r="Q55" s="370"/>
    </row>
    <row r="56" spans="1:17">
      <c r="A56" s="432"/>
    </row>
    <row r="57" spans="1:17">
      <c r="A57" s="432"/>
    </row>
    <row r="58" spans="1:17">
      <c r="A58" s="432"/>
    </row>
    <row r="59" spans="1:17">
      <c r="A59" s="432"/>
      <c r="B59" s="369" t="s">
        <v>1068</v>
      </c>
      <c r="C59" s="369"/>
      <c r="D59" s="369"/>
      <c r="E59" s="369"/>
      <c r="F59" s="369"/>
      <c r="G59" s="369"/>
      <c r="H59" s="369"/>
      <c r="I59" s="370"/>
      <c r="J59" s="370"/>
      <c r="K59" s="370"/>
      <c r="L59" s="370"/>
      <c r="M59" s="370"/>
      <c r="N59" s="370"/>
      <c r="O59" s="370"/>
      <c r="P59" s="370"/>
      <c r="Q59" s="370"/>
    </row>
    <row r="60" spans="1:17">
      <c r="A60" s="372"/>
    </row>
    <row r="61" spans="1:17" ht="52.8">
      <c r="A61" s="372"/>
      <c r="B61" s="364" t="s">
        <v>1041</v>
      </c>
      <c r="C61" s="364" t="s">
        <v>1042</v>
      </c>
      <c r="D61" s="364" t="s">
        <v>1069</v>
      </c>
      <c r="E61" s="364" t="s">
        <v>1055</v>
      </c>
      <c r="F61" s="364" t="s">
        <v>1056</v>
      </c>
      <c r="I61" s="359" t="s">
        <v>1043</v>
      </c>
      <c r="J61" s="359">
        <v>5.4</v>
      </c>
      <c r="M61" s="359">
        <v>6.9259248013825205</v>
      </c>
      <c r="N61" s="359">
        <f t="shared" ref="N61:N66" si="6">AVERAGE(K61:M61)</f>
        <v>6.9259248013825205</v>
      </c>
      <c r="P61" s="359">
        <f t="shared" ref="P61:P70" si="7">COUNT(K61:M61)</f>
        <v>1</v>
      </c>
      <c r="Q61" s="359" t="s">
        <v>1104</v>
      </c>
    </row>
    <row r="62" spans="1:17" ht="26.4">
      <c r="A62" s="372"/>
      <c r="B62" s="364"/>
      <c r="C62" s="364"/>
      <c r="D62" s="364"/>
      <c r="E62" s="364"/>
      <c r="F62" s="364"/>
      <c r="I62" s="362" t="s">
        <v>1049</v>
      </c>
      <c r="J62" s="362">
        <v>0.15</v>
      </c>
      <c r="K62" s="362"/>
      <c r="L62" s="362"/>
      <c r="M62" s="362">
        <v>3.8601516933490142E-2</v>
      </c>
      <c r="N62" s="362">
        <f t="shared" si="6"/>
        <v>3.8601516933490142E-2</v>
      </c>
      <c r="O62" s="362"/>
      <c r="P62" s="362">
        <f t="shared" si="7"/>
        <v>1</v>
      </c>
      <c r="Q62" s="362" t="s">
        <v>1143</v>
      </c>
    </row>
    <row r="63" spans="1:17" ht="39.6">
      <c r="A63" s="372"/>
      <c r="B63" s="364" t="s">
        <v>466</v>
      </c>
      <c r="C63" s="364" t="s">
        <v>1057</v>
      </c>
      <c r="D63" s="364" t="s">
        <v>1001</v>
      </c>
      <c r="E63" s="364" t="s">
        <v>990</v>
      </c>
      <c r="F63" s="364" t="s">
        <v>100</v>
      </c>
      <c r="I63" s="359" t="s">
        <v>470</v>
      </c>
      <c r="J63" s="359">
        <v>5.4</v>
      </c>
      <c r="K63" s="359">
        <v>10.1</v>
      </c>
      <c r="N63" s="359">
        <f t="shared" si="6"/>
        <v>10.1</v>
      </c>
      <c r="P63" s="359">
        <f t="shared" si="7"/>
        <v>1</v>
      </c>
      <c r="Q63" s="359" t="s">
        <v>1090</v>
      </c>
    </row>
    <row r="64" spans="1:17" ht="26.4">
      <c r="A64" s="372"/>
      <c r="B64" s="364"/>
      <c r="C64" s="364"/>
      <c r="D64" s="364"/>
      <c r="E64" s="364"/>
      <c r="F64" s="364"/>
      <c r="I64" s="365" t="s">
        <v>471</v>
      </c>
      <c r="J64" s="365">
        <v>0.15</v>
      </c>
      <c r="K64" s="365">
        <v>0.06</v>
      </c>
      <c r="L64" s="365"/>
      <c r="M64" s="365"/>
      <c r="N64" s="365">
        <f t="shared" si="6"/>
        <v>0.06</v>
      </c>
      <c r="O64" s="365"/>
      <c r="P64" s="365">
        <f t="shared" si="7"/>
        <v>1</v>
      </c>
      <c r="Q64" s="365" t="s">
        <v>1140</v>
      </c>
    </row>
    <row r="65" spans="1:18" ht="39.6">
      <c r="A65" s="374"/>
      <c r="B65" s="364" t="s">
        <v>466</v>
      </c>
      <c r="C65" s="364" t="s">
        <v>1070</v>
      </c>
      <c r="D65" s="364" t="s">
        <v>1001</v>
      </c>
      <c r="E65" s="364" t="s">
        <v>990</v>
      </c>
      <c r="F65" s="364" t="s">
        <v>100</v>
      </c>
      <c r="G65" s="366" t="s">
        <v>1071</v>
      </c>
      <c r="H65" s="366"/>
      <c r="I65" s="359" t="s">
        <v>470</v>
      </c>
      <c r="J65" s="359">
        <v>5.4</v>
      </c>
      <c r="K65" s="359">
        <v>11.3</v>
      </c>
      <c r="N65" s="359">
        <f t="shared" si="6"/>
        <v>11.3</v>
      </c>
      <c r="P65" s="359">
        <f t="shared" si="7"/>
        <v>1</v>
      </c>
      <c r="Q65" s="359" t="s">
        <v>1090</v>
      </c>
    </row>
    <row r="66" spans="1:18" ht="26.4">
      <c r="A66" s="374"/>
      <c r="B66" s="364"/>
      <c r="C66" s="364"/>
      <c r="D66" s="364"/>
      <c r="E66" s="364"/>
      <c r="F66" s="364"/>
      <c r="G66" s="366"/>
      <c r="H66" s="366"/>
      <c r="I66" s="365" t="s">
        <v>471</v>
      </c>
      <c r="J66" s="365">
        <v>0.15</v>
      </c>
      <c r="K66" s="365">
        <v>0.41</v>
      </c>
      <c r="L66" s="365"/>
      <c r="M66" s="365"/>
      <c r="N66" s="365">
        <f t="shared" si="6"/>
        <v>0.41</v>
      </c>
      <c r="O66" s="365"/>
      <c r="P66" s="365">
        <f t="shared" si="7"/>
        <v>1</v>
      </c>
      <c r="Q66" s="365" t="s">
        <v>1090</v>
      </c>
    </row>
    <row r="67" spans="1:18" ht="52.8">
      <c r="A67" s="374"/>
      <c r="B67" s="364" t="s">
        <v>466</v>
      </c>
      <c r="C67" s="364" t="s">
        <v>1072</v>
      </c>
      <c r="D67" s="364" t="s">
        <v>1073</v>
      </c>
      <c r="E67" s="364" t="s">
        <v>990</v>
      </c>
      <c r="F67" s="364" t="s">
        <v>100</v>
      </c>
      <c r="G67" s="367" t="s">
        <v>1074</v>
      </c>
      <c r="H67" s="367"/>
      <c r="I67" s="359" t="s">
        <v>470</v>
      </c>
      <c r="J67" s="359">
        <v>5.4</v>
      </c>
      <c r="P67" s="359">
        <f t="shared" si="7"/>
        <v>0</v>
      </c>
      <c r="Q67" s="359" t="s">
        <v>1086</v>
      </c>
    </row>
    <row r="68" spans="1:18" ht="26.4">
      <c r="A68" s="374"/>
      <c r="G68" s="367"/>
      <c r="H68" s="367"/>
      <c r="I68" s="365" t="s">
        <v>471</v>
      </c>
      <c r="J68" s="365">
        <v>0.15</v>
      </c>
      <c r="K68" s="365"/>
      <c r="L68" s="365"/>
      <c r="M68" s="365"/>
      <c r="N68" s="365"/>
      <c r="O68" s="365"/>
      <c r="P68" s="365">
        <f t="shared" si="7"/>
        <v>0</v>
      </c>
      <c r="Q68" s="365" t="s">
        <v>1086</v>
      </c>
    </row>
    <row r="69" spans="1:18" ht="52.8">
      <c r="A69" s="374"/>
      <c r="B69" s="364" t="s">
        <v>466</v>
      </c>
      <c r="C69" s="364" t="s">
        <v>1075</v>
      </c>
      <c r="D69" s="364" t="s">
        <v>1076</v>
      </c>
      <c r="E69" s="364" t="s">
        <v>990</v>
      </c>
      <c r="F69" s="364" t="s">
        <v>1065</v>
      </c>
      <c r="G69" s="367" t="s">
        <v>1077</v>
      </c>
      <c r="H69" s="367"/>
      <c r="I69" s="359" t="s">
        <v>470</v>
      </c>
      <c r="J69" s="359">
        <v>5.4</v>
      </c>
      <c r="P69" s="359">
        <f t="shared" si="7"/>
        <v>0</v>
      </c>
      <c r="Q69" s="359" t="s">
        <v>1144</v>
      </c>
    </row>
    <row r="70" spans="1:18" ht="26.4">
      <c r="A70" s="374"/>
      <c r="G70" s="367"/>
      <c r="H70" s="367"/>
      <c r="I70" s="365" t="s">
        <v>471</v>
      </c>
      <c r="J70" s="365">
        <v>0.15</v>
      </c>
      <c r="K70" s="365"/>
      <c r="L70" s="365"/>
      <c r="M70" s="365"/>
      <c r="N70" s="365"/>
      <c r="O70" s="365"/>
      <c r="P70" s="365">
        <f t="shared" si="7"/>
        <v>0</v>
      </c>
      <c r="Q70" s="365" t="s">
        <v>1086</v>
      </c>
    </row>
    <row r="78" spans="1:18" s="361" customFormat="1">
      <c r="A78" s="359"/>
      <c r="B78" s="359"/>
      <c r="C78" s="359"/>
      <c r="D78" s="359"/>
      <c r="E78" s="359"/>
      <c r="F78" s="359"/>
      <c r="G78" s="359"/>
      <c r="H78" s="359"/>
      <c r="I78" s="359"/>
      <c r="J78" s="359"/>
      <c r="K78" s="359"/>
      <c r="L78" s="359"/>
      <c r="M78" s="359"/>
      <c r="N78" s="359"/>
      <c r="O78" s="359"/>
      <c r="P78" s="359"/>
      <c r="Q78" s="359"/>
      <c r="R78" s="359"/>
    </row>
    <row r="79" spans="1:18" s="361" customFormat="1">
      <c r="A79" s="359"/>
      <c r="B79" s="359"/>
      <c r="C79" s="359"/>
      <c r="D79" s="359"/>
      <c r="E79" s="359"/>
      <c r="F79" s="359"/>
      <c r="G79" s="359"/>
      <c r="H79" s="359"/>
      <c r="I79" s="359"/>
      <c r="J79" s="359"/>
      <c r="K79" s="359"/>
      <c r="L79" s="359"/>
      <c r="M79" s="359"/>
      <c r="N79" s="359"/>
      <c r="O79" s="359"/>
      <c r="P79" s="359"/>
      <c r="Q79" s="359"/>
      <c r="R79" s="359"/>
    </row>
    <row r="80" spans="1:18" s="361" customFormat="1">
      <c r="A80" s="359"/>
      <c r="B80" s="359"/>
      <c r="C80" s="359"/>
      <c r="D80" s="359"/>
      <c r="E80" s="359"/>
      <c r="F80" s="359"/>
      <c r="G80" s="359"/>
      <c r="H80" s="359"/>
      <c r="I80" s="359"/>
      <c r="J80" s="359"/>
      <c r="K80" s="359"/>
      <c r="L80" s="359"/>
      <c r="M80" s="359"/>
      <c r="N80" s="359"/>
      <c r="O80" s="359"/>
      <c r="P80" s="359"/>
      <c r="Q80" s="359"/>
      <c r="R80" s="359"/>
    </row>
    <row r="81" spans="1:18" s="361" customFormat="1">
      <c r="A81" s="359"/>
      <c r="B81" s="359"/>
      <c r="C81" s="359"/>
      <c r="D81" s="359"/>
      <c r="E81" s="359"/>
      <c r="F81" s="359"/>
      <c r="G81" s="359"/>
      <c r="H81" s="359"/>
      <c r="I81" s="359"/>
      <c r="J81" s="359"/>
      <c r="K81" s="359"/>
      <c r="L81" s="359"/>
      <c r="M81" s="359"/>
      <c r="N81" s="359"/>
      <c r="O81" s="359"/>
      <c r="P81" s="359"/>
      <c r="Q81" s="359"/>
      <c r="R81" s="359"/>
    </row>
    <row r="82" spans="1:18" s="361" customFormat="1">
      <c r="A82" s="359"/>
      <c r="B82" s="359"/>
      <c r="C82" s="359"/>
      <c r="D82" s="359"/>
      <c r="E82" s="359"/>
      <c r="F82" s="359"/>
      <c r="G82" s="359"/>
      <c r="H82" s="359"/>
      <c r="I82" s="359"/>
      <c r="J82" s="359"/>
      <c r="K82" s="359"/>
      <c r="L82" s="359"/>
      <c r="M82" s="359"/>
      <c r="N82" s="359"/>
      <c r="O82" s="359"/>
      <c r="P82" s="359"/>
      <c r="Q82" s="359"/>
      <c r="R82" s="359"/>
    </row>
    <row r="83" spans="1:18" s="361" customFormat="1">
      <c r="A83" s="359"/>
      <c r="B83" s="359"/>
      <c r="C83" s="359"/>
      <c r="D83" s="359"/>
      <c r="E83" s="359"/>
      <c r="F83" s="359"/>
      <c r="G83" s="359"/>
      <c r="H83" s="359"/>
      <c r="I83" s="359"/>
      <c r="J83" s="359"/>
      <c r="K83" s="359"/>
      <c r="L83" s="359"/>
      <c r="M83" s="359"/>
      <c r="N83" s="359"/>
      <c r="O83" s="359"/>
      <c r="P83" s="359"/>
      <c r="Q83" s="359"/>
      <c r="R83" s="359"/>
    </row>
    <row r="84" spans="1:18" s="361" customFormat="1">
      <c r="A84" s="359"/>
      <c r="B84" s="359"/>
      <c r="C84" s="359"/>
      <c r="D84" s="359"/>
      <c r="E84" s="359"/>
      <c r="F84" s="359"/>
      <c r="G84" s="359"/>
      <c r="H84" s="359"/>
      <c r="I84" s="359"/>
      <c r="J84" s="359"/>
      <c r="K84" s="359"/>
      <c r="L84" s="359"/>
      <c r="M84" s="359"/>
      <c r="N84" s="359"/>
      <c r="O84" s="359"/>
      <c r="P84" s="359"/>
      <c r="Q84" s="359"/>
      <c r="R84" s="359"/>
    </row>
    <row r="85" spans="1:18" s="361" customFormat="1">
      <c r="A85" s="359"/>
      <c r="B85" s="359"/>
      <c r="C85" s="359"/>
      <c r="D85" s="359"/>
      <c r="E85" s="359"/>
      <c r="F85" s="359"/>
      <c r="G85" s="359"/>
      <c r="H85" s="359"/>
      <c r="I85" s="359"/>
      <c r="J85" s="359"/>
      <c r="K85" s="359"/>
      <c r="L85" s="359"/>
      <c r="M85" s="359"/>
      <c r="N85" s="359"/>
      <c r="O85" s="359"/>
      <c r="P85" s="359"/>
      <c r="Q85" s="359"/>
      <c r="R85" s="359"/>
    </row>
    <row r="86" spans="1:18" s="361" customFormat="1">
      <c r="A86" s="359"/>
      <c r="B86" s="359"/>
      <c r="C86" s="359"/>
      <c r="D86" s="359"/>
      <c r="E86" s="359"/>
      <c r="F86" s="359"/>
      <c r="G86" s="359"/>
      <c r="H86" s="359"/>
      <c r="I86" s="359"/>
      <c r="J86" s="359"/>
      <c r="K86" s="359"/>
      <c r="L86" s="359"/>
      <c r="M86" s="359"/>
      <c r="N86" s="359"/>
      <c r="O86" s="359"/>
      <c r="P86" s="359"/>
      <c r="Q86" s="359"/>
      <c r="R86" s="359"/>
    </row>
    <row r="87" spans="1:18" s="361" customFormat="1">
      <c r="A87" s="359"/>
      <c r="B87" s="359"/>
      <c r="C87" s="359"/>
      <c r="D87" s="359"/>
      <c r="E87" s="359"/>
      <c r="F87" s="359"/>
      <c r="G87" s="359"/>
      <c r="H87" s="359"/>
      <c r="I87" s="359"/>
      <c r="J87" s="359"/>
      <c r="K87" s="359"/>
      <c r="L87" s="359"/>
      <c r="M87" s="359"/>
      <c r="N87" s="359"/>
      <c r="O87" s="359"/>
      <c r="P87" s="359"/>
      <c r="Q87" s="359"/>
      <c r="R87" s="359"/>
    </row>
    <row r="88" spans="1:18" s="361" customFormat="1">
      <c r="A88" s="359"/>
      <c r="B88" s="359"/>
      <c r="C88" s="359"/>
      <c r="D88" s="359"/>
      <c r="E88" s="359"/>
      <c r="F88" s="359"/>
      <c r="G88" s="359"/>
      <c r="H88" s="359"/>
      <c r="I88" s="359"/>
      <c r="J88" s="359"/>
      <c r="K88" s="359"/>
      <c r="L88" s="359"/>
      <c r="M88" s="359"/>
      <c r="N88" s="359"/>
      <c r="O88" s="359"/>
      <c r="P88" s="359"/>
      <c r="Q88" s="359"/>
      <c r="R88" s="359"/>
    </row>
    <row r="89" spans="1:18" s="361" customFormat="1">
      <c r="A89" s="359"/>
      <c r="B89" s="359"/>
      <c r="C89" s="359"/>
      <c r="D89" s="359"/>
      <c r="E89" s="359"/>
      <c r="F89" s="359"/>
      <c r="G89" s="359"/>
      <c r="H89" s="359"/>
      <c r="I89" s="359"/>
      <c r="J89" s="359"/>
      <c r="K89" s="359"/>
      <c r="L89" s="359"/>
      <c r="M89" s="359"/>
      <c r="N89" s="359"/>
      <c r="O89" s="359"/>
      <c r="P89" s="359"/>
      <c r="Q89" s="359"/>
      <c r="R89" s="359"/>
    </row>
    <row r="90" spans="1:18" s="361" customFormat="1">
      <c r="A90" s="359"/>
      <c r="B90" s="359"/>
      <c r="C90" s="359"/>
      <c r="D90" s="359"/>
      <c r="E90" s="359"/>
      <c r="F90" s="359"/>
      <c r="G90" s="359"/>
      <c r="H90" s="359"/>
      <c r="I90" s="359"/>
      <c r="J90" s="359"/>
      <c r="K90" s="359"/>
      <c r="L90" s="359"/>
      <c r="M90" s="359"/>
      <c r="N90" s="359"/>
      <c r="O90" s="359"/>
      <c r="P90" s="359"/>
      <c r="Q90" s="359"/>
      <c r="R90" s="359"/>
    </row>
    <row r="91" spans="1:18" s="361" customFormat="1">
      <c r="A91" s="359"/>
      <c r="B91" s="359"/>
      <c r="C91" s="359"/>
      <c r="D91" s="359"/>
      <c r="E91" s="359"/>
      <c r="F91" s="359"/>
      <c r="G91" s="359"/>
      <c r="H91" s="359"/>
      <c r="I91" s="359"/>
      <c r="J91" s="359"/>
      <c r="K91" s="359"/>
      <c r="L91" s="359"/>
      <c r="M91" s="359"/>
      <c r="N91" s="359"/>
      <c r="O91" s="359"/>
      <c r="P91" s="359"/>
      <c r="Q91" s="359"/>
      <c r="R91" s="359"/>
    </row>
    <row r="92" spans="1:18" s="361" customFormat="1">
      <c r="A92" s="359"/>
      <c r="B92" s="359"/>
      <c r="C92" s="359"/>
      <c r="D92" s="359"/>
      <c r="E92" s="359"/>
      <c r="F92" s="359"/>
      <c r="G92" s="359"/>
      <c r="H92" s="359"/>
      <c r="I92" s="359"/>
      <c r="J92" s="359"/>
      <c r="K92" s="359"/>
      <c r="L92" s="359"/>
      <c r="M92" s="359"/>
      <c r="N92" s="359"/>
      <c r="O92" s="359"/>
      <c r="P92" s="359"/>
      <c r="Q92" s="359"/>
      <c r="R92" s="359"/>
    </row>
    <row r="93" spans="1:18" s="361" customFormat="1">
      <c r="A93" s="359"/>
      <c r="B93" s="359"/>
      <c r="C93" s="359"/>
      <c r="D93" s="359"/>
      <c r="E93" s="359"/>
      <c r="F93" s="359"/>
      <c r="G93" s="359"/>
      <c r="H93" s="359"/>
      <c r="I93" s="359"/>
      <c r="J93" s="359"/>
      <c r="K93" s="359"/>
      <c r="L93" s="359"/>
      <c r="M93" s="359"/>
      <c r="N93" s="359"/>
      <c r="O93" s="359"/>
      <c r="P93" s="359"/>
      <c r="Q93" s="359"/>
      <c r="R93" s="359"/>
    </row>
    <row r="94" spans="1:18" s="361" customFormat="1">
      <c r="A94" s="359"/>
      <c r="B94" s="359"/>
      <c r="C94" s="359"/>
      <c r="D94" s="359"/>
      <c r="E94" s="359"/>
      <c r="F94" s="359"/>
      <c r="G94" s="359"/>
      <c r="H94" s="359"/>
      <c r="I94" s="359"/>
      <c r="J94" s="359"/>
      <c r="K94" s="359"/>
      <c r="L94" s="359"/>
      <c r="M94" s="359"/>
      <c r="N94" s="359"/>
      <c r="O94" s="359"/>
      <c r="P94" s="359"/>
      <c r="Q94" s="359"/>
      <c r="R94" s="359"/>
    </row>
    <row r="95" spans="1:18" s="361" customFormat="1">
      <c r="A95" s="359"/>
      <c r="B95" s="359"/>
      <c r="C95" s="359"/>
      <c r="D95" s="359"/>
      <c r="E95" s="359"/>
      <c r="F95" s="359"/>
      <c r="G95" s="359"/>
      <c r="H95" s="359"/>
      <c r="I95" s="359"/>
      <c r="J95" s="359"/>
      <c r="K95" s="359"/>
      <c r="L95" s="359"/>
      <c r="M95" s="359"/>
      <c r="N95" s="359"/>
      <c r="O95" s="359"/>
      <c r="P95" s="359"/>
      <c r="Q95" s="359"/>
      <c r="R95" s="359"/>
    </row>
  </sheetData>
  <mergeCells count="3">
    <mergeCell ref="I1:J1"/>
    <mergeCell ref="A2:A5"/>
    <mergeCell ref="A54:A59"/>
  </mergeCells>
  <phoneticPr fontId="15" type="noConversion"/>
  <pageMargins left="0.74803149606299213" right="0.74803149606299213" top="0.98425196850393704" bottom="0.98425196850393704" header="0.51181102362204722" footer="0.51181102362204722"/>
  <pageSetup paperSize="9" orientation="portrait" r:id="rId1"/>
  <headerFooter alignWithMargins="0">
    <oddHeader>&amp;L&amp;G&amp;C&amp;F&amp;R文档密级</oddHeader>
    <oddFooter>&amp;L&amp;D&amp;C华为保密信息,未经授权禁止扩散&amp;R第&amp;P页，共&amp;N页</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L44"/>
  <sheetViews>
    <sheetView zoomScale="85" zoomScaleNormal="85" workbookViewId="0">
      <pane xSplit="2" ySplit="3" topLeftCell="AE4" activePane="bottomRight" state="frozen"/>
      <selection pane="topRight" activeCell="C1" sqref="C1"/>
      <selection pane="bottomLeft" activeCell="A4" sqref="A4"/>
      <selection pane="bottomRight" activeCell="AK24" sqref="AK24"/>
    </sheetView>
  </sheetViews>
  <sheetFormatPr defaultColWidth="9.44140625" defaultRowHeight="15.6"/>
  <cols>
    <col min="1" max="1" width="29.44140625" style="108" customWidth="1"/>
    <col min="2" max="2" width="49.5546875" style="108" customWidth="1"/>
    <col min="3" max="3" width="31.44140625" style="172" customWidth="1"/>
    <col min="4" max="5" width="31.5546875" style="188" customWidth="1"/>
    <col min="6" max="9" width="31.44140625" style="109" customWidth="1"/>
    <col min="10" max="10" width="31.44140625" style="172" customWidth="1"/>
    <col min="11" max="11" width="31.44140625" style="188" customWidth="1"/>
    <col min="12" max="20" width="31.44140625" style="109" customWidth="1"/>
    <col min="21" max="21" width="31.44140625" style="172" customWidth="1"/>
    <col min="22" max="22" width="31.44140625" style="188" customWidth="1"/>
    <col min="23" max="25" width="31.44140625" style="109" customWidth="1"/>
    <col min="26" max="26" width="24.44140625" style="108" customWidth="1"/>
    <col min="27" max="27" width="22" style="108" customWidth="1"/>
    <col min="28" max="28" width="31.5546875" style="188" customWidth="1"/>
    <col min="29" max="29" width="25.5546875" style="108" customWidth="1"/>
    <col min="30" max="30" width="28.44140625" style="108" customWidth="1"/>
    <col min="31" max="31" width="20.5546875" style="108" customWidth="1"/>
    <col min="32" max="33" width="31.44140625" style="109" customWidth="1"/>
    <col min="34" max="34" width="20.5546875" style="108" customWidth="1"/>
    <col min="35" max="35" width="24" style="108" customWidth="1"/>
    <col min="36" max="36" width="31.44140625" style="172" customWidth="1"/>
    <col min="37" max="37" width="28.5546875" style="108" customWidth="1"/>
    <col min="38" max="38" width="33" style="108" customWidth="1"/>
    <col min="39" max="16384" width="9.44140625" style="108"/>
  </cols>
  <sheetData>
    <row r="1" spans="1:38">
      <c r="A1" s="158" t="s">
        <v>63</v>
      </c>
      <c r="B1" s="109"/>
      <c r="L1"/>
      <c r="M1"/>
      <c r="Z1" s="149"/>
      <c r="AA1" s="149"/>
      <c r="AC1" s="149"/>
      <c r="AD1"/>
    </row>
    <row r="2" spans="1:38" s="157" customFormat="1" ht="24" customHeight="1">
      <c r="A2" s="393" t="s">
        <v>64</v>
      </c>
      <c r="B2" s="395" t="s">
        <v>65</v>
      </c>
      <c r="C2" s="388" t="s">
        <v>5</v>
      </c>
      <c r="D2" s="397"/>
      <c r="E2" s="389"/>
      <c r="F2" s="388" t="s">
        <v>8</v>
      </c>
      <c r="G2" s="389"/>
      <c r="H2" s="112" t="s">
        <v>11</v>
      </c>
      <c r="I2" s="112" t="s">
        <v>14</v>
      </c>
      <c r="J2" s="388" t="s">
        <v>16</v>
      </c>
      <c r="K2" s="397"/>
      <c r="L2" s="397"/>
      <c r="M2" s="389"/>
      <c r="N2" s="398" t="s">
        <v>21</v>
      </c>
      <c r="O2" s="399"/>
      <c r="P2" s="112" t="s">
        <v>23</v>
      </c>
      <c r="Q2" s="398" t="s">
        <v>25</v>
      </c>
      <c r="R2" s="399"/>
      <c r="S2" s="398" t="s">
        <v>26</v>
      </c>
      <c r="T2" s="399"/>
      <c r="U2" s="388" t="s">
        <v>27</v>
      </c>
      <c r="V2" s="389"/>
      <c r="W2" s="388" t="s">
        <v>29</v>
      </c>
      <c r="X2" s="389"/>
      <c r="Y2" s="112" t="s">
        <v>30</v>
      </c>
      <c r="Z2" s="390" t="s">
        <v>32</v>
      </c>
      <c r="AA2" s="391"/>
      <c r="AB2" s="392"/>
      <c r="AC2" s="270" t="s">
        <v>671</v>
      </c>
      <c r="AD2" s="218"/>
      <c r="AE2" s="112" t="s">
        <v>36</v>
      </c>
      <c r="AF2" s="388" t="s">
        <v>39</v>
      </c>
      <c r="AG2" s="389"/>
      <c r="AH2" s="112" t="s">
        <v>43</v>
      </c>
      <c r="AI2" s="225" t="s">
        <v>552</v>
      </c>
      <c r="AJ2" s="225" t="s">
        <v>583</v>
      </c>
      <c r="AK2" s="386" t="s">
        <v>17</v>
      </c>
      <c r="AL2" s="387"/>
    </row>
    <row r="3" spans="1:38" s="157" customFormat="1" ht="12" customHeight="1">
      <c r="A3" s="394"/>
      <c r="B3" s="396"/>
      <c r="C3" s="138" t="s">
        <v>66</v>
      </c>
      <c r="D3" s="139" t="s">
        <v>67</v>
      </c>
      <c r="E3" s="256" t="s">
        <v>593</v>
      </c>
      <c r="F3" s="138" t="s">
        <v>66</v>
      </c>
      <c r="G3" s="139" t="s">
        <v>67</v>
      </c>
      <c r="H3" s="140" t="s">
        <v>66</v>
      </c>
      <c r="I3" s="140" t="s">
        <v>66</v>
      </c>
      <c r="J3" s="138" t="s">
        <v>66</v>
      </c>
      <c r="K3" s="139" t="s">
        <v>67</v>
      </c>
      <c r="L3" s="260" t="s">
        <v>630</v>
      </c>
      <c r="M3" s="261" t="s">
        <v>631</v>
      </c>
      <c r="N3" s="140" t="s">
        <v>66</v>
      </c>
      <c r="O3" s="140" t="s">
        <v>709</v>
      </c>
      <c r="P3" s="140" t="s">
        <v>66</v>
      </c>
      <c r="Q3" s="139" t="s">
        <v>66</v>
      </c>
      <c r="R3" s="139" t="s">
        <v>67</v>
      </c>
      <c r="S3" s="140" t="s">
        <v>66</v>
      </c>
      <c r="T3" s="226" t="s">
        <v>722</v>
      </c>
      <c r="U3" s="138" t="s">
        <v>66</v>
      </c>
      <c r="V3" s="139" t="s">
        <v>67</v>
      </c>
      <c r="W3" s="138" t="s">
        <v>66</v>
      </c>
      <c r="X3" s="139" t="s">
        <v>67</v>
      </c>
      <c r="Y3" s="150" t="s">
        <v>67</v>
      </c>
      <c r="Z3" s="134" t="s">
        <v>67</v>
      </c>
      <c r="AA3" s="134" t="s">
        <v>66</v>
      </c>
      <c r="AB3" s="256" t="s">
        <v>593</v>
      </c>
      <c r="AC3" s="271" t="s">
        <v>546</v>
      </c>
      <c r="AD3" s="150" t="s">
        <v>67</v>
      </c>
      <c r="AE3" s="150" t="s">
        <v>66</v>
      </c>
      <c r="AF3" s="138" t="s">
        <v>66</v>
      </c>
      <c r="AG3" s="139" t="s">
        <v>67</v>
      </c>
      <c r="AH3" s="150" t="s">
        <v>67</v>
      </c>
      <c r="AI3" s="226" t="s">
        <v>66</v>
      </c>
      <c r="AJ3" s="226" t="s">
        <v>66</v>
      </c>
      <c r="AK3" s="138" t="s">
        <v>66</v>
      </c>
      <c r="AL3" s="139" t="s">
        <v>67</v>
      </c>
    </row>
    <row r="4" spans="1:38">
      <c r="A4" s="119" t="s">
        <v>68</v>
      </c>
      <c r="B4" s="159" t="s">
        <v>69</v>
      </c>
      <c r="C4" s="160" t="s">
        <v>70</v>
      </c>
      <c r="D4" s="160" t="s">
        <v>70</v>
      </c>
      <c r="E4" s="160" t="s">
        <v>70</v>
      </c>
      <c r="F4" s="160" t="s">
        <v>70</v>
      </c>
      <c r="G4" s="160" t="s">
        <v>70</v>
      </c>
      <c r="H4" s="160" t="s">
        <v>70</v>
      </c>
      <c r="I4" s="160" t="s">
        <v>70</v>
      </c>
      <c r="J4" s="160" t="s">
        <v>70</v>
      </c>
      <c r="K4" s="160" t="s">
        <v>70</v>
      </c>
      <c r="L4" s="160" t="s">
        <v>70</v>
      </c>
      <c r="M4" s="160" t="s">
        <v>70</v>
      </c>
      <c r="N4" s="160" t="s">
        <v>70</v>
      </c>
      <c r="O4" s="160" t="s">
        <v>70</v>
      </c>
      <c r="P4" s="160" t="s">
        <v>70</v>
      </c>
      <c r="Q4" s="160" t="s">
        <v>70</v>
      </c>
      <c r="R4" s="160" t="s">
        <v>70</v>
      </c>
      <c r="S4" s="179" t="s">
        <v>70</v>
      </c>
      <c r="T4" s="187" t="s">
        <v>70</v>
      </c>
      <c r="U4" s="160" t="s">
        <v>70</v>
      </c>
      <c r="V4" s="160" t="s">
        <v>70</v>
      </c>
      <c r="W4" s="160" t="s">
        <v>70</v>
      </c>
      <c r="X4" s="160" t="s">
        <v>70</v>
      </c>
      <c r="Y4" s="160" t="s">
        <v>70</v>
      </c>
      <c r="Z4" s="151" t="s">
        <v>70</v>
      </c>
      <c r="AA4" s="151" t="s">
        <v>70</v>
      </c>
      <c r="AB4" s="160" t="s">
        <v>70</v>
      </c>
      <c r="AC4" s="160" t="s">
        <v>70</v>
      </c>
      <c r="AD4" s="160" t="s">
        <v>70</v>
      </c>
      <c r="AE4" s="160" t="s">
        <v>70</v>
      </c>
      <c r="AF4" s="160" t="s">
        <v>70</v>
      </c>
      <c r="AG4" s="160" t="s">
        <v>70</v>
      </c>
      <c r="AH4" s="160" t="s">
        <v>70</v>
      </c>
      <c r="AI4" s="160" t="s">
        <v>70</v>
      </c>
      <c r="AJ4" s="160" t="s">
        <v>70</v>
      </c>
      <c r="AK4" s="160" t="s">
        <v>70</v>
      </c>
      <c r="AL4" s="160" t="s">
        <v>70</v>
      </c>
    </row>
    <row r="5" spans="1:38">
      <c r="A5" s="119" t="s">
        <v>71</v>
      </c>
      <c r="B5" s="159"/>
      <c r="C5" s="160" t="s">
        <v>72</v>
      </c>
      <c r="D5" s="168" t="s">
        <v>73</v>
      </c>
      <c r="E5" s="168" t="s">
        <v>73</v>
      </c>
      <c r="F5" s="160" t="s">
        <v>72</v>
      </c>
      <c r="G5" s="168" t="s">
        <v>73</v>
      </c>
      <c r="H5" s="119" t="s">
        <v>72</v>
      </c>
      <c r="I5" s="119" t="s">
        <v>72</v>
      </c>
      <c r="J5" s="160" t="s">
        <v>72</v>
      </c>
      <c r="K5" s="168" t="s">
        <v>73</v>
      </c>
      <c r="L5" s="160" t="s">
        <v>72</v>
      </c>
      <c r="M5" s="119" t="s">
        <v>73</v>
      </c>
      <c r="N5" s="119" t="s">
        <v>72</v>
      </c>
      <c r="O5" s="280" t="s">
        <v>710</v>
      </c>
      <c r="P5" s="119" t="s">
        <v>72</v>
      </c>
      <c r="Q5" s="160" t="s">
        <v>72</v>
      </c>
      <c r="R5" s="168" t="s">
        <v>73</v>
      </c>
      <c r="S5" s="179" t="s">
        <v>72</v>
      </c>
      <c r="T5" s="182" t="s">
        <v>73</v>
      </c>
      <c r="U5" s="160" t="s">
        <v>72</v>
      </c>
      <c r="V5" s="168" t="s">
        <v>73</v>
      </c>
      <c r="W5" s="160" t="s">
        <v>72</v>
      </c>
      <c r="X5" s="168" t="s">
        <v>73</v>
      </c>
      <c r="Y5" s="168" t="s">
        <v>73</v>
      </c>
      <c r="Z5" s="153" t="s">
        <v>73</v>
      </c>
      <c r="AA5" s="151" t="s">
        <v>72</v>
      </c>
      <c r="AB5" s="168" t="s">
        <v>73</v>
      </c>
      <c r="AC5" s="168" t="s">
        <v>547</v>
      </c>
      <c r="AD5" s="168" t="s">
        <v>73</v>
      </c>
      <c r="AE5" s="160" t="s">
        <v>72</v>
      </c>
      <c r="AF5" s="160" t="s">
        <v>72</v>
      </c>
      <c r="AG5" s="168" t="s">
        <v>73</v>
      </c>
      <c r="AH5" s="160" t="s">
        <v>73</v>
      </c>
      <c r="AI5" s="160" t="s">
        <v>72</v>
      </c>
      <c r="AJ5" s="160" t="s">
        <v>72</v>
      </c>
      <c r="AK5" s="160" t="s">
        <v>72</v>
      </c>
      <c r="AL5" s="168" t="s">
        <v>73</v>
      </c>
    </row>
    <row r="6" spans="1:38">
      <c r="A6" s="144" t="s">
        <v>74</v>
      </c>
      <c r="B6" s="159" t="s">
        <v>75</v>
      </c>
      <c r="C6" s="160" t="s">
        <v>70</v>
      </c>
      <c r="D6" s="160" t="s">
        <v>70</v>
      </c>
      <c r="E6" s="160" t="s">
        <v>70</v>
      </c>
      <c r="F6" s="160" t="s">
        <v>70</v>
      </c>
      <c r="G6" s="160" t="s">
        <v>70</v>
      </c>
      <c r="H6" s="160" t="s">
        <v>70</v>
      </c>
      <c r="I6" s="160" t="s">
        <v>70</v>
      </c>
      <c r="J6" s="160" t="s">
        <v>70</v>
      </c>
      <c r="K6" s="160" t="s">
        <v>70</v>
      </c>
      <c r="L6" s="160" t="s">
        <v>70</v>
      </c>
      <c r="M6" s="160" t="s">
        <v>70</v>
      </c>
      <c r="N6" s="160" t="s">
        <v>70</v>
      </c>
      <c r="O6" s="160" t="s">
        <v>70</v>
      </c>
      <c r="P6" s="160" t="s">
        <v>70</v>
      </c>
      <c r="Q6" s="160" t="s">
        <v>70</v>
      </c>
      <c r="R6" s="160" t="s">
        <v>70</v>
      </c>
      <c r="S6" s="179" t="s">
        <v>70</v>
      </c>
      <c r="T6" s="187" t="s">
        <v>70</v>
      </c>
      <c r="U6" s="160" t="s">
        <v>70</v>
      </c>
      <c r="V6" s="160" t="s">
        <v>70</v>
      </c>
      <c r="W6" s="160" t="s">
        <v>70</v>
      </c>
      <c r="X6" s="160" t="s">
        <v>70</v>
      </c>
      <c r="Y6" s="160" t="s">
        <v>70</v>
      </c>
      <c r="Z6" s="151" t="s">
        <v>70</v>
      </c>
      <c r="AA6" s="151" t="s">
        <v>70</v>
      </c>
      <c r="AB6" s="160" t="s">
        <v>70</v>
      </c>
      <c r="AC6" s="160" t="s">
        <v>70</v>
      </c>
      <c r="AD6" s="160" t="s">
        <v>70</v>
      </c>
      <c r="AE6" s="160" t="s">
        <v>70</v>
      </c>
      <c r="AF6" s="160" t="s">
        <v>70</v>
      </c>
      <c r="AG6" s="160" t="s">
        <v>70</v>
      </c>
      <c r="AH6" s="160" t="s">
        <v>70</v>
      </c>
      <c r="AI6" s="160" t="s">
        <v>70</v>
      </c>
      <c r="AJ6" s="160" t="s">
        <v>70</v>
      </c>
      <c r="AK6" s="160" t="s">
        <v>70</v>
      </c>
      <c r="AL6" s="160" t="s">
        <v>70</v>
      </c>
    </row>
    <row r="7" spans="1:38">
      <c r="A7" s="119" t="s">
        <v>76</v>
      </c>
      <c r="B7" s="159" t="s">
        <v>77</v>
      </c>
      <c r="C7" s="160" t="s">
        <v>70</v>
      </c>
      <c r="D7" s="160" t="s">
        <v>70</v>
      </c>
      <c r="E7" s="160" t="s">
        <v>70</v>
      </c>
      <c r="F7" s="160" t="s">
        <v>70</v>
      </c>
      <c r="G7" s="160" t="s">
        <v>70</v>
      </c>
      <c r="H7" s="160" t="s">
        <v>70</v>
      </c>
      <c r="I7" s="160" t="s">
        <v>70</v>
      </c>
      <c r="J7" s="160" t="s">
        <v>70</v>
      </c>
      <c r="K7" s="160" t="s">
        <v>70</v>
      </c>
      <c r="L7" s="160" t="s">
        <v>70</v>
      </c>
      <c r="M7" s="160" t="s">
        <v>70</v>
      </c>
      <c r="N7" s="160" t="s">
        <v>70</v>
      </c>
      <c r="O7" s="160" t="s">
        <v>70</v>
      </c>
      <c r="P7" s="160" t="s">
        <v>70</v>
      </c>
      <c r="Q7" s="160" t="s">
        <v>70</v>
      </c>
      <c r="R7" s="160" t="s">
        <v>70</v>
      </c>
      <c r="S7" s="179" t="s">
        <v>70</v>
      </c>
      <c r="T7" s="187" t="s">
        <v>70</v>
      </c>
      <c r="U7" s="160" t="s">
        <v>70</v>
      </c>
      <c r="V7" s="160" t="s">
        <v>70</v>
      </c>
      <c r="W7" s="160" t="s">
        <v>70</v>
      </c>
      <c r="X7" s="160" t="s">
        <v>70</v>
      </c>
      <c r="Y7" s="160" t="s">
        <v>70</v>
      </c>
      <c r="Z7" s="151" t="s">
        <v>70</v>
      </c>
      <c r="AA7" s="151" t="s">
        <v>70</v>
      </c>
      <c r="AB7" s="160" t="s">
        <v>70</v>
      </c>
      <c r="AC7" s="160" t="s">
        <v>70</v>
      </c>
      <c r="AD7" s="160" t="s">
        <v>70</v>
      </c>
      <c r="AE7" s="160" t="s">
        <v>70</v>
      </c>
      <c r="AF7" s="160" t="s">
        <v>70</v>
      </c>
      <c r="AG7" s="160" t="s">
        <v>70</v>
      </c>
      <c r="AH7" s="160" t="s">
        <v>70</v>
      </c>
      <c r="AI7" s="160" t="s">
        <v>70</v>
      </c>
      <c r="AJ7" s="160" t="s">
        <v>70</v>
      </c>
      <c r="AK7" s="160" t="s">
        <v>70</v>
      </c>
      <c r="AL7" s="160" t="s">
        <v>70</v>
      </c>
    </row>
    <row r="8" spans="1:38" ht="34.200000000000003">
      <c r="A8" s="119" t="s">
        <v>78</v>
      </c>
      <c r="B8" s="116" t="s">
        <v>79</v>
      </c>
      <c r="C8" s="160" t="s">
        <v>70</v>
      </c>
      <c r="D8" s="160" t="s">
        <v>70</v>
      </c>
      <c r="E8" s="160" t="s">
        <v>626</v>
      </c>
      <c r="F8" s="160" t="s">
        <v>70</v>
      </c>
      <c r="G8" s="160" t="s">
        <v>70</v>
      </c>
      <c r="H8" s="160" t="s">
        <v>70</v>
      </c>
      <c r="I8" s="160" t="s">
        <v>70</v>
      </c>
      <c r="J8" s="160" t="s">
        <v>70</v>
      </c>
      <c r="K8" s="160" t="s">
        <v>70</v>
      </c>
      <c r="L8" s="116" t="s">
        <v>625</v>
      </c>
      <c r="M8" s="116" t="s">
        <v>625</v>
      </c>
      <c r="N8" s="160" t="s">
        <v>70</v>
      </c>
      <c r="O8" s="160" t="s">
        <v>70</v>
      </c>
      <c r="P8" s="160" t="s">
        <v>70</v>
      </c>
      <c r="Q8" s="160" t="s">
        <v>70</v>
      </c>
      <c r="R8" s="160" t="s">
        <v>70</v>
      </c>
      <c r="S8" s="179" t="s">
        <v>70</v>
      </c>
      <c r="T8" s="187" t="s">
        <v>70</v>
      </c>
      <c r="U8" s="160" t="s">
        <v>70</v>
      </c>
      <c r="V8" s="160" t="s">
        <v>70</v>
      </c>
      <c r="W8" s="160" t="s">
        <v>70</v>
      </c>
      <c r="X8" s="160" t="s">
        <v>70</v>
      </c>
      <c r="Y8" s="187" t="s">
        <v>70</v>
      </c>
      <c r="Z8" s="151" t="s">
        <v>70</v>
      </c>
      <c r="AA8" s="151" t="s">
        <v>70</v>
      </c>
      <c r="AB8" s="160" t="s">
        <v>626</v>
      </c>
      <c r="AC8" s="160" t="s">
        <v>70</v>
      </c>
      <c r="AD8" s="160" t="s">
        <v>70</v>
      </c>
      <c r="AE8" s="160" t="s">
        <v>70</v>
      </c>
      <c r="AF8" s="164" t="s">
        <v>70</v>
      </c>
      <c r="AG8" s="164" t="s">
        <v>70</v>
      </c>
      <c r="AH8" s="160" t="s">
        <v>70</v>
      </c>
      <c r="AI8" s="160" t="s">
        <v>70</v>
      </c>
      <c r="AJ8" s="160" t="s">
        <v>70</v>
      </c>
      <c r="AK8" s="160" t="s">
        <v>70</v>
      </c>
      <c r="AL8" s="160" t="s">
        <v>70</v>
      </c>
    </row>
    <row r="9" spans="1:38" ht="22.8">
      <c r="A9" s="119" t="s">
        <v>80</v>
      </c>
      <c r="B9" s="116" t="s">
        <v>81</v>
      </c>
      <c r="C9" s="160" t="s">
        <v>82</v>
      </c>
      <c r="D9" s="160" t="s">
        <v>83</v>
      </c>
      <c r="E9" s="160" t="s">
        <v>673</v>
      </c>
      <c r="F9" s="160" t="s">
        <v>82</v>
      </c>
      <c r="G9" s="160" t="s">
        <v>82</v>
      </c>
      <c r="H9" s="160" t="s">
        <v>82</v>
      </c>
      <c r="I9" s="160" t="s">
        <v>82</v>
      </c>
      <c r="J9" s="160" t="s">
        <v>82</v>
      </c>
      <c r="K9" s="160" t="s">
        <v>84</v>
      </c>
      <c r="L9" s="160" t="s">
        <v>672</v>
      </c>
      <c r="M9" s="160" t="s">
        <v>672</v>
      </c>
      <c r="N9" s="160" t="s">
        <v>82</v>
      </c>
      <c r="O9" s="160" t="s">
        <v>82</v>
      </c>
      <c r="P9" s="160" t="s">
        <v>82</v>
      </c>
      <c r="Q9" s="160" t="s">
        <v>82</v>
      </c>
      <c r="R9" s="160" t="s">
        <v>82</v>
      </c>
      <c r="S9" s="180" t="s">
        <v>82</v>
      </c>
      <c r="T9" s="187" t="s">
        <v>723</v>
      </c>
      <c r="U9" s="160" t="s">
        <v>82</v>
      </c>
      <c r="V9" s="160" t="s">
        <v>85</v>
      </c>
      <c r="W9" s="160" t="s">
        <v>82</v>
      </c>
      <c r="X9" s="160" t="s">
        <v>82</v>
      </c>
      <c r="Y9" s="160" t="s">
        <v>85</v>
      </c>
      <c r="Z9" s="151" t="s">
        <v>86</v>
      </c>
      <c r="AA9" s="151" t="s">
        <v>87</v>
      </c>
      <c r="AB9" s="160" t="s">
        <v>673</v>
      </c>
      <c r="AC9" s="151" t="s">
        <v>87</v>
      </c>
      <c r="AD9" s="160" t="s">
        <v>85</v>
      </c>
      <c r="AE9" s="160" t="s">
        <v>82</v>
      </c>
      <c r="AF9" s="160" t="s">
        <v>82</v>
      </c>
      <c r="AG9" s="160" t="s">
        <v>82</v>
      </c>
      <c r="AH9" s="160" t="s">
        <v>88</v>
      </c>
      <c r="AI9" s="160" t="s">
        <v>82</v>
      </c>
      <c r="AJ9" s="160" t="s">
        <v>82</v>
      </c>
      <c r="AK9" s="160" t="s">
        <v>82</v>
      </c>
      <c r="AL9" s="160" t="s">
        <v>83</v>
      </c>
    </row>
    <row r="10" spans="1:38" ht="34.200000000000003">
      <c r="A10" s="116" t="s">
        <v>89</v>
      </c>
      <c r="B10" s="161" t="s">
        <v>90</v>
      </c>
      <c r="C10" s="160" t="s">
        <v>70</v>
      </c>
      <c r="D10" s="160" t="s">
        <v>70</v>
      </c>
      <c r="E10" s="160" t="s">
        <v>70</v>
      </c>
      <c r="F10" s="160" t="s">
        <v>70</v>
      </c>
      <c r="G10" s="160" t="s">
        <v>70</v>
      </c>
      <c r="H10" s="160" t="s">
        <v>70</v>
      </c>
      <c r="I10" s="160" t="s">
        <v>70</v>
      </c>
      <c r="J10" s="160" t="s">
        <v>70</v>
      </c>
      <c r="K10" s="160" t="s">
        <v>70</v>
      </c>
      <c r="L10" s="160" t="s">
        <v>70</v>
      </c>
      <c r="M10" s="160" t="s">
        <v>70</v>
      </c>
      <c r="N10" s="160" t="s">
        <v>70</v>
      </c>
      <c r="O10" s="160" t="s">
        <v>70</v>
      </c>
      <c r="P10" s="160" t="s">
        <v>70</v>
      </c>
      <c r="Q10" s="160" t="s">
        <v>70</v>
      </c>
      <c r="R10" s="160" t="s">
        <v>70</v>
      </c>
      <c r="S10" s="179" t="s">
        <v>70</v>
      </c>
      <c r="T10" s="187" t="s">
        <v>70</v>
      </c>
      <c r="U10" s="160" t="s">
        <v>70</v>
      </c>
      <c r="V10" s="160" t="s">
        <v>70</v>
      </c>
      <c r="W10" s="160" t="s">
        <v>70</v>
      </c>
      <c r="X10" s="160" t="s">
        <v>70</v>
      </c>
      <c r="Y10" s="160" t="s">
        <v>91</v>
      </c>
      <c r="Z10" s="151" t="s">
        <v>70</v>
      </c>
      <c r="AA10" s="151" t="s">
        <v>70</v>
      </c>
      <c r="AB10" s="160" t="s">
        <v>70</v>
      </c>
      <c r="AC10" s="160" t="s">
        <v>70</v>
      </c>
      <c r="AD10" s="160" t="s">
        <v>70</v>
      </c>
      <c r="AE10" s="160" t="s">
        <v>70</v>
      </c>
      <c r="AF10" s="164" t="s">
        <v>70</v>
      </c>
      <c r="AG10" s="164" t="s">
        <v>70</v>
      </c>
      <c r="AH10" s="160" t="s">
        <v>92</v>
      </c>
      <c r="AI10" s="160" t="s">
        <v>70</v>
      </c>
      <c r="AJ10" s="160" t="s">
        <v>70</v>
      </c>
      <c r="AK10" s="160" t="s">
        <v>70</v>
      </c>
      <c r="AL10" s="160" t="s">
        <v>70</v>
      </c>
    </row>
    <row r="11" spans="1:38" ht="22.8">
      <c r="A11" s="119" t="s">
        <v>93</v>
      </c>
      <c r="B11" s="160" t="s">
        <v>94</v>
      </c>
      <c r="C11" s="160" t="s">
        <v>70</v>
      </c>
      <c r="D11" s="160" t="s">
        <v>70</v>
      </c>
      <c r="E11" s="160" t="s">
        <v>70</v>
      </c>
      <c r="F11" s="160" t="s">
        <v>70</v>
      </c>
      <c r="G11" s="160" t="s">
        <v>70</v>
      </c>
      <c r="H11" s="160" t="s">
        <v>70</v>
      </c>
      <c r="I11" s="160" t="s">
        <v>70</v>
      </c>
      <c r="J11" s="160" t="s">
        <v>70</v>
      </c>
      <c r="K11" s="160" t="s">
        <v>70</v>
      </c>
      <c r="L11" s="160" t="s">
        <v>95</v>
      </c>
      <c r="M11" s="160" t="s">
        <v>224</v>
      </c>
      <c r="N11" s="160" t="s">
        <v>70</v>
      </c>
      <c r="O11" s="160" t="s">
        <v>70</v>
      </c>
      <c r="P11" s="160" t="s">
        <v>95</v>
      </c>
      <c r="Q11" s="160" t="s">
        <v>70</v>
      </c>
      <c r="R11" s="160" t="s">
        <v>70</v>
      </c>
      <c r="S11" s="179" t="s">
        <v>70</v>
      </c>
      <c r="T11" s="187" t="s">
        <v>70</v>
      </c>
      <c r="U11" s="160" t="s">
        <v>70</v>
      </c>
      <c r="V11" s="160" t="s">
        <v>70</v>
      </c>
      <c r="W11" s="160" t="s">
        <v>70</v>
      </c>
      <c r="X11" s="160" t="s">
        <v>70</v>
      </c>
      <c r="Y11" s="160" t="s">
        <v>96</v>
      </c>
      <c r="Z11" s="153" t="s">
        <v>96</v>
      </c>
      <c r="AA11" s="151" t="s">
        <v>95</v>
      </c>
      <c r="AB11" s="160" t="s">
        <v>70</v>
      </c>
      <c r="AC11" s="160" t="s">
        <v>70</v>
      </c>
      <c r="AD11" s="160" t="s">
        <v>70</v>
      </c>
      <c r="AE11" s="160" t="s">
        <v>70</v>
      </c>
      <c r="AF11" s="160" t="s">
        <v>70</v>
      </c>
      <c r="AG11" s="164" t="s">
        <v>70</v>
      </c>
      <c r="AH11" s="160" t="s">
        <v>97</v>
      </c>
      <c r="AI11" s="160" t="s">
        <v>70</v>
      </c>
      <c r="AJ11" s="160" t="s">
        <v>70</v>
      </c>
      <c r="AK11" s="160" t="s">
        <v>70</v>
      </c>
      <c r="AL11" s="160" t="s">
        <v>70</v>
      </c>
    </row>
    <row r="12" spans="1:38" ht="45.6">
      <c r="A12" s="119" t="s">
        <v>98</v>
      </c>
      <c r="B12" s="159"/>
      <c r="C12" s="160" t="s">
        <v>99</v>
      </c>
      <c r="D12" s="168" t="s">
        <v>100</v>
      </c>
      <c r="E12" s="168" t="s">
        <v>595</v>
      </c>
      <c r="F12" s="160" t="s">
        <v>99</v>
      </c>
      <c r="G12" s="168" t="s">
        <v>101</v>
      </c>
      <c r="H12" s="160" t="s">
        <v>99</v>
      </c>
      <c r="I12" s="160" t="s">
        <v>99</v>
      </c>
      <c r="J12" s="160" t="s">
        <v>99</v>
      </c>
      <c r="K12" s="168" t="s">
        <v>101</v>
      </c>
      <c r="L12" s="160" t="s">
        <v>103</v>
      </c>
      <c r="M12" s="168" t="s">
        <v>632</v>
      </c>
      <c r="N12" s="160" t="s">
        <v>99</v>
      </c>
      <c r="O12" s="281" t="s">
        <v>711</v>
      </c>
      <c r="P12" s="160" t="s">
        <v>99</v>
      </c>
      <c r="Q12" s="160" t="s">
        <v>99</v>
      </c>
      <c r="R12" s="168" t="s">
        <v>101</v>
      </c>
      <c r="S12" s="179" t="s">
        <v>99</v>
      </c>
      <c r="T12" s="182" t="s">
        <v>100</v>
      </c>
      <c r="U12" s="160" t="s">
        <v>99</v>
      </c>
      <c r="V12" s="168" t="s">
        <v>100</v>
      </c>
      <c r="W12" s="160" t="s">
        <v>99</v>
      </c>
      <c r="X12" s="168" t="s">
        <v>101</v>
      </c>
      <c r="Y12" s="160" t="s">
        <v>102</v>
      </c>
      <c r="Z12" s="164" t="s">
        <v>574</v>
      </c>
      <c r="AA12" s="151" t="s">
        <v>103</v>
      </c>
      <c r="AB12" s="168" t="s">
        <v>766</v>
      </c>
      <c r="AC12" s="151" t="s">
        <v>103</v>
      </c>
      <c r="AD12" s="168" t="s">
        <v>100</v>
      </c>
      <c r="AE12" s="160" t="s">
        <v>99</v>
      </c>
      <c r="AF12" s="160" t="s">
        <v>99</v>
      </c>
      <c r="AG12" s="168" t="s">
        <v>101</v>
      </c>
      <c r="AH12" s="160" t="s">
        <v>104</v>
      </c>
      <c r="AI12" s="160" t="s">
        <v>99</v>
      </c>
      <c r="AJ12" s="160" t="s">
        <v>99</v>
      </c>
      <c r="AK12" s="160" t="s">
        <v>99</v>
      </c>
      <c r="AL12" s="168" t="s">
        <v>100</v>
      </c>
    </row>
    <row r="13" spans="1:38" ht="22.8">
      <c r="A13" s="119" t="s">
        <v>105</v>
      </c>
      <c r="B13" s="162" t="s">
        <v>106</v>
      </c>
      <c r="C13" s="160" t="s">
        <v>70</v>
      </c>
      <c r="D13" s="160" t="s">
        <v>70</v>
      </c>
      <c r="E13" s="160" t="s">
        <v>70</v>
      </c>
      <c r="F13" s="160" t="s">
        <v>70</v>
      </c>
      <c r="G13" s="160" t="s">
        <v>70</v>
      </c>
      <c r="H13" s="160" t="s">
        <v>70</v>
      </c>
      <c r="I13" s="160" t="s">
        <v>70</v>
      </c>
      <c r="J13" s="160" t="s">
        <v>70</v>
      </c>
      <c r="K13" s="160" t="s">
        <v>70</v>
      </c>
      <c r="L13" s="169" t="s">
        <v>108</v>
      </c>
      <c r="M13" s="169" t="s">
        <v>108</v>
      </c>
      <c r="N13" s="160" t="s">
        <v>70</v>
      </c>
      <c r="O13" s="160" t="s">
        <v>70</v>
      </c>
      <c r="P13" s="160" t="s">
        <v>70</v>
      </c>
      <c r="Q13" s="160" t="s">
        <v>70</v>
      </c>
      <c r="R13" s="160" t="s">
        <v>70</v>
      </c>
      <c r="S13" s="179" t="s">
        <v>107</v>
      </c>
      <c r="T13" s="187" t="s">
        <v>70</v>
      </c>
      <c r="U13" s="160" t="s">
        <v>70</v>
      </c>
      <c r="V13" s="160" t="s">
        <v>70</v>
      </c>
      <c r="W13" s="160" t="s">
        <v>70</v>
      </c>
      <c r="X13" s="160" t="s">
        <v>70</v>
      </c>
      <c r="Y13" s="160" t="s">
        <v>70</v>
      </c>
      <c r="Z13" s="191" t="s">
        <v>108</v>
      </c>
      <c r="AA13" s="191" t="s">
        <v>108</v>
      </c>
      <c r="AB13" s="160" t="s">
        <v>70</v>
      </c>
      <c r="AC13" s="191" t="s">
        <v>108</v>
      </c>
      <c r="AD13" s="160" t="s">
        <v>70</v>
      </c>
      <c r="AE13" s="160" t="s">
        <v>70</v>
      </c>
      <c r="AF13" s="164" t="s">
        <v>70</v>
      </c>
      <c r="AG13" s="164" t="s">
        <v>70</v>
      </c>
      <c r="AH13" s="160" t="s">
        <v>109</v>
      </c>
      <c r="AI13" s="160" t="s">
        <v>70</v>
      </c>
      <c r="AJ13" s="160" t="s">
        <v>70</v>
      </c>
      <c r="AK13" s="160" t="s">
        <v>70</v>
      </c>
      <c r="AL13" s="160" t="s">
        <v>70</v>
      </c>
    </row>
    <row r="14" spans="1:38" ht="39.6">
      <c r="A14" s="119" t="s">
        <v>110</v>
      </c>
      <c r="B14" s="159"/>
      <c r="C14" s="162" t="s">
        <v>111</v>
      </c>
      <c r="D14" s="162" t="s">
        <v>112</v>
      </c>
      <c r="E14" s="162" t="s">
        <v>596</v>
      </c>
      <c r="F14" s="162" t="s">
        <v>111</v>
      </c>
      <c r="G14" s="160" t="s">
        <v>113</v>
      </c>
      <c r="H14" s="162" t="s">
        <v>111</v>
      </c>
      <c r="I14" s="162" t="s">
        <v>111</v>
      </c>
      <c r="J14" s="162" t="s">
        <v>111</v>
      </c>
      <c r="K14" s="160" t="s">
        <v>114</v>
      </c>
      <c r="L14" s="162" t="s">
        <v>111</v>
      </c>
      <c r="M14" s="160" t="s">
        <v>668</v>
      </c>
      <c r="N14" s="162" t="s">
        <v>111</v>
      </c>
      <c r="O14" s="162" t="s">
        <v>111</v>
      </c>
      <c r="P14" s="162" t="s">
        <v>111</v>
      </c>
      <c r="Q14" s="162" t="s">
        <v>111</v>
      </c>
      <c r="R14" s="160" t="s">
        <v>115</v>
      </c>
      <c r="S14" s="179" t="s">
        <v>111</v>
      </c>
      <c r="T14" s="187" t="s">
        <v>115</v>
      </c>
      <c r="U14" s="162" t="s">
        <v>111</v>
      </c>
      <c r="V14" s="160" t="s">
        <v>115</v>
      </c>
      <c r="W14" s="162" t="s">
        <v>111</v>
      </c>
      <c r="X14" s="160" t="s">
        <v>115</v>
      </c>
      <c r="Y14" s="160" t="s">
        <v>116</v>
      </c>
      <c r="Z14" s="243" t="s">
        <v>559</v>
      </c>
      <c r="AA14" s="191" t="s">
        <v>558</v>
      </c>
      <c r="AB14" s="162" t="s">
        <v>767</v>
      </c>
      <c r="AC14" s="191" t="s">
        <v>687</v>
      </c>
      <c r="AD14" s="276" t="s">
        <v>688</v>
      </c>
      <c r="AE14" s="162" t="s">
        <v>111</v>
      </c>
      <c r="AF14" s="163" t="s">
        <v>111</v>
      </c>
      <c r="AG14" s="164" t="s">
        <v>117</v>
      </c>
      <c r="AH14" s="160" t="s">
        <v>118</v>
      </c>
      <c r="AI14" s="162" t="s">
        <v>111</v>
      </c>
      <c r="AJ14" s="162" t="s">
        <v>111</v>
      </c>
      <c r="AK14" s="162" t="s">
        <v>111</v>
      </c>
      <c r="AL14" s="162" t="s">
        <v>116</v>
      </c>
    </row>
    <row r="15" spans="1:38" ht="57">
      <c r="A15" s="119" t="s">
        <v>119</v>
      </c>
      <c r="B15" s="159"/>
      <c r="C15" s="162" t="s">
        <v>120</v>
      </c>
      <c r="D15" s="162" t="s">
        <v>121</v>
      </c>
      <c r="E15" s="162" t="s">
        <v>597</v>
      </c>
      <c r="F15" s="162" t="s">
        <v>120</v>
      </c>
      <c r="G15" s="162" t="s">
        <v>120</v>
      </c>
      <c r="H15" s="162" t="s">
        <v>122</v>
      </c>
      <c r="I15" s="162" t="s">
        <v>122</v>
      </c>
      <c r="J15" s="162" t="s">
        <v>120</v>
      </c>
      <c r="K15" s="160" t="s">
        <v>123</v>
      </c>
      <c r="L15" s="160" t="s">
        <v>652</v>
      </c>
      <c r="M15" s="160" t="s">
        <v>669</v>
      </c>
      <c r="N15" s="119" t="s">
        <v>124</v>
      </c>
      <c r="O15" s="305" t="s">
        <v>127</v>
      </c>
      <c r="P15" s="162" t="s">
        <v>125</v>
      </c>
      <c r="Q15" s="162" t="s">
        <v>126</v>
      </c>
      <c r="R15" s="168" t="s">
        <v>127</v>
      </c>
      <c r="S15" s="179" t="s">
        <v>128</v>
      </c>
      <c r="T15" s="182" t="s">
        <v>127</v>
      </c>
      <c r="U15" s="162" t="s">
        <v>120</v>
      </c>
      <c r="V15" s="168" t="s">
        <v>127</v>
      </c>
      <c r="W15" s="162" t="s">
        <v>120</v>
      </c>
      <c r="X15" s="168" t="s">
        <v>127</v>
      </c>
      <c r="Y15" s="182" t="s">
        <v>127</v>
      </c>
      <c r="Z15" s="155" t="s">
        <v>127</v>
      </c>
      <c r="AA15" s="155" t="s">
        <v>129</v>
      </c>
      <c r="AB15" s="155" t="s">
        <v>127</v>
      </c>
      <c r="AC15" s="162" t="s">
        <v>120</v>
      </c>
      <c r="AD15" s="168" t="s">
        <v>127</v>
      </c>
      <c r="AE15" s="162" t="s">
        <v>120</v>
      </c>
      <c r="AF15" s="163" t="s">
        <v>120</v>
      </c>
      <c r="AG15" s="167" t="s">
        <v>127</v>
      </c>
      <c r="AH15" s="160" t="s">
        <v>127</v>
      </c>
      <c r="AI15" s="162" t="s">
        <v>553</v>
      </c>
      <c r="AJ15" s="162" t="s">
        <v>120</v>
      </c>
      <c r="AK15" s="162" t="s">
        <v>120</v>
      </c>
      <c r="AL15" s="167" t="s">
        <v>127</v>
      </c>
    </row>
    <row r="16" spans="1:38">
      <c r="A16" s="144" t="s">
        <v>130</v>
      </c>
      <c r="B16" s="159"/>
      <c r="C16" s="162" t="s">
        <v>131</v>
      </c>
      <c r="D16" s="162" t="s">
        <v>131</v>
      </c>
      <c r="E16" s="162" t="s">
        <v>598</v>
      </c>
      <c r="F16" s="162" t="s">
        <v>131</v>
      </c>
      <c r="G16" s="162" t="s">
        <v>131</v>
      </c>
      <c r="H16" s="162" t="s">
        <v>131</v>
      </c>
      <c r="I16" s="162" t="s">
        <v>131</v>
      </c>
      <c r="J16" s="162" t="s">
        <v>131</v>
      </c>
      <c r="K16" s="162" t="s">
        <v>131</v>
      </c>
      <c r="L16" s="162" t="s">
        <v>633</v>
      </c>
      <c r="M16" s="162" t="s">
        <v>634</v>
      </c>
      <c r="N16" s="162" t="s">
        <v>131</v>
      </c>
      <c r="O16" s="162" t="s">
        <v>131</v>
      </c>
      <c r="P16" s="162" t="s">
        <v>131</v>
      </c>
      <c r="Q16" s="162" t="s">
        <v>131</v>
      </c>
      <c r="R16" s="162" t="s">
        <v>131</v>
      </c>
      <c r="S16" s="179" t="s">
        <v>131</v>
      </c>
      <c r="T16" s="192" t="s">
        <v>131</v>
      </c>
      <c r="U16" s="162" t="s">
        <v>131</v>
      </c>
      <c r="V16" s="162" t="s">
        <v>131</v>
      </c>
      <c r="W16" s="162" t="s">
        <v>131</v>
      </c>
      <c r="X16" s="162" t="s">
        <v>131</v>
      </c>
      <c r="Y16" s="192" t="s">
        <v>131</v>
      </c>
      <c r="Z16" s="191" t="s">
        <v>131</v>
      </c>
      <c r="AA16" s="191" t="s">
        <v>131</v>
      </c>
      <c r="AB16" s="162" t="s">
        <v>598</v>
      </c>
      <c r="AC16" s="191" t="s">
        <v>131</v>
      </c>
      <c r="AD16" s="162" t="s">
        <v>131</v>
      </c>
      <c r="AE16" s="162" t="s">
        <v>131</v>
      </c>
      <c r="AF16" s="163" t="s">
        <v>131</v>
      </c>
      <c r="AG16" s="163" t="s">
        <v>131</v>
      </c>
      <c r="AH16" s="160"/>
      <c r="AI16" s="162" t="s">
        <v>131</v>
      </c>
      <c r="AJ16" s="162" t="s">
        <v>131</v>
      </c>
      <c r="AK16" s="162" t="s">
        <v>131</v>
      </c>
      <c r="AL16" s="162" t="s">
        <v>131</v>
      </c>
    </row>
    <row r="17" spans="1:38">
      <c r="A17" s="119" t="s">
        <v>132</v>
      </c>
      <c r="B17" s="159"/>
      <c r="C17" s="162" t="s">
        <v>133</v>
      </c>
      <c r="D17" s="162" t="s">
        <v>133</v>
      </c>
      <c r="E17" s="162" t="s">
        <v>599</v>
      </c>
      <c r="F17" s="162" t="s">
        <v>133</v>
      </c>
      <c r="G17" s="162" t="s">
        <v>133</v>
      </c>
      <c r="H17" s="162" t="s">
        <v>133</v>
      </c>
      <c r="I17" s="162" t="s">
        <v>133</v>
      </c>
      <c r="J17" s="162" t="s">
        <v>133</v>
      </c>
      <c r="K17" s="162" t="s">
        <v>133</v>
      </c>
      <c r="L17" s="169" t="s">
        <v>635</v>
      </c>
      <c r="M17" s="169" t="s">
        <v>636</v>
      </c>
      <c r="N17" s="162" t="s">
        <v>133</v>
      </c>
      <c r="O17" s="162" t="s">
        <v>133</v>
      </c>
      <c r="P17" s="162" t="s">
        <v>133</v>
      </c>
      <c r="Q17" s="162" t="s">
        <v>133</v>
      </c>
      <c r="R17" s="162" t="s">
        <v>133</v>
      </c>
      <c r="S17" s="179" t="s">
        <v>127</v>
      </c>
      <c r="T17" s="192" t="s">
        <v>133</v>
      </c>
      <c r="U17" s="162" t="s">
        <v>133</v>
      </c>
      <c r="V17" s="162" t="s">
        <v>133</v>
      </c>
      <c r="W17" s="162" t="s">
        <v>133</v>
      </c>
      <c r="X17" s="162" t="s">
        <v>133</v>
      </c>
      <c r="Y17" s="162" t="s">
        <v>133</v>
      </c>
      <c r="Z17" s="191" t="s">
        <v>133</v>
      </c>
      <c r="AA17" s="191" t="s">
        <v>133</v>
      </c>
      <c r="AB17" s="162" t="s">
        <v>599</v>
      </c>
      <c r="AC17" s="191" t="s">
        <v>133</v>
      </c>
      <c r="AD17" s="162" t="s">
        <v>133</v>
      </c>
      <c r="AE17" s="162" t="s">
        <v>133</v>
      </c>
      <c r="AF17" s="163" t="s">
        <v>133</v>
      </c>
      <c r="AG17" s="163" t="s">
        <v>134</v>
      </c>
      <c r="AH17" s="160" t="s">
        <v>135</v>
      </c>
      <c r="AI17" s="162" t="s">
        <v>133</v>
      </c>
      <c r="AJ17" s="162" t="s">
        <v>133</v>
      </c>
      <c r="AK17" s="162" t="s">
        <v>133</v>
      </c>
      <c r="AL17" s="162" t="s">
        <v>133</v>
      </c>
    </row>
    <row r="18" spans="1:38" ht="22.8">
      <c r="A18" s="119" t="s">
        <v>136</v>
      </c>
      <c r="B18" s="159"/>
      <c r="C18" s="162" t="s">
        <v>137</v>
      </c>
      <c r="D18" s="162" t="s">
        <v>137</v>
      </c>
      <c r="E18" s="162" t="s">
        <v>586</v>
      </c>
      <c r="F18" s="162" t="s">
        <v>137</v>
      </c>
      <c r="G18" s="162" t="s">
        <v>137</v>
      </c>
      <c r="H18" s="162" t="s">
        <v>137</v>
      </c>
      <c r="I18" s="162" t="s">
        <v>137</v>
      </c>
      <c r="J18" s="162" t="s">
        <v>137</v>
      </c>
      <c r="K18" s="162" t="s">
        <v>137</v>
      </c>
      <c r="L18" s="162" t="s">
        <v>137</v>
      </c>
      <c r="M18" s="162" t="s">
        <v>137</v>
      </c>
      <c r="N18" s="162" t="s">
        <v>137</v>
      </c>
      <c r="O18" s="162" t="s">
        <v>137</v>
      </c>
      <c r="P18" s="162" t="s">
        <v>138</v>
      </c>
      <c r="Q18" s="162" t="s">
        <v>137</v>
      </c>
      <c r="R18" s="162" t="s">
        <v>137</v>
      </c>
      <c r="S18" s="179" t="s">
        <v>137</v>
      </c>
      <c r="T18" s="192" t="s">
        <v>137</v>
      </c>
      <c r="U18" s="162" t="s">
        <v>139</v>
      </c>
      <c r="V18" s="162" t="s">
        <v>137</v>
      </c>
      <c r="W18" s="162" t="s">
        <v>137</v>
      </c>
      <c r="X18" s="162" t="s">
        <v>137</v>
      </c>
      <c r="Y18" s="162" t="s">
        <v>137</v>
      </c>
      <c r="Z18" s="191" t="s">
        <v>137</v>
      </c>
      <c r="AA18" s="191" t="s">
        <v>548</v>
      </c>
      <c r="AB18" s="162" t="s">
        <v>768</v>
      </c>
      <c r="AC18" s="191" t="s">
        <v>548</v>
      </c>
      <c r="AD18" s="162" t="s">
        <v>137</v>
      </c>
      <c r="AE18" s="162" t="s">
        <v>137</v>
      </c>
      <c r="AF18" s="163" t="s">
        <v>140</v>
      </c>
      <c r="AG18" s="163" t="s">
        <v>140</v>
      </c>
      <c r="AH18" s="160"/>
      <c r="AI18" s="162" t="s">
        <v>137</v>
      </c>
      <c r="AJ18" s="162" t="s">
        <v>584</v>
      </c>
      <c r="AK18" s="162" t="s">
        <v>137</v>
      </c>
      <c r="AL18" s="162" t="s">
        <v>137</v>
      </c>
    </row>
    <row r="19" spans="1:38" ht="22.8">
      <c r="A19" s="119" t="s">
        <v>141</v>
      </c>
      <c r="B19" s="116" t="s">
        <v>142</v>
      </c>
      <c r="C19" s="160" t="s">
        <v>70</v>
      </c>
      <c r="D19" s="160" t="s">
        <v>70</v>
      </c>
      <c r="E19" s="160" t="s">
        <v>627</v>
      </c>
      <c r="F19" s="160" t="s">
        <v>70</v>
      </c>
      <c r="G19" s="160" t="s">
        <v>70</v>
      </c>
      <c r="H19" s="160" t="s">
        <v>70</v>
      </c>
      <c r="I19" s="160" t="s">
        <v>70</v>
      </c>
      <c r="J19" s="160" t="s">
        <v>70</v>
      </c>
      <c r="K19" s="160" t="s">
        <v>70</v>
      </c>
      <c r="L19" s="160" t="s">
        <v>627</v>
      </c>
      <c r="M19" s="160" t="s">
        <v>627</v>
      </c>
      <c r="N19" s="160" t="s">
        <v>70</v>
      </c>
      <c r="O19" s="160" t="s">
        <v>70</v>
      </c>
      <c r="P19" s="160" t="s">
        <v>70</v>
      </c>
      <c r="Q19" s="160" t="s">
        <v>70</v>
      </c>
      <c r="R19" s="160" t="s">
        <v>70</v>
      </c>
      <c r="S19" s="179" t="s">
        <v>70</v>
      </c>
      <c r="T19" s="187" t="s">
        <v>70</v>
      </c>
      <c r="U19" s="160" t="s">
        <v>70</v>
      </c>
      <c r="V19" s="160" t="s">
        <v>70</v>
      </c>
      <c r="W19" s="160" t="s">
        <v>70</v>
      </c>
      <c r="X19" s="160" t="s">
        <v>70</v>
      </c>
      <c r="Y19" s="187" t="s">
        <v>70</v>
      </c>
      <c r="Z19" s="151" t="s">
        <v>70</v>
      </c>
      <c r="AA19" s="151" t="s">
        <v>70</v>
      </c>
      <c r="AB19" s="160" t="s">
        <v>627</v>
      </c>
      <c r="AC19" s="151" t="s">
        <v>70</v>
      </c>
      <c r="AD19" s="160" t="s">
        <v>70</v>
      </c>
      <c r="AE19" s="160" t="s">
        <v>70</v>
      </c>
      <c r="AF19" s="164" t="s">
        <v>70</v>
      </c>
      <c r="AG19" s="164" t="s">
        <v>70</v>
      </c>
      <c r="AH19" s="160" t="s">
        <v>70</v>
      </c>
      <c r="AI19" s="160" t="s">
        <v>70</v>
      </c>
      <c r="AJ19" s="160" t="s">
        <v>70</v>
      </c>
      <c r="AK19" s="160" t="s">
        <v>70</v>
      </c>
      <c r="AL19" s="160" t="s">
        <v>70</v>
      </c>
    </row>
    <row r="20" spans="1:38" ht="68.400000000000006">
      <c r="A20" s="119" t="s">
        <v>143</v>
      </c>
      <c r="B20" s="142" t="s">
        <v>144</v>
      </c>
      <c r="C20" s="162" t="s">
        <v>127</v>
      </c>
      <c r="D20" s="160" t="s">
        <v>534</v>
      </c>
      <c r="E20" s="160" t="s">
        <v>623</v>
      </c>
      <c r="F20" s="162" t="s">
        <v>127</v>
      </c>
      <c r="G20" s="164" t="s">
        <v>127</v>
      </c>
      <c r="H20" s="162" t="s">
        <v>127</v>
      </c>
      <c r="I20" s="162" t="s">
        <v>127</v>
      </c>
      <c r="J20" s="162" t="s">
        <v>127</v>
      </c>
      <c r="K20" s="160" t="s">
        <v>145</v>
      </c>
      <c r="L20" s="162" t="s">
        <v>127</v>
      </c>
      <c r="M20" s="160" t="s">
        <v>637</v>
      </c>
      <c r="N20" s="162" t="s">
        <v>127</v>
      </c>
      <c r="O20" s="162" t="s">
        <v>127</v>
      </c>
      <c r="P20" s="162" t="s">
        <v>127</v>
      </c>
      <c r="Q20" s="162" t="s">
        <v>127</v>
      </c>
      <c r="R20" s="160" t="s">
        <v>146</v>
      </c>
      <c r="S20" s="179" t="s">
        <v>127</v>
      </c>
      <c r="T20" s="187" t="s">
        <v>724</v>
      </c>
      <c r="U20" s="162" t="s">
        <v>127</v>
      </c>
      <c r="V20" s="160" t="s">
        <v>147</v>
      </c>
      <c r="W20" s="162" t="s">
        <v>127</v>
      </c>
      <c r="X20" s="160" t="s">
        <v>147</v>
      </c>
      <c r="Y20" s="187" t="s">
        <v>148</v>
      </c>
      <c r="Z20" s="191" t="s">
        <v>149</v>
      </c>
      <c r="AA20" s="191" t="s">
        <v>127</v>
      </c>
      <c r="AB20" s="160" t="s">
        <v>623</v>
      </c>
      <c r="AC20" s="191" t="s">
        <v>127</v>
      </c>
      <c r="AD20" s="160" t="s">
        <v>147</v>
      </c>
      <c r="AE20" s="162" t="s">
        <v>127</v>
      </c>
      <c r="AF20" s="163" t="s">
        <v>127</v>
      </c>
      <c r="AG20" s="281" t="s">
        <v>783</v>
      </c>
      <c r="AH20" s="160" t="s">
        <v>150</v>
      </c>
      <c r="AI20" s="162" t="s">
        <v>127</v>
      </c>
      <c r="AJ20" s="162" t="s">
        <v>127</v>
      </c>
      <c r="AK20" s="162" t="s">
        <v>127</v>
      </c>
      <c r="AL20" s="160" t="s">
        <v>534</v>
      </c>
    </row>
    <row r="21" spans="1:38" ht="34.200000000000003">
      <c r="A21" s="119" t="s">
        <v>151</v>
      </c>
      <c r="B21" s="159"/>
      <c r="C21" s="162" t="s">
        <v>152</v>
      </c>
      <c r="D21" s="160" t="s">
        <v>153</v>
      </c>
      <c r="E21" s="160" t="s">
        <v>153</v>
      </c>
      <c r="F21" s="162" t="s">
        <v>152</v>
      </c>
      <c r="G21" s="162" t="s">
        <v>152</v>
      </c>
      <c r="H21" s="162" t="s">
        <v>152</v>
      </c>
      <c r="I21" s="162" t="s">
        <v>152</v>
      </c>
      <c r="J21" s="162" t="s">
        <v>154</v>
      </c>
      <c r="K21" s="160" t="s">
        <v>155</v>
      </c>
      <c r="L21" s="162" t="s">
        <v>638</v>
      </c>
      <c r="M21" s="160" t="s">
        <v>639</v>
      </c>
      <c r="N21" s="162" t="s">
        <v>152</v>
      </c>
      <c r="O21" s="162" t="s">
        <v>152</v>
      </c>
      <c r="P21" s="162" t="s">
        <v>152</v>
      </c>
      <c r="Q21" s="162" t="s">
        <v>152</v>
      </c>
      <c r="R21" s="160" t="s">
        <v>153</v>
      </c>
      <c r="S21" s="180" t="s">
        <v>152</v>
      </c>
      <c r="T21" s="187" t="s">
        <v>725</v>
      </c>
      <c r="U21" s="162" t="s">
        <v>152</v>
      </c>
      <c r="V21" s="160" t="s">
        <v>153</v>
      </c>
      <c r="W21" s="162" t="s">
        <v>152</v>
      </c>
      <c r="X21" s="160" t="s">
        <v>153</v>
      </c>
      <c r="Y21" s="187" t="s">
        <v>156</v>
      </c>
      <c r="Z21" s="191" t="s">
        <v>152</v>
      </c>
      <c r="AA21" s="191" t="s">
        <v>152</v>
      </c>
      <c r="AB21" s="160" t="s">
        <v>769</v>
      </c>
      <c r="AC21" s="191" t="s">
        <v>152</v>
      </c>
      <c r="AD21" s="160" t="s">
        <v>153</v>
      </c>
      <c r="AE21" s="162" t="s">
        <v>152</v>
      </c>
      <c r="AF21" s="163" t="s">
        <v>157</v>
      </c>
      <c r="AG21" s="164" t="s">
        <v>158</v>
      </c>
      <c r="AH21" s="160" t="s">
        <v>159</v>
      </c>
      <c r="AI21" s="162" t="s">
        <v>152</v>
      </c>
      <c r="AJ21" s="162" t="s">
        <v>152</v>
      </c>
      <c r="AK21" s="162" t="s">
        <v>152</v>
      </c>
      <c r="AL21" s="160" t="s">
        <v>153</v>
      </c>
    </row>
    <row r="22" spans="1:38" ht="34.200000000000003">
      <c r="A22" s="119" t="s">
        <v>160</v>
      </c>
      <c r="B22" s="159"/>
      <c r="C22" s="162" t="s">
        <v>161</v>
      </c>
      <c r="D22" s="162" t="s">
        <v>161</v>
      </c>
      <c r="E22" s="162" t="s">
        <v>161</v>
      </c>
      <c r="F22" s="162" t="s">
        <v>161</v>
      </c>
      <c r="G22" s="162" t="s">
        <v>161</v>
      </c>
      <c r="H22" s="142" t="s">
        <v>161</v>
      </c>
      <c r="I22" s="142" t="s">
        <v>161</v>
      </c>
      <c r="J22" s="162" t="s">
        <v>161</v>
      </c>
      <c r="K22" s="162" t="s">
        <v>161</v>
      </c>
      <c r="L22" s="162" t="s">
        <v>670</v>
      </c>
      <c r="M22" s="162" t="s">
        <v>670</v>
      </c>
      <c r="N22" s="142" t="s">
        <v>161</v>
      </c>
      <c r="O22" s="142" t="s">
        <v>161</v>
      </c>
      <c r="P22" s="142" t="s">
        <v>161</v>
      </c>
      <c r="Q22" s="162" t="s">
        <v>161</v>
      </c>
      <c r="R22" s="162" t="s">
        <v>161</v>
      </c>
      <c r="S22" s="180" t="s">
        <v>161</v>
      </c>
      <c r="T22" s="192" t="s">
        <v>161</v>
      </c>
      <c r="U22" s="162" t="s">
        <v>161</v>
      </c>
      <c r="V22" s="162" t="s">
        <v>161</v>
      </c>
      <c r="W22" s="162" t="s">
        <v>161</v>
      </c>
      <c r="X22" s="162" t="s">
        <v>161</v>
      </c>
      <c r="Y22" s="192" t="s">
        <v>161</v>
      </c>
      <c r="Z22" s="191" t="s">
        <v>161</v>
      </c>
      <c r="AA22" s="191" t="s">
        <v>161</v>
      </c>
      <c r="AB22" s="162" t="s">
        <v>161</v>
      </c>
      <c r="AC22" s="191" t="s">
        <v>161</v>
      </c>
      <c r="AD22" s="162" t="s">
        <v>161</v>
      </c>
      <c r="AE22" s="162" t="s">
        <v>161</v>
      </c>
      <c r="AF22" s="163" t="s">
        <v>161</v>
      </c>
      <c r="AG22" s="163" t="s">
        <v>161</v>
      </c>
      <c r="AH22" s="160" t="s">
        <v>162</v>
      </c>
      <c r="AI22" s="162" t="s">
        <v>161</v>
      </c>
      <c r="AJ22" s="162" t="s">
        <v>161</v>
      </c>
      <c r="AK22" s="162" t="s">
        <v>161</v>
      </c>
      <c r="AL22" s="162" t="s">
        <v>161</v>
      </c>
    </row>
    <row r="23" spans="1:38">
      <c r="A23" s="119" t="s">
        <v>163</v>
      </c>
      <c r="B23" s="168">
        <v>1</v>
      </c>
      <c r="C23" s="160" t="s">
        <v>70</v>
      </c>
      <c r="D23" s="160" t="s">
        <v>70</v>
      </c>
      <c r="E23" s="160" t="s">
        <v>70</v>
      </c>
      <c r="F23" s="160" t="s">
        <v>70</v>
      </c>
      <c r="G23" s="160" t="s">
        <v>70</v>
      </c>
      <c r="H23" s="160" t="s">
        <v>70</v>
      </c>
      <c r="I23" s="160" t="s">
        <v>70</v>
      </c>
      <c r="J23" s="160" t="s">
        <v>70</v>
      </c>
      <c r="K23" s="160" t="s">
        <v>70</v>
      </c>
      <c r="L23" s="160" t="s">
        <v>70</v>
      </c>
      <c r="M23" s="160" t="s">
        <v>70</v>
      </c>
      <c r="N23" s="160" t="s">
        <v>70</v>
      </c>
      <c r="O23" s="160" t="s">
        <v>70</v>
      </c>
      <c r="P23" s="160" t="s">
        <v>70</v>
      </c>
      <c r="Q23" s="160" t="s">
        <v>70</v>
      </c>
      <c r="R23" s="160" t="s">
        <v>70</v>
      </c>
      <c r="S23" s="179" t="s">
        <v>70</v>
      </c>
      <c r="T23" s="187" t="s">
        <v>70</v>
      </c>
      <c r="U23" s="160" t="s">
        <v>70</v>
      </c>
      <c r="V23" s="160" t="s">
        <v>70</v>
      </c>
      <c r="W23" s="160" t="s">
        <v>70</v>
      </c>
      <c r="X23" s="160" t="s">
        <v>70</v>
      </c>
      <c r="Y23" s="160" t="s">
        <v>70</v>
      </c>
      <c r="Z23" s="151" t="s">
        <v>70</v>
      </c>
      <c r="AA23" s="151" t="s">
        <v>70</v>
      </c>
      <c r="AB23" s="160" t="s">
        <v>70</v>
      </c>
      <c r="AC23" s="151" t="s">
        <v>70</v>
      </c>
      <c r="AD23" s="160" t="s">
        <v>70</v>
      </c>
      <c r="AE23" s="160" t="s">
        <v>70</v>
      </c>
      <c r="AF23" s="164" t="s">
        <v>70</v>
      </c>
      <c r="AG23" s="164" t="s">
        <v>70</v>
      </c>
      <c r="AH23" s="160" t="s">
        <v>70</v>
      </c>
      <c r="AI23" s="160" t="s">
        <v>70</v>
      </c>
      <c r="AJ23" s="160" t="s">
        <v>70</v>
      </c>
      <c r="AK23" s="160" t="s">
        <v>70</v>
      </c>
      <c r="AL23" s="160" t="s">
        <v>70</v>
      </c>
    </row>
    <row r="24" spans="1:38">
      <c r="A24" s="119" t="s">
        <v>164</v>
      </c>
      <c r="B24" s="159" t="s">
        <v>165</v>
      </c>
      <c r="C24" s="162" t="s">
        <v>166</v>
      </c>
      <c r="D24" s="162" t="s">
        <v>166</v>
      </c>
      <c r="E24" s="162" t="s">
        <v>600</v>
      </c>
      <c r="F24" s="162" t="s">
        <v>166</v>
      </c>
      <c r="G24" s="162" t="s">
        <v>166</v>
      </c>
      <c r="H24" s="162" t="s">
        <v>166</v>
      </c>
      <c r="I24" s="162" t="s">
        <v>166</v>
      </c>
      <c r="J24" s="162" t="s">
        <v>166</v>
      </c>
      <c r="K24" s="162" t="s">
        <v>166</v>
      </c>
      <c r="L24" s="119" t="s">
        <v>640</v>
      </c>
      <c r="M24" s="119" t="s">
        <v>641</v>
      </c>
      <c r="N24" s="162" t="s">
        <v>166</v>
      </c>
      <c r="O24" s="162" t="s">
        <v>166</v>
      </c>
      <c r="P24" s="162" t="s">
        <v>166</v>
      </c>
      <c r="Q24" s="162" t="s">
        <v>166</v>
      </c>
      <c r="R24" s="162" t="s">
        <v>166</v>
      </c>
      <c r="S24" s="179" t="s">
        <v>166</v>
      </c>
      <c r="T24" s="192" t="s">
        <v>166</v>
      </c>
      <c r="U24" s="162" t="s">
        <v>166</v>
      </c>
      <c r="V24" s="162" t="s">
        <v>166</v>
      </c>
      <c r="W24" s="162" t="s">
        <v>166</v>
      </c>
      <c r="X24" s="162" t="s">
        <v>166</v>
      </c>
      <c r="Y24" s="192" t="s">
        <v>166</v>
      </c>
      <c r="Z24" s="191" t="s">
        <v>166</v>
      </c>
      <c r="AA24" s="191" t="s">
        <v>166</v>
      </c>
      <c r="AB24" s="162" t="s">
        <v>600</v>
      </c>
      <c r="AC24" s="191" t="s">
        <v>166</v>
      </c>
      <c r="AD24" s="162" t="s">
        <v>166</v>
      </c>
      <c r="AE24" s="162" t="s">
        <v>166</v>
      </c>
      <c r="AF24" s="163" t="s">
        <v>166</v>
      </c>
      <c r="AG24" s="163" t="s">
        <v>166</v>
      </c>
      <c r="AH24" s="160" t="s">
        <v>167</v>
      </c>
      <c r="AI24" s="162" t="s">
        <v>166</v>
      </c>
      <c r="AJ24" s="272" t="s">
        <v>166</v>
      </c>
      <c r="AK24" s="162" t="s">
        <v>166</v>
      </c>
      <c r="AL24" s="162" t="s">
        <v>166</v>
      </c>
    </row>
    <row r="25" spans="1:38" ht="22.8">
      <c r="A25" s="119" t="s">
        <v>168</v>
      </c>
      <c r="B25" s="159"/>
      <c r="C25" s="160" t="s">
        <v>169</v>
      </c>
      <c r="D25" s="160" t="s">
        <v>169</v>
      </c>
      <c r="E25" s="162" t="s">
        <v>624</v>
      </c>
      <c r="F25" s="164"/>
      <c r="G25" s="164"/>
      <c r="H25" s="160" t="s">
        <v>169</v>
      </c>
      <c r="I25" s="160" t="s">
        <v>169</v>
      </c>
      <c r="J25" s="160" t="s">
        <v>169</v>
      </c>
      <c r="K25" s="160" t="s">
        <v>169</v>
      </c>
      <c r="L25" s="119" t="s">
        <v>642</v>
      </c>
      <c r="M25" s="119" t="s">
        <v>642</v>
      </c>
      <c r="N25" s="160" t="s">
        <v>169</v>
      </c>
      <c r="O25" s="160" t="s">
        <v>169</v>
      </c>
      <c r="P25" s="160" t="s">
        <v>169</v>
      </c>
      <c r="Q25" s="160" t="s">
        <v>169</v>
      </c>
      <c r="R25" s="160" t="s">
        <v>169</v>
      </c>
      <c r="S25" s="180" t="s">
        <v>169</v>
      </c>
      <c r="T25" s="187" t="s">
        <v>169</v>
      </c>
      <c r="U25" s="160" t="s">
        <v>169</v>
      </c>
      <c r="V25" s="160" t="s">
        <v>169</v>
      </c>
      <c r="W25" s="160" t="s">
        <v>169</v>
      </c>
      <c r="X25" s="160" t="s">
        <v>169</v>
      </c>
      <c r="Y25" s="187" t="s">
        <v>169</v>
      </c>
      <c r="Z25" s="151" t="s">
        <v>170</v>
      </c>
      <c r="AA25" s="151" t="s">
        <v>170</v>
      </c>
      <c r="AB25" s="162" t="s">
        <v>624</v>
      </c>
      <c r="AC25" s="187" t="s">
        <v>169</v>
      </c>
      <c r="AD25" s="160" t="s">
        <v>169</v>
      </c>
      <c r="AE25" s="160" t="s">
        <v>169</v>
      </c>
      <c r="AF25" s="164" t="s">
        <v>169</v>
      </c>
      <c r="AG25" s="164" t="s">
        <v>169</v>
      </c>
      <c r="AH25" s="160" t="s">
        <v>171</v>
      </c>
      <c r="AI25" s="160" t="s">
        <v>169</v>
      </c>
      <c r="AJ25" s="160" t="s">
        <v>169</v>
      </c>
      <c r="AK25" s="160" t="s">
        <v>169</v>
      </c>
      <c r="AL25" s="160" t="s">
        <v>169</v>
      </c>
    </row>
    <row r="26" spans="1:38" ht="125.4">
      <c r="A26" s="122" t="s">
        <v>172</v>
      </c>
      <c r="B26" s="122" t="s">
        <v>173</v>
      </c>
      <c r="C26" s="164" t="s">
        <v>174</v>
      </c>
      <c r="D26" s="164" t="s">
        <v>175</v>
      </c>
      <c r="E26" s="164" t="s">
        <v>601</v>
      </c>
      <c r="F26" s="164" t="s">
        <v>176</v>
      </c>
      <c r="G26" s="164" t="s">
        <v>176</v>
      </c>
      <c r="H26" s="164" t="s">
        <v>177</v>
      </c>
      <c r="I26" s="164" t="s">
        <v>177</v>
      </c>
      <c r="J26" s="164" t="s">
        <v>643</v>
      </c>
      <c r="K26" s="164" t="s">
        <v>691</v>
      </c>
      <c r="L26" s="164" t="s">
        <v>701</v>
      </c>
      <c r="M26" s="164" t="s">
        <v>692</v>
      </c>
      <c r="N26" s="164" t="s">
        <v>177</v>
      </c>
      <c r="O26" s="164" t="s">
        <v>177</v>
      </c>
      <c r="P26" s="164" t="s">
        <v>177</v>
      </c>
      <c r="Q26" s="164" t="s">
        <v>174</v>
      </c>
      <c r="R26" s="164" t="s">
        <v>178</v>
      </c>
      <c r="S26" s="180" t="s">
        <v>740</v>
      </c>
      <c r="T26" s="187" t="s">
        <v>739</v>
      </c>
      <c r="U26" s="164" t="s">
        <v>174</v>
      </c>
      <c r="V26" s="164" t="s">
        <v>179</v>
      </c>
      <c r="W26" s="164" t="s">
        <v>174</v>
      </c>
      <c r="X26" s="164" t="s">
        <v>179</v>
      </c>
      <c r="Y26" s="164" t="s">
        <v>180</v>
      </c>
      <c r="Z26" s="164" t="s">
        <v>560</v>
      </c>
      <c r="AA26" s="151" t="s">
        <v>181</v>
      </c>
      <c r="AB26" s="164" t="s">
        <v>770</v>
      </c>
      <c r="AC26" s="164" t="s">
        <v>549</v>
      </c>
      <c r="AD26" s="164" t="s">
        <v>545</v>
      </c>
      <c r="AE26" s="164" t="s">
        <v>174</v>
      </c>
      <c r="AF26" s="281" t="s">
        <v>784</v>
      </c>
      <c r="AG26" s="281" t="s">
        <v>785</v>
      </c>
      <c r="AH26" s="160" t="s">
        <v>182</v>
      </c>
      <c r="AI26" s="164" t="s">
        <v>174</v>
      </c>
      <c r="AJ26" s="164" t="s">
        <v>174</v>
      </c>
      <c r="AK26" s="164" t="s">
        <v>174</v>
      </c>
      <c r="AL26" s="164" t="s">
        <v>174</v>
      </c>
    </row>
    <row r="27" spans="1:38" ht="71.25" customHeight="1">
      <c r="A27" s="122" t="s">
        <v>183</v>
      </c>
      <c r="B27" s="122" t="s">
        <v>184</v>
      </c>
      <c r="C27" s="160" t="s">
        <v>185</v>
      </c>
      <c r="D27" s="160" t="s">
        <v>185</v>
      </c>
      <c r="E27" s="160" t="s">
        <v>773</v>
      </c>
      <c r="F27" s="160" t="s">
        <v>185</v>
      </c>
      <c r="G27" s="160" t="s">
        <v>185</v>
      </c>
      <c r="H27" s="160" t="s">
        <v>186</v>
      </c>
      <c r="I27" s="160" t="s">
        <v>186</v>
      </c>
      <c r="J27" s="160" t="s">
        <v>185</v>
      </c>
      <c r="K27" s="160" t="s">
        <v>185</v>
      </c>
      <c r="L27" s="160" t="s">
        <v>185</v>
      </c>
      <c r="M27" s="160" t="s">
        <v>185</v>
      </c>
      <c r="N27" s="160" t="s">
        <v>186</v>
      </c>
      <c r="O27" s="160" t="s">
        <v>186</v>
      </c>
      <c r="P27" s="160" t="s">
        <v>186</v>
      </c>
      <c r="Q27" s="160" t="s">
        <v>185</v>
      </c>
      <c r="R27" s="160" t="s">
        <v>185</v>
      </c>
      <c r="S27" s="180" t="s">
        <v>185</v>
      </c>
      <c r="T27" s="187" t="s">
        <v>185</v>
      </c>
      <c r="U27" s="160" t="s">
        <v>185</v>
      </c>
      <c r="V27" s="160" t="s">
        <v>185</v>
      </c>
      <c r="W27" s="160" t="s">
        <v>185</v>
      </c>
      <c r="X27" s="160" t="s">
        <v>185</v>
      </c>
      <c r="Y27" s="160" t="s">
        <v>185</v>
      </c>
      <c r="Z27" s="117" t="s">
        <v>186</v>
      </c>
      <c r="AA27" s="117" t="s">
        <v>186</v>
      </c>
      <c r="AB27" s="160" t="s">
        <v>772</v>
      </c>
      <c r="AC27" s="117" t="s">
        <v>771</v>
      </c>
      <c r="AD27" s="160" t="s">
        <v>185</v>
      </c>
      <c r="AE27" s="160" t="s">
        <v>185</v>
      </c>
      <c r="AF27" s="281" t="s">
        <v>786</v>
      </c>
      <c r="AG27" s="281" t="s">
        <v>786</v>
      </c>
      <c r="AH27" s="160" t="s">
        <v>187</v>
      </c>
      <c r="AI27" s="160" t="s">
        <v>185</v>
      </c>
      <c r="AJ27" s="160" t="s">
        <v>185</v>
      </c>
      <c r="AK27" s="160" t="s">
        <v>185</v>
      </c>
      <c r="AL27" s="160" t="s">
        <v>185</v>
      </c>
    </row>
    <row r="28" spans="1:38">
      <c r="A28" s="119" t="s">
        <v>188</v>
      </c>
      <c r="B28" s="159" t="s">
        <v>189</v>
      </c>
      <c r="C28" s="160" t="s">
        <v>70</v>
      </c>
      <c r="D28" s="160" t="s">
        <v>70</v>
      </c>
      <c r="E28" s="160" t="s">
        <v>70</v>
      </c>
      <c r="F28" s="160" t="s">
        <v>70</v>
      </c>
      <c r="G28" s="160" t="s">
        <v>70</v>
      </c>
      <c r="H28" s="160" t="s">
        <v>70</v>
      </c>
      <c r="I28" s="160" t="s">
        <v>70</v>
      </c>
      <c r="J28" s="160" t="s">
        <v>70</v>
      </c>
      <c r="K28" s="160" t="s">
        <v>70</v>
      </c>
      <c r="L28" s="160" t="s">
        <v>70</v>
      </c>
      <c r="M28" s="160" t="s">
        <v>70</v>
      </c>
      <c r="N28" s="160" t="s">
        <v>70</v>
      </c>
      <c r="O28" s="160" t="s">
        <v>70</v>
      </c>
      <c r="P28" s="160" t="s">
        <v>70</v>
      </c>
      <c r="Q28" s="160" t="s">
        <v>70</v>
      </c>
      <c r="R28" s="160" t="s">
        <v>70</v>
      </c>
      <c r="S28" s="179" t="s">
        <v>70</v>
      </c>
      <c r="T28" s="187" t="s">
        <v>70</v>
      </c>
      <c r="U28" s="160" t="s">
        <v>70</v>
      </c>
      <c r="V28" s="160" t="s">
        <v>70</v>
      </c>
      <c r="W28" s="160" t="s">
        <v>70</v>
      </c>
      <c r="X28" s="160" t="s">
        <v>70</v>
      </c>
      <c r="Y28" s="160" t="s">
        <v>70</v>
      </c>
      <c r="Z28" s="151" t="s">
        <v>70</v>
      </c>
      <c r="AA28" s="151" t="s">
        <v>70</v>
      </c>
      <c r="AB28" s="160" t="s">
        <v>70</v>
      </c>
      <c r="AC28" s="151" t="s">
        <v>70</v>
      </c>
      <c r="AD28" s="160" t="s">
        <v>70</v>
      </c>
      <c r="AE28" s="160" t="s">
        <v>70</v>
      </c>
      <c r="AF28" s="164" t="s">
        <v>70</v>
      </c>
      <c r="AG28" s="164" t="s">
        <v>70</v>
      </c>
      <c r="AH28" s="160" t="s">
        <v>70</v>
      </c>
      <c r="AI28" s="160" t="s">
        <v>70</v>
      </c>
      <c r="AJ28" s="160" t="s">
        <v>70</v>
      </c>
      <c r="AK28" s="160" t="s">
        <v>70</v>
      </c>
      <c r="AL28" s="160" t="s">
        <v>70</v>
      </c>
    </row>
    <row r="29" spans="1:38">
      <c r="A29" s="119" t="s">
        <v>190</v>
      </c>
      <c r="B29" s="159" t="s">
        <v>191</v>
      </c>
      <c r="C29" s="160" t="s">
        <v>70</v>
      </c>
      <c r="D29" s="160" t="s">
        <v>70</v>
      </c>
      <c r="E29" s="160" t="s">
        <v>70</v>
      </c>
      <c r="F29" s="160" t="s">
        <v>70</v>
      </c>
      <c r="G29" s="160" t="s">
        <v>70</v>
      </c>
      <c r="H29" s="160" t="s">
        <v>70</v>
      </c>
      <c r="I29" s="160" t="s">
        <v>70</v>
      </c>
      <c r="J29" s="160" t="s">
        <v>70</v>
      </c>
      <c r="K29" s="160" t="s">
        <v>70</v>
      </c>
      <c r="L29" s="160" t="s">
        <v>70</v>
      </c>
      <c r="M29" s="160" t="s">
        <v>70</v>
      </c>
      <c r="N29" s="160" t="s">
        <v>70</v>
      </c>
      <c r="O29" s="160" t="s">
        <v>70</v>
      </c>
      <c r="P29" s="160" t="s">
        <v>70</v>
      </c>
      <c r="Q29" s="160" t="s">
        <v>70</v>
      </c>
      <c r="R29" s="160" t="s">
        <v>70</v>
      </c>
      <c r="S29" s="179" t="s">
        <v>70</v>
      </c>
      <c r="T29" s="187" t="s">
        <v>70</v>
      </c>
      <c r="U29" s="160" t="s">
        <v>70</v>
      </c>
      <c r="V29" s="160" t="s">
        <v>70</v>
      </c>
      <c r="W29" s="160" t="s">
        <v>70</v>
      </c>
      <c r="X29" s="160" t="s">
        <v>70</v>
      </c>
      <c r="Y29" s="160" t="s">
        <v>70</v>
      </c>
      <c r="Z29" s="117" t="s">
        <v>70</v>
      </c>
      <c r="AA29" s="117" t="s">
        <v>70</v>
      </c>
      <c r="AB29" s="160" t="s">
        <v>70</v>
      </c>
      <c r="AC29" s="117" t="s">
        <v>70</v>
      </c>
      <c r="AD29" s="160" t="s">
        <v>70</v>
      </c>
      <c r="AE29" s="160" t="s">
        <v>70</v>
      </c>
      <c r="AF29" s="281" t="s">
        <v>70</v>
      </c>
      <c r="AG29" s="281" t="s">
        <v>70</v>
      </c>
      <c r="AH29" s="160" t="s">
        <v>191</v>
      </c>
      <c r="AI29" s="160" t="s">
        <v>70</v>
      </c>
      <c r="AJ29" s="160" t="s">
        <v>70</v>
      </c>
      <c r="AK29" s="160" t="s">
        <v>70</v>
      </c>
      <c r="AL29" s="160" t="s">
        <v>70</v>
      </c>
    </row>
    <row r="30" spans="1:38" ht="22.8">
      <c r="A30" s="119" t="s">
        <v>193</v>
      </c>
      <c r="B30" s="159"/>
      <c r="C30" s="160" t="s">
        <v>194</v>
      </c>
      <c r="D30" s="160" t="s">
        <v>194</v>
      </c>
      <c r="E30" s="160" t="s">
        <v>194</v>
      </c>
      <c r="F30" s="160" t="s">
        <v>194</v>
      </c>
      <c r="G30" s="160" t="s">
        <v>194</v>
      </c>
      <c r="H30" s="160" t="s">
        <v>194</v>
      </c>
      <c r="I30" s="160" t="s">
        <v>194</v>
      </c>
      <c r="J30" s="160" t="s">
        <v>194</v>
      </c>
      <c r="K30" s="160" t="s">
        <v>194</v>
      </c>
      <c r="L30" s="160" t="s">
        <v>194</v>
      </c>
      <c r="M30" s="160" t="s">
        <v>194</v>
      </c>
      <c r="N30" s="216" t="s">
        <v>195</v>
      </c>
      <c r="O30" s="280" t="s">
        <v>712</v>
      </c>
      <c r="P30" s="160" t="s">
        <v>194</v>
      </c>
      <c r="Q30" s="160" t="s">
        <v>194</v>
      </c>
      <c r="R30" s="160" t="s">
        <v>194</v>
      </c>
      <c r="S30" s="179" t="s">
        <v>194</v>
      </c>
      <c r="T30" s="187" t="s">
        <v>194</v>
      </c>
      <c r="U30" s="160" t="s">
        <v>194</v>
      </c>
      <c r="V30" s="160" t="s">
        <v>194</v>
      </c>
      <c r="W30" s="160" t="s">
        <v>194</v>
      </c>
      <c r="X30" s="160" t="s">
        <v>194</v>
      </c>
      <c r="Y30" s="160" t="s">
        <v>194</v>
      </c>
      <c r="Z30" s="151" t="s">
        <v>194</v>
      </c>
      <c r="AA30" s="151" t="s">
        <v>194</v>
      </c>
      <c r="AB30" s="160" t="s">
        <v>194</v>
      </c>
      <c r="AC30" s="151" t="s">
        <v>194</v>
      </c>
      <c r="AD30" s="217" t="s">
        <v>540</v>
      </c>
      <c r="AE30" s="160" t="s">
        <v>194</v>
      </c>
      <c r="AF30" s="160" t="s">
        <v>194</v>
      </c>
      <c r="AG30" s="160" t="s">
        <v>194</v>
      </c>
      <c r="AH30" s="160" t="s">
        <v>194</v>
      </c>
      <c r="AI30" s="160" t="s">
        <v>194</v>
      </c>
      <c r="AJ30" s="160" t="s">
        <v>194</v>
      </c>
      <c r="AK30" s="160" t="s">
        <v>194</v>
      </c>
      <c r="AL30" s="160" t="s">
        <v>194</v>
      </c>
    </row>
    <row r="31" spans="1:38">
      <c r="C31" s="176"/>
      <c r="D31" s="168"/>
      <c r="E31" s="168"/>
      <c r="F31" s="176"/>
      <c r="G31" s="168"/>
      <c r="H31" s="119"/>
      <c r="I31" s="119"/>
      <c r="J31" s="176"/>
      <c r="K31" s="168"/>
      <c r="L31" s="176"/>
      <c r="M31" s="119"/>
      <c r="N31" s="119"/>
      <c r="O31" s="119"/>
      <c r="P31" s="119"/>
      <c r="Q31" s="176"/>
      <c r="R31" s="168"/>
      <c r="S31" s="179"/>
      <c r="T31" s="182"/>
      <c r="U31" s="176"/>
      <c r="V31" s="168"/>
      <c r="W31" s="119"/>
      <c r="X31" s="119"/>
      <c r="Y31" s="168"/>
      <c r="Z31" s="153"/>
      <c r="AA31" s="153"/>
      <c r="AB31" s="168"/>
      <c r="AC31" s="153"/>
      <c r="AD31" s="168"/>
      <c r="AE31" s="176"/>
      <c r="AF31" s="119"/>
      <c r="AG31" s="119"/>
      <c r="AH31" s="160"/>
      <c r="AI31" s="176"/>
      <c r="AJ31" s="176"/>
      <c r="AK31" s="176"/>
      <c r="AL31" s="168"/>
    </row>
    <row r="32" spans="1:38" ht="27" customHeight="1">
      <c r="A32" s="158" t="s">
        <v>196</v>
      </c>
      <c r="B32" s="166" t="s">
        <v>197</v>
      </c>
      <c r="C32" s="160"/>
      <c r="D32" s="168"/>
      <c r="E32" s="168"/>
      <c r="F32" s="160"/>
      <c r="G32" s="168"/>
      <c r="H32" s="119"/>
      <c r="I32" s="119"/>
      <c r="J32" s="160"/>
      <c r="K32" s="168"/>
      <c r="L32" s="160"/>
      <c r="M32" s="119"/>
      <c r="N32" s="119"/>
      <c r="O32" s="119"/>
      <c r="P32" s="119"/>
      <c r="Q32" s="160"/>
      <c r="R32" s="168"/>
      <c r="S32" s="179"/>
      <c r="T32" s="182"/>
      <c r="U32" s="160"/>
      <c r="V32" s="168"/>
      <c r="W32" s="119"/>
      <c r="X32" s="119"/>
      <c r="Y32" s="168"/>
      <c r="Z32" s="153"/>
      <c r="AA32" s="153"/>
      <c r="AB32" s="168"/>
      <c r="AC32" s="153"/>
      <c r="AD32" s="168"/>
      <c r="AE32" s="160"/>
      <c r="AF32" s="119"/>
      <c r="AG32" s="119"/>
      <c r="AH32" s="160"/>
      <c r="AI32" s="160"/>
      <c r="AJ32" s="160"/>
      <c r="AK32" s="160"/>
      <c r="AL32" s="168"/>
    </row>
    <row r="33" spans="1:38">
      <c r="A33" s="122" t="s">
        <v>198</v>
      </c>
      <c r="B33" s="165" t="s">
        <v>199</v>
      </c>
      <c r="C33" s="170" t="s">
        <v>70</v>
      </c>
      <c r="D33" s="170" t="s">
        <v>70</v>
      </c>
      <c r="E33" s="170" t="s">
        <v>70</v>
      </c>
      <c r="F33" s="170" t="s">
        <v>70</v>
      </c>
      <c r="G33" s="170" t="s">
        <v>70</v>
      </c>
      <c r="H33" s="170" t="s">
        <v>70</v>
      </c>
      <c r="I33" s="170" t="s">
        <v>70</v>
      </c>
      <c r="J33" s="170" t="s">
        <v>70</v>
      </c>
      <c r="K33" s="170" t="s">
        <v>70</v>
      </c>
      <c r="L33" s="159" t="s">
        <v>70</v>
      </c>
      <c r="M33" s="159" t="s">
        <v>70</v>
      </c>
      <c r="N33" s="170" t="s">
        <v>70</v>
      </c>
      <c r="O33" s="170" t="s">
        <v>70</v>
      </c>
      <c r="P33" s="170" t="s">
        <v>70</v>
      </c>
      <c r="Q33" s="170" t="s">
        <v>70</v>
      </c>
      <c r="R33" s="170" t="s">
        <v>70</v>
      </c>
      <c r="S33" s="179" t="s">
        <v>70</v>
      </c>
      <c r="T33" s="183" t="s">
        <v>70</v>
      </c>
      <c r="U33" s="170" t="s">
        <v>70</v>
      </c>
      <c r="V33" s="170" t="s">
        <v>70</v>
      </c>
      <c r="W33" s="170" t="s">
        <v>70</v>
      </c>
      <c r="X33" s="170" t="s">
        <v>70</v>
      </c>
      <c r="Y33" s="170" t="s">
        <v>70</v>
      </c>
      <c r="Z33" s="193" t="s">
        <v>70</v>
      </c>
      <c r="AA33" s="193" t="s">
        <v>70</v>
      </c>
      <c r="AB33" s="170" t="s">
        <v>70</v>
      </c>
      <c r="AC33" s="193" t="s">
        <v>70</v>
      </c>
      <c r="AD33" s="170" t="s">
        <v>70</v>
      </c>
      <c r="AE33" s="170" t="s">
        <v>70</v>
      </c>
      <c r="AF33" s="165" t="s">
        <v>70</v>
      </c>
      <c r="AG33" s="165" t="s">
        <v>70</v>
      </c>
      <c r="AH33" s="160" t="s">
        <v>70</v>
      </c>
      <c r="AI33" s="170" t="s">
        <v>70</v>
      </c>
      <c r="AJ33" s="170" t="s">
        <v>70</v>
      </c>
      <c r="AK33" s="170" t="s">
        <v>70</v>
      </c>
      <c r="AL33" s="170" t="s">
        <v>70</v>
      </c>
    </row>
    <row r="34" spans="1:38">
      <c r="A34" s="122" t="s">
        <v>200</v>
      </c>
      <c r="B34" s="164" t="s">
        <v>201</v>
      </c>
      <c r="C34" s="170" t="s">
        <v>70</v>
      </c>
      <c r="D34" s="170" t="s">
        <v>70</v>
      </c>
      <c r="E34" s="170" t="s">
        <v>70</v>
      </c>
      <c r="F34" s="170" t="s">
        <v>202</v>
      </c>
      <c r="G34" s="170" t="s">
        <v>202</v>
      </c>
      <c r="H34" s="170" t="s">
        <v>70</v>
      </c>
      <c r="I34" s="170" t="s">
        <v>70</v>
      </c>
      <c r="J34" s="164" t="s">
        <v>202</v>
      </c>
      <c r="K34" s="164" t="s">
        <v>202</v>
      </c>
      <c r="L34" s="164" t="s">
        <v>202</v>
      </c>
      <c r="M34" s="164" t="s">
        <v>202</v>
      </c>
      <c r="N34" s="164" t="s">
        <v>203</v>
      </c>
      <c r="O34" s="164" t="s">
        <v>203</v>
      </c>
      <c r="P34" s="170" t="s">
        <v>202</v>
      </c>
      <c r="Q34" s="170" t="s">
        <v>70</v>
      </c>
      <c r="R34" s="170" t="s">
        <v>70</v>
      </c>
      <c r="S34" s="179" t="s">
        <v>70</v>
      </c>
      <c r="T34" s="183" t="s">
        <v>70</v>
      </c>
      <c r="U34" s="170" t="s">
        <v>70</v>
      </c>
      <c r="V34" s="170" t="s">
        <v>70</v>
      </c>
      <c r="W34" s="170" t="s">
        <v>70</v>
      </c>
      <c r="X34" s="170" t="s">
        <v>70</v>
      </c>
      <c r="Y34" s="170" t="s">
        <v>70</v>
      </c>
      <c r="Z34" s="126" t="s">
        <v>70</v>
      </c>
      <c r="AA34" s="314" t="s">
        <v>70</v>
      </c>
      <c r="AB34" s="170" t="s">
        <v>70</v>
      </c>
      <c r="AC34" s="219" t="s">
        <v>550</v>
      </c>
      <c r="AD34" s="170" t="s">
        <v>70</v>
      </c>
      <c r="AE34" s="170" t="s">
        <v>70</v>
      </c>
      <c r="AF34" s="165" t="s">
        <v>204</v>
      </c>
      <c r="AG34" s="165" t="s">
        <v>204</v>
      </c>
      <c r="AH34" s="160" t="s">
        <v>70</v>
      </c>
      <c r="AI34" s="170" t="s">
        <v>70</v>
      </c>
      <c r="AJ34" s="170" t="s">
        <v>70</v>
      </c>
      <c r="AK34" s="170" t="s">
        <v>70</v>
      </c>
      <c r="AL34" s="170" t="s">
        <v>70</v>
      </c>
    </row>
    <row r="35" spans="1:38">
      <c r="A35" s="122" t="s">
        <v>205</v>
      </c>
      <c r="B35" s="189"/>
      <c r="C35" s="165">
        <v>1</v>
      </c>
      <c r="D35" s="165">
        <v>1</v>
      </c>
      <c r="E35" s="165">
        <v>1</v>
      </c>
      <c r="F35" s="165">
        <v>1</v>
      </c>
      <c r="G35" s="165">
        <v>1</v>
      </c>
      <c r="H35" s="168">
        <v>1</v>
      </c>
      <c r="I35" s="168">
        <v>1</v>
      </c>
      <c r="J35" s="165">
        <v>1</v>
      </c>
      <c r="K35" s="165">
        <v>1</v>
      </c>
      <c r="L35" s="165">
        <v>1</v>
      </c>
      <c r="M35" s="165">
        <v>1</v>
      </c>
      <c r="N35" s="168">
        <v>0</v>
      </c>
      <c r="O35" s="168">
        <v>0</v>
      </c>
      <c r="P35" s="168">
        <v>1</v>
      </c>
      <c r="Q35" s="165">
        <v>1</v>
      </c>
      <c r="R35" s="165">
        <v>1</v>
      </c>
      <c r="S35" s="179"/>
      <c r="T35" s="183">
        <v>1</v>
      </c>
      <c r="U35" s="165">
        <v>1</v>
      </c>
      <c r="V35" s="165">
        <v>1</v>
      </c>
      <c r="W35" s="165">
        <v>1</v>
      </c>
      <c r="X35" s="165">
        <v>1</v>
      </c>
      <c r="Y35" s="183">
        <v>1</v>
      </c>
      <c r="Z35" s="126">
        <v>1</v>
      </c>
      <c r="AA35" s="314">
        <v>1</v>
      </c>
      <c r="AB35" s="165">
        <v>1</v>
      </c>
      <c r="AC35" s="219">
        <v>1</v>
      </c>
      <c r="AD35" s="165">
        <v>1</v>
      </c>
      <c r="AE35" s="165">
        <v>1</v>
      </c>
      <c r="AF35" s="165"/>
      <c r="AG35" s="165"/>
      <c r="AH35" s="160"/>
      <c r="AI35" s="165">
        <v>1</v>
      </c>
      <c r="AJ35" s="165">
        <v>1</v>
      </c>
      <c r="AK35" s="165">
        <v>0</v>
      </c>
      <c r="AL35" s="165">
        <v>0</v>
      </c>
    </row>
    <row r="36" spans="1:38" ht="24.75" customHeight="1">
      <c r="A36" s="122" t="s">
        <v>206</v>
      </c>
      <c r="B36" s="165" t="s">
        <v>207</v>
      </c>
      <c r="C36" s="165" t="s">
        <v>70</v>
      </c>
      <c r="D36" s="165" t="s">
        <v>70</v>
      </c>
      <c r="E36" s="165" t="s">
        <v>70</v>
      </c>
      <c r="F36" s="165" t="s">
        <v>70</v>
      </c>
      <c r="G36" s="165" t="s">
        <v>70</v>
      </c>
      <c r="H36" s="165" t="s">
        <v>70</v>
      </c>
      <c r="I36" s="165" t="s">
        <v>70</v>
      </c>
      <c r="J36" s="165" t="s">
        <v>70</v>
      </c>
      <c r="K36" s="165" t="s">
        <v>70</v>
      </c>
      <c r="L36" s="262" t="s">
        <v>70</v>
      </c>
      <c r="M36" s="262" t="s">
        <v>70</v>
      </c>
      <c r="N36" s="165" t="s">
        <v>70</v>
      </c>
      <c r="O36" s="165" t="s">
        <v>70</v>
      </c>
      <c r="P36" s="165" t="s">
        <v>70</v>
      </c>
      <c r="Q36" s="165" t="s">
        <v>70</v>
      </c>
      <c r="R36" s="165" t="s">
        <v>70</v>
      </c>
      <c r="S36" s="179" t="s">
        <v>70</v>
      </c>
      <c r="T36" s="183" t="s">
        <v>70</v>
      </c>
      <c r="U36" s="165" t="s">
        <v>70</v>
      </c>
      <c r="V36" s="165" t="s">
        <v>70</v>
      </c>
      <c r="W36" s="165" t="s">
        <v>70</v>
      </c>
      <c r="X36" s="165" t="s">
        <v>70</v>
      </c>
      <c r="Y36" s="165" t="s">
        <v>70</v>
      </c>
      <c r="Z36" s="126" t="s">
        <v>70</v>
      </c>
      <c r="AA36" s="314" t="s">
        <v>70</v>
      </c>
      <c r="AB36" s="165" t="s">
        <v>70</v>
      </c>
      <c r="AC36" s="219" t="s">
        <v>70</v>
      </c>
      <c r="AD36" s="165" t="s">
        <v>70</v>
      </c>
      <c r="AE36" s="165" t="s">
        <v>70</v>
      </c>
      <c r="AF36" s="165" t="s">
        <v>70</v>
      </c>
      <c r="AG36" s="165" t="s">
        <v>70</v>
      </c>
      <c r="AH36" s="160" t="s">
        <v>70</v>
      </c>
      <c r="AI36" s="165" t="s">
        <v>70</v>
      </c>
      <c r="AJ36" s="165" t="s">
        <v>70</v>
      </c>
      <c r="AK36" s="165" t="s">
        <v>70</v>
      </c>
      <c r="AL36" s="165" t="s">
        <v>70</v>
      </c>
    </row>
    <row r="37" spans="1:38">
      <c r="A37" s="122" t="s">
        <v>208</v>
      </c>
      <c r="B37" s="165" t="s">
        <v>209</v>
      </c>
      <c r="C37" s="165" t="s">
        <v>70</v>
      </c>
      <c r="D37" s="165" t="s">
        <v>70</v>
      </c>
      <c r="E37" s="165" t="s">
        <v>70</v>
      </c>
      <c r="F37" s="165" t="s">
        <v>70</v>
      </c>
      <c r="G37" s="165" t="s">
        <v>70</v>
      </c>
      <c r="H37" s="165" t="s">
        <v>70</v>
      </c>
      <c r="I37" s="165" t="s">
        <v>70</v>
      </c>
      <c r="J37" s="165" t="s">
        <v>70</v>
      </c>
      <c r="K37" s="165" t="s">
        <v>70</v>
      </c>
      <c r="L37" s="262" t="s">
        <v>70</v>
      </c>
      <c r="M37" s="262" t="s">
        <v>70</v>
      </c>
      <c r="N37" s="165" t="s">
        <v>70</v>
      </c>
      <c r="O37" s="165" t="s">
        <v>70</v>
      </c>
      <c r="P37" s="165" t="s">
        <v>70</v>
      </c>
      <c r="Q37" s="165" t="s">
        <v>70</v>
      </c>
      <c r="R37" s="165" t="s">
        <v>70</v>
      </c>
      <c r="S37" s="179" t="s">
        <v>70</v>
      </c>
      <c r="T37" s="183" t="s">
        <v>70</v>
      </c>
      <c r="U37" s="165" t="s">
        <v>70</v>
      </c>
      <c r="V37" s="165" t="s">
        <v>70</v>
      </c>
      <c r="W37" s="165" t="s">
        <v>70</v>
      </c>
      <c r="X37" s="165" t="s">
        <v>70</v>
      </c>
      <c r="Y37" s="165" t="s">
        <v>70</v>
      </c>
      <c r="Z37" s="194" t="s">
        <v>70</v>
      </c>
      <c r="AA37" s="194" t="s">
        <v>70</v>
      </c>
      <c r="AB37" s="165" t="s">
        <v>70</v>
      </c>
      <c r="AC37" s="194" t="s">
        <v>70</v>
      </c>
      <c r="AD37" s="165" t="s">
        <v>70</v>
      </c>
      <c r="AE37" s="165" t="s">
        <v>70</v>
      </c>
      <c r="AF37" s="165" t="s">
        <v>70</v>
      </c>
      <c r="AG37" s="165" t="s">
        <v>70</v>
      </c>
      <c r="AH37" s="160" t="s">
        <v>70</v>
      </c>
      <c r="AI37" s="165" t="s">
        <v>70</v>
      </c>
      <c r="AJ37" s="165" t="s">
        <v>70</v>
      </c>
      <c r="AK37" s="165" t="s">
        <v>752</v>
      </c>
      <c r="AL37" s="165" t="s">
        <v>752</v>
      </c>
    </row>
    <row r="38" spans="1:38" ht="34.200000000000003">
      <c r="A38" s="122" t="s">
        <v>210</v>
      </c>
      <c r="B38" s="126" t="s">
        <v>170</v>
      </c>
      <c r="C38" s="165" t="s">
        <v>170</v>
      </c>
      <c r="D38" s="165" t="s">
        <v>170</v>
      </c>
      <c r="E38" s="165" t="s">
        <v>170</v>
      </c>
      <c r="F38" s="165" t="s">
        <v>170</v>
      </c>
      <c r="G38" s="165" t="s">
        <v>170</v>
      </c>
      <c r="H38" s="165" t="s">
        <v>170</v>
      </c>
      <c r="I38" s="165" t="s">
        <v>170</v>
      </c>
      <c r="J38" s="165" t="s">
        <v>170</v>
      </c>
      <c r="K38" s="165" t="s">
        <v>170</v>
      </c>
      <c r="L38" s="219" t="s">
        <v>170</v>
      </c>
      <c r="M38" s="219" t="s">
        <v>170</v>
      </c>
      <c r="N38" s="165" t="s">
        <v>170</v>
      </c>
      <c r="O38" s="165" t="s">
        <v>170</v>
      </c>
      <c r="P38" s="165" t="s">
        <v>170</v>
      </c>
      <c r="Q38" s="165" t="s">
        <v>170</v>
      </c>
      <c r="R38" s="165" t="s">
        <v>170</v>
      </c>
      <c r="S38" s="179" t="s">
        <v>170</v>
      </c>
      <c r="T38" s="183" t="s">
        <v>170</v>
      </c>
      <c r="U38" s="165" t="s">
        <v>170</v>
      </c>
      <c r="V38" s="165" t="s">
        <v>170</v>
      </c>
      <c r="W38" s="165" t="s">
        <v>170</v>
      </c>
      <c r="X38" s="165" t="s">
        <v>170</v>
      </c>
      <c r="Y38" s="165" t="s">
        <v>170</v>
      </c>
      <c r="Z38" s="126" t="s">
        <v>170</v>
      </c>
      <c r="AA38" s="314" t="s">
        <v>170</v>
      </c>
      <c r="AB38" s="165" t="s">
        <v>170</v>
      </c>
      <c r="AC38" s="219" t="s">
        <v>170</v>
      </c>
      <c r="AD38" s="165" t="s">
        <v>170</v>
      </c>
      <c r="AE38" s="165" t="s">
        <v>170</v>
      </c>
      <c r="AF38" s="165" t="s">
        <v>170</v>
      </c>
      <c r="AG38" s="165" t="s">
        <v>170</v>
      </c>
      <c r="AH38" s="160" t="s">
        <v>170</v>
      </c>
      <c r="AI38" s="165" t="s">
        <v>170</v>
      </c>
      <c r="AJ38" s="165" t="s">
        <v>170</v>
      </c>
      <c r="AK38" s="165" t="s">
        <v>170</v>
      </c>
      <c r="AL38" s="165" t="s">
        <v>170</v>
      </c>
    </row>
    <row r="39" spans="1:38" ht="34.200000000000003">
      <c r="A39" s="122" t="s">
        <v>211</v>
      </c>
      <c r="B39" s="126" t="s">
        <v>170</v>
      </c>
      <c r="C39" s="165" t="s">
        <v>170</v>
      </c>
      <c r="D39" s="165" t="s">
        <v>170</v>
      </c>
      <c r="E39" s="165" t="s">
        <v>170</v>
      </c>
      <c r="F39" s="165" t="s">
        <v>170</v>
      </c>
      <c r="G39" s="165" t="s">
        <v>170</v>
      </c>
      <c r="H39" s="165" t="s">
        <v>170</v>
      </c>
      <c r="I39" s="165" t="s">
        <v>170</v>
      </c>
      <c r="J39" s="165" t="s">
        <v>170</v>
      </c>
      <c r="K39" s="165" t="s">
        <v>170</v>
      </c>
      <c r="L39" s="219" t="s">
        <v>170</v>
      </c>
      <c r="M39" s="219" t="s">
        <v>170</v>
      </c>
      <c r="N39" s="165" t="s">
        <v>170</v>
      </c>
      <c r="O39" s="165" t="s">
        <v>170</v>
      </c>
      <c r="P39" s="165" t="s">
        <v>170</v>
      </c>
      <c r="Q39" s="165" t="s">
        <v>170</v>
      </c>
      <c r="R39" s="165" t="s">
        <v>170</v>
      </c>
      <c r="S39" s="179" t="s">
        <v>170</v>
      </c>
      <c r="T39" s="183" t="s">
        <v>170</v>
      </c>
      <c r="U39" s="165" t="s">
        <v>170</v>
      </c>
      <c r="V39" s="165" t="s">
        <v>170</v>
      </c>
      <c r="W39" s="165" t="s">
        <v>170</v>
      </c>
      <c r="X39" s="165" t="s">
        <v>170</v>
      </c>
      <c r="Y39" s="165" t="s">
        <v>170</v>
      </c>
      <c r="Z39" s="126" t="s">
        <v>170</v>
      </c>
      <c r="AA39" s="314" t="s">
        <v>170</v>
      </c>
      <c r="AB39" s="165" t="s">
        <v>170</v>
      </c>
      <c r="AC39" s="219" t="s">
        <v>170</v>
      </c>
      <c r="AD39" s="165" t="s">
        <v>170</v>
      </c>
      <c r="AE39" s="165" t="s">
        <v>170</v>
      </c>
      <c r="AF39" s="165" t="s">
        <v>170</v>
      </c>
      <c r="AG39" s="165" t="s">
        <v>170</v>
      </c>
      <c r="AH39" s="160" t="s">
        <v>170</v>
      </c>
      <c r="AI39" s="165" t="s">
        <v>170</v>
      </c>
      <c r="AJ39" s="165" t="s">
        <v>170</v>
      </c>
      <c r="AK39" s="165" t="s">
        <v>170</v>
      </c>
      <c r="AL39" s="165" t="s">
        <v>170</v>
      </c>
    </row>
    <row r="40" spans="1:38">
      <c r="A40" s="122" t="s">
        <v>212</v>
      </c>
      <c r="B40" s="165" t="s">
        <v>213</v>
      </c>
      <c r="C40" s="165" t="s">
        <v>70</v>
      </c>
      <c r="D40" s="165" t="s">
        <v>70</v>
      </c>
      <c r="E40" s="165" t="s">
        <v>70</v>
      </c>
      <c r="F40" s="165" t="s">
        <v>70</v>
      </c>
      <c r="G40" s="165" t="s">
        <v>70</v>
      </c>
      <c r="H40" s="165" t="s">
        <v>70</v>
      </c>
      <c r="I40" s="165" t="s">
        <v>70</v>
      </c>
      <c r="J40" s="165" t="s">
        <v>70</v>
      </c>
      <c r="K40" s="165" t="s">
        <v>70</v>
      </c>
      <c r="L40" s="165" t="s">
        <v>70</v>
      </c>
      <c r="M40" s="165" t="s">
        <v>70</v>
      </c>
      <c r="N40" s="165" t="s">
        <v>70</v>
      </c>
      <c r="O40" s="165" t="s">
        <v>70</v>
      </c>
      <c r="P40" s="165" t="s">
        <v>70</v>
      </c>
      <c r="Q40" s="165" t="s">
        <v>70</v>
      </c>
      <c r="R40" s="165" t="s">
        <v>70</v>
      </c>
      <c r="S40" s="179" t="s">
        <v>70</v>
      </c>
      <c r="T40" s="183" t="s">
        <v>70</v>
      </c>
      <c r="U40" s="165" t="s">
        <v>70</v>
      </c>
      <c r="V40" s="165" t="s">
        <v>70</v>
      </c>
      <c r="W40" s="165" t="s">
        <v>70</v>
      </c>
      <c r="X40" s="165" t="s">
        <v>70</v>
      </c>
      <c r="Y40" s="165" t="s">
        <v>70</v>
      </c>
      <c r="Z40" s="126" t="s">
        <v>70</v>
      </c>
      <c r="AA40" s="314" t="s">
        <v>70</v>
      </c>
      <c r="AB40" s="165" t="s">
        <v>70</v>
      </c>
      <c r="AC40" s="219" t="s">
        <v>70</v>
      </c>
      <c r="AD40" s="165" t="s">
        <v>70</v>
      </c>
      <c r="AE40" s="165" t="s">
        <v>70</v>
      </c>
      <c r="AF40" s="165" t="s">
        <v>70</v>
      </c>
      <c r="AG40" s="165" t="s">
        <v>70</v>
      </c>
      <c r="AH40" s="160" t="s">
        <v>70</v>
      </c>
      <c r="AI40" s="165" t="s">
        <v>70</v>
      </c>
      <c r="AJ40" s="165" t="s">
        <v>70</v>
      </c>
      <c r="AK40" s="165" t="s">
        <v>70</v>
      </c>
      <c r="AL40" s="165" t="s">
        <v>70</v>
      </c>
    </row>
    <row r="41" spans="1:38" ht="22.8">
      <c r="A41" s="122" t="s">
        <v>214</v>
      </c>
      <c r="B41" s="126" t="s">
        <v>170</v>
      </c>
      <c r="C41" s="165" t="s">
        <v>170</v>
      </c>
      <c r="D41" s="165" t="s">
        <v>170</v>
      </c>
      <c r="E41" s="165" t="s">
        <v>170</v>
      </c>
      <c r="F41" s="165" t="s">
        <v>170</v>
      </c>
      <c r="G41" s="165" t="s">
        <v>170</v>
      </c>
      <c r="H41" s="165" t="s">
        <v>170</v>
      </c>
      <c r="I41" s="165" t="s">
        <v>170</v>
      </c>
      <c r="J41" s="165" t="s">
        <v>170</v>
      </c>
      <c r="K41" s="165" t="s">
        <v>170</v>
      </c>
      <c r="L41" s="219" t="s">
        <v>170</v>
      </c>
      <c r="M41" s="219" t="s">
        <v>170</v>
      </c>
      <c r="N41" s="165" t="s">
        <v>170</v>
      </c>
      <c r="O41" s="165" t="s">
        <v>170</v>
      </c>
      <c r="P41" s="165" t="s">
        <v>170</v>
      </c>
      <c r="Q41" s="165" t="s">
        <v>170</v>
      </c>
      <c r="R41" s="165" t="s">
        <v>170</v>
      </c>
      <c r="S41" s="179" t="s">
        <v>170</v>
      </c>
      <c r="T41" s="183" t="s">
        <v>170</v>
      </c>
      <c r="U41" s="165" t="s">
        <v>170</v>
      </c>
      <c r="V41" s="165" t="s">
        <v>170</v>
      </c>
      <c r="W41" s="165" t="s">
        <v>170</v>
      </c>
      <c r="X41" s="165" t="s">
        <v>170</v>
      </c>
      <c r="Y41" s="165" t="s">
        <v>170</v>
      </c>
      <c r="Z41" s="126" t="s">
        <v>170</v>
      </c>
      <c r="AA41" s="314" t="s">
        <v>170</v>
      </c>
      <c r="AB41" s="165" t="s">
        <v>170</v>
      </c>
      <c r="AC41" s="219" t="s">
        <v>170</v>
      </c>
      <c r="AD41" s="165" t="s">
        <v>170</v>
      </c>
      <c r="AE41" s="165" t="s">
        <v>170</v>
      </c>
      <c r="AF41" s="165" t="s">
        <v>170</v>
      </c>
      <c r="AG41" s="165" t="s">
        <v>170</v>
      </c>
      <c r="AH41" s="160" t="s">
        <v>170</v>
      </c>
      <c r="AI41" s="165" t="s">
        <v>170</v>
      </c>
      <c r="AJ41" s="165" t="s">
        <v>170</v>
      </c>
      <c r="AK41" s="165" t="s">
        <v>170</v>
      </c>
      <c r="AL41" s="165" t="s">
        <v>170</v>
      </c>
    </row>
    <row r="42" spans="1:38" ht="22.8">
      <c r="A42" s="122" t="s">
        <v>215</v>
      </c>
      <c r="B42" s="126" t="s">
        <v>170</v>
      </c>
      <c r="C42" s="165" t="s">
        <v>170</v>
      </c>
      <c r="D42" s="165" t="s">
        <v>170</v>
      </c>
      <c r="E42" s="165" t="s">
        <v>170</v>
      </c>
      <c r="F42" s="165" t="s">
        <v>170</v>
      </c>
      <c r="G42" s="165" t="s">
        <v>170</v>
      </c>
      <c r="H42" s="165" t="s">
        <v>170</v>
      </c>
      <c r="I42" s="165" t="s">
        <v>170</v>
      </c>
      <c r="J42" s="165" t="s">
        <v>170</v>
      </c>
      <c r="K42" s="165" t="s">
        <v>170</v>
      </c>
      <c r="L42" s="165"/>
      <c r="M42" s="165"/>
      <c r="N42" s="165" t="s">
        <v>170</v>
      </c>
      <c r="O42" s="165" t="s">
        <v>170</v>
      </c>
      <c r="P42" s="165" t="s">
        <v>170</v>
      </c>
      <c r="Q42" s="165" t="s">
        <v>170</v>
      </c>
      <c r="R42" s="165" t="s">
        <v>170</v>
      </c>
      <c r="S42" s="179" t="s">
        <v>170</v>
      </c>
      <c r="T42" s="183" t="s">
        <v>170</v>
      </c>
      <c r="U42" s="165" t="s">
        <v>170</v>
      </c>
      <c r="V42" s="165" t="s">
        <v>170</v>
      </c>
      <c r="W42" s="165" t="s">
        <v>170</v>
      </c>
      <c r="X42" s="165" t="s">
        <v>170</v>
      </c>
      <c r="Y42" s="165" t="s">
        <v>170</v>
      </c>
      <c r="Z42" s="126" t="s">
        <v>170</v>
      </c>
      <c r="AA42" s="314" t="s">
        <v>170</v>
      </c>
      <c r="AB42" s="165" t="s">
        <v>170</v>
      </c>
      <c r="AC42" s="219" t="s">
        <v>170</v>
      </c>
      <c r="AD42" s="165" t="s">
        <v>170</v>
      </c>
      <c r="AE42" s="165" t="s">
        <v>170</v>
      </c>
      <c r="AF42" s="165" t="s">
        <v>170</v>
      </c>
      <c r="AG42" s="165" t="s">
        <v>170</v>
      </c>
      <c r="AH42" s="160" t="s">
        <v>170</v>
      </c>
      <c r="AI42" s="165" t="s">
        <v>170</v>
      </c>
      <c r="AJ42" s="165" t="s">
        <v>170</v>
      </c>
      <c r="AK42" s="165" t="s">
        <v>170</v>
      </c>
      <c r="AL42" s="165" t="s">
        <v>170</v>
      </c>
    </row>
    <row r="43" spans="1:38">
      <c r="A43" s="190" t="s">
        <v>216</v>
      </c>
      <c r="L43"/>
      <c r="M43"/>
      <c r="Z43" s="149"/>
      <c r="AA43" s="149"/>
      <c r="AC43" s="149"/>
      <c r="AD43"/>
    </row>
    <row r="44" spans="1:38">
      <c r="L44"/>
      <c r="M44"/>
    </row>
  </sheetData>
  <customSheetViews>
    <customSheetView guid="{35BB8162-AD08-4F19-B47C-5A1FD7B0567B}" scale="85">
      <pane xSplit="2.7993527508090614" ySplit="5.0714285714285712" topLeftCell="J16" activePane="bottomRight" state="frozen"/>
      <selection pane="bottomRight" activeCell="L26" sqref="L26"/>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F2BBD7E-9334-44AA-B170-23CF20E0BAAC}" scale="85">
      <pane xSplit="2" ySplit="3" topLeftCell="J22" activePane="bottomRight" state="frozen"/>
      <selection pane="bottomRight" activeCell="L27" sqref="L27"/>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2347D80-63DB-496D-935F-2CF95DC088FE}" scale="85">
      <pane xSplit="2" ySplit="3" topLeftCell="V22" activePane="bottomRight" state="frozen"/>
      <selection pane="bottomRight" activeCell="W30" sqref="W3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EBD1C52-A862-496E-88D9-4B6EAB1093EB}" scale="85">
      <pane xSplit="2" ySplit="3" topLeftCell="H28" activePane="bottomRight" state="frozen"/>
      <selection pane="bottomRight" activeCell="L15" sqref="L15"/>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279B0F34-BE9C-4778-A036-3ED8EAAF78FA}" scale="85">
      <pane xSplit="2" ySplit="3" topLeftCell="AE4" activePane="bottomRight" state="frozen"/>
      <selection pane="bottomRight" activeCell="AJ26" sqref="AJ26"/>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FE13EA77-3511-4AB1-99FB-5446425992B9}" scale="85">
      <pane xSplit="2" ySplit="3" topLeftCell="S4" activePane="bottomRight" state="frozen"/>
      <selection pane="bottomRight" activeCell="AA15" sqref="AA15"/>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5D5C299-761A-4CBF-AA27-B17032FC4CEB}" scale="85">
      <pane xSplit="2" ySplit="3" topLeftCell="J16" activePane="bottomRight" state="frozen"/>
      <selection pane="bottomRight" activeCell="L26" sqref="L26"/>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13">
    <mergeCell ref="AK2:AL2"/>
    <mergeCell ref="W2:X2"/>
    <mergeCell ref="Z2:AB2"/>
    <mergeCell ref="AF2:AG2"/>
    <mergeCell ref="A2:A3"/>
    <mergeCell ref="B2:B3"/>
    <mergeCell ref="C2:E2"/>
    <mergeCell ref="F2:G2"/>
    <mergeCell ref="J2:M2"/>
    <mergeCell ref="Q2:R2"/>
    <mergeCell ref="U2:V2"/>
    <mergeCell ref="N2:O2"/>
    <mergeCell ref="S2:T2"/>
  </mergeCells>
  <phoneticPr fontId="15"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1"/>
  <sheetViews>
    <sheetView zoomScale="85" zoomScaleNormal="85" workbookViewId="0">
      <pane xSplit="2" ySplit="3" topLeftCell="C13" activePane="bottomRight" state="frozen"/>
      <selection pane="topRight" activeCell="C1" sqref="C1"/>
      <selection pane="bottomLeft" activeCell="A4" sqref="A4"/>
      <selection pane="bottomRight" activeCell="C35" sqref="C35"/>
    </sheetView>
  </sheetViews>
  <sheetFormatPr defaultColWidth="9.44140625" defaultRowHeight="15.6"/>
  <cols>
    <col min="1" max="1" width="29.44140625" style="171" customWidth="1"/>
    <col min="2" max="2" width="44.44140625" style="171" customWidth="1"/>
    <col min="3" max="3" width="31.44140625" style="172" customWidth="1"/>
    <col min="4" max="9" width="31.44140625" style="109" customWidth="1"/>
    <col min="10" max="10" width="31.44140625" style="172" customWidth="1"/>
    <col min="11" max="18" width="31.44140625" style="109" customWidth="1"/>
    <col min="19" max="19" width="31.5546875" style="109" customWidth="1"/>
    <col min="20" max="22" width="31.44140625" style="109" customWidth="1"/>
    <col min="23" max="23" width="31.44140625" style="172" customWidth="1"/>
    <col min="24" max="29" width="31.44140625" style="109" customWidth="1"/>
    <col min="30" max="16384" width="9.44140625" style="108"/>
  </cols>
  <sheetData>
    <row r="1" spans="1:29">
      <c r="A1" s="158" t="s">
        <v>63</v>
      </c>
      <c r="B1" s="109"/>
    </row>
    <row r="2" spans="1:29" s="157" customFormat="1" ht="24" customHeight="1">
      <c r="A2" s="393" t="s">
        <v>64</v>
      </c>
      <c r="B2" s="395" t="s">
        <v>217</v>
      </c>
      <c r="C2" s="400" t="s">
        <v>5</v>
      </c>
      <c r="D2" s="401"/>
      <c r="E2" s="402"/>
      <c r="F2" s="400" t="s">
        <v>8</v>
      </c>
      <c r="G2" s="402"/>
      <c r="H2" s="112" t="s">
        <v>11</v>
      </c>
      <c r="I2" s="112" t="s">
        <v>218</v>
      </c>
      <c r="J2" s="400" t="s">
        <v>16</v>
      </c>
      <c r="K2" s="401"/>
      <c r="L2" s="401"/>
      <c r="M2" s="402"/>
      <c r="N2" s="398" t="s">
        <v>21</v>
      </c>
      <c r="O2" s="399"/>
      <c r="P2" s="112" t="s">
        <v>23</v>
      </c>
      <c r="Q2" s="398" t="s">
        <v>26</v>
      </c>
      <c r="R2" s="399"/>
      <c r="S2" s="390" t="s">
        <v>32</v>
      </c>
      <c r="T2" s="392"/>
      <c r="U2" s="112" t="s">
        <v>39</v>
      </c>
      <c r="V2" s="112" t="s">
        <v>43</v>
      </c>
      <c r="W2" s="112" t="s">
        <v>582</v>
      </c>
      <c r="X2" s="398" t="s">
        <v>17</v>
      </c>
      <c r="Y2" s="399"/>
      <c r="Z2" s="112"/>
      <c r="AA2" s="112"/>
      <c r="AB2" s="112"/>
      <c r="AC2" s="112"/>
    </row>
    <row r="3" spans="1:29" s="157" customFormat="1" ht="11.25" customHeight="1">
      <c r="A3" s="394"/>
      <c r="B3" s="396"/>
      <c r="C3" s="173" t="s">
        <v>66</v>
      </c>
      <c r="D3" s="174" t="s">
        <v>67</v>
      </c>
      <c r="E3" s="257" t="s">
        <v>593</v>
      </c>
      <c r="F3" s="173" t="s">
        <v>66</v>
      </c>
      <c r="G3" s="174" t="s">
        <v>67</v>
      </c>
      <c r="H3" s="140" t="s">
        <v>66</v>
      </c>
      <c r="I3" s="140" t="s">
        <v>66</v>
      </c>
      <c r="J3" s="173" t="s">
        <v>66</v>
      </c>
      <c r="K3" s="174" t="s">
        <v>67</v>
      </c>
      <c r="L3" s="263" t="s">
        <v>644</v>
      </c>
      <c r="M3" s="264" t="s">
        <v>592</v>
      </c>
      <c r="N3" s="140" t="s">
        <v>66</v>
      </c>
      <c r="O3" s="140" t="s">
        <v>709</v>
      </c>
      <c r="P3" s="140" t="s">
        <v>66</v>
      </c>
      <c r="Q3" s="140" t="s">
        <v>66</v>
      </c>
      <c r="R3" s="307" t="s">
        <v>722</v>
      </c>
      <c r="S3" s="178" t="s">
        <v>67</v>
      </c>
      <c r="T3" s="257" t="s">
        <v>593</v>
      </c>
      <c r="U3" s="140" t="s">
        <v>66</v>
      </c>
      <c r="V3" s="150" t="s">
        <v>67</v>
      </c>
      <c r="W3" s="140" t="s">
        <v>66</v>
      </c>
      <c r="X3" s="173" t="s">
        <v>66</v>
      </c>
      <c r="Y3" s="174" t="s">
        <v>67</v>
      </c>
      <c r="Z3" s="112"/>
      <c r="AA3" s="112"/>
      <c r="AB3" s="112"/>
      <c r="AC3" s="112"/>
    </row>
    <row r="4" spans="1:29">
      <c r="A4" s="119" t="s">
        <v>68</v>
      </c>
      <c r="B4" s="159" t="s">
        <v>69</v>
      </c>
      <c r="C4" s="160" t="s">
        <v>70</v>
      </c>
      <c r="D4" s="160" t="s">
        <v>70</v>
      </c>
      <c r="E4" s="160" t="s">
        <v>603</v>
      </c>
      <c r="F4" s="160" t="s">
        <v>70</v>
      </c>
      <c r="G4" s="160" t="s">
        <v>70</v>
      </c>
      <c r="H4" s="160" t="s">
        <v>70</v>
      </c>
      <c r="I4" s="119" t="s">
        <v>70</v>
      </c>
      <c r="J4" s="160" t="s">
        <v>70</v>
      </c>
      <c r="K4" s="160" t="s">
        <v>70</v>
      </c>
      <c r="L4" s="265" t="s">
        <v>602</v>
      </c>
      <c r="M4" s="265" t="s">
        <v>602</v>
      </c>
      <c r="N4" s="160" t="s">
        <v>70</v>
      </c>
      <c r="O4" s="160" t="s">
        <v>70</v>
      </c>
      <c r="P4" s="119" t="s">
        <v>70</v>
      </c>
      <c r="Q4" s="179" t="s">
        <v>70</v>
      </c>
      <c r="R4" s="187" t="s">
        <v>70</v>
      </c>
      <c r="S4" s="160" t="s">
        <v>70</v>
      </c>
      <c r="T4" s="160" t="s">
        <v>603</v>
      </c>
      <c r="U4" s="179" t="s">
        <v>70</v>
      </c>
      <c r="V4" s="179" t="s">
        <v>70</v>
      </c>
      <c r="W4" s="160" t="s">
        <v>70</v>
      </c>
      <c r="X4" s="160" t="s">
        <v>70</v>
      </c>
      <c r="Y4" s="160" t="s">
        <v>70</v>
      </c>
      <c r="Z4" s="119"/>
      <c r="AA4" s="119"/>
      <c r="AB4" s="119"/>
      <c r="AC4" s="119"/>
    </row>
    <row r="5" spans="1:29">
      <c r="A5" s="119" t="s">
        <v>71</v>
      </c>
      <c r="B5" s="159"/>
      <c r="C5" s="160" t="s">
        <v>72</v>
      </c>
      <c r="D5" s="119" t="s">
        <v>73</v>
      </c>
      <c r="E5" s="119" t="s">
        <v>73</v>
      </c>
      <c r="F5" s="160" t="s">
        <v>72</v>
      </c>
      <c r="G5" s="119" t="s">
        <v>73</v>
      </c>
      <c r="H5" s="160" t="s">
        <v>72</v>
      </c>
      <c r="I5" s="119" t="s">
        <v>72</v>
      </c>
      <c r="J5" s="160" t="s">
        <v>72</v>
      </c>
      <c r="K5" s="119" t="s">
        <v>73</v>
      </c>
      <c r="L5" s="160" t="s">
        <v>72</v>
      </c>
      <c r="M5" s="119" t="s">
        <v>73</v>
      </c>
      <c r="N5" s="160" t="s">
        <v>72</v>
      </c>
      <c r="O5" s="281" t="s">
        <v>710</v>
      </c>
      <c r="P5" s="119" t="s">
        <v>72</v>
      </c>
      <c r="Q5" s="179" t="s">
        <v>72</v>
      </c>
      <c r="R5" s="179" t="s">
        <v>73</v>
      </c>
      <c r="S5" s="119" t="s">
        <v>73</v>
      </c>
      <c r="T5" s="119" t="s">
        <v>73</v>
      </c>
      <c r="U5" s="179" t="s">
        <v>72</v>
      </c>
      <c r="V5" s="119" t="s">
        <v>73</v>
      </c>
      <c r="W5" s="160" t="s">
        <v>72</v>
      </c>
      <c r="X5" s="160" t="s">
        <v>72</v>
      </c>
      <c r="Y5" s="119" t="s">
        <v>73</v>
      </c>
      <c r="Z5" s="119"/>
      <c r="AA5" s="119"/>
      <c r="AB5" s="119"/>
      <c r="AC5" s="119"/>
    </row>
    <row r="6" spans="1:29">
      <c r="A6" s="144" t="s">
        <v>74</v>
      </c>
      <c r="B6" s="159" t="s">
        <v>75</v>
      </c>
      <c r="C6" s="160" t="s">
        <v>70</v>
      </c>
      <c r="D6" s="160" t="s">
        <v>70</v>
      </c>
      <c r="E6" s="160" t="s">
        <v>70</v>
      </c>
      <c r="F6" s="160" t="s">
        <v>70</v>
      </c>
      <c r="G6" s="160" t="s">
        <v>70</v>
      </c>
      <c r="H6" s="160" t="s">
        <v>70</v>
      </c>
      <c r="I6" s="119" t="s">
        <v>70</v>
      </c>
      <c r="J6" s="160" t="s">
        <v>70</v>
      </c>
      <c r="K6" s="160" t="s">
        <v>70</v>
      </c>
      <c r="L6" s="160" t="s">
        <v>70</v>
      </c>
      <c r="M6" s="160" t="s">
        <v>70</v>
      </c>
      <c r="N6" s="160" t="s">
        <v>70</v>
      </c>
      <c r="O6" s="160" t="s">
        <v>70</v>
      </c>
      <c r="P6" s="119" t="s">
        <v>70</v>
      </c>
      <c r="Q6" s="179" t="s">
        <v>70</v>
      </c>
      <c r="R6" s="187" t="s">
        <v>70</v>
      </c>
      <c r="S6" s="160" t="s">
        <v>70</v>
      </c>
      <c r="T6" s="160" t="s">
        <v>70</v>
      </c>
      <c r="U6" s="179" t="s">
        <v>70</v>
      </c>
      <c r="V6" s="179" t="s">
        <v>70</v>
      </c>
      <c r="W6" s="160" t="s">
        <v>70</v>
      </c>
      <c r="X6" s="160" t="s">
        <v>70</v>
      </c>
      <c r="Y6" s="160" t="s">
        <v>70</v>
      </c>
      <c r="Z6" s="119"/>
      <c r="AA6" s="119"/>
      <c r="AB6" s="119"/>
      <c r="AC6" s="119"/>
    </row>
    <row r="7" spans="1:29">
      <c r="A7" s="119" t="s">
        <v>76</v>
      </c>
      <c r="B7" s="159" t="s">
        <v>219</v>
      </c>
      <c r="C7" s="160" t="s">
        <v>70</v>
      </c>
      <c r="D7" s="160" t="s">
        <v>70</v>
      </c>
      <c r="E7" s="160" t="s">
        <v>70</v>
      </c>
      <c r="F7" s="160" t="s">
        <v>70</v>
      </c>
      <c r="G7" s="160" t="s">
        <v>70</v>
      </c>
      <c r="H7" s="160" t="s">
        <v>70</v>
      </c>
      <c r="I7" s="119" t="s">
        <v>70</v>
      </c>
      <c r="J7" s="160" t="s">
        <v>70</v>
      </c>
      <c r="K7" s="160" t="s">
        <v>70</v>
      </c>
      <c r="L7" s="160" t="s">
        <v>70</v>
      </c>
      <c r="M7" s="160" t="s">
        <v>70</v>
      </c>
      <c r="N7" s="160" t="s">
        <v>70</v>
      </c>
      <c r="O7" s="160" t="s">
        <v>70</v>
      </c>
      <c r="P7" s="119" t="s">
        <v>70</v>
      </c>
      <c r="Q7" s="179" t="s">
        <v>70</v>
      </c>
      <c r="R7" s="187" t="s">
        <v>70</v>
      </c>
      <c r="S7" s="160" t="s">
        <v>70</v>
      </c>
      <c r="T7" s="160" t="s">
        <v>775</v>
      </c>
      <c r="U7" s="179" t="s">
        <v>70</v>
      </c>
      <c r="V7" s="179" t="s">
        <v>70</v>
      </c>
      <c r="W7" s="160" t="s">
        <v>70</v>
      </c>
      <c r="X7" s="160" t="s">
        <v>70</v>
      </c>
      <c r="Y7" s="160" t="s">
        <v>70</v>
      </c>
      <c r="Z7" s="119"/>
      <c r="AA7" s="119"/>
      <c r="AB7" s="119"/>
      <c r="AC7" s="119"/>
    </row>
    <row r="8" spans="1:29" ht="34.200000000000003">
      <c r="A8" s="119" t="s">
        <v>220</v>
      </c>
      <c r="B8" s="116" t="s">
        <v>79</v>
      </c>
      <c r="C8" s="160" t="s">
        <v>70</v>
      </c>
      <c r="D8" s="160" t="s">
        <v>70</v>
      </c>
      <c r="E8" s="160" t="s">
        <v>626</v>
      </c>
      <c r="F8" s="160" t="s">
        <v>70</v>
      </c>
      <c r="G8" s="160" t="s">
        <v>70</v>
      </c>
      <c r="H8" s="160" t="s">
        <v>70</v>
      </c>
      <c r="I8" s="119" t="s">
        <v>70</v>
      </c>
      <c r="J8" s="160" t="s">
        <v>70</v>
      </c>
      <c r="K8" s="160" t="s">
        <v>70</v>
      </c>
      <c r="L8" s="116" t="s">
        <v>625</v>
      </c>
      <c r="M8" s="116" t="s">
        <v>625</v>
      </c>
      <c r="N8" s="160" t="s">
        <v>70</v>
      </c>
      <c r="O8" s="160" t="s">
        <v>70</v>
      </c>
      <c r="P8" s="119" t="s">
        <v>70</v>
      </c>
      <c r="Q8" s="179" t="s">
        <v>70</v>
      </c>
      <c r="R8" s="187" t="s">
        <v>70</v>
      </c>
      <c r="S8" s="160" t="s">
        <v>70</v>
      </c>
      <c r="T8" s="160" t="s">
        <v>626</v>
      </c>
      <c r="U8" s="144" t="s">
        <v>70</v>
      </c>
      <c r="V8" s="144" t="s">
        <v>70</v>
      </c>
      <c r="W8" s="160" t="s">
        <v>70</v>
      </c>
      <c r="X8" s="160" t="s">
        <v>70</v>
      </c>
      <c r="Y8" s="160" t="s">
        <v>70</v>
      </c>
      <c r="Z8" s="119"/>
      <c r="AA8" s="119"/>
      <c r="AB8" s="119"/>
      <c r="AC8" s="108"/>
    </row>
    <row r="9" spans="1:29" ht="22.8">
      <c r="A9" s="119" t="s">
        <v>80</v>
      </c>
      <c r="B9" s="116" t="s">
        <v>81</v>
      </c>
      <c r="C9" s="160" t="s">
        <v>82</v>
      </c>
      <c r="D9" s="160" t="s">
        <v>83</v>
      </c>
      <c r="E9" s="160" t="s">
        <v>594</v>
      </c>
      <c r="F9" s="160" t="s">
        <v>82</v>
      </c>
      <c r="G9" s="160" t="s">
        <v>82</v>
      </c>
      <c r="H9" s="160" t="s">
        <v>82</v>
      </c>
      <c r="I9" s="119" t="s">
        <v>82</v>
      </c>
      <c r="J9" s="160" t="s">
        <v>82</v>
      </c>
      <c r="K9" s="160" t="s">
        <v>84</v>
      </c>
      <c r="L9" s="160" t="s">
        <v>87</v>
      </c>
      <c r="M9" s="160" t="s">
        <v>87</v>
      </c>
      <c r="N9" s="160" t="s">
        <v>82</v>
      </c>
      <c r="O9" s="160" t="s">
        <v>82</v>
      </c>
      <c r="P9" s="119" t="s">
        <v>82</v>
      </c>
      <c r="Q9" s="180" t="s">
        <v>82</v>
      </c>
      <c r="R9" s="187" t="s">
        <v>723</v>
      </c>
      <c r="S9" s="160" t="s">
        <v>85</v>
      </c>
      <c r="T9" s="160" t="s">
        <v>594</v>
      </c>
      <c r="U9" s="180" t="s">
        <v>87</v>
      </c>
      <c r="V9" s="119" t="s">
        <v>221</v>
      </c>
      <c r="W9" s="160" t="s">
        <v>82</v>
      </c>
      <c r="X9" s="160" t="s">
        <v>82</v>
      </c>
      <c r="Y9" s="160" t="s">
        <v>83</v>
      </c>
      <c r="Z9" s="119"/>
      <c r="AA9" s="119"/>
      <c r="AB9" s="119"/>
      <c r="AC9" s="119"/>
    </row>
    <row r="10" spans="1:29" ht="34.200000000000003">
      <c r="A10" s="116" t="s">
        <v>89</v>
      </c>
      <c r="B10" s="161" t="s">
        <v>222</v>
      </c>
      <c r="C10" s="160" t="s">
        <v>70</v>
      </c>
      <c r="D10" s="160" t="s">
        <v>70</v>
      </c>
      <c r="E10" s="160" t="s">
        <v>70</v>
      </c>
      <c r="F10" s="160" t="s">
        <v>70</v>
      </c>
      <c r="G10" s="160" t="s">
        <v>70</v>
      </c>
      <c r="H10" s="160" t="s">
        <v>70</v>
      </c>
      <c r="I10" s="119" t="s">
        <v>70</v>
      </c>
      <c r="J10" s="160" t="s">
        <v>70</v>
      </c>
      <c r="K10" s="160" t="s">
        <v>70</v>
      </c>
      <c r="L10" s="266">
        <v>0.1</v>
      </c>
      <c r="M10" s="266">
        <v>0.1</v>
      </c>
      <c r="N10" s="160" t="s">
        <v>70</v>
      </c>
      <c r="O10" s="160" t="s">
        <v>70</v>
      </c>
      <c r="P10" s="119" t="s">
        <v>70</v>
      </c>
      <c r="Q10" s="179" t="s">
        <v>70</v>
      </c>
      <c r="R10" s="187" t="s">
        <v>70</v>
      </c>
      <c r="S10" s="160" t="s">
        <v>70</v>
      </c>
      <c r="T10" s="160" t="s">
        <v>70</v>
      </c>
      <c r="U10" s="144" t="s">
        <v>70</v>
      </c>
      <c r="V10" s="116" t="s">
        <v>223</v>
      </c>
      <c r="W10" s="160" t="s">
        <v>70</v>
      </c>
      <c r="X10" s="160" t="s">
        <v>70</v>
      </c>
      <c r="Y10" s="160" t="s">
        <v>70</v>
      </c>
      <c r="Z10" s="119"/>
      <c r="AA10" s="119"/>
      <c r="AB10" s="119"/>
      <c r="AC10" s="119"/>
    </row>
    <row r="11" spans="1:29" ht="22.8">
      <c r="A11" s="119" t="s">
        <v>93</v>
      </c>
      <c r="B11" s="160" t="s">
        <v>94</v>
      </c>
      <c r="C11" s="160" t="s">
        <v>70</v>
      </c>
      <c r="D11" s="160" t="s">
        <v>70</v>
      </c>
      <c r="E11" s="160" t="s">
        <v>70</v>
      </c>
      <c r="F11" s="160" t="s">
        <v>70</v>
      </c>
      <c r="G11" s="160" t="s">
        <v>70</v>
      </c>
      <c r="H11" s="160" t="s">
        <v>70</v>
      </c>
      <c r="I11" s="119" t="s">
        <v>70</v>
      </c>
      <c r="J11" s="160" t="s">
        <v>70</v>
      </c>
      <c r="K11" s="160" t="s">
        <v>70</v>
      </c>
      <c r="L11" s="160" t="s">
        <v>70</v>
      </c>
      <c r="M11" s="160" t="s">
        <v>70</v>
      </c>
      <c r="N11" s="160" t="s">
        <v>70</v>
      </c>
      <c r="O11" s="160" t="s">
        <v>70</v>
      </c>
      <c r="P11" s="119" t="s">
        <v>70</v>
      </c>
      <c r="Q11" s="179" t="s">
        <v>70</v>
      </c>
      <c r="R11" s="187" t="s">
        <v>70</v>
      </c>
      <c r="S11" s="160" t="s">
        <v>70</v>
      </c>
      <c r="T11" s="160" t="s">
        <v>70</v>
      </c>
      <c r="U11" s="179" t="s">
        <v>95</v>
      </c>
      <c r="V11" s="119" t="s">
        <v>224</v>
      </c>
      <c r="W11" s="160" t="s">
        <v>70</v>
      </c>
      <c r="X11" s="160" t="s">
        <v>70</v>
      </c>
      <c r="Y11" s="160" t="s">
        <v>70</v>
      </c>
      <c r="Z11" s="119"/>
      <c r="AA11" s="119"/>
      <c r="AB11" s="119"/>
      <c r="AC11" s="119"/>
    </row>
    <row r="12" spans="1:29" ht="45.6">
      <c r="A12" s="119" t="s">
        <v>98</v>
      </c>
      <c r="B12" s="159"/>
      <c r="C12" s="160" t="s">
        <v>225</v>
      </c>
      <c r="D12" s="119" t="s">
        <v>100</v>
      </c>
      <c r="E12" s="119" t="s">
        <v>604</v>
      </c>
      <c r="F12" s="160" t="s">
        <v>225</v>
      </c>
      <c r="G12" s="119" t="s">
        <v>101</v>
      </c>
      <c r="H12" s="160" t="s">
        <v>225</v>
      </c>
      <c r="I12" s="119" t="s">
        <v>225</v>
      </c>
      <c r="J12" s="160" t="s">
        <v>225</v>
      </c>
      <c r="K12" s="119" t="s">
        <v>101</v>
      </c>
      <c r="L12" s="160" t="s">
        <v>225</v>
      </c>
      <c r="M12" s="119" t="s">
        <v>101</v>
      </c>
      <c r="N12" s="160" t="s">
        <v>225</v>
      </c>
      <c r="O12" s="282" t="s">
        <v>713</v>
      </c>
      <c r="P12" s="119" t="s">
        <v>225</v>
      </c>
      <c r="Q12" s="179" t="s">
        <v>225</v>
      </c>
      <c r="R12" s="187" t="s">
        <v>726</v>
      </c>
      <c r="S12" s="164" t="s">
        <v>574</v>
      </c>
      <c r="T12" s="119" t="s">
        <v>774</v>
      </c>
      <c r="U12" s="179" t="s">
        <v>226</v>
      </c>
      <c r="V12" s="119" t="s">
        <v>104</v>
      </c>
      <c r="W12" s="160" t="s">
        <v>225</v>
      </c>
      <c r="X12" s="160" t="s">
        <v>225</v>
      </c>
      <c r="Y12" s="119" t="s">
        <v>100</v>
      </c>
      <c r="Z12" s="119"/>
      <c r="AA12" s="119"/>
      <c r="AB12" s="119"/>
      <c r="AC12" s="119"/>
    </row>
    <row r="13" spans="1:29" ht="22.8">
      <c r="A13" s="119" t="s">
        <v>105</v>
      </c>
      <c r="B13" s="162" t="s">
        <v>227</v>
      </c>
      <c r="C13" s="162" t="s">
        <v>228</v>
      </c>
      <c r="D13" s="162" t="s">
        <v>228</v>
      </c>
      <c r="E13" s="162" t="s">
        <v>228</v>
      </c>
      <c r="F13" s="162" t="s">
        <v>229</v>
      </c>
      <c r="G13" s="162" t="s">
        <v>229</v>
      </c>
      <c r="H13" s="162" t="s">
        <v>228</v>
      </c>
      <c r="I13" s="119" t="s">
        <v>228</v>
      </c>
      <c r="J13" s="162" t="s">
        <v>228</v>
      </c>
      <c r="K13" s="162" t="s">
        <v>228</v>
      </c>
      <c r="L13" s="267" t="s">
        <v>645</v>
      </c>
      <c r="M13" s="267" t="s">
        <v>645</v>
      </c>
      <c r="N13" s="162" t="s">
        <v>228</v>
      </c>
      <c r="O13" s="162" t="s">
        <v>228</v>
      </c>
      <c r="P13" s="119" t="s">
        <v>228</v>
      </c>
      <c r="Q13" s="179" t="s">
        <v>228</v>
      </c>
      <c r="R13" s="192" t="s">
        <v>228</v>
      </c>
      <c r="S13" s="162" t="s">
        <v>228</v>
      </c>
      <c r="T13" s="162" t="s">
        <v>228</v>
      </c>
      <c r="U13" s="180" t="s">
        <v>230</v>
      </c>
      <c r="V13" s="119" t="s">
        <v>231</v>
      </c>
      <c r="W13" s="162" t="s">
        <v>228</v>
      </c>
      <c r="X13" s="162" t="s">
        <v>228</v>
      </c>
      <c r="Y13" s="162" t="s">
        <v>228</v>
      </c>
      <c r="Z13" s="119"/>
      <c r="AA13" s="119"/>
      <c r="AB13" s="119"/>
      <c r="AC13" s="119"/>
    </row>
    <row r="14" spans="1:29" ht="22.8">
      <c r="A14" s="119" t="s">
        <v>232</v>
      </c>
      <c r="B14" s="159"/>
      <c r="C14" s="162" t="s">
        <v>233</v>
      </c>
      <c r="D14" s="162" t="s">
        <v>233</v>
      </c>
      <c r="E14" s="162" t="s">
        <v>605</v>
      </c>
      <c r="F14" s="162" t="s">
        <v>234</v>
      </c>
      <c r="G14" s="162" t="s">
        <v>234</v>
      </c>
      <c r="H14" s="162" t="s">
        <v>235</v>
      </c>
      <c r="I14" s="119" t="s">
        <v>235</v>
      </c>
      <c r="J14" s="162" t="s">
        <v>234</v>
      </c>
      <c r="K14" s="162" t="s">
        <v>234</v>
      </c>
      <c r="L14" s="162" t="s">
        <v>646</v>
      </c>
      <c r="M14" s="162" t="s">
        <v>646</v>
      </c>
      <c r="N14" s="162" t="s">
        <v>236</v>
      </c>
      <c r="O14" s="305" t="s">
        <v>127</v>
      </c>
      <c r="P14" s="119" t="s">
        <v>235</v>
      </c>
      <c r="Q14" s="179" t="s">
        <v>234</v>
      </c>
      <c r="R14" s="179" t="s">
        <v>234</v>
      </c>
      <c r="S14" s="162" t="s">
        <v>235</v>
      </c>
      <c r="T14" s="162" t="s">
        <v>605</v>
      </c>
      <c r="U14" s="179" t="s">
        <v>234</v>
      </c>
      <c r="V14" s="119" t="s">
        <v>237</v>
      </c>
      <c r="W14" s="162" t="s">
        <v>585</v>
      </c>
      <c r="X14" s="119" t="s">
        <v>237</v>
      </c>
      <c r="Y14" s="119" t="s">
        <v>237</v>
      </c>
      <c r="Z14" s="119"/>
      <c r="AA14" s="119"/>
      <c r="AB14" s="119"/>
      <c r="AC14" s="119"/>
    </row>
    <row r="15" spans="1:29">
      <c r="A15" s="119" t="s">
        <v>132</v>
      </c>
      <c r="B15" s="159"/>
      <c r="C15" s="162" t="s">
        <v>127</v>
      </c>
      <c r="D15" s="162" t="s">
        <v>127</v>
      </c>
      <c r="E15" s="162" t="s">
        <v>127</v>
      </c>
      <c r="F15" s="162" t="s">
        <v>238</v>
      </c>
      <c r="G15" s="162" t="s">
        <v>238</v>
      </c>
      <c r="H15" s="162" t="s">
        <v>127</v>
      </c>
      <c r="I15" s="119" t="s">
        <v>127</v>
      </c>
      <c r="J15" s="162" t="s">
        <v>127</v>
      </c>
      <c r="K15" s="162" t="s">
        <v>127</v>
      </c>
      <c r="L15" s="268" t="s">
        <v>647</v>
      </c>
      <c r="M15" s="268" t="s">
        <v>647</v>
      </c>
      <c r="N15" s="162" t="s">
        <v>127</v>
      </c>
      <c r="O15" s="162" t="s">
        <v>127</v>
      </c>
      <c r="P15" s="119" t="s">
        <v>127</v>
      </c>
      <c r="Q15" s="179" t="s">
        <v>127</v>
      </c>
      <c r="R15" s="192" t="s">
        <v>127</v>
      </c>
      <c r="S15" s="162" t="s">
        <v>127</v>
      </c>
      <c r="T15" s="162" t="s">
        <v>127</v>
      </c>
      <c r="U15" s="179" t="s">
        <v>239</v>
      </c>
      <c r="V15" s="119" t="s">
        <v>238</v>
      </c>
      <c r="W15" s="162" t="s">
        <v>127</v>
      </c>
      <c r="X15" s="162" t="s">
        <v>127</v>
      </c>
      <c r="Y15" s="162" t="s">
        <v>127</v>
      </c>
      <c r="Z15" s="119"/>
      <c r="AA15" s="119"/>
      <c r="AB15" s="119"/>
      <c r="AC15" s="119"/>
    </row>
    <row r="16" spans="1:29">
      <c r="A16" s="119" t="s">
        <v>136</v>
      </c>
      <c r="B16" s="159"/>
      <c r="C16" s="162" t="s">
        <v>240</v>
      </c>
      <c r="D16" s="162" t="s">
        <v>240</v>
      </c>
      <c r="E16" s="162" t="s">
        <v>606</v>
      </c>
      <c r="F16" s="162" t="s">
        <v>241</v>
      </c>
      <c r="G16" s="162" t="s">
        <v>241</v>
      </c>
      <c r="H16" s="162" t="s">
        <v>242</v>
      </c>
      <c r="I16" s="119" t="s">
        <v>242</v>
      </c>
      <c r="J16" s="162" t="s">
        <v>243</v>
      </c>
      <c r="K16" s="162" t="s">
        <v>243</v>
      </c>
      <c r="L16" s="269" t="s">
        <v>648</v>
      </c>
      <c r="M16" s="269" t="s">
        <v>649</v>
      </c>
      <c r="N16" s="162" t="s">
        <v>244</v>
      </c>
      <c r="O16" s="162" t="s">
        <v>244</v>
      </c>
      <c r="P16" s="119" t="s">
        <v>242</v>
      </c>
      <c r="Q16" s="179" t="s">
        <v>241</v>
      </c>
      <c r="R16" s="179" t="s">
        <v>241</v>
      </c>
      <c r="S16" s="162" t="s">
        <v>242</v>
      </c>
      <c r="T16" s="162" t="s">
        <v>606</v>
      </c>
      <c r="U16" s="179" t="s">
        <v>245</v>
      </c>
      <c r="V16" s="119" t="s">
        <v>246</v>
      </c>
      <c r="W16" s="162" t="s">
        <v>586</v>
      </c>
      <c r="X16" s="119" t="s">
        <v>246</v>
      </c>
      <c r="Y16" s="119" t="s">
        <v>246</v>
      </c>
      <c r="Z16" s="119"/>
      <c r="AA16" s="119"/>
      <c r="AB16" s="119"/>
      <c r="AC16" s="119"/>
    </row>
    <row r="17" spans="1:29" ht="22.8">
      <c r="A17" s="119" t="s">
        <v>141</v>
      </c>
      <c r="B17" s="116" t="s">
        <v>142</v>
      </c>
      <c r="C17" s="160" t="s">
        <v>70</v>
      </c>
      <c r="D17" s="160" t="s">
        <v>70</v>
      </c>
      <c r="E17" s="160" t="s">
        <v>627</v>
      </c>
      <c r="F17" s="160" t="s">
        <v>70</v>
      </c>
      <c r="G17" s="160" t="s">
        <v>70</v>
      </c>
      <c r="H17" s="160" t="s">
        <v>70</v>
      </c>
      <c r="I17" s="119" t="s">
        <v>70</v>
      </c>
      <c r="J17" s="160" t="s">
        <v>70</v>
      </c>
      <c r="K17" s="160" t="s">
        <v>70</v>
      </c>
      <c r="L17" s="160" t="s">
        <v>627</v>
      </c>
      <c r="M17" s="160" t="s">
        <v>627</v>
      </c>
      <c r="N17" s="160" t="s">
        <v>70</v>
      </c>
      <c r="O17" s="160" t="s">
        <v>70</v>
      </c>
      <c r="P17" s="119" t="s">
        <v>70</v>
      </c>
      <c r="Q17" s="179" t="s">
        <v>70</v>
      </c>
      <c r="R17" s="187" t="s">
        <v>70</v>
      </c>
      <c r="S17" s="160" t="s">
        <v>70</v>
      </c>
      <c r="T17" s="160" t="s">
        <v>627</v>
      </c>
      <c r="U17" s="179" t="s">
        <v>70</v>
      </c>
      <c r="V17" s="179" t="s">
        <v>70</v>
      </c>
      <c r="W17" s="160" t="s">
        <v>70</v>
      </c>
      <c r="X17" s="160" t="s">
        <v>70</v>
      </c>
      <c r="Y17" s="160" t="s">
        <v>70</v>
      </c>
      <c r="Z17" s="119"/>
      <c r="AA17" s="119"/>
      <c r="AB17" s="119"/>
      <c r="AC17" s="108"/>
    </row>
    <row r="18" spans="1:29" ht="68.400000000000006">
      <c r="A18" s="119" t="s">
        <v>143</v>
      </c>
      <c r="B18" s="142" t="s">
        <v>144</v>
      </c>
      <c r="C18" s="160" t="s">
        <v>247</v>
      </c>
      <c r="D18" s="160" t="s">
        <v>247</v>
      </c>
      <c r="E18" s="160" t="s">
        <v>587</v>
      </c>
      <c r="F18" s="164" t="s">
        <v>248</v>
      </c>
      <c r="G18" s="164" t="s">
        <v>249</v>
      </c>
      <c r="H18" s="160" t="s">
        <v>250</v>
      </c>
      <c r="I18" s="116" t="s">
        <v>250</v>
      </c>
      <c r="J18" s="160" t="s">
        <v>251</v>
      </c>
      <c r="K18" s="160" t="s">
        <v>252</v>
      </c>
      <c r="L18" s="160" t="s">
        <v>650</v>
      </c>
      <c r="M18" s="160" t="s">
        <v>650</v>
      </c>
      <c r="N18" s="164" t="s">
        <v>253</v>
      </c>
      <c r="O18" s="164" t="s">
        <v>253</v>
      </c>
      <c r="P18" s="116" t="s">
        <v>250</v>
      </c>
      <c r="Q18" s="180" t="s">
        <v>248</v>
      </c>
      <c r="R18" s="180" t="s">
        <v>248</v>
      </c>
      <c r="S18" s="118" t="s">
        <v>254</v>
      </c>
      <c r="T18" s="160" t="s">
        <v>587</v>
      </c>
      <c r="U18" s="164" t="s">
        <v>255</v>
      </c>
      <c r="V18" s="160" t="s">
        <v>150</v>
      </c>
      <c r="W18" s="160" t="s">
        <v>587</v>
      </c>
      <c r="X18" s="160" t="s">
        <v>753</v>
      </c>
      <c r="Y18" s="160" t="s">
        <v>753</v>
      </c>
      <c r="Z18" s="119"/>
      <c r="AA18" s="119"/>
      <c r="AB18" s="119"/>
      <c r="AC18" s="119"/>
    </row>
    <row r="19" spans="1:29" ht="60" customHeight="1">
      <c r="A19" s="122" t="s">
        <v>172</v>
      </c>
      <c r="B19" s="122" t="s">
        <v>173</v>
      </c>
      <c r="C19" s="164" t="s">
        <v>256</v>
      </c>
      <c r="D19" s="164" t="s">
        <v>257</v>
      </c>
      <c r="E19" s="164" t="s">
        <v>607</v>
      </c>
      <c r="F19" s="164" t="s">
        <v>258</v>
      </c>
      <c r="G19" s="164" t="s">
        <v>258</v>
      </c>
      <c r="H19" s="164" t="s">
        <v>259</v>
      </c>
      <c r="I19" s="116" t="s">
        <v>260</v>
      </c>
      <c r="J19" s="164" t="s">
        <v>261</v>
      </c>
      <c r="K19" s="164" t="s">
        <v>261</v>
      </c>
      <c r="L19" s="164" t="s">
        <v>697</v>
      </c>
      <c r="M19" s="164" t="s">
        <v>697</v>
      </c>
      <c r="N19" s="164" t="s">
        <v>259</v>
      </c>
      <c r="O19" s="164" t="s">
        <v>259</v>
      </c>
      <c r="P19" s="116" t="s">
        <v>262</v>
      </c>
      <c r="Q19" s="180" t="s">
        <v>738</v>
      </c>
      <c r="R19" s="187" t="s">
        <v>727</v>
      </c>
      <c r="S19" s="164" t="s">
        <v>263</v>
      </c>
      <c r="T19" s="164" t="s">
        <v>776</v>
      </c>
      <c r="U19" s="180" t="s">
        <v>264</v>
      </c>
      <c r="V19" s="180" t="s">
        <v>265</v>
      </c>
      <c r="W19" s="164" t="s">
        <v>588</v>
      </c>
      <c r="X19" s="164" t="s">
        <v>754</v>
      </c>
      <c r="Y19" s="164" t="s">
        <v>754</v>
      </c>
      <c r="Z19" s="119"/>
      <c r="AA19" s="119"/>
      <c r="AB19" s="119"/>
      <c r="AC19" s="119"/>
    </row>
    <row r="20" spans="1:29" ht="71.25" customHeight="1">
      <c r="A20" s="122" t="s">
        <v>183</v>
      </c>
      <c r="B20" s="122" t="s">
        <v>184</v>
      </c>
      <c r="C20" s="164" t="s">
        <v>530</v>
      </c>
      <c r="D20" s="164" t="s">
        <v>530</v>
      </c>
      <c r="E20" s="164" t="s">
        <v>608</v>
      </c>
      <c r="F20" s="160" t="s">
        <v>266</v>
      </c>
      <c r="G20" s="160" t="s">
        <v>266</v>
      </c>
      <c r="H20" s="164" t="s">
        <v>267</v>
      </c>
      <c r="I20" s="116" t="s">
        <v>268</v>
      </c>
      <c r="J20" s="164" t="s">
        <v>269</v>
      </c>
      <c r="K20" s="164" t="s">
        <v>269</v>
      </c>
      <c r="L20" s="164" t="s">
        <v>269</v>
      </c>
      <c r="M20" s="164" t="s">
        <v>269</v>
      </c>
      <c r="N20" s="160" t="s">
        <v>270</v>
      </c>
      <c r="O20" s="160" t="s">
        <v>270</v>
      </c>
      <c r="P20" s="116" t="s">
        <v>268</v>
      </c>
      <c r="Q20" s="180" t="s">
        <v>269</v>
      </c>
      <c r="R20" s="180" t="s">
        <v>269</v>
      </c>
      <c r="S20" s="164" t="s">
        <v>267</v>
      </c>
      <c r="T20" s="164" t="s">
        <v>608</v>
      </c>
      <c r="U20" s="180" t="s">
        <v>271</v>
      </c>
      <c r="V20" s="160" t="s">
        <v>272</v>
      </c>
      <c r="W20" s="164" t="s">
        <v>589</v>
      </c>
      <c r="X20" s="116" t="s">
        <v>755</v>
      </c>
      <c r="Y20" s="116" t="s">
        <v>755</v>
      </c>
      <c r="Z20" s="119"/>
      <c r="AA20" s="119"/>
      <c r="AB20" s="119"/>
      <c r="AC20" s="119"/>
    </row>
    <row r="21" spans="1:29" ht="15.75" customHeight="1">
      <c r="A21" s="175" t="s">
        <v>163</v>
      </c>
      <c r="B21" s="165">
        <v>1</v>
      </c>
      <c r="C21" s="160" t="s">
        <v>70</v>
      </c>
      <c r="D21" s="160" t="s">
        <v>70</v>
      </c>
      <c r="E21" s="160" t="s">
        <v>70</v>
      </c>
      <c r="F21" s="160" t="s">
        <v>70</v>
      </c>
      <c r="G21" s="160" t="s">
        <v>70</v>
      </c>
      <c r="H21" s="160" t="s">
        <v>70</v>
      </c>
      <c r="I21" s="119" t="s">
        <v>70</v>
      </c>
      <c r="J21" s="160" t="s">
        <v>70</v>
      </c>
      <c r="K21" s="160" t="s">
        <v>70</v>
      </c>
      <c r="L21" s="160" t="s">
        <v>70</v>
      </c>
      <c r="M21" s="160" t="s">
        <v>70</v>
      </c>
      <c r="N21" s="160" t="s">
        <v>70</v>
      </c>
      <c r="O21" s="160" t="s">
        <v>70</v>
      </c>
      <c r="P21" s="119" t="s">
        <v>70</v>
      </c>
      <c r="Q21" s="179" t="s">
        <v>70</v>
      </c>
      <c r="R21" s="187" t="s">
        <v>70</v>
      </c>
      <c r="S21" s="160" t="s">
        <v>70</v>
      </c>
      <c r="T21" s="160" t="s">
        <v>70</v>
      </c>
      <c r="U21" s="144" t="s">
        <v>70</v>
      </c>
      <c r="V21" s="144" t="s">
        <v>70</v>
      </c>
      <c r="W21" s="160" t="s">
        <v>70</v>
      </c>
      <c r="X21" s="160" t="s">
        <v>70</v>
      </c>
      <c r="Y21" s="160" t="s">
        <v>70</v>
      </c>
      <c r="Z21" s="119"/>
      <c r="AA21" s="119"/>
      <c r="AB21" s="119"/>
      <c r="AC21" s="119"/>
    </row>
    <row r="22" spans="1:29" ht="27" customHeight="1">
      <c r="A22" s="175" t="s">
        <v>273</v>
      </c>
      <c r="B22" s="122"/>
      <c r="C22" s="164" t="s">
        <v>274</v>
      </c>
      <c r="D22" s="164" t="s">
        <v>274</v>
      </c>
      <c r="E22" s="164" t="s">
        <v>600</v>
      </c>
      <c r="F22" s="164" t="s">
        <v>275</v>
      </c>
      <c r="G22" s="164" t="s">
        <v>275</v>
      </c>
      <c r="H22" s="164" t="s">
        <v>274</v>
      </c>
      <c r="I22" s="119" t="s">
        <v>275</v>
      </c>
      <c r="J22" s="164" t="s">
        <v>274</v>
      </c>
      <c r="K22" s="164" t="s">
        <v>274</v>
      </c>
      <c r="L22" s="119" t="s">
        <v>642</v>
      </c>
      <c r="M22" s="119" t="s">
        <v>651</v>
      </c>
      <c r="N22" s="164" t="s">
        <v>274</v>
      </c>
      <c r="O22" s="164" t="s">
        <v>274</v>
      </c>
      <c r="P22" s="164" t="s">
        <v>274</v>
      </c>
      <c r="Q22" s="180" t="s">
        <v>274</v>
      </c>
      <c r="R22" s="306" t="s">
        <v>170</v>
      </c>
      <c r="S22" s="200" t="s">
        <v>170</v>
      </c>
      <c r="T22" s="164" t="s">
        <v>600</v>
      </c>
      <c r="U22" s="181" t="s">
        <v>276</v>
      </c>
      <c r="V22" s="116" t="s">
        <v>277</v>
      </c>
      <c r="W22" s="164" t="s">
        <v>274</v>
      </c>
      <c r="X22" s="164" t="s">
        <v>274</v>
      </c>
      <c r="Y22" s="164" t="s">
        <v>274</v>
      </c>
      <c r="Z22" s="119"/>
      <c r="AA22" s="119"/>
      <c r="AB22" s="119"/>
      <c r="AC22" s="119"/>
    </row>
    <row r="23" spans="1:29">
      <c r="A23" s="119" t="s">
        <v>188</v>
      </c>
      <c r="B23" s="159" t="s">
        <v>189</v>
      </c>
      <c r="C23" s="160" t="s">
        <v>70</v>
      </c>
      <c r="D23" s="160" t="s">
        <v>70</v>
      </c>
      <c r="E23" s="160" t="s">
        <v>70</v>
      </c>
      <c r="F23" s="160" t="s">
        <v>70</v>
      </c>
      <c r="G23" s="160" t="s">
        <v>70</v>
      </c>
      <c r="H23" s="160" t="s">
        <v>70</v>
      </c>
      <c r="I23" s="119" t="s">
        <v>70</v>
      </c>
      <c r="J23" s="160" t="s">
        <v>70</v>
      </c>
      <c r="K23" s="160" t="s">
        <v>70</v>
      </c>
      <c r="L23" s="160" t="s">
        <v>70</v>
      </c>
      <c r="M23" s="160" t="s">
        <v>70</v>
      </c>
      <c r="N23" s="160" t="s">
        <v>70</v>
      </c>
      <c r="O23" s="160" t="s">
        <v>70</v>
      </c>
      <c r="P23" s="119" t="s">
        <v>70</v>
      </c>
      <c r="Q23" s="179" t="s">
        <v>70</v>
      </c>
      <c r="R23" s="187" t="s">
        <v>70</v>
      </c>
      <c r="S23" s="160" t="s">
        <v>70</v>
      </c>
      <c r="T23" s="160" t="s">
        <v>70</v>
      </c>
      <c r="U23" s="179" t="s">
        <v>70</v>
      </c>
      <c r="V23" s="179" t="s">
        <v>70</v>
      </c>
      <c r="W23" s="160" t="s">
        <v>70</v>
      </c>
      <c r="X23" s="160" t="s">
        <v>70</v>
      </c>
      <c r="Y23" s="160" t="s">
        <v>70</v>
      </c>
      <c r="Z23" s="119"/>
      <c r="AA23" s="119"/>
      <c r="AB23" s="119"/>
      <c r="AC23" s="119"/>
    </row>
    <row r="24" spans="1:29">
      <c r="A24" s="119" t="s">
        <v>190</v>
      </c>
      <c r="B24" s="159" t="s">
        <v>191</v>
      </c>
      <c r="C24" s="160" t="s">
        <v>70</v>
      </c>
      <c r="D24" s="160" t="s">
        <v>70</v>
      </c>
      <c r="E24" s="160" t="s">
        <v>70</v>
      </c>
      <c r="F24" s="160" t="s">
        <v>70</v>
      </c>
      <c r="G24" s="160" t="s">
        <v>70</v>
      </c>
      <c r="H24" s="160" t="s">
        <v>70</v>
      </c>
      <c r="I24" s="119" t="s">
        <v>70</v>
      </c>
      <c r="J24" s="160" t="s">
        <v>70</v>
      </c>
      <c r="K24" s="160" t="s">
        <v>70</v>
      </c>
      <c r="L24" s="160" t="s">
        <v>70</v>
      </c>
      <c r="M24" s="160" t="s">
        <v>70</v>
      </c>
      <c r="N24" s="160" t="s">
        <v>70</v>
      </c>
      <c r="O24" s="160" t="s">
        <v>70</v>
      </c>
      <c r="P24" s="119" t="s">
        <v>70</v>
      </c>
      <c r="Q24" s="179" t="s">
        <v>70</v>
      </c>
      <c r="R24" s="187" t="s">
        <v>70</v>
      </c>
      <c r="S24" s="160" t="s">
        <v>70</v>
      </c>
      <c r="T24" s="160" t="s">
        <v>70</v>
      </c>
      <c r="U24" s="144" t="s">
        <v>192</v>
      </c>
      <c r="V24" s="160" t="s">
        <v>70</v>
      </c>
      <c r="W24" s="160" t="s">
        <v>70</v>
      </c>
      <c r="X24" s="160" t="s">
        <v>70</v>
      </c>
      <c r="Y24" s="160" t="s">
        <v>70</v>
      </c>
      <c r="Z24" s="119"/>
      <c r="AA24" s="119"/>
      <c r="AB24" s="119"/>
      <c r="AC24" s="119"/>
    </row>
    <row r="25" spans="1:29">
      <c r="A25" s="119" t="s">
        <v>193</v>
      </c>
      <c r="B25" s="159"/>
      <c r="C25" s="160" t="s">
        <v>194</v>
      </c>
      <c r="D25" s="160" t="s">
        <v>194</v>
      </c>
      <c r="E25" s="160" t="s">
        <v>194</v>
      </c>
      <c r="F25" s="160" t="s">
        <v>194</v>
      </c>
      <c r="G25" s="160" t="s">
        <v>194</v>
      </c>
      <c r="H25" s="160" t="s">
        <v>194</v>
      </c>
      <c r="I25" s="119" t="s">
        <v>194</v>
      </c>
      <c r="J25" s="160" t="s">
        <v>194</v>
      </c>
      <c r="K25" s="160" t="s">
        <v>194</v>
      </c>
      <c r="L25" s="160" t="s">
        <v>194</v>
      </c>
      <c r="M25" s="160" t="s">
        <v>194</v>
      </c>
      <c r="N25" s="216" t="s">
        <v>195</v>
      </c>
      <c r="O25" s="280" t="s">
        <v>712</v>
      </c>
      <c r="P25" s="119" t="s">
        <v>194</v>
      </c>
      <c r="Q25" s="179" t="s">
        <v>194</v>
      </c>
      <c r="R25" s="187" t="s">
        <v>194</v>
      </c>
      <c r="S25" s="160" t="s">
        <v>194</v>
      </c>
      <c r="T25" s="160" t="s">
        <v>194</v>
      </c>
      <c r="U25" s="179" t="s">
        <v>194</v>
      </c>
      <c r="V25" s="119" t="s">
        <v>194</v>
      </c>
      <c r="W25" s="160" t="s">
        <v>194</v>
      </c>
      <c r="X25" s="160" t="s">
        <v>194</v>
      </c>
      <c r="Y25" s="160" t="s">
        <v>194</v>
      </c>
      <c r="Z25" s="119"/>
      <c r="AA25" s="119"/>
      <c r="AB25" s="119"/>
      <c r="AC25" s="119"/>
    </row>
    <row r="26" spans="1:29">
      <c r="A26" s="119" t="s">
        <v>278</v>
      </c>
      <c r="B26" s="159"/>
      <c r="C26" s="164" t="s">
        <v>279</v>
      </c>
      <c r="D26" s="164" t="s">
        <v>279</v>
      </c>
      <c r="E26" s="164" t="s">
        <v>279</v>
      </c>
      <c r="F26" s="323" t="s">
        <v>803</v>
      </c>
      <c r="G26" s="323" t="s">
        <v>803</v>
      </c>
      <c r="H26" s="164" t="s">
        <v>280</v>
      </c>
      <c r="I26" s="119" t="s">
        <v>280</v>
      </c>
      <c r="J26" s="164" t="s">
        <v>281</v>
      </c>
      <c r="K26" s="164" t="s">
        <v>281</v>
      </c>
      <c r="L26" s="164" t="s">
        <v>281</v>
      </c>
      <c r="M26" s="164" t="s">
        <v>281</v>
      </c>
      <c r="N26" s="164" t="s">
        <v>280</v>
      </c>
      <c r="O26" s="164" t="s">
        <v>280</v>
      </c>
      <c r="P26" s="119" t="s">
        <v>282</v>
      </c>
      <c r="Q26" s="179" t="s">
        <v>279</v>
      </c>
      <c r="R26" s="187" t="s">
        <v>728</v>
      </c>
      <c r="S26" s="164" t="s">
        <v>281</v>
      </c>
      <c r="T26" s="164" t="s">
        <v>765</v>
      </c>
      <c r="U26" s="144" t="s">
        <v>283</v>
      </c>
      <c r="V26" s="119" t="s">
        <v>284</v>
      </c>
      <c r="W26" s="164" t="s">
        <v>590</v>
      </c>
      <c r="X26" s="164" t="s">
        <v>281</v>
      </c>
      <c r="Y26" s="164" t="s">
        <v>281</v>
      </c>
      <c r="Z26" s="119"/>
      <c r="AA26" s="119"/>
      <c r="AB26" s="119"/>
      <c r="AC26" s="119"/>
    </row>
    <row r="27" spans="1:29" ht="45.6">
      <c r="A27" s="119" t="s">
        <v>285</v>
      </c>
      <c r="B27" s="119"/>
      <c r="C27" s="116" t="s">
        <v>286</v>
      </c>
      <c r="D27" s="116" t="s">
        <v>286</v>
      </c>
      <c r="E27" s="116" t="s">
        <v>609</v>
      </c>
      <c r="F27" s="322" t="s">
        <v>802</v>
      </c>
      <c r="G27" s="322" t="s">
        <v>802</v>
      </c>
      <c r="H27" s="116" t="s">
        <v>286</v>
      </c>
      <c r="I27" s="119" t="s">
        <v>287</v>
      </c>
      <c r="J27" s="116" t="s">
        <v>288</v>
      </c>
      <c r="K27" s="116" t="s">
        <v>288</v>
      </c>
      <c r="L27" s="142" t="s">
        <v>290</v>
      </c>
      <c r="M27" s="142" t="s">
        <v>290</v>
      </c>
      <c r="N27" s="116" t="s">
        <v>289</v>
      </c>
      <c r="O27" s="116" t="s">
        <v>289</v>
      </c>
      <c r="P27" s="119" t="s">
        <v>287</v>
      </c>
      <c r="Q27" s="179" t="s">
        <v>127</v>
      </c>
      <c r="R27" s="306" t="s">
        <v>170</v>
      </c>
      <c r="S27" s="200" t="s">
        <v>170</v>
      </c>
      <c r="T27" s="179" t="s">
        <v>127</v>
      </c>
      <c r="U27" s="144" t="s">
        <v>170</v>
      </c>
      <c r="V27" s="119" t="s">
        <v>170</v>
      </c>
      <c r="W27" s="164" t="s">
        <v>590</v>
      </c>
      <c r="X27" s="119" t="s">
        <v>170</v>
      </c>
      <c r="Y27" s="119" t="s">
        <v>170</v>
      </c>
      <c r="Z27" s="119"/>
      <c r="AA27" s="119"/>
      <c r="AB27" s="119"/>
      <c r="AC27" s="119"/>
    </row>
    <row r="28" spans="1:29">
      <c r="C28" s="176"/>
      <c r="D28" s="177"/>
      <c r="E28" s="177"/>
      <c r="F28" s="176"/>
      <c r="G28" s="177"/>
      <c r="H28" s="119"/>
      <c r="I28" s="119"/>
      <c r="J28" s="176"/>
      <c r="K28" s="177"/>
      <c r="L28" s="119"/>
      <c r="M28" s="119"/>
      <c r="N28" s="119"/>
      <c r="O28" s="119"/>
      <c r="P28" s="119"/>
      <c r="Q28" s="179"/>
      <c r="R28" s="179"/>
      <c r="S28" s="119"/>
      <c r="T28" s="177"/>
      <c r="U28" s="179"/>
      <c r="V28" s="119"/>
      <c r="W28" s="176"/>
      <c r="X28" s="176"/>
      <c r="Y28" s="177"/>
      <c r="Z28" s="119"/>
      <c r="AA28" s="119"/>
      <c r="AB28" s="119"/>
      <c r="AC28" s="119"/>
    </row>
    <row r="29" spans="1:29">
      <c r="A29" s="158" t="s">
        <v>196</v>
      </c>
      <c r="B29" s="166" t="s">
        <v>197</v>
      </c>
      <c r="C29" s="160"/>
      <c r="D29" s="119"/>
      <c r="E29" s="119"/>
      <c r="F29" s="160"/>
      <c r="G29" s="119"/>
      <c r="H29" s="119"/>
      <c r="I29" s="119"/>
      <c r="J29" s="160"/>
      <c r="K29" s="119"/>
      <c r="L29" s="119"/>
      <c r="M29" s="119"/>
      <c r="N29" s="119"/>
      <c r="O29" s="119"/>
      <c r="P29" s="119"/>
      <c r="Q29" s="179"/>
      <c r="R29" s="179"/>
      <c r="S29" s="119"/>
      <c r="T29" s="119"/>
      <c r="U29" s="179"/>
      <c r="V29" s="119"/>
      <c r="W29" s="160"/>
      <c r="X29" s="160"/>
      <c r="Y29" s="119"/>
      <c r="Z29" s="119"/>
      <c r="AA29" s="119"/>
      <c r="AB29" s="119"/>
      <c r="AC29" s="119"/>
    </row>
    <row r="30" spans="1:29" s="124" customFormat="1">
      <c r="A30" s="122" t="s">
        <v>198</v>
      </c>
      <c r="B30" s="165" t="s">
        <v>199</v>
      </c>
      <c r="C30" s="165" t="s">
        <v>70</v>
      </c>
      <c r="D30" s="165" t="s">
        <v>70</v>
      </c>
      <c r="E30" s="165" t="s">
        <v>70</v>
      </c>
      <c r="F30" s="165" t="s">
        <v>70</v>
      </c>
      <c r="G30" s="165" t="s">
        <v>70</v>
      </c>
      <c r="H30" s="165" t="s">
        <v>70</v>
      </c>
      <c r="I30" s="144" t="s">
        <v>70</v>
      </c>
      <c r="J30" s="165" t="s">
        <v>70</v>
      </c>
      <c r="K30" s="165" t="s">
        <v>70</v>
      </c>
      <c r="L30" s="170" t="s">
        <v>70</v>
      </c>
      <c r="M30" s="170" t="s">
        <v>70</v>
      </c>
      <c r="N30" s="165" t="s">
        <v>70</v>
      </c>
      <c r="O30" s="165" t="s">
        <v>70</v>
      </c>
      <c r="P30" s="165" t="s">
        <v>70</v>
      </c>
      <c r="Q30" s="179" t="s">
        <v>70</v>
      </c>
      <c r="R30" s="183" t="s">
        <v>70</v>
      </c>
      <c r="S30" s="165" t="s">
        <v>70</v>
      </c>
      <c r="T30" s="165" t="s">
        <v>70</v>
      </c>
      <c r="U30" s="179" t="s">
        <v>70</v>
      </c>
      <c r="V30" s="179" t="s">
        <v>70</v>
      </c>
      <c r="W30" s="165" t="s">
        <v>70</v>
      </c>
      <c r="X30" s="165" t="s">
        <v>70</v>
      </c>
      <c r="Y30" s="165" t="s">
        <v>70</v>
      </c>
      <c r="Z30" s="144"/>
      <c r="AA30" s="144"/>
      <c r="AB30" s="144"/>
      <c r="AC30" s="144"/>
    </row>
    <row r="31" spans="1:29" s="124" customFormat="1">
      <c r="A31" s="122" t="s">
        <v>200</v>
      </c>
      <c r="B31" s="164" t="s">
        <v>201</v>
      </c>
      <c r="C31" s="164" t="s">
        <v>201</v>
      </c>
      <c r="D31" s="164" t="s">
        <v>201</v>
      </c>
      <c r="E31" s="164" t="s">
        <v>201</v>
      </c>
      <c r="F31" s="164" t="s">
        <v>202</v>
      </c>
      <c r="G31" s="164" t="s">
        <v>202</v>
      </c>
      <c r="H31" s="165" t="s">
        <v>70</v>
      </c>
      <c r="I31" s="144" t="s">
        <v>201</v>
      </c>
      <c r="J31" s="164" t="s">
        <v>202</v>
      </c>
      <c r="K31" s="164" t="s">
        <v>202</v>
      </c>
      <c r="L31" s="164" t="s">
        <v>202</v>
      </c>
      <c r="M31" s="164" t="s">
        <v>202</v>
      </c>
      <c r="N31" s="164" t="s">
        <v>203</v>
      </c>
      <c r="O31" s="164" t="s">
        <v>203</v>
      </c>
      <c r="P31" s="164" t="s">
        <v>202</v>
      </c>
      <c r="Q31" s="179" t="s">
        <v>70</v>
      </c>
      <c r="R31" s="183" t="s">
        <v>70</v>
      </c>
      <c r="S31" s="165" t="s">
        <v>70</v>
      </c>
      <c r="T31" s="165" t="s">
        <v>70</v>
      </c>
      <c r="U31" s="179" t="s">
        <v>204</v>
      </c>
      <c r="V31" s="179" t="s">
        <v>70</v>
      </c>
      <c r="W31" s="164" t="s">
        <v>201</v>
      </c>
      <c r="X31" s="165" t="s">
        <v>70</v>
      </c>
      <c r="Y31" s="165" t="s">
        <v>70</v>
      </c>
      <c r="Z31" s="144"/>
      <c r="AA31" s="144"/>
      <c r="AB31" s="144"/>
      <c r="AC31" s="144"/>
    </row>
    <row r="32" spans="1:29" s="124" customFormat="1">
      <c r="A32" s="122" t="s">
        <v>205</v>
      </c>
      <c r="B32" s="165"/>
      <c r="C32" s="165">
        <v>1</v>
      </c>
      <c r="D32" s="165">
        <v>1</v>
      </c>
      <c r="E32" s="165">
        <v>1</v>
      </c>
      <c r="F32" s="165">
        <v>1</v>
      </c>
      <c r="G32" s="165">
        <v>1</v>
      </c>
      <c r="H32" s="167">
        <v>1</v>
      </c>
      <c r="I32" s="144">
        <v>1</v>
      </c>
      <c r="J32" s="165">
        <v>1</v>
      </c>
      <c r="K32" s="165">
        <v>1</v>
      </c>
      <c r="L32" s="165">
        <v>1</v>
      </c>
      <c r="M32" s="165">
        <v>1</v>
      </c>
      <c r="N32" s="167">
        <v>0</v>
      </c>
      <c r="O32" s="167">
        <v>0</v>
      </c>
      <c r="P32" s="167">
        <v>0</v>
      </c>
      <c r="Q32" s="182">
        <v>1</v>
      </c>
      <c r="R32" s="182">
        <v>1</v>
      </c>
      <c r="S32" s="167">
        <v>1</v>
      </c>
      <c r="T32" s="165">
        <v>1</v>
      </c>
      <c r="U32" s="183"/>
      <c r="V32" s="144"/>
      <c r="W32" s="165">
        <v>1</v>
      </c>
      <c r="X32" s="165">
        <v>0</v>
      </c>
      <c r="Y32" s="165">
        <v>0</v>
      </c>
      <c r="Z32" s="144"/>
      <c r="AA32" s="144"/>
      <c r="AB32" s="144"/>
      <c r="AC32" s="144"/>
    </row>
    <row r="33" spans="1:29" s="124" customFormat="1" ht="28.5" customHeight="1">
      <c r="A33" s="122" t="s">
        <v>206</v>
      </c>
      <c r="B33" s="165" t="s">
        <v>207</v>
      </c>
      <c r="C33" s="165" t="s">
        <v>70</v>
      </c>
      <c r="D33" s="165" t="s">
        <v>70</v>
      </c>
      <c r="E33" s="165" t="s">
        <v>70</v>
      </c>
      <c r="F33" s="165" t="s">
        <v>70</v>
      </c>
      <c r="G33" s="165" t="s">
        <v>70</v>
      </c>
      <c r="H33" s="165" t="s">
        <v>70</v>
      </c>
      <c r="I33" s="144" t="s">
        <v>70</v>
      </c>
      <c r="J33" s="165" t="s">
        <v>70</v>
      </c>
      <c r="K33" s="165" t="s">
        <v>70</v>
      </c>
      <c r="L33" s="165" t="s">
        <v>70</v>
      </c>
      <c r="M33" s="165" t="s">
        <v>70</v>
      </c>
      <c r="N33" s="165" t="s">
        <v>70</v>
      </c>
      <c r="O33" s="165" t="s">
        <v>70</v>
      </c>
      <c r="P33" s="165" t="s">
        <v>70</v>
      </c>
      <c r="Q33" s="179" t="s">
        <v>70</v>
      </c>
      <c r="R33" s="183" t="s">
        <v>70</v>
      </c>
      <c r="S33" s="165" t="s">
        <v>70</v>
      </c>
      <c r="T33" s="165" t="s">
        <v>70</v>
      </c>
      <c r="U33" s="184" t="s">
        <v>70</v>
      </c>
      <c r="V33" s="184" t="s">
        <v>70</v>
      </c>
      <c r="W33" s="165" t="s">
        <v>70</v>
      </c>
      <c r="X33" s="165" t="s">
        <v>70</v>
      </c>
      <c r="Y33" s="165" t="s">
        <v>70</v>
      </c>
      <c r="Z33" s="144"/>
      <c r="AA33" s="144"/>
      <c r="AB33" s="144"/>
      <c r="AC33" s="144"/>
    </row>
    <row r="34" spans="1:29" s="124" customFormat="1">
      <c r="A34" s="122" t="s">
        <v>208</v>
      </c>
      <c r="B34" s="165" t="s">
        <v>209</v>
      </c>
      <c r="C34" s="165" t="s">
        <v>70</v>
      </c>
      <c r="D34" s="165" t="s">
        <v>70</v>
      </c>
      <c r="E34" s="165" t="s">
        <v>70</v>
      </c>
      <c r="F34" s="165" t="s">
        <v>70</v>
      </c>
      <c r="G34" s="165" t="s">
        <v>70</v>
      </c>
      <c r="H34" s="165" t="s">
        <v>70</v>
      </c>
      <c r="I34" s="144" t="s">
        <v>70</v>
      </c>
      <c r="J34" s="165" t="s">
        <v>70</v>
      </c>
      <c r="K34" s="165" t="s">
        <v>70</v>
      </c>
      <c r="L34" s="165" t="s">
        <v>70</v>
      </c>
      <c r="M34" s="165" t="s">
        <v>70</v>
      </c>
      <c r="N34" s="165" t="s">
        <v>70</v>
      </c>
      <c r="O34" s="165" t="s">
        <v>70</v>
      </c>
      <c r="P34" s="165" t="s">
        <v>70</v>
      </c>
      <c r="Q34" s="179" t="s">
        <v>70</v>
      </c>
      <c r="R34" s="183" t="s">
        <v>70</v>
      </c>
      <c r="S34" s="165" t="s">
        <v>70</v>
      </c>
      <c r="T34" s="165" t="s">
        <v>70</v>
      </c>
      <c r="U34" s="183" t="s">
        <v>70</v>
      </c>
      <c r="V34" s="183" t="s">
        <v>70</v>
      </c>
      <c r="W34" s="165" t="s">
        <v>70</v>
      </c>
      <c r="X34" s="165" t="s">
        <v>70</v>
      </c>
      <c r="Y34" s="165" t="s">
        <v>70</v>
      </c>
      <c r="Z34" s="144"/>
      <c r="AA34" s="144"/>
      <c r="AB34" s="144"/>
      <c r="AC34" s="144"/>
    </row>
    <row r="35" spans="1:29" s="124" customFormat="1" ht="34.200000000000003">
      <c r="A35" s="122" t="s">
        <v>210</v>
      </c>
      <c r="B35" s="126" t="s">
        <v>170</v>
      </c>
      <c r="C35" s="165" t="s">
        <v>170</v>
      </c>
      <c r="D35" s="165" t="s">
        <v>170</v>
      </c>
      <c r="E35" s="165" t="s">
        <v>170</v>
      </c>
      <c r="F35" s="165" t="s">
        <v>170</v>
      </c>
      <c r="G35" s="165" t="s">
        <v>170</v>
      </c>
      <c r="H35" s="165" t="s">
        <v>170</v>
      </c>
      <c r="I35" s="144" t="s">
        <v>170</v>
      </c>
      <c r="J35" s="165" t="s">
        <v>170</v>
      </c>
      <c r="K35" s="165" t="s">
        <v>170</v>
      </c>
      <c r="L35" s="165" t="s">
        <v>170</v>
      </c>
      <c r="M35" s="165" t="s">
        <v>170</v>
      </c>
      <c r="N35" s="165" t="s">
        <v>170</v>
      </c>
      <c r="O35" s="165" t="s">
        <v>170</v>
      </c>
      <c r="P35" s="165" t="s">
        <v>170</v>
      </c>
      <c r="Q35" s="179" t="s">
        <v>170</v>
      </c>
      <c r="R35" s="183" t="s">
        <v>170</v>
      </c>
      <c r="S35" s="165" t="s">
        <v>170</v>
      </c>
      <c r="T35" s="165" t="s">
        <v>170</v>
      </c>
      <c r="U35" s="185" t="s">
        <v>170</v>
      </c>
      <c r="V35" s="186" t="s">
        <v>170</v>
      </c>
      <c r="W35" s="165" t="s">
        <v>170</v>
      </c>
      <c r="X35" s="165" t="s">
        <v>170</v>
      </c>
      <c r="Y35" s="165" t="s">
        <v>170</v>
      </c>
      <c r="Z35" s="144"/>
      <c r="AA35" s="144"/>
      <c r="AB35" s="144"/>
      <c r="AC35" s="144"/>
    </row>
    <row r="36" spans="1:29" s="124" customFormat="1" ht="34.200000000000003">
      <c r="A36" s="122" t="s">
        <v>211</v>
      </c>
      <c r="B36" s="126" t="s">
        <v>170</v>
      </c>
      <c r="C36" s="165" t="s">
        <v>170</v>
      </c>
      <c r="D36" s="165" t="s">
        <v>170</v>
      </c>
      <c r="E36" s="165" t="s">
        <v>170</v>
      </c>
      <c r="F36" s="165" t="s">
        <v>170</v>
      </c>
      <c r="G36" s="165" t="s">
        <v>170</v>
      </c>
      <c r="H36" s="165" t="s">
        <v>170</v>
      </c>
      <c r="I36" s="144" t="s">
        <v>170</v>
      </c>
      <c r="J36" s="165" t="s">
        <v>170</v>
      </c>
      <c r="K36" s="165" t="s">
        <v>170</v>
      </c>
      <c r="L36" s="165" t="s">
        <v>170</v>
      </c>
      <c r="M36" s="165" t="s">
        <v>170</v>
      </c>
      <c r="N36" s="165" t="s">
        <v>170</v>
      </c>
      <c r="O36" s="165" t="s">
        <v>170</v>
      </c>
      <c r="P36" s="165" t="s">
        <v>170</v>
      </c>
      <c r="Q36" s="179" t="s">
        <v>170</v>
      </c>
      <c r="R36" s="183" t="s">
        <v>170</v>
      </c>
      <c r="S36" s="165" t="s">
        <v>170</v>
      </c>
      <c r="T36" s="165" t="s">
        <v>170</v>
      </c>
      <c r="U36" s="185" t="s">
        <v>170</v>
      </c>
      <c r="V36" s="186" t="s">
        <v>170</v>
      </c>
      <c r="W36" s="165" t="s">
        <v>170</v>
      </c>
      <c r="X36" s="165" t="s">
        <v>170</v>
      </c>
      <c r="Y36" s="165" t="s">
        <v>170</v>
      </c>
      <c r="Z36" s="144"/>
      <c r="AA36" s="144"/>
      <c r="AB36" s="144"/>
      <c r="AC36" s="144"/>
    </row>
    <row r="37" spans="1:29" s="124" customFormat="1" ht="22.8">
      <c r="A37" s="122" t="s">
        <v>212</v>
      </c>
      <c r="B37" s="165" t="s">
        <v>213</v>
      </c>
      <c r="C37" s="165" t="s">
        <v>70</v>
      </c>
      <c r="D37" s="165" t="s">
        <v>70</v>
      </c>
      <c r="E37" s="165" t="s">
        <v>70</v>
      </c>
      <c r="F37" s="165" t="s">
        <v>70</v>
      </c>
      <c r="G37" s="165" t="s">
        <v>70</v>
      </c>
      <c r="H37" s="165" t="s">
        <v>70</v>
      </c>
      <c r="I37" s="144" t="s">
        <v>70</v>
      </c>
      <c r="J37" s="165" t="s">
        <v>70</v>
      </c>
      <c r="K37" s="165" t="s">
        <v>70</v>
      </c>
      <c r="L37" s="165" t="s">
        <v>70</v>
      </c>
      <c r="M37" s="165" t="s">
        <v>70</v>
      </c>
      <c r="N37" s="165" t="s">
        <v>70</v>
      </c>
      <c r="O37" s="165" t="s">
        <v>70</v>
      </c>
      <c r="P37" s="165" t="s">
        <v>70</v>
      </c>
      <c r="Q37" s="179" t="s">
        <v>70</v>
      </c>
      <c r="R37" s="183" t="s">
        <v>70</v>
      </c>
      <c r="S37" s="165" t="s">
        <v>70</v>
      </c>
      <c r="T37" s="165" t="s">
        <v>70</v>
      </c>
      <c r="U37" s="183" t="s">
        <v>70</v>
      </c>
      <c r="V37" s="183" t="s">
        <v>70</v>
      </c>
      <c r="W37" s="165" t="s">
        <v>70</v>
      </c>
      <c r="X37" s="165" t="s">
        <v>70</v>
      </c>
      <c r="Y37" s="165" t="s">
        <v>70</v>
      </c>
      <c r="Z37" s="144"/>
      <c r="AA37" s="144"/>
      <c r="AB37" s="144"/>
      <c r="AC37" s="144"/>
    </row>
    <row r="38" spans="1:29" s="124" customFormat="1" ht="22.8">
      <c r="A38" s="122" t="s">
        <v>214</v>
      </c>
      <c r="B38" s="126" t="s">
        <v>170</v>
      </c>
      <c r="C38" s="165" t="s">
        <v>170</v>
      </c>
      <c r="D38" s="165" t="s">
        <v>170</v>
      </c>
      <c r="E38" s="165" t="s">
        <v>170</v>
      </c>
      <c r="F38" s="165" t="s">
        <v>170</v>
      </c>
      <c r="G38" s="165" t="s">
        <v>170</v>
      </c>
      <c r="H38" s="165" t="s">
        <v>170</v>
      </c>
      <c r="I38" s="144" t="s">
        <v>170</v>
      </c>
      <c r="J38" s="165" t="s">
        <v>170</v>
      </c>
      <c r="K38" s="165" t="s">
        <v>170</v>
      </c>
      <c r="L38" s="165" t="s">
        <v>170</v>
      </c>
      <c r="M38" s="165" t="s">
        <v>170</v>
      </c>
      <c r="N38" s="165" t="s">
        <v>170</v>
      </c>
      <c r="O38" s="165" t="s">
        <v>170</v>
      </c>
      <c r="P38" s="165" t="s">
        <v>170</v>
      </c>
      <c r="Q38" s="179" t="s">
        <v>170</v>
      </c>
      <c r="R38" s="183" t="s">
        <v>170</v>
      </c>
      <c r="S38" s="165" t="s">
        <v>170</v>
      </c>
      <c r="T38" s="165" t="s">
        <v>170</v>
      </c>
      <c r="U38" s="185" t="s">
        <v>170</v>
      </c>
      <c r="V38" s="186" t="s">
        <v>170</v>
      </c>
      <c r="W38" s="165" t="s">
        <v>170</v>
      </c>
      <c r="X38" s="165" t="s">
        <v>170</v>
      </c>
      <c r="Y38" s="165" t="s">
        <v>170</v>
      </c>
      <c r="Z38" s="144"/>
      <c r="AA38" s="144"/>
      <c r="AB38" s="144"/>
      <c r="AC38" s="144"/>
    </row>
    <row r="39" spans="1:29" s="124" customFormat="1" ht="22.8">
      <c r="A39" s="122" t="s">
        <v>215</v>
      </c>
      <c r="B39" s="126" t="s">
        <v>170</v>
      </c>
      <c r="C39" s="165" t="s">
        <v>170</v>
      </c>
      <c r="D39" s="165" t="s">
        <v>170</v>
      </c>
      <c r="E39" s="165" t="s">
        <v>170</v>
      </c>
      <c r="F39" s="165" t="s">
        <v>170</v>
      </c>
      <c r="G39" s="165" t="s">
        <v>170</v>
      </c>
      <c r="H39" s="165" t="s">
        <v>170</v>
      </c>
      <c r="I39" s="144" t="s">
        <v>170</v>
      </c>
      <c r="J39" s="165" t="s">
        <v>170</v>
      </c>
      <c r="K39" s="165" t="s">
        <v>170</v>
      </c>
      <c r="L39" s="165" t="s">
        <v>170</v>
      </c>
      <c r="M39" s="165" t="s">
        <v>170</v>
      </c>
      <c r="N39" s="165" t="s">
        <v>170</v>
      </c>
      <c r="O39" s="165" t="s">
        <v>170</v>
      </c>
      <c r="P39" s="165" t="s">
        <v>170</v>
      </c>
      <c r="Q39" s="179" t="s">
        <v>170</v>
      </c>
      <c r="R39" s="183" t="s">
        <v>170</v>
      </c>
      <c r="S39" s="165" t="s">
        <v>170</v>
      </c>
      <c r="T39" s="165" t="s">
        <v>170</v>
      </c>
      <c r="U39" s="185" t="s">
        <v>170</v>
      </c>
      <c r="V39" s="186" t="s">
        <v>170</v>
      </c>
      <c r="W39" s="165" t="s">
        <v>170</v>
      </c>
      <c r="X39" s="165" t="s">
        <v>170</v>
      </c>
      <c r="Y39" s="165" t="s">
        <v>170</v>
      </c>
      <c r="Z39" s="144"/>
      <c r="AA39" s="144"/>
      <c r="AB39" s="144"/>
      <c r="AC39" s="144"/>
    </row>
    <row r="41" spans="1:29">
      <c r="M41" s="188"/>
    </row>
  </sheetData>
  <customSheetViews>
    <customSheetView guid="{35BB8162-AD08-4F19-B47C-5A1FD7B0567B}" scale="85">
      <pane xSplit="2.8303249097472927" topLeftCell="J4" activePane="bottomRight" state="frozen"/>
      <selection pane="bottomRight" activeCell="L19" sqref="L19"/>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F2BBD7E-9334-44AA-B170-23CF20E0BAAC}" scale="85">
      <pane xSplit="2" ySplit="3" topLeftCell="J4" activePane="bottomRight" state="frozen"/>
      <selection pane="bottomRight" activeCell="L18" sqref="L18"/>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2347D80-63DB-496D-935F-2CF95DC088FE}">
      <pane xSplit="2" ySplit="3" topLeftCell="C19" activePane="bottomRight" state="frozen"/>
      <selection pane="bottomRight" activeCell="A25" sqref="A25:XFD25"/>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EBD1C52-A862-496E-88D9-4B6EAB1093EB}" scale="85">
      <pane xSplit="2" ySplit="3" topLeftCell="G25" activePane="bottomRight" state="frozen"/>
      <selection pane="bottomRight" activeCell="H39" sqref="H39"/>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279B0F34-BE9C-4778-A036-3ED8EAAF78FA}" scale="85">
      <pane xSplit="2" ySplit="3" topLeftCell="T25" activePane="bottomRight" state="frozen"/>
      <selection pane="bottomRight" activeCell="U15" sqref="U15"/>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FE13EA77-3511-4AB1-99FB-5446425992B9}" scale="85">
      <pane xSplit="2" ySplit="3" topLeftCell="T25" activePane="bottomRight" state="frozen"/>
      <selection pane="bottomRight" activeCell="U15" sqref="U15"/>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5D5C299-761A-4CBF-AA27-B17032FC4CEB}" scale="85">
      <pane xSplit="2" ySplit="3" topLeftCell="J4" activePane="bottomRight" state="frozen"/>
      <selection pane="bottomRight" activeCell="L19" sqref="L19"/>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9">
    <mergeCell ref="X2:Y2"/>
    <mergeCell ref="A2:A3"/>
    <mergeCell ref="B2:B3"/>
    <mergeCell ref="Q2:R2"/>
    <mergeCell ref="N2:O2"/>
    <mergeCell ref="C2:E2"/>
    <mergeCell ref="F2:G2"/>
    <mergeCell ref="J2:M2"/>
    <mergeCell ref="S2:T2"/>
  </mergeCells>
  <phoneticPr fontId="15"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drawing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43"/>
  <sheetViews>
    <sheetView workbookViewId="0">
      <pane xSplit="2" ySplit="3" topLeftCell="C4" activePane="bottomRight" state="frozen"/>
      <selection pane="topRight" activeCell="C1" sqref="C1"/>
      <selection pane="bottomLeft" activeCell="A4" sqref="A4"/>
      <selection pane="bottomRight" activeCell="E21" sqref="E21"/>
    </sheetView>
  </sheetViews>
  <sheetFormatPr defaultColWidth="9.44140625" defaultRowHeight="15.6"/>
  <cols>
    <col min="1" max="1" width="29.44140625" style="108" customWidth="1"/>
    <col min="2" max="2" width="37" style="108" customWidth="1"/>
    <col min="3" max="20" width="31.44140625" style="109" customWidth="1"/>
    <col min="21" max="16384" width="9.44140625" style="108"/>
  </cols>
  <sheetData>
    <row r="1" spans="1:20">
      <c r="A1" s="328" t="s">
        <v>63</v>
      </c>
      <c r="B1" s="329"/>
    </row>
    <row r="2" spans="1:20" s="157" customFormat="1" ht="24" customHeight="1">
      <c r="A2" s="403" t="s">
        <v>64</v>
      </c>
      <c r="B2" s="405" t="s">
        <v>217</v>
      </c>
      <c r="C2" s="330" t="s">
        <v>810</v>
      </c>
      <c r="D2" s="331" t="s">
        <v>811</v>
      </c>
      <c r="E2" s="330" t="s">
        <v>812</v>
      </c>
      <c r="F2" s="332" t="s">
        <v>813</v>
      </c>
      <c r="G2" s="330" t="s">
        <v>814</v>
      </c>
      <c r="H2" s="225" t="s">
        <v>17</v>
      </c>
      <c r="I2" s="225" t="s">
        <v>764</v>
      </c>
      <c r="J2" s="225" t="s">
        <v>815</v>
      </c>
      <c r="K2" s="112"/>
      <c r="L2" s="112"/>
      <c r="M2" s="112"/>
      <c r="N2" s="112"/>
      <c r="O2" s="112"/>
      <c r="P2" s="112"/>
      <c r="Q2" s="112"/>
      <c r="R2" s="112"/>
      <c r="S2" s="112"/>
      <c r="T2" s="112"/>
    </row>
    <row r="3" spans="1:20" s="157" customFormat="1" ht="10.5" customHeight="1">
      <c r="A3" s="404"/>
      <c r="B3" s="406"/>
      <c r="C3" s="333" t="s">
        <v>816</v>
      </c>
      <c r="D3" s="334" t="s">
        <v>817</v>
      </c>
      <c r="E3" s="333" t="s">
        <v>816</v>
      </c>
      <c r="F3" s="335" t="s">
        <v>67</v>
      </c>
      <c r="G3" s="333" t="s">
        <v>816</v>
      </c>
      <c r="H3" s="335" t="s">
        <v>67</v>
      </c>
      <c r="I3" s="335" t="s">
        <v>67</v>
      </c>
      <c r="J3" s="335" t="s">
        <v>67</v>
      </c>
      <c r="K3" s="112"/>
      <c r="L3" s="112"/>
      <c r="M3" s="112"/>
      <c r="N3" s="112"/>
      <c r="O3" s="112"/>
      <c r="P3" s="112"/>
      <c r="Q3" s="112"/>
      <c r="R3" s="112"/>
      <c r="S3" s="112"/>
      <c r="T3" s="112"/>
    </row>
    <row r="4" spans="1:20">
      <c r="A4" s="119" t="s">
        <v>68</v>
      </c>
      <c r="B4" s="159" t="s">
        <v>69</v>
      </c>
      <c r="C4" s="160" t="s">
        <v>70</v>
      </c>
      <c r="D4" s="160" t="s">
        <v>70</v>
      </c>
      <c r="E4" s="160" t="s">
        <v>70</v>
      </c>
      <c r="F4" s="160" t="s">
        <v>70</v>
      </c>
      <c r="G4" s="160" t="s">
        <v>70</v>
      </c>
      <c r="H4" s="160" t="s">
        <v>70</v>
      </c>
      <c r="I4" s="160" t="s">
        <v>70</v>
      </c>
      <c r="J4" s="160" t="s">
        <v>70</v>
      </c>
      <c r="K4" s="119"/>
      <c r="L4" s="119"/>
      <c r="M4" s="119"/>
      <c r="N4" s="119"/>
      <c r="O4" s="119"/>
      <c r="P4" s="119"/>
      <c r="Q4" s="119"/>
      <c r="R4" s="119"/>
      <c r="S4" s="119"/>
      <c r="T4" s="119"/>
    </row>
    <row r="5" spans="1:20">
      <c r="A5" s="119" t="s">
        <v>71</v>
      </c>
      <c r="B5" s="159"/>
      <c r="C5" s="160" t="s">
        <v>818</v>
      </c>
      <c r="D5" s="119" t="s">
        <v>819</v>
      </c>
      <c r="E5" s="160" t="s">
        <v>818</v>
      </c>
      <c r="F5" s="119" t="s">
        <v>73</v>
      </c>
      <c r="G5" s="160" t="s">
        <v>818</v>
      </c>
      <c r="H5" s="119" t="s">
        <v>73</v>
      </c>
      <c r="I5" s="119" t="s">
        <v>73</v>
      </c>
      <c r="J5" s="119" t="s">
        <v>73</v>
      </c>
      <c r="K5" s="119"/>
      <c r="L5" s="119"/>
      <c r="M5" s="119"/>
      <c r="N5" s="119"/>
      <c r="O5" s="119"/>
      <c r="P5" s="119"/>
      <c r="Q5" s="119"/>
      <c r="R5" s="119"/>
      <c r="S5" s="119"/>
      <c r="T5" s="119"/>
    </row>
    <row r="6" spans="1:20">
      <c r="A6" s="144" t="s">
        <v>74</v>
      </c>
      <c r="B6" s="159" t="s">
        <v>75</v>
      </c>
      <c r="C6" s="160" t="s">
        <v>70</v>
      </c>
      <c r="D6" s="160" t="s">
        <v>70</v>
      </c>
      <c r="E6" s="160" t="s">
        <v>70</v>
      </c>
      <c r="F6" s="160" t="s">
        <v>70</v>
      </c>
      <c r="G6" s="160" t="s">
        <v>70</v>
      </c>
      <c r="H6" s="160" t="s">
        <v>70</v>
      </c>
      <c r="I6" s="160" t="s">
        <v>70</v>
      </c>
      <c r="J6" s="160" t="s">
        <v>70</v>
      </c>
      <c r="K6" s="119"/>
      <c r="L6" s="119"/>
      <c r="M6" s="119"/>
      <c r="N6" s="119"/>
      <c r="O6" s="119"/>
      <c r="P6" s="119"/>
      <c r="Q6" s="119"/>
      <c r="R6" s="119"/>
      <c r="S6" s="119"/>
      <c r="T6" s="119"/>
    </row>
    <row r="7" spans="1:20">
      <c r="A7" s="144" t="s">
        <v>76</v>
      </c>
      <c r="B7" s="159" t="s">
        <v>77</v>
      </c>
      <c r="C7" s="160" t="s">
        <v>70</v>
      </c>
      <c r="D7" s="160" t="s">
        <v>70</v>
      </c>
      <c r="E7" s="160" t="s">
        <v>70</v>
      </c>
      <c r="F7" s="160" t="s">
        <v>70</v>
      </c>
      <c r="G7" s="160" t="s">
        <v>70</v>
      </c>
      <c r="H7" s="160" t="s">
        <v>70</v>
      </c>
      <c r="I7" s="160" t="s">
        <v>70</v>
      </c>
      <c r="J7" s="160" t="s">
        <v>70</v>
      </c>
      <c r="K7" s="119"/>
      <c r="L7" s="119"/>
      <c r="M7" s="119"/>
      <c r="N7" s="119"/>
      <c r="O7" s="119"/>
      <c r="P7" s="119"/>
      <c r="Q7" s="119"/>
      <c r="R7" s="119"/>
      <c r="S7" s="119"/>
      <c r="T7" s="119"/>
    </row>
    <row r="8" spans="1:20" ht="34.200000000000003">
      <c r="A8" s="119" t="s">
        <v>78</v>
      </c>
      <c r="B8" s="116" t="s">
        <v>79</v>
      </c>
      <c r="C8" s="160" t="s">
        <v>70</v>
      </c>
      <c r="D8" s="160" t="s">
        <v>70</v>
      </c>
      <c r="E8" s="160" t="s">
        <v>70</v>
      </c>
      <c r="F8" s="160" t="s">
        <v>70</v>
      </c>
      <c r="G8" s="160" t="s">
        <v>70</v>
      </c>
      <c r="H8" s="160" t="s">
        <v>70</v>
      </c>
      <c r="I8" s="160" t="s">
        <v>70</v>
      </c>
      <c r="J8" s="160" t="s">
        <v>70</v>
      </c>
      <c r="K8" s="119"/>
      <c r="L8" s="119"/>
      <c r="M8" s="119"/>
      <c r="N8" s="119"/>
      <c r="O8" s="119"/>
      <c r="P8" s="119"/>
      <c r="Q8" s="119"/>
      <c r="R8" s="119"/>
      <c r="S8" s="119"/>
      <c r="T8" s="119"/>
    </row>
    <row r="9" spans="1:20" ht="22.8">
      <c r="A9" s="144" t="s">
        <v>80</v>
      </c>
      <c r="B9" s="116" t="s">
        <v>820</v>
      </c>
      <c r="C9" s="160" t="s">
        <v>821</v>
      </c>
      <c r="D9" s="160" t="s">
        <v>821</v>
      </c>
      <c r="E9" s="160" t="s">
        <v>822</v>
      </c>
      <c r="F9" s="160" t="s">
        <v>823</v>
      </c>
      <c r="G9" s="160" t="s">
        <v>821</v>
      </c>
      <c r="H9" s="160" t="s">
        <v>823</v>
      </c>
      <c r="I9" s="160" t="s">
        <v>823</v>
      </c>
      <c r="J9" s="160" t="s">
        <v>823</v>
      </c>
      <c r="K9" s="119"/>
      <c r="L9" s="119"/>
      <c r="M9" s="119"/>
      <c r="N9" s="119"/>
      <c r="O9" s="119"/>
      <c r="P9" s="119"/>
      <c r="Q9" s="119"/>
      <c r="R9" s="119"/>
      <c r="S9" s="119"/>
      <c r="T9" s="119"/>
    </row>
    <row r="10" spans="1:20" ht="22.8">
      <c r="A10" s="118" t="s">
        <v>89</v>
      </c>
      <c r="B10" s="336"/>
      <c r="C10" s="160" t="s">
        <v>824</v>
      </c>
      <c r="D10" s="160" t="s">
        <v>824</v>
      </c>
      <c r="E10" s="160" t="s">
        <v>824</v>
      </c>
      <c r="F10" s="160" t="s">
        <v>824</v>
      </c>
      <c r="G10" s="160" t="s">
        <v>824</v>
      </c>
      <c r="H10" s="160" t="s">
        <v>825</v>
      </c>
      <c r="I10" s="160" t="s">
        <v>825</v>
      </c>
      <c r="J10" s="160" t="s">
        <v>826</v>
      </c>
      <c r="K10" s="119"/>
      <c r="L10" s="119"/>
      <c r="M10" s="119"/>
      <c r="N10" s="119"/>
      <c r="O10" s="119"/>
      <c r="P10" s="119"/>
      <c r="Q10" s="119"/>
      <c r="R10" s="119"/>
      <c r="S10" s="119"/>
      <c r="T10" s="119"/>
    </row>
    <row r="11" spans="1:20">
      <c r="A11" s="144" t="s">
        <v>93</v>
      </c>
      <c r="B11" s="160" t="s">
        <v>827</v>
      </c>
      <c r="C11" s="160" t="s">
        <v>70</v>
      </c>
      <c r="D11" s="160" t="s">
        <v>70</v>
      </c>
      <c r="E11" s="160" t="s">
        <v>70</v>
      </c>
      <c r="F11" s="160" t="s">
        <v>70</v>
      </c>
      <c r="G11" s="160" t="s">
        <v>70</v>
      </c>
      <c r="H11" s="160" t="s">
        <v>70</v>
      </c>
      <c r="I11" s="160" t="s">
        <v>828</v>
      </c>
      <c r="J11" s="160" t="s">
        <v>829</v>
      </c>
      <c r="K11" s="119"/>
      <c r="L11" s="119"/>
      <c r="M11" s="119"/>
      <c r="N11" s="119"/>
      <c r="O11" s="119"/>
      <c r="P11" s="119"/>
      <c r="Q11" s="119"/>
      <c r="R11" s="119"/>
      <c r="S11" s="119"/>
      <c r="T11" s="119"/>
    </row>
    <row r="12" spans="1:20" ht="22.8">
      <c r="A12" s="118" t="s">
        <v>830</v>
      </c>
      <c r="B12" s="160" t="s">
        <v>831</v>
      </c>
      <c r="C12" s="160" t="s">
        <v>70</v>
      </c>
      <c r="D12" s="160" t="s">
        <v>70</v>
      </c>
      <c r="E12" s="160" t="s">
        <v>70</v>
      </c>
      <c r="F12" s="160" t="s">
        <v>832</v>
      </c>
      <c r="G12" s="160" t="s">
        <v>70</v>
      </c>
      <c r="H12" s="160" t="s">
        <v>832</v>
      </c>
      <c r="I12" s="160" t="s">
        <v>70</v>
      </c>
      <c r="J12" s="160" t="s">
        <v>70</v>
      </c>
      <c r="K12" s="119"/>
      <c r="L12" s="119"/>
      <c r="M12" s="119"/>
      <c r="N12" s="119"/>
      <c r="O12" s="119"/>
      <c r="P12" s="119"/>
      <c r="Q12" s="119"/>
      <c r="R12" s="119"/>
      <c r="S12" s="119"/>
      <c r="T12" s="119"/>
    </row>
    <row r="13" spans="1:20" ht="22.8">
      <c r="A13" s="144" t="s">
        <v>98</v>
      </c>
      <c r="B13" s="159"/>
      <c r="C13" s="160" t="s">
        <v>833</v>
      </c>
      <c r="D13" s="160" t="s">
        <v>834</v>
      </c>
      <c r="E13" s="160" t="s">
        <v>835</v>
      </c>
      <c r="F13" s="160" t="s">
        <v>836</v>
      </c>
      <c r="G13" s="160" t="s">
        <v>833</v>
      </c>
      <c r="H13" s="160" t="s">
        <v>100</v>
      </c>
      <c r="I13" s="160" t="s">
        <v>100</v>
      </c>
      <c r="J13" s="160" t="s">
        <v>837</v>
      </c>
      <c r="K13" s="119"/>
      <c r="L13" s="119"/>
      <c r="M13" s="119"/>
      <c r="N13" s="119"/>
      <c r="O13" s="119"/>
      <c r="P13" s="119"/>
      <c r="Q13" s="119"/>
      <c r="R13" s="119"/>
      <c r="S13" s="119"/>
      <c r="T13" s="119"/>
    </row>
    <row r="14" spans="1:20">
      <c r="A14" s="144" t="s">
        <v>105</v>
      </c>
      <c r="B14" s="337" t="s">
        <v>838</v>
      </c>
      <c r="C14" s="337"/>
      <c r="D14" s="338" t="s">
        <v>839</v>
      </c>
      <c r="E14" s="338" t="s">
        <v>839</v>
      </c>
      <c r="F14" s="338" t="s">
        <v>840</v>
      </c>
      <c r="G14" s="119"/>
      <c r="H14" s="338" t="s">
        <v>841</v>
      </c>
      <c r="I14" s="338" t="s">
        <v>841</v>
      </c>
      <c r="J14" s="338" t="s">
        <v>842</v>
      </c>
      <c r="K14" s="119"/>
      <c r="L14" s="119"/>
      <c r="M14" s="119"/>
      <c r="N14" s="119"/>
      <c r="O14" s="119"/>
      <c r="P14" s="119"/>
      <c r="Q14" s="119"/>
      <c r="R14" s="119"/>
      <c r="S14" s="119"/>
      <c r="T14" s="119"/>
    </row>
    <row r="15" spans="1:20" ht="22.8">
      <c r="A15" s="144" t="s">
        <v>110</v>
      </c>
      <c r="C15" s="338" t="s">
        <v>843</v>
      </c>
      <c r="D15" s="338" t="s">
        <v>844</v>
      </c>
      <c r="E15" s="338" t="s">
        <v>845</v>
      </c>
      <c r="F15" s="338" t="s">
        <v>844</v>
      </c>
      <c r="G15" s="338" t="s">
        <v>843</v>
      </c>
      <c r="H15" s="338" t="s">
        <v>846</v>
      </c>
      <c r="I15" s="338" t="s">
        <v>846</v>
      </c>
      <c r="J15" s="338" t="s">
        <v>847</v>
      </c>
      <c r="K15" s="119"/>
      <c r="L15" s="119"/>
      <c r="M15" s="119"/>
      <c r="N15" s="119"/>
      <c r="O15" s="119"/>
      <c r="P15" s="119"/>
      <c r="Q15" s="119"/>
      <c r="R15" s="119"/>
      <c r="S15" s="119"/>
      <c r="T15" s="119"/>
    </row>
    <row r="16" spans="1:20" ht="22.8">
      <c r="A16" s="144" t="s">
        <v>119</v>
      </c>
      <c r="B16" s="159"/>
      <c r="C16" s="338" t="s">
        <v>848</v>
      </c>
      <c r="D16" s="338" t="s">
        <v>849</v>
      </c>
      <c r="E16" s="338" t="s">
        <v>848</v>
      </c>
      <c r="F16" s="119" t="s">
        <v>127</v>
      </c>
      <c r="G16" s="338" t="s">
        <v>848</v>
      </c>
      <c r="H16" s="119" t="s">
        <v>127</v>
      </c>
      <c r="I16" s="119" t="s">
        <v>127</v>
      </c>
      <c r="J16" s="119" t="s">
        <v>127</v>
      </c>
      <c r="K16" s="119"/>
      <c r="L16" s="119"/>
      <c r="M16" s="119"/>
      <c r="N16" s="119"/>
      <c r="O16" s="119"/>
      <c r="P16" s="119"/>
      <c r="Q16" s="119"/>
      <c r="R16" s="119"/>
      <c r="S16" s="119"/>
      <c r="T16" s="119"/>
    </row>
    <row r="17" spans="1:20">
      <c r="A17" s="144" t="s">
        <v>130</v>
      </c>
      <c r="B17" s="159"/>
      <c r="C17" s="339" t="s">
        <v>850</v>
      </c>
      <c r="D17" s="339" t="s">
        <v>850</v>
      </c>
      <c r="E17" s="339" t="s">
        <v>850</v>
      </c>
      <c r="F17" s="339" t="s">
        <v>131</v>
      </c>
      <c r="G17" s="339" t="s">
        <v>850</v>
      </c>
      <c r="H17" s="339" t="s">
        <v>131</v>
      </c>
      <c r="I17" s="339" t="s">
        <v>131</v>
      </c>
      <c r="J17" s="339" t="s">
        <v>131</v>
      </c>
      <c r="K17" s="119"/>
      <c r="L17" s="119"/>
      <c r="M17" s="119"/>
      <c r="N17" s="119"/>
      <c r="O17" s="119"/>
      <c r="P17" s="119"/>
      <c r="Q17" s="119"/>
      <c r="R17" s="119"/>
      <c r="S17" s="119"/>
      <c r="T17" s="119"/>
    </row>
    <row r="18" spans="1:20" ht="26.4">
      <c r="A18" s="144" t="s">
        <v>132</v>
      </c>
      <c r="B18" s="159"/>
      <c r="C18" s="340" t="s">
        <v>851</v>
      </c>
      <c r="D18" s="119" t="s">
        <v>852</v>
      </c>
      <c r="E18" s="341" t="s">
        <v>853</v>
      </c>
      <c r="F18" s="119" t="s">
        <v>848</v>
      </c>
      <c r="G18" s="340" t="s">
        <v>851</v>
      </c>
      <c r="H18" s="119" t="s">
        <v>854</v>
      </c>
      <c r="I18" s="119" t="s">
        <v>854</v>
      </c>
      <c r="J18" s="119" t="s">
        <v>855</v>
      </c>
      <c r="K18" s="119"/>
      <c r="L18" s="119"/>
      <c r="M18" s="119"/>
      <c r="N18" s="119"/>
      <c r="O18" s="119"/>
      <c r="P18" s="119"/>
      <c r="Q18" s="119"/>
      <c r="R18" s="119"/>
      <c r="S18" s="119"/>
      <c r="T18" s="119"/>
    </row>
    <row r="19" spans="1:20" ht="33" customHeight="1">
      <c r="A19" s="144" t="s">
        <v>136</v>
      </c>
      <c r="B19" s="159"/>
      <c r="C19" s="339" t="s">
        <v>856</v>
      </c>
      <c r="D19" s="119" t="s">
        <v>857</v>
      </c>
      <c r="E19" s="339" t="s">
        <v>858</v>
      </c>
      <c r="F19" s="339" t="s">
        <v>859</v>
      </c>
      <c r="G19" s="339" t="s">
        <v>856</v>
      </c>
      <c r="H19" s="339" t="s">
        <v>860</v>
      </c>
      <c r="I19" s="339" t="s">
        <v>860</v>
      </c>
      <c r="J19" s="339" t="s">
        <v>860</v>
      </c>
      <c r="K19" s="119"/>
      <c r="L19" s="119"/>
      <c r="M19" s="119"/>
      <c r="N19" s="119"/>
      <c r="O19" s="119"/>
      <c r="P19" s="119"/>
      <c r="Q19" s="119"/>
      <c r="R19" s="119"/>
      <c r="S19" s="119"/>
      <c r="T19" s="119"/>
    </row>
    <row r="20" spans="1:20" ht="22.8">
      <c r="A20" s="119" t="s">
        <v>141</v>
      </c>
      <c r="B20" s="116" t="s">
        <v>142</v>
      </c>
      <c r="C20" s="164" t="s">
        <v>70</v>
      </c>
      <c r="D20" s="164" t="s">
        <v>70</v>
      </c>
      <c r="E20" s="164" t="s">
        <v>70</v>
      </c>
      <c r="F20" s="164" t="s">
        <v>70</v>
      </c>
      <c r="G20" s="164" t="s">
        <v>70</v>
      </c>
      <c r="H20" s="164" t="s">
        <v>70</v>
      </c>
      <c r="I20" s="164" t="s">
        <v>70</v>
      </c>
      <c r="J20" s="164" t="s">
        <v>70</v>
      </c>
      <c r="K20" s="119"/>
      <c r="L20" s="119"/>
      <c r="M20" s="119"/>
      <c r="N20" s="119"/>
      <c r="O20" s="119"/>
      <c r="P20" s="119"/>
      <c r="Q20" s="119"/>
      <c r="R20" s="119"/>
      <c r="S20" s="119"/>
      <c r="T20" s="108"/>
    </row>
    <row r="21" spans="1:20" ht="68.400000000000006">
      <c r="A21" s="144" t="s">
        <v>143</v>
      </c>
      <c r="B21" s="116" t="s">
        <v>144</v>
      </c>
      <c r="C21" s="164" t="s">
        <v>861</v>
      </c>
      <c r="D21" s="338" t="s">
        <v>848</v>
      </c>
      <c r="E21" s="164" t="s">
        <v>862</v>
      </c>
      <c r="F21" s="164" t="s">
        <v>863</v>
      </c>
      <c r="G21" s="164" t="s">
        <v>861</v>
      </c>
      <c r="H21" s="338" t="s">
        <v>864</v>
      </c>
      <c r="I21" s="164" t="s">
        <v>147</v>
      </c>
      <c r="J21" s="164" t="s">
        <v>865</v>
      </c>
      <c r="K21" s="119"/>
      <c r="L21" s="119"/>
      <c r="M21" s="119"/>
      <c r="N21" s="119"/>
      <c r="O21" s="119"/>
      <c r="P21" s="119"/>
      <c r="Q21" s="119"/>
      <c r="R21" s="119"/>
      <c r="S21" s="119"/>
      <c r="T21" s="119"/>
    </row>
    <row r="22" spans="1:20" ht="45.6">
      <c r="A22" s="119" t="s">
        <v>151</v>
      </c>
      <c r="B22" s="159"/>
      <c r="C22" s="342" t="s">
        <v>866</v>
      </c>
      <c r="D22" s="342" t="s">
        <v>866</v>
      </c>
      <c r="E22" s="342" t="s">
        <v>867</v>
      </c>
      <c r="F22" s="342" t="s">
        <v>868</v>
      </c>
      <c r="G22" s="342" t="s">
        <v>866</v>
      </c>
      <c r="H22" s="342" t="s">
        <v>869</v>
      </c>
      <c r="I22" s="342" t="s">
        <v>870</v>
      </c>
      <c r="J22" s="342" t="s">
        <v>871</v>
      </c>
      <c r="K22" s="119"/>
      <c r="L22" s="119"/>
      <c r="M22" s="119"/>
      <c r="N22" s="119"/>
      <c r="O22" s="119"/>
      <c r="P22" s="119"/>
      <c r="Q22" s="119"/>
      <c r="R22" s="119"/>
      <c r="S22" s="119"/>
      <c r="T22" s="119"/>
    </row>
    <row r="23" spans="1:20" ht="22.8">
      <c r="A23" s="119" t="s">
        <v>160</v>
      </c>
      <c r="B23" s="159"/>
      <c r="C23" s="338" t="s">
        <v>872</v>
      </c>
      <c r="D23" s="338" t="s">
        <v>872</v>
      </c>
      <c r="E23" s="338" t="s">
        <v>872</v>
      </c>
      <c r="F23" s="338" t="s">
        <v>161</v>
      </c>
      <c r="G23" s="338" t="s">
        <v>872</v>
      </c>
      <c r="H23" s="338" t="s">
        <v>161</v>
      </c>
      <c r="I23" s="338" t="s">
        <v>161</v>
      </c>
      <c r="J23" s="338" t="s">
        <v>161</v>
      </c>
      <c r="K23" s="119"/>
      <c r="L23" s="119"/>
      <c r="M23" s="119"/>
      <c r="N23" s="119"/>
      <c r="O23" s="119"/>
      <c r="P23" s="119"/>
      <c r="Q23" s="119"/>
      <c r="R23" s="119"/>
      <c r="S23" s="119"/>
      <c r="T23" s="119"/>
    </row>
    <row r="24" spans="1:20">
      <c r="A24" s="119" t="s">
        <v>163</v>
      </c>
      <c r="B24" s="168">
        <v>1</v>
      </c>
      <c r="C24" s="160" t="s">
        <v>70</v>
      </c>
      <c r="D24" s="160" t="s">
        <v>70</v>
      </c>
      <c r="E24" s="160" t="s">
        <v>70</v>
      </c>
      <c r="F24" s="160" t="s">
        <v>70</v>
      </c>
      <c r="G24" s="160" t="s">
        <v>70</v>
      </c>
      <c r="H24" s="160" t="s">
        <v>70</v>
      </c>
      <c r="I24" s="160" t="s">
        <v>70</v>
      </c>
      <c r="J24" s="160" t="s">
        <v>70</v>
      </c>
      <c r="K24" s="119"/>
      <c r="L24" s="119"/>
      <c r="M24" s="119"/>
      <c r="N24" s="119"/>
      <c r="O24" s="119"/>
      <c r="P24" s="119"/>
      <c r="Q24" s="119"/>
      <c r="R24" s="119"/>
      <c r="S24" s="119"/>
      <c r="T24" s="119"/>
    </row>
    <row r="25" spans="1:20">
      <c r="A25" s="119" t="s">
        <v>164</v>
      </c>
      <c r="B25" s="159"/>
      <c r="C25" s="338" t="s">
        <v>873</v>
      </c>
      <c r="D25" s="338" t="s">
        <v>873</v>
      </c>
      <c r="E25" s="338" t="s">
        <v>873</v>
      </c>
      <c r="F25" s="338" t="s">
        <v>166</v>
      </c>
      <c r="G25" s="338" t="s">
        <v>873</v>
      </c>
      <c r="H25" s="338" t="s">
        <v>166</v>
      </c>
      <c r="I25" s="338" t="s">
        <v>166</v>
      </c>
      <c r="J25" s="338" t="s">
        <v>166</v>
      </c>
      <c r="K25" s="119"/>
      <c r="L25" s="119"/>
      <c r="M25" s="119"/>
      <c r="N25" s="119"/>
      <c r="O25" s="119"/>
      <c r="P25" s="119"/>
      <c r="Q25" s="119"/>
      <c r="R25" s="119"/>
      <c r="S25" s="119"/>
      <c r="T25" s="119"/>
    </row>
    <row r="26" spans="1:20" ht="22.8">
      <c r="A26" s="119" t="s">
        <v>168</v>
      </c>
      <c r="B26" s="159"/>
      <c r="C26" s="160" t="s">
        <v>874</v>
      </c>
      <c r="D26" s="160" t="s">
        <v>874</v>
      </c>
      <c r="E26" s="160" t="s">
        <v>874</v>
      </c>
      <c r="F26" s="160" t="s">
        <v>169</v>
      </c>
      <c r="G26" s="160" t="s">
        <v>874</v>
      </c>
      <c r="H26" s="160" t="s">
        <v>169</v>
      </c>
      <c r="I26" s="160" t="s">
        <v>169</v>
      </c>
      <c r="J26" s="160" t="s">
        <v>169</v>
      </c>
      <c r="K26" s="119"/>
      <c r="L26" s="119"/>
      <c r="M26" s="119"/>
      <c r="N26" s="119"/>
      <c r="O26" s="119"/>
      <c r="P26" s="119"/>
      <c r="Q26" s="119"/>
      <c r="R26" s="119"/>
      <c r="S26" s="119"/>
      <c r="T26" s="119"/>
    </row>
    <row r="27" spans="1:20" ht="60" customHeight="1">
      <c r="A27" s="343" t="s">
        <v>172</v>
      </c>
      <c r="B27" s="343" t="s">
        <v>173</v>
      </c>
      <c r="C27" s="118" t="s">
        <v>875</v>
      </c>
      <c r="D27" s="118" t="s">
        <v>875</v>
      </c>
      <c r="E27" s="118" t="s">
        <v>876</v>
      </c>
      <c r="F27" s="118" t="s">
        <v>877</v>
      </c>
      <c r="G27" s="118" t="s">
        <v>875</v>
      </c>
      <c r="H27" s="118" t="s">
        <v>878</v>
      </c>
      <c r="I27" s="118" t="s">
        <v>879</v>
      </c>
      <c r="J27" s="118" t="s">
        <v>880</v>
      </c>
      <c r="K27" s="119"/>
      <c r="L27" s="119"/>
      <c r="M27" s="119"/>
      <c r="N27" s="119"/>
      <c r="O27" s="119"/>
      <c r="P27" s="119"/>
      <c r="Q27" s="119"/>
      <c r="R27" s="119"/>
      <c r="S27" s="119"/>
      <c r="T27" s="119"/>
    </row>
    <row r="28" spans="1:20" ht="71.25" customHeight="1">
      <c r="A28" s="343" t="s">
        <v>183</v>
      </c>
      <c r="B28" s="343" t="s">
        <v>184</v>
      </c>
      <c r="C28" s="118" t="s">
        <v>881</v>
      </c>
      <c r="D28" s="118" t="s">
        <v>881</v>
      </c>
      <c r="E28" s="118" t="s">
        <v>882</v>
      </c>
      <c r="F28" s="118" t="s">
        <v>881</v>
      </c>
      <c r="G28" s="118" t="s">
        <v>881</v>
      </c>
      <c r="H28" s="118" t="s">
        <v>883</v>
      </c>
      <c r="I28" s="118" t="s">
        <v>884</v>
      </c>
      <c r="J28" s="118" t="s">
        <v>885</v>
      </c>
      <c r="K28" s="119"/>
      <c r="L28" s="119"/>
      <c r="M28" s="119"/>
      <c r="N28" s="119"/>
      <c r="O28" s="119"/>
      <c r="P28" s="119"/>
      <c r="Q28" s="119"/>
      <c r="R28" s="119"/>
      <c r="S28" s="119"/>
      <c r="T28" s="119"/>
    </row>
    <row r="29" spans="1:20">
      <c r="A29" s="119" t="s">
        <v>188</v>
      </c>
      <c r="B29" s="159" t="s">
        <v>189</v>
      </c>
      <c r="C29" s="160" t="s">
        <v>70</v>
      </c>
      <c r="D29" s="160" t="s">
        <v>70</v>
      </c>
      <c r="E29" s="160" t="s">
        <v>70</v>
      </c>
      <c r="F29" s="160" t="s">
        <v>886</v>
      </c>
      <c r="G29" s="160" t="s">
        <v>70</v>
      </c>
      <c r="H29" s="160" t="s">
        <v>886</v>
      </c>
      <c r="I29" s="160" t="s">
        <v>70</v>
      </c>
      <c r="J29" s="160" t="s">
        <v>70</v>
      </c>
      <c r="K29" s="119"/>
      <c r="L29" s="119"/>
      <c r="M29" s="119"/>
      <c r="N29" s="119"/>
      <c r="O29" s="119"/>
      <c r="P29" s="119"/>
      <c r="Q29" s="119"/>
      <c r="R29" s="119"/>
      <c r="S29" s="119"/>
      <c r="T29" s="119"/>
    </row>
    <row r="30" spans="1:20">
      <c r="A30" s="119" t="s">
        <v>190</v>
      </c>
      <c r="B30" s="159" t="s">
        <v>191</v>
      </c>
      <c r="C30" s="160" t="s">
        <v>70</v>
      </c>
      <c r="D30" s="160" t="s">
        <v>70</v>
      </c>
      <c r="E30" s="160" t="s">
        <v>70</v>
      </c>
      <c r="F30" s="160" t="s">
        <v>887</v>
      </c>
      <c r="G30" s="160" t="s">
        <v>70</v>
      </c>
      <c r="H30" s="160" t="s">
        <v>887</v>
      </c>
      <c r="I30" s="160" t="s">
        <v>70</v>
      </c>
      <c r="J30" s="160" t="s">
        <v>70</v>
      </c>
      <c r="K30" s="119"/>
      <c r="L30" s="119"/>
      <c r="M30" s="119"/>
      <c r="N30" s="119"/>
      <c r="O30" s="119"/>
      <c r="P30" s="119"/>
      <c r="Q30" s="119"/>
      <c r="R30" s="119"/>
      <c r="S30" s="119"/>
      <c r="T30" s="119"/>
    </row>
    <row r="31" spans="1:20">
      <c r="A31" s="119" t="s">
        <v>193</v>
      </c>
      <c r="B31" s="159"/>
      <c r="C31" s="160"/>
      <c r="D31" s="160" t="s">
        <v>888</v>
      </c>
      <c r="E31" s="160" t="s">
        <v>888</v>
      </c>
      <c r="F31" s="119" t="s">
        <v>194</v>
      </c>
      <c r="G31" s="160"/>
      <c r="H31" s="119" t="s">
        <v>194</v>
      </c>
      <c r="I31" s="119" t="s">
        <v>194</v>
      </c>
      <c r="J31" s="119" t="s">
        <v>194</v>
      </c>
      <c r="K31" s="119"/>
      <c r="L31" s="119"/>
      <c r="M31" s="119"/>
      <c r="N31" s="119"/>
      <c r="O31" s="119"/>
      <c r="P31" s="119"/>
      <c r="Q31" s="119"/>
      <c r="R31" s="119"/>
      <c r="S31" s="119"/>
      <c r="T31" s="119"/>
    </row>
    <row r="32" spans="1:20">
      <c r="C32" s="119"/>
      <c r="D32" s="119"/>
      <c r="E32" s="119"/>
      <c r="F32" s="119"/>
      <c r="G32" s="119"/>
      <c r="H32" s="119"/>
      <c r="I32" s="119"/>
      <c r="J32" s="119"/>
      <c r="K32" s="119"/>
      <c r="L32" s="119"/>
      <c r="M32" s="119"/>
      <c r="N32" s="119"/>
      <c r="O32" s="119"/>
      <c r="P32" s="119"/>
      <c r="Q32" s="119"/>
      <c r="R32" s="119"/>
      <c r="S32" s="119"/>
      <c r="T32" s="119"/>
    </row>
    <row r="33" spans="1:20">
      <c r="A33" s="328" t="s">
        <v>196</v>
      </c>
      <c r="B33" s="344" t="s">
        <v>217</v>
      </c>
      <c r="C33" s="119"/>
      <c r="D33" s="119"/>
      <c r="E33" s="119"/>
      <c r="F33" s="119"/>
      <c r="G33" s="119"/>
      <c r="H33" s="119"/>
      <c r="I33" s="119"/>
      <c r="J33" s="119"/>
      <c r="K33" s="119"/>
      <c r="L33" s="119"/>
      <c r="M33" s="119"/>
      <c r="N33" s="119"/>
      <c r="O33" s="119"/>
      <c r="P33" s="119"/>
      <c r="Q33" s="119"/>
      <c r="R33" s="119"/>
      <c r="S33" s="119"/>
      <c r="T33" s="119"/>
    </row>
    <row r="34" spans="1:20">
      <c r="A34" s="343" t="s">
        <v>198</v>
      </c>
      <c r="B34" s="345" t="s">
        <v>199</v>
      </c>
      <c r="C34" s="346" t="s">
        <v>70</v>
      </c>
      <c r="D34" s="346" t="s">
        <v>70</v>
      </c>
      <c r="E34" s="346" t="s">
        <v>70</v>
      </c>
      <c r="F34" s="346" t="s">
        <v>70</v>
      </c>
      <c r="G34" s="346" t="s">
        <v>70</v>
      </c>
      <c r="H34" s="346" t="s">
        <v>70</v>
      </c>
      <c r="I34" s="346" t="s">
        <v>70</v>
      </c>
      <c r="J34" s="346" t="s">
        <v>70</v>
      </c>
      <c r="K34" s="119"/>
      <c r="L34" s="119"/>
      <c r="M34" s="119"/>
      <c r="N34" s="119"/>
      <c r="O34" s="119"/>
      <c r="P34" s="119"/>
      <c r="Q34" s="119"/>
      <c r="R34" s="119"/>
      <c r="S34" s="119"/>
      <c r="T34" s="119"/>
    </row>
    <row r="35" spans="1:20">
      <c r="A35" s="343" t="s">
        <v>200</v>
      </c>
      <c r="B35" s="345" t="s">
        <v>889</v>
      </c>
      <c r="C35" s="346" t="s">
        <v>70</v>
      </c>
      <c r="D35" s="346" t="s">
        <v>70</v>
      </c>
      <c r="E35" s="346" t="s">
        <v>70</v>
      </c>
      <c r="F35" s="346" t="s">
        <v>70</v>
      </c>
      <c r="G35" s="346" t="s">
        <v>70</v>
      </c>
      <c r="H35" s="346" t="s">
        <v>70</v>
      </c>
      <c r="I35" s="346" t="s">
        <v>70</v>
      </c>
      <c r="J35" s="346" t="s">
        <v>70</v>
      </c>
      <c r="K35" s="119"/>
      <c r="L35" s="119"/>
      <c r="M35" s="119"/>
      <c r="N35" s="119"/>
      <c r="O35" s="119"/>
      <c r="P35" s="119"/>
      <c r="Q35" s="119"/>
      <c r="R35" s="119"/>
      <c r="S35" s="119"/>
      <c r="T35" s="119"/>
    </row>
    <row r="36" spans="1:20">
      <c r="A36" s="343" t="s">
        <v>205</v>
      </c>
      <c r="B36" s="345"/>
      <c r="C36" s="345">
        <v>1</v>
      </c>
      <c r="D36" s="345">
        <v>1</v>
      </c>
      <c r="E36" s="345">
        <v>1</v>
      </c>
      <c r="F36" s="168">
        <v>0</v>
      </c>
      <c r="G36" s="345">
        <v>1</v>
      </c>
      <c r="H36" s="168">
        <v>0</v>
      </c>
      <c r="I36" s="168">
        <v>0</v>
      </c>
      <c r="J36" s="168">
        <v>0</v>
      </c>
      <c r="K36" s="119"/>
      <c r="L36" s="119"/>
      <c r="M36" s="119"/>
      <c r="N36" s="119"/>
      <c r="O36" s="119"/>
      <c r="P36" s="119"/>
      <c r="Q36" s="119"/>
      <c r="R36" s="119"/>
      <c r="S36" s="119"/>
      <c r="T36" s="119"/>
    </row>
    <row r="37" spans="1:20" ht="57">
      <c r="A37" s="343" t="s">
        <v>206</v>
      </c>
      <c r="B37" s="345" t="s">
        <v>890</v>
      </c>
      <c r="C37" s="159" t="s">
        <v>70</v>
      </c>
      <c r="D37" s="159" t="s">
        <v>70</v>
      </c>
      <c r="E37" s="159" t="s">
        <v>70</v>
      </c>
      <c r="F37" s="159" t="s">
        <v>70</v>
      </c>
      <c r="G37" s="159" t="s">
        <v>70</v>
      </c>
      <c r="H37" s="159" t="s">
        <v>70</v>
      </c>
      <c r="I37" s="159" t="s">
        <v>70</v>
      </c>
      <c r="J37" s="159" t="s">
        <v>70</v>
      </c>
      <c r="K37" s="119"/>
      <c r="L37" s="119"/>
      <c r="M37" s="119"/>
      <c r="N37" s="119"/>
      <c r="O37" s="119"/>
      <c r="P37" s="119"/>
      <c r="Q37" s="119"/>
      <c r="R37" s="119"/>
      <c r="S37" s="119"/>
      <c r="T37" s="119"/>
    </row>
    <row r="38" spans="1:20">
      <c r="A38" s="347" t="s">
        <v>208</v>
      </c>
      <c r="B38" s="348" t="s">
        <v>209</v>
      </c>
      <c r="C38" s="159" t="s">
        <v>70</v>
      </c>
      <c r="D38" s="345" t="s">
        <v>891</v>
      </c>
      <c r="E38" s="159" t="s">
        <v>70</v>
      </c>
      <c r="F38" s="345" t="s">
        <v>70</v>
      </c>
      <c r="G38" s="159" t="s">
        <v>70</v>
      </c>
      <c r="H38" s="345" t="s">
        <v>70</v>
      </c>
      <c r="I38" s="345" t="s">
        <v>70</v>
      </c>
      <c r="J38" s="345" t="s">
        <v>70</v>
      </c>
      <c r="K38" s="119"/>
      <c r="L38" s="119"/>
      <c r="M38" s="119"/>
      <c r="N38" s="119"/>
      <c r="O38" s="119"/>
      <c r="P38" s="119"/>
      <c r="Q38" s="119"/>
      <c r="R38" s="119"/>
      <c r="S38" s="119"/>
      <c r="T38" s="119"/>
    </row>
    <row r="39" spans="1:20" ht="102.6">
      <c r="A39" s="343" t="s">
        <v>210</v>
      </c>
      <c r="B39" s="345" t="s">
        <v>892</v>
      </c>
      <c r="C39" s="159" t="s">
        <v>70</v>
      </c>
      <c r="D39" s="159" t="s">
        <v>70</v>
      </c>
      <c r="E39" s="116" t="s">
        <v>893</v>
      </c>
      <c r="F39" s="116" t="s">
        <v>894</v>
      </c>
      <c r="G39" s="159" t="s">
        <v>70</v>
      </c>
      <c r="H39" s="159" t="s">
        <v>70</v>
      </c>
      <c r="I39" s="159" t="s">
        <v>70</v>
      </c>
      <c r="J39" s="159" t="s">
        <v>895</v>
      </c>
      <c r="K39" s="119"/>
      <c r="L39" s="119"/>
      <c r="M39" s="119"/>
      <c r="N39" s="119"/>
      <c r="O39" s="119"/>
      <c r="P39" s="119"/>
      <c r="Q39" s="119"/>
      <c r="R39" s="119"/>
      <c r="S39" s="119"/>
      <c r="T39" s="119"/>
    </row>
    <row r="40" spans="1:20" ht="79.8">
      <c r="A40" s="343" t="s">
        <v>211</v>
      </c>
      <c r="B40" s="345" t="s">
        <v>896</v>
      </c>
      <c r="C40" s="164" t="s">
        <v>897</v>
      </c>
      <c r="D40" s="159" t="s">
        <v>70</v>
      </c>
      <c r="E40" s="164" t="s">
        <v>898</v>
      </c>
      <c r="F40" s="159" t="s">
        <v>70</v>
      </c>
      <c r="G40" s="164" t="s">
        <v>899</v>
      </c>
      <c r="H40" s="159" t="s">
        <v>70</v>
      </c>
      <c r="I40" s="159" t="s">
        <v>70</v>
      </c>
      <c r="J40" s="159" t="s">
        <v>895</v>
      </c>
      <c r="K40" s="119"/>
      <c r="L40" s="119"/>
      <c r="M40" s="119"/>
      <c r="N40" s="119"/>
      <c r="O40" s="119"/>
      <c r="P40" s="119"/>
      <c r="Q40" s="119"/>
      <c r="R40" s="119"/>
      <c r="S40" s="119"/>
      <c r="T40" s="119"/>
    </row>
    <row r="41" spans="1:20" ht="22.8">
      <c r="A41" s="343" t="s">
        <v>212</v>
      </c>
      <c r="B41" s="345" t="s">
        <v>900</v>
      </c>
      <c r="C41" s="135" t="s">
        <v>70</v>
      </c>
      <c r="D41" s="135" t="s">
        <v>70</v>
      </c>
      <c r="E41" s="135" t="s">
        <v>70</v>
      </c>
      <c r="F41" s="135" t="s">
        <v>70</v>
      </c>
      <c r="G41" s="135" t="s">
        <v>70</v>
      </c>
      <c r="H41" s="135" t="s">
        <v>70</v>
      </c>
      <c r="I41" s="135" t="s">
        <v>70</v>
      </c>
      <c r="J41" s="135" t="s">
        <v>70</v>
      </c>
      <c r="K41" s="119"/>
      <c r="L41" s="119"/>
      <c r="M41" s="119"/>
      <c r="N41" s="119"/>
      <c r="O41" s="119"/>
      <c r="P41" s="119"/>
      <c r="Q41" s="119"/>
      <c r="R41" s="119"/>
      <c r="S41" s="119"/>
      <c r="T41" s="119"/>
    </row>
    <row r="42" spans="1:20" ht="34.200000000000003">
      <c r="A42" s="343" t="s">
        <v>214</v>
      </c>
      <c r="B42" s="345" t="s">
        <v>901</v>
      </c>
      <c r="C42" s="135" t="s">
        <v>70</v>
      </c>
      <c r="D42" s="135" t="s">
        <v>70</v>
      </c>
      <c r="E42" s="135" t="s">
        <v>70</v>
      </c>
      <c r="F42" s="135" t="s">
        <v>70</v>
      </c>
      <c r="G42" s="135" t="s">
        <v>70</v>
      </c>
      <c r="H42" s="135" t="s">
        <v>70</v>
      </c>
      <c r="I42" s="135" t="s">
        <v>70</v>
      </c>
      <c r="J42" s="135" t="s">
        <v>70</v>
      </c>
      <c r="K42" s="119"/>
      <c r="L42" s="119"/>
      <c r="M42" s="119"/>
      <c r="N42" s="119"/>
      <c r="O42" s="119"/>
      <c r="P42" s="119"/>
      <c r="Q42" s="119"/>
      <c r="R42" s="119"/>
      <c r="S42" s="119"/>
      <c r="T42" s="119"/>
    </row>
    <row r="43" spans="1:20" ht="22.8">
      <c r="A43" s="343" t="s">
        <v>215</v>
      </c>
      <c r="B43" s="345" t="s">
        <v>902</v>
      </c>
      <c r="C43" s="135" t="s">
        <v>70</v>
      </c>
      <c r="D43" s="135" t="s">
        <v>70</v>
      </c>
      <c r="E43" s="135" t="s">
        <v>70</v>
      </c>
      <c r="F43" s="135" t="s">
        <v>70</v>
      </c>
      <c r="G43" s="135" t="s">
        <v>70</v>
      </c>
      <c r="H43" s="135" t="s">
        <v>70</v>
      </c>
      <c r="I43" s="135" t="s">
        <v>70</v>
      </c>
      <c r="J43" s="135" t="s">
        <v>70</v>
      </c>
      <c r="K43" s="119"/>
      <c r="L43" s="119"/>
    </row>
  </sheetData>
  <mergeCells count="2">
    <mergeCell ref="A2:A3"/>
    <mergeCell ref="B2:B3"/>
  </mergeCells>
  <phoneticPr fontId="15" type="noConversion"/>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40"/>
  <sheetViews>
    <sheetView workbookViewId="0">
      <pane xSplit="2" ySplit="3" topLeftCell="C4" activePane="bottomRight" state="frozen"/>
      <selection pane="topRight" activeCell="C1" sqref="C1"/>
      <selection pane="bottomLeft" activeCell="A4" sqref="A4"/>
      <selection pane="bottomRight" activeCell="D19" sqref="D19"/>
    </sheetView>
  </sheetViews>
  <sheetFormatPr defaultColWidth="9.44140625" defaultRowHeight="15.6"/>
  <cols>
    <col min="1" max="1" width="29.44140625" style="108" customWidth="1"/>
    <col min="2" max="2" width="43" style="108" customWidth="1"/>
    <col min="3" max="21" width="31.44140625" style="109" customWidth="1"/>
    <col min="22" max="16384" width="9.44140625" style="108"/>
  </cols>
  <sheetData>
    <row r="1" spans="1:21">
      <c r="A1" s="328" t="s">
        <v>63</v>
      </c>
      <c r="B1" s="329"/>
    </row>
    <row r="2" spans="1:21" s="157" customFormat="1" ht="24" customHeight="1">
      <c r="A2" s="403" t="s">
        <v>64</v>
      </c>
      <c r="B2" s="405" t="s">
        <v>217</v>
      </c>
      <c r="C2" s="330" t="s">
        <v>903</v>
      </c>
      <c r="D2" s="331" t="s">
        <v>904</v>
      </c>
      <c r="E2" s="331" t="s">
        <v>905</v>
      </c>
      <c r="F2" s="331" t="s">
        <v>905</v>
      </c>
      <c r="G2" s="225" t="s">
        <v>17</v>
      </c>
      <c r="H2" s="349" t="s">
        <v>906</v>
      </c>
      <c r="I2" s="225" t="s">
        <v>907</v>
      </c>
      <c r="J2" s="112"/>
      <c r="K2" s="112"/>
      <c r="L2" s="112"/>
      <c r="M2" s="112"/>
      <c r="N2" s="112"/>
      <c r="O2" s="112"/>
      <c r="P2" s="112"/>
      <c r="Q2" s="112"/>
      <c r="R2" s="112"/>
      <c r="S2" s="112"/>
      <c r="T2" s="112"/>
      <c r="U2" s="112"/>
    </row>
    <row r="3" spans="1:21" s="157" customFormat="1" ht="10.5" customHeight="1">
      <c r="A3" s="404"/>
      <c r="B3" s="406"/>
      <c r="C3" s="333" t="s">
        <v>908</v>
      </c>
      <c r="D3" s="350" t="s">
        <v>909</v>
      </c>
      <c r="E3" s="334" t="s">
        <v>909</v>
      </c>
      <c r="F3" s="351" t="s">
        <v>910</v>
      </c>
      <c r="G3" s="335" t="s">
        <v>66</v>
      </c>
      <c r="H3" s="352" t="s">
        <v>911</v>
      </c>
      <c r="I3" s="335" t="s">
        <v>66</v>
      </c>
      <c r="J3" s="112"/>
      <c r="K3" s="112"/>
      <c r="L3" s="112"/>
      <c r="M3" s="112"/>
      <c r="N3" s="112"/>
      <c r="O3" s="112"/>
      <c r="P3" s="112"/>
      <c r="Q3" s="112"/>
      <c r="R3" s="112"/>
      <c r="S3" s="112"/>
      <c r="T3" s="112"/>
      <c r="U3" s="112"/>
    </row>
    <row r="4" spans="1:21">
      <c r="A4" s="119" t="s">
        <v>68</v>
      </c>
      <c r="B4" s="159" t="s">
        <v>69</v>
      </c>
      <c r="C4" s="160" t="s">
        <v>70</v>
      </c>
      <c r="D4" s="160" t="s">
        <v>70</v>
      </c>
      <c r="E4" s="160" t="s">
        <v>70</v>
      </c>
      <c r="F4" s="160" t="s">
        <v>70</v>
      </c>
      <c r="G4" s="160" t="s">
        <v>70</v>
      </c>
      <c r="H4" s="160" t="s">
        <v>70</v>
      </c>
      <c r="I4" s="160" t="s">
        <v>70</v>
      </c>
      <c r="J4" s="119"/>
      <c r="K4" s="119"/>
      <c r="L4" s="119"/>
      <c r="M4" s="119"/>
      <c r="N4" s="119"/>
      <c r="O4" s="119"/>
      <c r="P4" s="119"/>
      <c r="Q4" s="119"/>
      <c r="R4" s="119"/>
      <c r="S4" s="119"/>
      <c r="T4" s="119"/>
      <c r="U4" s="119"/>
    </row>
    <row r="5" spans="1:21">
      <c r="A5" s="119" t="s">
        <v>71</v>
      </c>
      <c r="B5" s="159"/>
      <c r="C5" s="160" t="s">
        <v>912</v>
      </c>
      <c r="D5" s="160" t="s">
        <v>913</v>
      </c>
      <c r="E5" s="160" t="s">
        <v>913</v>
      </c>
      <c r="F5" s="160" t="s">
        <v>73</v>
      </c>
      <c r="G5" s="160" t="s">
        <v>73</v>
      </c>
      <c r="H5" s="160" t="s">
        <v>73</v>
      </c>
      <c r="I5" s="160" t="s">
        <v>73</v>
      </c>
      <c r="J5" s="119"/>
      <c r="K5" s="119"/>
      <c r="L5" s="119"/>
      <c r="M5" s="119"/>
      <c r="N5" s="119"/>
      <c r="O5" s="119"/>
      <c r="P5" s="119"/>
      <c r="Q5" s="119"/>
      <c r="R5" s="119"/>
      <c r="S5" s="119"/>
      <c r="T5" s="119"/>
      <c r="U5" s="119"/>
    </row>
    <row r="6" spans="1:21">
      <c r="A6" s="144" t="s">
        <v>74</v>
      </c>
      <c r="B6" s="159" t="s">
        <v>75</v>
      </c>
      <c r="C6" s="160" t="s">
        <v>70</v>
      </c>
      <c r="D6" s="160" t="s">
        <v>70</v>
      </c>
      <c r="E6" s="160" t="s">
        <v>70</v>
      </c>
      <c r="F6" s="160" t="s">
        <v>70</v>
      </c>
      <c r="G6" s="160" t="s">
        <v>70</v>
      </c>
      <c r="H6" s="160" t="s">
        <v>70</v>
      </c>
      <c r="I6" s="160" t="s">
        <v>70</v>
      </c>
      <c r="J6" s="119"/>
      <c r="K6" s="119"/>
      <c r="L6" s="119"/>
      <c r="M6" s="119"/>
      <c r="N6" s="119"/>
      <c r="O6" s="119"/>
      <c r="P6" s="119"/>
      <c r="Q6" s="119"/>
      <c r="R6" s="119"/>
      <c r="S6" s="119"/>
      <c r="T6" s="119"/>
      <c r="U6" s="119"/>
    </row>
    <row r="7" spans="1:21">
      <c r="A7" s="144" t="s">
        <v>76</v>
      </c>
      <c r="B7" s="159" t="s">
        <v>219</v>
      </c>
      <c r="C7" s="160" t="s">
        <v>70</v>
      </c>
      <c r="D7" s="160" t="s">
        <v>70</v>
      </c>
      <c r="E7" s="160" t="s">
        <v>70</v>
      </c>
      <c r="F7" s="160" t="s">
        <v>70</v>
      </c>
      <c r="G7" s="160" t="s">
        <v>70</v>
      </c>
      <c r="H7" s="160" t="s">
        <v>70</v>
      </c>
      <c r="I7" s="160" t="s">
        <v>70</v>
      </c>
      <c r="J7" s="119"/>
      <c r="K7" s="119"/>
      <c r="L7" s="119"/>
      <c r="M7" s="119"/>
      <c r="N7" s="119"/>
      <c r="O7" s="119"/>
      <c r="P7" s="119"/>
      <c r="Q7" s="119"/>
      <c r="R7" s="119"/>
      <c r="S7" s="119"/>
      <c r="T7" s="119"/>
      <c r="U7" s="119"/>
    </row>
    <row r="8" spans="1:21" ht="34.200000000000003">
      <c r="A8" s="119" t="s">
        <v>220</v>
      </c>
      <c r="B8" s="116" t="s">
        <v>79</v>
      </c>
      <c r="C8" s="160" t="s">
        <v>70</v>
      </c>
      <c r="D8" s="160" t="s">
        <v>70</v>
      </c>
      <c r="E8" s="160" t="s">
        <v>70</v>
      </c>
      <c r="F8" s="160" t="s">
        <v>70</v>
      </c>
      <c r="G8" s="160" t="s">
        <v>70</v>
      </c>
      <c r="H8" s="160" t="s">
        <v>70</v>
      </c>
      <c r="I8" s="160" t="s">
        <v>70</v>
      </c>
      <c r="J8" s="119"/>
      <c r="K8" s="119"/>
      <c r="L8" s="119"/>
      <c r="M8" s="119"/>
      <c r="N8" s="119"/>
      <c r="O8" s="119"/>
      <c r="P8" s="119"/>
      <c r="Q8" s="119"/>
      <c r="R8" s="119"/>
      <c r="S8" s="119"/>
      <c r="T8" s="119"/>
      <c r="U8" s="119"/>
    </row>
    <row r="9" spans="1:21" ht="22.8">
      <c r="A9" s="144" t="s">
        <v>80</v>
      </c>
      <c r="B9" s="116" t="s">
        <v>820</v>
      </c>
      <c r="C9" s="160" t="s">
        <v>914</v>
      </c>
      <c r="D9" s="160" t="s">
        <v>915</v>
      </c>
      <c r="E9" s="160" t="s">
        <v>916</v>
      </c>
      <c r="F9" s="160" t="s">
        <v>917</v>
      </c>
      <c r="G9" s="160" t="s">
        <v>918</v>
      </c>
      <c r="H9" s="160" t="s">
        <v>917</v>
      </c>
      <c r="I9" s="160" t="s">
        <v>918</v>
      </c>
      <c r="J9" s="119"/>
      <c r="K9" s="119"/>
      <c r="L9" s="119"/>
      <c r="M9" s="119"/>
      <c r="N9" s="119"/>
      <c r="O9" s="119"/>
      <c r="P9" s="119"/>
      <c r="Q9" s="119"/>
      <c r="R9" s="119"/>
      <c r="S9" s="119"/>
      <c r="T9" s="119"/>
      <c r="U9" s="119"/>
    </row>
    <row r="10" spans="1:21" ht="22.8">
      <c r="A10" s="118" t="s">
        <v>89</v>
      </c>
      <c r="B10" s="353"/>
      <c r="C10" s="160" t="s">
        <v>919</v>
      </c>
      <c r="D10" s="160" t="s">
        <v>919</v>
      </c>
      <c r="E10" s="160" t="s">
        <v>919</v>
      </c>
      <c r="F10" s="160" t="s">
        <v>825</v>
      </c>
      <c r="G10" s="160" t="s">
        <v>825</v>
      </c>
      <c r="H10" s="160" t="s">
        <v>825</v>
      </c>
      <c r="I10" s="160" t="s">
        <v>920</v>
      </c>
      <c r="J10" s="119"/>
      <c r="K10" s="119"/>
      <c r="L10" s="119"/>
      <c r="M10" s="119"/>
      <c r="N10" s="119"/>
      <c r="O10" s="119"/>
      <c r="P10" s="119"/>
      <c r="Q10" s="119"/>
      <c r="R10" s="119"/>
      <c r="S10" s="119"/>
      <c r="T10" s="119"/>
      <c r="U10" s="119"/>
    </row>
    <row r="11" spans="1:21" ht="17.25" customHeight="1">
      <c r="A11" s="144" t="s">
        <v>93</v>
      </c>
      <c r="B11" s="160" t="s">
        <v>827</v>
      </c>
      <c r="C11" s="160" t="s">
        <v>70</v>
      </c>
      <c r="D11" s="160" t="s">
        <v>921</v>
      </c>
      <c r="E11" s="160" t="s">
        <v>921</v>
      </c>
      <c r="F11" s="160" t="s">
        <v>70</v>
      </c>
      <c r="G11" s="160" t="s">
        <v>70</v>
      </c>
      <c r="H11" s="160" t="s">
        <v>922</v>
      </c>
      <c r="I11" s="160" t="s">
        <v>70</v>
      </c>
      <c r="J11" s="119"/>
      <c r="K11" s="119"/>
      <c r="L11" s="119"/>
      <c r="M11" s="119"/>
      <c r="N11" s="119"/>
      <c r="O11" s="119"/>
      <c r="P11" s="119"/>
      <c r="Q11" s="119"/>
      <c r="R11" s="119"/>
      <c r="S11" s="119"/>
      <c r="T11" s="119"/>
      <c r="U11" s="119"/>
    </row>
    <row r="12" spans="1:21" ht="30" customHeight="1">
      <c r="A12" s="118" t="s">
        <v>830</v>
      </c>
      <c r="B12" s="160" t="s">
        <v>831</v>
      </c>
      <c r="C12" s="160" t="s">
        <v>70</v>
      </c>
      <c r="D12" s="160" t="s">
        <v>921</v>
      </c>
      <c r="E12" s="160" t="s">
        <v>921</v>
      </c>
      <c r="F12" s="160" t="s">
        <v>70</v>
      </c>
      <c r="G12" s="160" t="s">
        <v>70</v>
      </c>
      <c r="H12" s="160" t="s">
        <v>70</v>
      </c>
      <c r="I12" s="160" t="s">
        <v>70</v>
      </c>
      <c r="J12" s="119"/>
      <c r="K12" s="119"/>
      <c r="L12" s="119"/>
      <c r="M12" s="119"/>
      <c r="N12" s="119"/>
      <c r="O12" s="119"/>
      <c r="P12" s="119"/>
      <c r="Q12" s="119"/>
      <c r="R12" s="119"/>
      <c r="S12" s="119"/>
      <c r="T12" s="119"/>
      <c r="U12" s="119"/>
    </row>
    <row r="13" spans="1:21">
      <c r="A13" s="144" t="s">
        <v>98</v>
      </c>
      <c r="B13" s="159"/>
      <c r="C13" s="160" t="s">
        <v>923</v>
      </c>
      <c r="D13" s="160" t="s">
        <v>924</v>
      </c>
      <c r="E13" s="160" t="s">
        <v>924</v>
      </c>
      <c r="F13" s="160" t="s">
        <v>926</v>
      </c>
      <c r="G13" s="160" t="s">
        <v>100</v>
      </c>
      <c r="H13" s="160" t="s">
        <v>927</v>
      </c>
      <c r="I13" s="160" t="s">
        <v>928</v>
      </c>
      <c r="J13" s="119"/>
      <c r="K13" s="119"/>
      <c r="L13" s="119"/>
      <c r="M13" s="119"/>
      <c r="N13" s="119"/>
      <c r="O13" s="119"/>
      <c r="P13" s="119"/>
      <c r="Q13" s="119"/>
      <c r="R13" s="119"/>
      <c r="S13" s="119"/>
      <c r="T13" s="119"/>
      <c r="U13" s="119"/>
    </row>
    <row r="14" spans="1:21">
      <c r="A14" s="144" t="s">
        <v>105</v>
      </c>
      <c r="B14" s="338" t="s">
        <v>227</v>
      </c>
      <c r="C14" s="338" t="s">
        <v>929</v>
      </c>
      <c r="D14" s="338" t="s">
        <v>929</v>
      </c>
      <c r="E14" s="338" t="s">
        <v>929</v>
      </c>
      <c r="F14" s="338" t="s">
        <v>930</v>
      </c>
      <c r="G14" s="338" t="s">
        <v>228</v>
      </c>
      <c r="H14" s="338" t="s">
        <v>931</v>
      </c>
      <c r="I14" s="338" t="s">
        <v>932</v>
      </c>
      <c r="J14" s="119"/>
      <c r="K14" s="119"/>
      <c r="L14" s="119"/>
      <c r="M14" s="119"/>
      <c r="N14" s="119"/>
      <c r="O14" s="119"/>
      <c r="P14" s="119"/>
      <c r="Q14" s="119"/>
      <c r="R14" s="119"/>
      <c r="S14" s="119"/>
      <c r="T14" s="119"/>
      <c r="U14" s="119"/>
    </row>
    <row r="15" spans="1:21" ht="22.8">
      <c r="A15" s="144" t="s">
        <v>232</v>
      </c>
      <c r="B15" s="159"/>
      <c r="C15" s="339" t="s">
        <v>933</v>
      </c>
      <c r="D15" s="338" t="s">
        <v>934</v>
      </c>
      <c r="E15" s="338" t="s">
        <v>936</v>
      </c>
      <c r="F15" s="339" t="s">
        <v>127</v>
      </c>
      <c r="G15" s="338" t="s">
        <v>937</v>
      </c>
      <c r="H15" s="339" t="s">
        <v>127</v>
      </c>
      <c r="I15" s="338" t="s">
        <v>938</v>
      </c>
      <c r="J15" s="119"/>
      <c r="K15" s="119"/>
      <c r="L15" s="119"/>
      <c r="M15" s="119"/>
      <c r="N15" s="119"/>
      <c r="O15" s="119"/>
      <c r="P15" s="119"/>
      <c r="Q15" s="119"/>
      <c r="R15" s="119"/>
      <c r="S15" s="119"/>
      <c r="T15" s="119"/>
      <c r="U15" s="119"/>
    </row>
    <row r="16" spans="1:21">
      <c r="A16" s="144" t="s">
        <v>132</v>
      </c>
      <c r="B16" s="159"/>
      <c r="C16" s="338" t="s">
        <v>935</v>
      </c>
      <c r="D16" s="338" t="s">
        <v>935</v>
      </c>
      <c r="E16" s="338" t="s">
        <v>935</v>
      </c>
      <c r="F16" s="338" t="s">
        <v>939</v>
      </c>
      <c r="G16" s="338" t="s">
        <v>854</v>
      </c>
      <c r="H16" s="338" t="s">
        <v>940</v>
      </c>
      <c r="I16" s="338" t="s">
        <v>941</v>
      </c>
      <c r="J16" s="119"/>
      <c r="K16" s="119"/>
      <c r="L16" s="119"/>
      <c r="M16" s="119"/>
      <c r="N16" s="119"/>
      <c r="O16" s="119"/>
      <c r="P16" s="119"/>
      <c r="Q16" s="119"/>
      <c r="R16" s="119"/>
      <c r="S16" s="119"/>
      <c r="T16" s="119"/>
      <c r="U16" s="119"/>
    </row>
    <row r="17" spans="1:21" ht="22.8">
      <c r="A17" s="144" t="s">
        <v>136</v>
      </c>
      <c r="B17" s="159"/>
      <c r="C17" s="338" t="s">
        <v>942</v>
      </c>
      <c r="D17" s="338" t="s">
        <v>943</v>
      </c>
      <c r="E17" s="338" t="s">
        <v>942</v>
      </c>
      <c r="F17" s="338" t="s">
        <v>944</v>
      </c>
      <c r="G17" s="338" t="s">
        <v>945</v>
      </c>
      <c r="H17" s="338" t="s">
        <v>944</v>
      </c>
      <c r="I17" s="338" t="s">
        <v>941</v>
      </c>
      <c r="J17" s="119"/>
      <c r="K17" s="119"/>
      <c r="L17" s="119"/>
      <c r="M17" s="119"/>
      <c r="N17" s="119"/>
      <c r="O17" s="119"/>
      <c r="P17" s="119"/>
      <c r="Q17" s="119"/>
      <c r="R17" s="119"/>
      <c r="S17" s="119"/>
      <c r="T17" s="119"/>
      <c r="U17" s="119"/>
    </row>
    <row r="18" spans="1:21" ht="22.8">
      <c r="A18" s="119" t="s">
        <v>141</v>
      </c>
      <c r="B18" s="116" t="s">
        <v>142</v>
      </c>
      <c r="C18" s="160" t="s">
        <v>70</v>
      </c>
      <c r="D18" s="160" t="s">
        <v>70</v>
      </c>
      <c r="E18" s="160" t="s">
        <v>70</v>
      </c>
      <c r="F18" s="160" t="s">
        <v>70</v>
      </c>
      <c r="G18" s="160" t="s">
        <v>70</v>
      </c>
      <c r="H18" s="160" t="s">
        <v>70</v>
      </c>
      <c r="I18" s="160" t="s">
        <v>70</v>
      </c>
      <c r="J18" s="119"/>
      <c r="K18" s="119"/>
      <c r="L18" s="119"/>
      <c r="M18" s="119"/>
      <c r="N18" s="119"/>
      <c r="O18" s="119"/>
      <c r="P18" s="119"/>
      <c r="Q18" s="119"/>
      <c r="R18" s="119"/>
      <c r="S18" s="119"/>
      <c r="T18" s="119"/>
      <c r="U18" s="119"/>
    </row>
    <row r="19" spans="1:21" ht="68.400000000000006">
      <c r="A19" s="144" t="s">
        <v>143</v>
      </c>
      <c r="B19" s="116" t="s">
        <v>144</v>
      </c>
      <c r="C19" s="338" t="s">
        <v>946</v>
      </c>
      <c r="D19" s="160" t="s">
        <v>947</v>
      </c>
      <c r="E19" s="338" t="s">
        <v>948</v>
      </c>
      <c r="F19" s="338" t="s">
        <v>949</v>
      </c>
      <c r="G19" s="338" t="s">
        <v>950</v>
      </c>
      <c r="H19" s="338" t="s">
        <v>951</v>
      </c>
      <c r="I19" s="338" t="s">
        <v>952</v>
      </c>
      <c r="J19" s="119"/>
      <c r="K19" s="119"/>
      <c r="L19" s="119"/>
      <c r="M19" s="119"/>
      <c r="N19" s="119"/>
      <c r="O19" s="119"/>
      <c r="P19" s="119"/>
      <c r="Q19" s="119"/>
      <c r="R19" s="119"/>
      <c r="S19" s="119"/>
      <c r="T19" s="119"/>
      <c r="U19" s="119"/>
    </row>
    <row r="20" spans="1:21" ht="60" customHeight="1">
      <c r="A20" s="343" t="s">
        <v>172</v>
      </c>
      <c r="B20" s="343" t="s">
        <v>173</v>
      </c>
      <c r="C20" s="118" t="s">
        <v>953</v>
      </c>
      <c r="D20" s="118" t="s">
        <v>953</v>
      </c>
      <c r="E20" s="118" t="s">
        <v>954</v>
      </c>
      <c r="F20" s="118" t="s">
        <v>955</v>
      </c>
      <c r="G20" s="118" t="s">
        <v>956</v>
      </c>
      <c r="H20" s="118" t="s">
        <v>879</v>
      </c>
      <c r="I20" s="118" t="s">
        <v>957</v>
      </c>
      <c r="J20" s="119"/>
      <c r="K20" s="119"/>
      <c r="L20" s="119"/>
      <c r="M20" s="119"/>
      <c r="N20" s="119"/>
      <c r="O20" s="119"/>
      <c r="P20" s="119"/>
      <c r="Q20" s="119"/>
      <c r="R20" s="119"/>
      <c r="S20" s="119"/>
      <c r="T20" s="119"/>
      <c r="U20" s="119"/>
    </row>
    <row r="21" spans="1:21" ht="71.25" customHeight="1">
      <c r="A21" s="343" t="s">
        <v>183</v>
      </c>
      <c r="B21" s="343" t="s">
        <v>184</v>
      </c>
      <c r="C21" s="118" t="s">
        <v>958</v>
      </c>
      <c r="D21" s="118" t="s">
        <v>959</v>
      </c>
      <c r="E21" s="118" t="s">
        <v>960</v>
      </c>
      <c r="F21" s="118" t="s">
        <v>958</v>
      </c>
      <c r="G21" s="118" t="s">
        <v>961</v>
      </c>
      <c r="H21" s="118" t="s">
        <v>962</v>
      </c>
      <c r="I21" s="118" t="s">
        <v>963</v>
      </c>
      <c r="J21" s="119"/>
      <c r="K21" s="119"/>
      <c r="L21" s="119"/>
      <c r="M21" s="119"/>
      <c r="N21" s="119"/>
      <c r="O21" s="119"/>
      <c r="P21" s="119"/>
      <c r="Q21" s="119"/>
      <c r="R21" s="119"/>
      <c r="S21" s="119"/>
      <c r="T21" s="119"/>
      <c r="U21" s="119"/>
    </row>
    <row r="22" spans="1:21" ht="15" customHeight="1">
      <c r="A22" s="343" t="s">
        <v>163</v>
      </c>
      <c r="B22" s="345">
        <v>1</v>
      </c>
      <c r="C22" s="160" t="s">
        <v>70</v>
      </c>
      <c r="D22" s="160" t="s">
        <v>70</v>
      </c>
      <c r="E22" s="160" t="s">
        <v>70</v>
      </c>
      <c r="F22" s="160" t="s">
        <v>70</v>
      </c>
      <c r="G22" s="160" t="s">
        <v>70</v>
      </c>
      <c r="H22" s="160" t="s">
        <v>70</v>
      </c>
      <c r="I22" s="160" t="s">
        <v>70</v>
      </c>
      <c r="J22" s="119"/>
      <c r="K22" s="119"/>
      <c r="L22" s="119"/>
      <c r="M22" s="119"/>
      <c r="N22" s="119"/>
      <c r="O22" s="119"/>
      <c r="P22" s="119"/>
      <c r="Q22" s="119"/>
      <c r="R22" s="119"/>
      <c r="S22" s="119"/>
      <c r="T22" s="119"/>
      <c r="U22" s="119"/>
    </row>
    <row r="23" spans="1:21" ht="33" customHeight="1">
      <c r="A23" s="343" t="s">
        <v>273</v>
      </c>
      <c r="B23" s="343"/>
      <c r="C23" s="164" t="s">
        <v>964</v>
      </c>
      <c r="D23" s="164" t="s">
        <v>964</v>
      </c>
      <c r="E23" s="164" t="s">
        <v>964</v>
      </c>
      <c r="F23" s="164" t="s">
        <v>274</v>
      </c>
      <c r="G23" s="164" t="s">
        <v>274</v>
      </c>
      <c r="H23" s="164" t="s">
        <v>274</v>
      </c>
      <c r="I23" s="164" t="s">
        <v>274</v>
      </c>
      <c r="J23" s="119"/>
      <c r="K23" s="119"/>
      <c r="L23" s="119"/>
      <c r="M23" s="119"/>
      <c r="N23" s="119"/>
      <c r="O23" s="119"/>
      <c r="P23" s="119"/>
      <c r="Q23" s="119"/>
      <c r="R23" s="119"/>
      <c r="S23" s="119"/>
      <c r="T23" s="119"/>
      <c r="U23" s="119"/>
    </row>
    <row r="24" spans="1:21">
      <c r="A24" s="119" t="s">
        <v>188</v>
      </c>
      <c r="B24" s="159" t="s">
        <v>189</v>
      </c>
      <c r="C24" s="160" t="s">
        <v>70</v>
      </c>
      <c r="D24" s="160" t="s">
        <v>70</v>
      </c>
      <c r="E24" s="160" t="s">
        <v>70</v>
      </c>
      <c r="F24" s="160" t="s">
        <v>70</v>
      </c>
      <c r="G24" s="160" t="s">
        <v>70</v>
      </c>
      <c r="H24" s="160" t="s">
        <v>70</v>
      </c>
      <c r="I24" s="160" t="s">
        <v>70</v>
      </c>
      <c r="J24" s="119"/>
      <c r="K24" s="119"/>
      <c r="L24" s="119"/>
      <c r="M24" s="119"/>
      <c r="N24" s="119"/>
      <c r="O24" s="119"/>
      <c r="P24" s="119"/>
      <c r="Q24" s="119"/>
      <c r="R24" s="119"/>
      <c r="S24" s="119"/>
      <c r="T24" s="119"/>
      <c r="U24" s="119"/>
    </row>
    <row r="25" spans="1:21">
      <c r="A25" s="119" t="s">
        <v>190</v>
      </c>
      <c r="B25" s="159" t="s">
        <v>191</v>
      </c>
      <c r="C25" s="160" t="s">
        <v>70</v>
      </c>
      <c r="D25" s="160" t="s">
        <v>70</v>
      </c>
      <c r="E25" s="160" t="s">
        <v>70</v>
      </c>
      <c r="F25" s="160" t="s">
        <v>70</v>
      </c>
      <c r="G25" s="160" t="s">
        <v>70</v>
      </c>
      <c r="H25" s="160" t="s">
        <v>70</v>
      </c>
      <c r="I25" s="160" t="s">
        <v>70</v>
      </c>
      <c r="J25" s="119"/>
      <c r="K25" s="119"/>
      <c r="L25" s="119"/>
      <c r="M25" s="119"/>
      <c r="N25" s="119"/>
      <c r="O25" s="119"/>
      <c r="P25" s="119"/>
      <c r="Q25" s="119"/>
      <c r="R25" s="119"/>
      <c r="S25" s="119"/>
      <c r="T25" s="119"/>
      <c r="U25" s="119"/>
    </row>
    <row r="26" spans="1:21">
      <c r="A26" s="119" t="s">
        <v>193</v>
      </c>
      <c r="B26" s="159"/>
      <c r="C26" s="160" t="s">
        <v>965</v>
      </c>
      <c r="D26" s="160" t="s">
        <v>965</v>
      </c>
      <c r="E26" s="119" t="s">
        <v>966</v>
      </c>
      <c r="F26" s="119" t="s">
        <v>194</v>
      </c>
      <c r="G26" s="119" t="s">
        <v>194</v>
      </c>
      <c r="H26" s="119" t="s">
        <v>194</v>
      </c>
      <c r="I26" s="119" t="s">
        <v>194</v>
      </c>
      <c r="J26" s="119"/>
      <c r="K26" s="119"/>
      <c r="L26" s="119"/>
      <c r="M26" s="119"/>
      <c r="N26" s="119"/>
      <c r="O26" s="119"/>
      <c r="P26" s="119"/>
      <c r="Q26" s="119"/>
      <c r="R26" s="119"/>
      <c r="S26" s="119"/>
      <c r="T26" s="119"/>
      <c r="U26" s="119"/>
    </row>
    <row r="27" spans="1:21" ht="22.8">
      <c r="A27" s="119" t="s">
        <v>278</v>
      </c>
      <c r="B27" s="159"/>
      <c r="C27" s="164" t="s">
        <v>967</v>
      </c>
      <c r="D27" s="164" t="s">
        <v>967</v>
      </c>
      <c r="E27" s="164" t="s">
        <v>968</v>
      </c>
      <c r="F27" s="164" t="s">
        <v>280</v>
      </c>
      <c r="G27" s="164" t="s">
        <v>969</v>
      </c>
      <c r="H27" s="164" t="s">
        <v>970</v>
      </c>
      <c r="I27" s="164" t="s">
        <v>971</v>
      </c>
      <c r="J27" s="119"/>
      <c r="K27" s="119"/>
      <c r="L27" s="119"/>
      <c r="M27" s="119"/>
      <c r="N27" s="119"/>
      <c r="O27" s="119"/>
      <c r="P27" s="119"/>
      <c r="Q27" s="119"/>
      <c r="R27" s="119"/>
      <c r="S27" s="119"/>
      <c r="T27" s="119"/>
      <c r="U27" s="119"/>
    </row>
    <row r="28" spans="1:21" ht="45.6">
      <c r="A28" s="119" t="s">
        <v>285</v>
      </c>
      <c r="B28" s="119"/>
      <c r="C28" s="116" t="s">
        <v>972</v>
      </c>
      <c r="D28" s="116" t="s">
        <v>973</v>
      </c>
      <c r="E28" s="116" t="s">
        <v>974</v>
      </c>
      <c r="F28" s="116" t="s">
        <v>974</v>
      </c>
      <c r="G28" s="116"/>
      <c r="H28" s="116" t="s">
        <v>975</v>
      </c>
      <c r="I28" s="164" t="s">
        <v>971</v>
      </c>
      <c r="J28" s="119"/>
      <c r="K28" s="119"/>
      <c r="L28" s="119"/>
      <c r="M28" s="119"/>
      <c r="N28" s="119"/>
      <c r="O28" s="119"/>
      <c r="P28" s="119"/>
      <c r="Q28" s="119"/>
      <c r="R28" s="119"/>
      <c r="S28" s="119"/>
      <c r="T28" s="119"/>
      <c r="U28" s="119"/>
    </row>
    <row r="29" spans="1:21">
      <c r="C29" s="119"/>
      <c r="D29" s="119"/>
      <c r="E29" s="119"/>
      <c r="F29" s="119"/>
      <c r="G29" s="119"/>
      <c r="H29" s="119"/>
      <c r="I29" s="119"/>
      <c r="J29" s="119"/>
      <c r="K29" s="119"/>
      <c r="L29" s="119"/>
      <c r="M29" s="119"/>
      <c r="N29" s="119"/>
      <c r="O29" s="119"/>
      <c r="P29" s="119"/>
      <c r="Q29" s="119"/>
      <c r="R29" s="119"/>
      <c r="S29" s="119"/>
      <c r="T29" s="119"/>
      <c r="U29" s="119"/>
    </row>
    <row r="30" spans="1:21">
      <c r="A30" s="328" t="s">
        <v>196</v>
      </c>
      <c r="B30" s="344" t="s">
        <v>217</v>
      </c>
      <c r="C30" s="119"/>
      <c r="D30" s="119"/>
      <c r="E30" s="119"/>
      <c r="F30" s="119"/>
      <c r="G30" s="119"/>
      <c r="H30" s="119"/>
      <c r="I30" s="119"/>
      <c r="J30" s="119"/>
      <c r="K30" s="119"/>
      <c r="L30" s="119"/>
      <c r="M30" s="119"/>
      <c r="N30" s="119"/>
      <c r="O30" s="119"/>
      <c r="P30" s="119"/>
      <c r="Q30" s="119"/>
      <c r="R30" s="119"/>
      <c r="S30" s="119"/>
      <c r="T30" s="119"/>
      <c r="U30" s="119"/>
    </row>
    <row r="31" spans="1:21">
      <c r="A31" s="343" t="s">
        <v>198</v>
      </c>
      <c r="B31" s="345" t="s">
        <v>199</v>
      </c>
      <c r="C31" s="164" t="s">
        <v>70</v>
      </c>
      <c r="D31" s="345" t="s">
        <v>70</v>
      </c>
      <c r="E31" s="345" t="s">
        <v>70</v>
      </c>
      <c r="F31" s="164" t="s">
        <v>70</v>
      </c>
      <c r="G31" s="345" t="s">
        <v>70</v>
      </c>
      <c r="H31" s="164" t="s">
        <v>70</v>
      </c>
      <c r="I31" s="345" t="s">
        <v>70</v>
      </c>
      <c r="J31" s="119"/>
      <c r="K31" s="119"/>
      <c r="L31" s="119"/>
      <c r="M31" s="119"/>
      <c r="N31" s="119"/>
      <c r="O31" s="119"/>
      <c r="P31" s="119"/>
      <c r="Q31" s="119"/>
      <c r="R31" s="119"/>
      <c r="S31" s="119"/>
      <c r="T31" s="119"/>
      <c r="U31" s="119"/>
    </row>
    <row r="32" spans="1:21">
      <c r="A32" s="343" t="s">
        <v>200</v>
      </c>
      <c r="B32" s="345" t="s">
        <v>889</v>
      </c>
      <c r="C32" s="164" t="s">
        <v>70</v>
      </c>
      <c r="D32" s="345" t="s">
        <v>70</v>
      </c>
      <c r="E32" s="345" t="s">
        <v>70</v>
      </c>
      <c r="F32" s="164" t="s">
        <v>70</v>
      </c>
      <c r="G32" s="345" t="s">
        <v>70</v>
      </c>
      <c r="H32" s="164" t="s">
        <v>70</v>
      </c>
      <c r="I32" s="345" t="s">
        <v>70</v>
      </c>
      <c r="J32" s="119"/>
      <c r="K32" s="119"/>
      <c r="L32" s="119"/>
      <c r="M32" s="119"/>
      <c r="N32" s="119"/>
      <c r="O32" s="119"/>
      <c r="P32" s="119"/>
      <c r="Q32" s="119"/>
      <c r="R32" s="119"/>
      <c r="S32" s="119"/>
      <c r="T32" s="119"/>
      <c r="U32" s="119"/>
    </row>
    <row r="33" spans="1:21">
      <c r="A33" s="343" t="s">
        <v>205</v>
      </c>
      <c r="B33" s="345"/>
      <c r="C33" s="345">
        <v>1</v>
      </c>
      <c r="D33" s="167">
        <v>1</v>
      </c>
      <c r="E33" s="168">
        <v>0</v>
      </c>
      <c r="F33" s="345">
        <v>0</v>
      </c>
      <c r="G33" s="168">
        <v>0</v>
      </c>
      <c r="H33" s="345">
        <v>0</v>
      </c>
      <c r="I33" s="168">
        <v>0</v>
      </c>
      <c r="J33" s="119"/>
      <c r="K33" s="119"/>
      <c r="L33" s="119"/>
      <c r="M33" s="119"/>
      <c r="N33" s="119"/>
      <c r="O33" s="119"/>
      <c r="P33" s="119"/>
      <c r="Q33" s="119"/>
      <c r="R33" s="119"/>
      <c r="S33" s="119"/>
      <c r="T33" s="119"/>
      <c r="U33" s="119"/>
    </row>
    <row r="34" spans="1:21" ht="57">
      <c r="A34" s="343" t="s">
        <v>206</v>
      </c>
      <c r="B34" s="345" t="s">
        <v>890</v>
      </c>
      <c r="C34" s="164" t="s">
        <v>70</v>
      </c>
      <c r="D34" s="345" t="s">
        <v>70</v>
      </c>
      <c r="E34" s="339" t="s">
        <v>70</v>
      </c>
      <c r="F34" s="164" t="s">
        <v>70</v>
      </c>
      <c r="G34" s="339" t="s">
        <v>70</v>
      </c>
      <c r="H34" s="164" t="s">
        <v>70</v>
      </c>
      <c r="I34" s="339" t="s">
        <v>70</v>
      </c>
      <c r="J34" s="119"/>
      <c r="K34" s="119"/>
      <c r="L34" s="119"/>
      <c r="M34" s="119"/>
      <c r="N34" s="119"/>
      <c r="O34" s="119"/>
      <c r="P34" s="119"/>
      <c r="Q34" s="119"/>
      <c r="R34" s="119"/>
      <c r="S34" s="119"/>
      <c r="T34" s="119"/>
      <c r="U34" s="119"/>
    </row>
    <row r="35" spans="1:21">
      <c r="A35" s="343" t="s">
        <v>208</v>
      </c>
      <c r="B35" s="345" t="s">
        <v>209</v>
      </c>
      <c r="C35" s="164" t="s">
        <v>70</v>
      </c>
      <c r="D35" s="345" t="s">
        <v>70</v>
      </c>
      <c r="E35" s="345" t="s">
        <v>70</v>
      </c>
      <c r="F35" s="164" t="s">
        <v>70</v>
      </c>
      <c r="G35" s="345" t="s">
        <v>70</v>
      </c>
      <c r="H35" s="164" t="s">
        <v>70</v>
      </c>
      <c r="I35" s="345" t="s">
        <v>70</v>
      </c>
      <c r="J35" s="119"/>
      <c r="K35" s="119"/>
      <c r="L35" s="119"/>
      <c r="M35" s="119"/>
      <c r="N35" s="119"/>
      <c r="O35" s="119"/>
      <c r="P35" s="119"/>
      <c r="Q35" s="119"/>
      <c r="R35" s="119"/>
      <c r="S35" s="119"/>
      <c r="T35" s="119"/>
      <c r="U35" s="119"/>
    </row>
    <row r="36" spans="1:21" ht="91.2">
      <c r="A36" s="343" t="s">
        <v>210</v>
      </c>
      <c r="B36" s="345" t="s">
        <v>892</v>
      </c>
      <c r="C36" s="164" t="s">
        <v>70</v>
      </c>
      <c r="D36" s="345" t="s">
        <v>70</v>
      </c>
      <c r="E36" s="164" t="s">
        <v>70</v>
      </c>
      <c r="F36" s="164" t="s">
        <v>976</v>
      </c>
      <c r="G36" s="164" t="s">
        <v>70</v>
      </c>
      <c r="H36" s="164" t="s">
        <v>70</v>
      </c>
      <c r="I36" s="164" t="s">
        <v>971</v>
      </c>
      <c r="J36" s="119"/>
      <c r="K36" s="119"/>
      <c r="L36" s="119"/>
      <c r="M36" s="119"/>
      <c r="N36" s="119"/>
      <c r="O36" s="119"/>
      <c r="P36" s="119"/>
      <c r="Q36" s="119"/>
      <c r="R36" s="119"/>
      <c r="S36" s="119"/>
      <c r="T36" s="119"/>
      <c r="U36" s="119"/>
    </row>
    <row r="37" spans="1:21" ht="79.8">
      <c r="A37" s="343" t="s">
        <v>211</v>
      </c>
      <c r="B37" s="345" t="s">
        <v>896</v>
      </c>
      <c r="C37" s="164" t="s">
        <v>977</v>
      </c>
      <c r="D37" s="345" t="s">
        <v>70</v>
      </c>
      <c r="E37" s="339" t="s">
        <v>70</v>
      </c>
      <c r="F37" s="339" t="s">
        <v>70</v>
      </c>
      <c r="G37" s="339" t="s">
        <v>70</v>
      </c>
      <c r="H37" s="339" t="s">
        <v>70</v>
      </c>
      <c r="I37" s="164" t="s">
        <v>971</v>
      </c>
      <c r="J37" s="119"/>
      <c r="K37" s="119"/>
      <c r="L37" s="119"/>
      <c r="M37" s="119"/>
      <c r="N37" s="119"/>
      <c r="O37" s="119"/>
      <c r="P37" s="119"/>
      <c r="Q37" s="119"/>
      <c r="R37" s="119"/>
      <c r="S37" s="119"/>
      <c r="T37" s="119"/>
      <c r="U37" s="119"/>
    </row>
    <row r="38" spans="1:21" ht="22.8">
      <c r="A38" s="343" t="s">
        <v>212</v>
      </c>
      <c r="B38" s="345" t="s">
        <v>900</v>
      </c>
      <c r="C38" s="164" t="s">
        <v>70</v>
      </c>
      <c r="D38" s="345" t="s">
        <v>70</v>
      </c>
      <c r="E38" s="345" t="s">
        <v>70</v>
      </c>
      <c r="F38" s="164" t="s">
        <v>70</v>
      </c>
      <c r="G38" s="345" t="s">
        <v>70</v>
      </c>
      <c r="H38" s="164" t="s">
        <v>70</v>
      </c>
      <c r="I38" s="345" t="s">
        <v>70</v>
      </c>
      <c r="J38" s="119"/>
      <c r="K38" s="119"/>
      <c r="L38" s="119"/>
      <c r="M38" s="119"/>
      <c r="N38" s="119"/>
      <c r="O38" s="119"/>
      <c r="P38" s="119"/>
      <c r="Q38" s="119"/>
      <c r="R38" s="119"/>
      <c r="S38" s="119"/>
      <c r="T38" s="119"/>
      <c r="U38" s="119"/>
    </row>
    <row r="39" spans="1:21" ht="34.200000000000003">
      <c r="A39" s="343" t="s">
        <v>214</v>
      </c>
      <c r="B39" s="345" t="s">
        <v>901</v>
      </c>
      <c r="C39" s="164" t="s">
        <v>70</v>
      </c>
      <c r="D39" s="345" t="s">
        <v>70</v>
      </c>
      <c r="E39" s="345" t="s">
        <v>70</v>
      </c>
      <c r="F39" s="164" t="s">
        <v>70</v>
      </c>
      <c r="G39" s="345" t="s">
        <v>70</v>
      </c>
      <c r="H39" s="164" t="s">
        <v>70</v>
      </c>
      <c r="I39" s="345" t="s">
        <v>70</v>
      </c>
      <c r="J39" s="119"/>
      <c r="K39" s="119"/>
      <c r="L39" s="119"/>
      <c r="M39" s="119"/>
      <c r="N39" s="119"/>
      <c r="O39" s="119"/>
      <c r="P39" s="119"/>
      <c r="Q39" s="119"/>
      <c r="R39" s="119"/>
      <c r="S39" s="119"/>
      <c r="T39" s="119"/>
      <c r="U39" s="119"/>
    </row>
    <row r="40" spans="1:21" ht="22.8">
      <c r="A40" s="343" t="s">
        <v>215</v>
      </c>
      <c r="B40" s="345" t="s">
        <v>902</v>
      </c>
      <c r="C40" s="164" t="s">
        <v>70</v>
      </c>
      <c r="D40" s="345" t="s">
        <v>70</v>
      </c>
      <c r="E40" s="345" t="s">
        <v>70</v>
      </c>
      <c r="F40" s="164" t="s">
        <v>70</v>
      </c>
      <c r="G40" s="345" t="s">
        <v>70</v>
      </c>
      <c r="H40" s="164" t="s">
        <v>70</v>
      </c>
      <c r="I40" s="345" t="s">
        <v>70</v>
      </c>
      <c r="J40" s="119"/>
      <c r="K40" s="119"/>
      <c r="L40" s="119"/>
      <c r="M40" s="119"/>
      <c r="N40" s="119"/>
    </row>
  </sheetData>
  <mergeCells count="2">
    <mergeCell ref="A2:A3"/>
    <mergeCell ref="B2:B3"/>
  </mergeCells>
  <phoneticPr fontId="15" type="noConversion"/>
  <conditionalFormatting sqref="A6:B6">
    <cfRule type="duplicateValues" dxfId="0" priority="1"/>
  </conditionalFormatting>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69"/>
  <sheetViews>
    <sheetView topLeftCell="M1" zoomScale="85" zoomScaleNormal="85" workbookViewId="0">
      <selection activeCell="T9" sqref="T9"/>
    </sheetView>
  </sheetViews>
  <sheetFormatPr defaultColWidth="9.44140625" defaultRowHeight="15.6"/>
  <cols>
    <col min="1" max="1" width="10.44140625" style="108" hidden="1" customWidth="1"/>
    <col min="2" max="2" width="29.44140625" style="108" hidden="1" customWidth="1"/>
    <col min="3" max="3" width="43" style="108" hidden="1" customWidth="1"/>
    <col min="4" max="4" width="30" style="109" hidden="1" customWidth="1"/>
    <col min="5" max="5" width="28.44140625" style="109" hidden="1" customWidth="1"/>
    <col min="6" max="7" width="31.44140625" style="109" hidden="1" customWidth="1"/>
    <col min="8" max="8" width="29.44140625" style="109" hidden="1" customWidth="1"/>
    <col min="9" max="9" width="28.44140625" style="109" hidden="1" customWidth="1"/>
    <col min="10" max="15" width="31.44140625" style="109" customWidth="1"/>
    <col min="16" max="16" width="30" style="109" customWidth="1"/>
    <col min="17" max="17" width="28.44140625" style="109" customWidth="1"/>
    <col min="18" max="20" width="31.44140625" style="109" customWidth="1"/>
    <col min="21" max="21" width="17.44140625" style="108" customWidth="1"/>
    <col min="22" max="22" width="18.44140625" style="108" customWidth="1"/>
    <col min="23" max="23" width="27.5546875" style="108" customWidth="1"/>
    <col min="24" max="25" width="26" style="108" customWidth="1"/>
    <col min="26" max="26" width="30" style="109" customWidth="1"/>
    <col min="27" max="27" width="28.44140625" style="109" customWidth="1"/>
    <col min="28" max="16384" width="9.44140625" style="108"/>
  </cols>
  <sheetData>
    <row r="1" spans="1:27" ht="41.4">
      <c r="A1" s="412" t="s">
        <v>63</v>
      </c>
      <c r="B1" s="413"/>
      <c r="C1" s="110" t="s">
        <v>291</v>
      </c>
      <c r="U1" s="149"/>
      <c r="V1" s="149"/>
      <c r="W1"/>
    </row>
    <row r="2" spans="1:27" ht="14.25" customHeight="1">
      <c r="A2" s="412" t="s">
        <v>292</v>
      </c>
      <c r="B2" s="413"/>
      <c r="C2" s="409" t="s">
        <v>217</v>
      </c>
      <c r="D2" s="398" t="s">
        <v>5</v>
      </c>
      <c r="E2" s="399"/>
      <c r="F2" s="112" t="s">
        <v>11</v>
      </c>
      <c r="G2" s="112" t="s">
        <v>293</v>
      </c>
      <c r="H2" s="398" t="s">
        <v>16</v>
      </c>
      <c r="I2" s="399"/>
      <c r="J2" s="111" t="s">
        <v>21</v>
      </c>
      <c r="K2" s="133" t="s">
        <v>23</v>
      </c>
      <c r="L2" s="398" t="s">
        <v>25</v>
      </c>
      <c r="M2" s="399"/>
      <c r="N2" s="398" t="s">
        <v>26</v>
      </c>
      <c r="O2" s="399"/>
      <c r="P2" s="398" t="s">
        <v>27</v>
      </c>
      <c r="Q2" s="399"/>
      <c r="R2" s="398" t="s">
        <v>29</v>
      </c>
      <c r="S2" s="399"/>
      <c r="T2" s="112" t="s">
        <v>30</v>
      </c>
      <c r="U2" s="390" t="s">
        <v>32</v>
      </c>
      <c r="V2" s="392"/>
      <c r="W2" s="112" t="s">
        <v>35</v>
      </c>
      <c r="X2" s="112" t="s">
        <v>294</v>
      </c>
      <c r="Y2" s="273" t="s">
        <v>680</v>
      </c>
      <c r="Z2" s="421" t="s">
        <v>17</v>
      </c>
      <c r="AA2" s="422"/>
    </row>
    <row r="3" spans="1:27">
      <c r="A3" s="414"/>
      <c r="B3" s="415"/>
      <c r="C3" s="410"/>
      <c r="D3" s="138" t="s">
        <v>66</v>
      </c>
      <c r="E3" s="139" t="s">
        <v>67</v>
      </c>
      <c r="F3" s="140" t="s">
        <v>66</v>
      </c>
      <c r="G3" s="140" t="s">
        <v>66</v>
      </c>
      <c r="H3" s="138" t="s">
        <v>66</v>
      </c>
      <c r="I3" s="139" t="s">
        <v>67</v>
      </c>
      <c r="J3" s="140" t="s">
        <v>66</v>
      </c>
      <c r="K3" s="138" t="s">
        <v>66</v>
      </c>
      <c r="L3" s="138" t="s">
        <v>72</v>
      </c>
      <c r="M3" s="138" t="s">
        <v>73</v>
      </c>
      <c r="N3" s="140" t="s">
        <v>66</v>
      </c>
      <c r="O3" s="226" t="s">
        <v>747</v>
      </c>
      <c r="P3" s="138" t="s">
        <v>66</v>
      </c>
      <c r="Q3" s="139" t="s">
        <v>67</v>
      </c>
      <c r="R3" s="112" t="s">
        <v>72</v>
      </c>
      <c r="S3" s="112" t="s">
        <v>73</v>
      </c>
      <c r="T3" s="150" t="s">
        <v>67</v>
      </c>
      <c r="U3" s="134" t="s">
        <v>72</v>
      </c>
      <c r="V3" s="134" t="s">
        <v>73</v>
      </c>
      <c r="W3" s="150" t="s">
        <v>67</v>
      </c>
      <c r="X3" s="150" t="s">
        <v>66</v>
      </c>
      <c r="Y3" s="274" t="s">
        <v>546</v>
      </c>
      <c r="Z3" s="308" t="s">
        <v>72</v>
      </c>
      <c r="AA3" s="308" t="s">
        <v>73</v>
      </c>
    </row>
    <row r="4" spans="1:27">
      <c r="A4" s="416" t="s">
        <v>295</v>
      </c>
      <c r="B4" s="141" t="s">
        <v>296</v>
      </c>
      <c r="C4" s="120"/>
      <c r="D4" s="116" t="s">
        <v>297</v>
      </c>
      <c r="E4" s="116" t="s">
        <v>297</v>
      </c>
      <c r="F4" s="116" t="s">
        <v>297</v>
      </c>
      <c r="G4" s="119" t="s">
        <v>297</v>
      </c>
      <c r="H4" s="116" t="s">
        <v>297</v>
      </c>
      <c r="I4" s="116" t="s">
        <v>297</v>
      </c>
      <c r="J4" s="116" t="s">
        <v>297</v>
      </c>
      <c r="K4" s="116" t="s">
        <v>297</v>
      </c>
      <c r="L4" s="146" t="s">
        <v>298</v>
      </c>
      <c r="M4" s="146" t="s">
        <v>298</v>
      </c>
      <c r="N4" s="116" t="s">
        <v>297</v>
      </c>
      <c r="O4" s="116" t="s">
        <v>297</v>
      </c>
      <c r="P4" s="116" t="s">
        <v>297</v>
      </c>
      <c r="Q4" s="116" t="s">
        <v>297</v>
      </c>
      <c r="R4" s="116" t="s">
        <v>297</v>
      </c>
      <c r="S4" s="116" t="s">
        <v>297</v>
      </c>
      <c r="T4" s="116" t="s">
        <v>297</v>
      </c>
      <c r="U4" s="151" t="s">
        <v>297</v>
      </c>
      <c r="V4" s="151" t="s">
        <v>297</v>
      </c>
      <c r="W4" s="116" t="s">
        <v>297</v>
      </c>
      <c r="X4" s="116" t="s">
        <v>297</v>
      </c>
      <c r="Y4" s="116" t="s">
        <v>297</v>
      </c>
      <c r="Z4" s="309" t="s">
        <v>297</v>
      </c>
      <c r="AA4" s="309" t="s">
        <v>297</v>
      </c>
    </row>
    <row r="5" spans="1:27">
      <c r="A5" s="417"/>
      <c r="B5" s="141" t="s">
        <v>299</v>
      </c>
      <c r="C5" s="120"/>
      <c r="D5" s="142" t="s">
        <v>300</v>
      </c>
      <c r="E5" s="142" t="s">
        <v>300</v>
      </c>
      <c r="F5" s="142" t="s">
        <v>300</v>
      </c>
      <c r="G5" s="142" t="s">
        <v>300</v>
      </c>
      <c r="H5" s="142" t="s">
        <v>300</v>
      </c>
      <c r="I5" s="142" t="s">
        <v>300</v>
      </c>
      <c r="J5" s="142" t="s">
        <v>300</v>
      </c>
      <c r="K5" s="142" t="s">
        <v>300</v>
      </c>
      <c r="L5" s="146" t="s">
        <v>301</v>
      </c>
      <c r="M5" s="146" t="s">
        <v>301</v>
      </c>
      <c r="N5" s="142" t="s">
        <v>300</v>
      </c>
      <c r="O5" s="142" t="s">
        <v>300</v>
      </c>
      <c r="P5" s="142" t="s">
        <v>300</v>
      </c>
      <c r="Q5" s="142" t="s">
        <v>300</v>
      </c>
      <c r="R5" s="142" t="s">
        <v>300</v>
      </c>
      <c r="S5" s="142" t="s">
        <v>300</v>
      </c>
      <c r="T5" s="118" t="s">
        <v>302</v>
      </c>
      <c r="U5" s="152" t="s">
        <v>303</v>
      </c>
      <c r="V5" s="152" t="s">
        <v>303</v>
      </c>
      <c r="W5" s="142" t="s">
        <v>300</v>
      </c>
      <c r="X5" s="142" t="s">
        <v>300</v>
      </c>
      <c r="Y5" s="116" t="s">
        <v>300</v>
      </c>
      <c r="Z5" s="309" t="s">
        <v>300</v>
      </c>
      <c r="AA5" s="309" t="s">
        <v>300</v>
      </c>
    </row>
    <row r="6" spans="1:27" ht="68.400000000000006">
      <c r="A6" s="417"/>
      <c r="B6" s="114" t="s">
        <v>304</v>
      </c>
      <c r="C6" s="118"/>
      <c r="D6" s="118" t="s">
        <v>305</v>
      </c>
      <c r="E6" s="143" t="s">
        <v>306</v>
      </c>
      <c r="F6" s="118" t="s">
        <v>307</v>
      </c>
      <c r="G6" s="118" t="s">
        <v>305</v>
      </c>
      <c r="H6" s="118" t="s">
        <v>308</v>
      </c>
      <c r="I6" s="143" t="s">
        <v>309</v>
      </c>
      <c r="J6" s="118" t="s">
        <v>305</v>
      </c>
      <c r="K6" s="118" t="s">
        <v>305</v>
      </c>
      <c r="L6" s="147" t="s">
        <v>310</v>
      </c>
      <c r="M6" s="147" t="s">
        <v>311</v>
      </c>
      <c r="N6" s="118" t="s">
        <v>305</v>
      </c>
      <c r="O6" s="118" t="s">
        <v>314</v>
      </c>
      <c r="P6" s="118" t="s">
        <v>305</v>
      </c>
      <c r="Q6" s="143" t="s">
        <v>312</v>
      </c>
      <c r="R6" s="118" t="s">
        <v>313</v>
      </c>
      <c r="S6" s="118" t="s">
        <v>314</v>
      </c>
      <c r="T6" s="118" t="s">
        <v>315</v>
      </c>
      <c r="U6" s="151" t="s">
        <v>305</v>
      </c>
      <c r="V6" s="152" t="s">
        <v>316</v>
      </c>
      <c r="W6" s="143" t="s">
        <v>312</v>
      </c>
      <c r="X6" s="118" t="s">
        <v>305</v>
      </c>
      <c r="Y6" s="118" t="s">
        <v>305</v>
      </c>
      <c r="Z6" s="310" t="s">
        <v>305</v>
      </c>
      <c r="AA6" s="310" t="s">
        <v>305</v>
      </c>
    </row>
    <row r="7" spans="1:27" ht="34.200000000000003">
      <c r="A7" s="417"/>
      <c r="B7" s="114" t="s">
        <v>317</v>
      </c>
      <c r="C7" s="118"/>
      <c r="D7" s="118" t="s">
        <v>318</v>
      </c>
      <c r="E7" s="118" t="s">
        <v>318</v>
      </c>
      <c r="F7" s="119" t="s">
        <v>127</v>
      </c>
      <c r="G7" s="118" t="s">
        <v>319</v>
      </c>
      <c r="H7" s="118" t="s">
        <v>320</v>
      </c>
      <c r="I7" s="118" t="s">
        <v>320</v>
      </c>
      <c r="J7" s="119" t="s">
        <v>127</v>
      </c>
      <c r="K7" s="118" t="s">
        <v>318</v>
      </c>
      <c r="L7" s="148" t="s">
        <v>321</v>
      </c>
      <c r="M7" s="148" t="s">
        <v>321</v>
      </c>
      <c r="N7" s="118" t="s">
        <v>318</v>
      </c>
      <c r="O7" s="116" t="s">
        <v>322</v>
      </c>
      <c r="P7" s="118" t="s">
        <v>318</v>
      </c>
      <c r="Q7" s="118" t="s">
        <v>318</v>
      </c>
      <c r="R7" s="116" t="s">
        <v>322</v>
      </c>
      <c r="S7" s="116" t="s">
        <v>322</v>
      </c>
      <c r="T7" s="118" t="s">
        <v>323</v>
      </c>
      <c r="U7" s="151" t="s">
        <v>318</v>
      </c>
      <c r="V7" s="152" t="s">
        <v>127</v>
      </c>
      <c r="W7" s="118" t="s">
        <v>318</v>
      </c>
      <c r="X7" s="118" t="s">
        <v>318</v>
      </c>
      <c r="Y7" s="118" t="s">
        <v>318</v>
      </c>
      <c r="Z7" s="310" t="s">
        <v>318</v>
      </c>
      <c r="AA7" s="310" t="s">
        <v>318</v>
      </c>
    </row>
    <row r="8" spans="1:27">
      <c r="A8" s="417"/>
      <c r="B8" s="114" t="s">
        <v>324</v>
      </c>
      <c r="C8" s="118"/>
      <c r="D8" s="144" t="s">
        <v>325</v>
      </c>
      <c r="E8" s="144" t="s">
        <v>325</v>
      </c>
      <c r="F8" s="144" t="s">
        <v>325</v>
      </c>
      <c r="G8" s="119" t="s">
        <v>326</v>
      </c>
      <c r="H8" s="144" t="s">
        <v>327</v>
      </c>
      <c r="I8" s="144" t="s">
        <v>327</v>
      </c>
      <c r="J8" s="144" t="s">
        <v>325</v>
      </c>
      <c r="K8" s="144" t="s">
        <v>325</v>
      </c>
      <c r="L8" s="146" t="s">
        <v>328</v>
      </c>
      <c r="M8" s="146" t="s">
        <v>328</v>
      </c>
      <c r="N8" s="144" t="s">
        <v>325</v>
      </c>
      <c r="O8" s="144" t="s">
        <v>325</v>
      </c>
      <c r="P8" s="144" t="s">
        <v>325</v>
      </c>
      <c r="Q8" s="144" t="s">
        <v>325</v>
      </c>
      <c r="R8" s="144" t="s">
        <v>325</v>
      </c>
      <c r="S8" s="144" t="s">
        <v>325</v>
      </c>
      <c r="T8" s="144" t="s">
        <v>325</v>
      </c>
      <c r="U8" s="153" t="s">
        <v>325</v>
      </c>
      <c r="V8" s="153" t="s">
        <v>325</v>
      </c>
      <c r="W8" s="144" t="s">
        <v>325</v>
      </c>
      <c r="X8" s="144" t="s">
        <v>325</v>
      </c>
      <c r="Y8" s="144" t="s">
        <v>325</v>
      </c>
      <c r="Z8" s="311" t="s">
        <v>756</v>
      </c>
      <c r="AA8" s="311" t="s">
        <v>756</v>
      </c>
    </row>
    <row r="9" spans="1:27" ht="68.400000000000006">
      <c r="A9" s="417"/>
      <c r="B9" s="114" t="s">
        <v>329</v>
      </c>
      <c r="C9" s="118"/>
      <c r="D9" s="118" t="s">
        <v>330</v>
      </c>
      <c r="E9" s="118" t="s">
        <v>330</v>
      </c>
      <c r="F9" s="118" t="s">
        <v>331</v>
      </c>
      <c r="G9" s="118" t="s">
        <v>332</v>
      </c>
      <c r="H9" s="145" t="s">
        <v>333</v>
      </c>
      <c r="I9" s="145" t="s">
        <v>333</v>
      </c>
      <c r="J9" s="118" t="s">
        <v>334</v>
      </c>
      <c r="K9" s="118" t="s">
        <v>330</v>
      </c>
      <c r="L9" s="147" t="s">
        <v>335</v>
      </c>
      <c r="M9" s="147" t="s">
        <v>335</v>
      </c>
      <c r="N9" s="118" t="s">
        <v>729</v>
      </c>
      <c r="O9" s="154" t="s">
        <v>729</v>
      </c>
      <c r="P9" s="118" t="s">
        <v>330</v>
      </c>
      <c r="Q9" s="118" t="s">
        <v>336</v>
      </c>
      <c r="R9" s="154" t="s">
        <v>337</v>
      </c>
      <c r="S9" s="154" t="s">
        <v>338</v>
      </c>
      <c r="T9" s="118" t="s">
        <v>330</v>
      </c>
      <c r="U9" s="151" t="s">
        <v>339</v>
      </c>
      <c r="V9" s="151" t="s">
        <v>339</v>
      </c>
      <c r="W9" s="118" t="s">
        <v>330</v>
      </c>
      <c r="X9" s="118" t="s">
        <v>330</v>
      </c>
      <c r="Y9" s="118" t="s">
        <v>330</v>
      </c>
      <c r="Z9" s="310" t="s">
        <v>330</v>
      </c>
      <c r="AA9" s="310" t="s">
        <v>330</v>
      </c>
    </row>
    <row r="10" spans="1:27">
      <c r="A10" s="417"/>
      <c r="B10" s="114" t="s">
        <v>340</v>
      </c>
      <c r="C10" s="118"/>
      <c r="D10" s="144" t="s">
        <v>127</v>
      </c>
      <c r="E10" s="116" t="s">
        <v>297</v>
      </c>
      <c r="F10" s="144" t="s">
        <v>127</v>
      </c>
      <c r="G10" s="144" t="s">
        <v>127</v>
      </c>
      <c r="H10" s="144" t="s">
        <v>127</v>
      </c>
      <c r="I10" s="144" t="s">
        <v>127</v>
      </c>
      <c r="J10" s="144" t="s">
        <v>127</v>
      </c>
      <c r="K10" s="144" t="s">
        <v>127</v>
      </c>
      <c r="L10" s="119" t="s">
        <v>127</v>
      </c>
      <c r="M10" s="119" t="s">
        <v>127</v>
      </c>
      <c r="N10" s="144" t="s">
        <v>127</v>
      </c>
      <c r="O10" s="144" t="s">
        <v>341</v>
      </c>
      <c r="P10" s="144" t="s">
        <v>127</v>
      </c>
      <c r="Q10" s="116" t="s">
        <v>297</v>
      </c>
      <c r="R10" s="144" t="s">
        <v>127</v>
      </c>
      <c r="S10" s="144" t="s">
        <v>341</v>
      </c>
      <c r="T10" s="118" t="s">
        <v>342</v>
      </c>
      <c r="U10" s="153" t="s">
        <v>127</v>
      </c>
      <c r="V10" s="153" t="s">
        <v>297</v>
      </c>
      <c r="W10" s="116" t="s">
        <v>297</v>
      </c>
      <c r="X10" s="144" t="s">
        <v>127</v>
      </c>
      <c r="Y10" s="144" t="s">
        <v>127</v>
      </c>
      <c r="Z10" s="311" t="s">
        <v>127</v>
      </c>
      <c r="AA10" s="311" t="s">
        <v>297</v>
      </c>
    </row>
    <row r="11" spans="1:27">
      <c r="A11" s="418"/>
      <c r="B11" s="114" t="s">
        <v>343</v>
      </c>
      <c r="C11" s="118"/>
      <c r="D11" s="116" t="s">
        <v>297</v>
      </c>
      <c r="E11" s="116" t="s">
        <v>297</v>
      </c>
      <c r="F11" s="144" t="s">
        <v>127</v>
      </c>
      <c r="G11" s="144" t="s">
        <v>127</v>
      </c>
      <c r="H11" s="144" t="s">
        <v>127</v>
      </c>
      <c r="I11" s="144" t="s">
        <v>127</v>
      </c>
      <c r="J11" s="144" t="s">
        <v>127</v>
      </c>
      <c r="K11" s="116" t="s">
        <v>297</v>
      </c>
      <c r="L11" s="119" t="s">
        <v>127</v>
      </c>
      <c r="M11" s="119" t="s">
        <v>127</v>
      </c>
      <c r="N11" s="116" t="s">
        <v>297</v>
      </c>
      <c r="O11" s="116" t="s">
        <v>297</v>
      </c>
      <c r="P11" s="116" t="s">
        <v>297</v>
      </c>
      <c r="Q11" s="116" t="s">
        <v>297</v>
      </c>
      <c r="R11" s="116" t="s">
        <v>297</v>
      </c>
      <c r="S11" s="116" t="s">
        <v>297</v>
      </c>
      <c r="T11" s="118" t="s">
        <v>342</v>
      </c>
      <c r="U11" s="151" t="s">
        <v>297</v>
      </c>
      <c r="V11" s="151" t="s">
        <v>297</v>
      </c>
      <c r="W11" s="116" t="s">
        <v>344</v>
      </c>
      <c r="X11" s="116" t="s">
        <v>297</v>
      </c>
      <c r="Y11" s="144" t="s">
        <v>127</v>
      </c>
      <c r="Z11" s="309" t="s">
        <v>757</v>
      </c>
      <c r="AA11" s="309" t="s">
        <v>757</v>
      </c>
    </row>
    <row r="12" spans="1:27" ht="43.5" customHeight="1">
      <c r="A12" s="416" t="s">
        <v>345</v>
      </c>
      <c r="B12" s="141" t="s">
        <v>296</v>
      </c>
      <c r="C12" s="118"/>
      <c r="D12" s="144" t="s">
        <v>127</v>
      </c>
      <c r="E12" s="116" t="s">
        <v>297</v>
      </c>
      <c r="F12" s="116" t="s">
        <v>297</v>
      </c>
      <c r="G12" s="119"/>
      <c r="H12" s="116" t="s">
        <v>297</v>
      </c>
      <c r="I12" s="116" t="s">
        <v>297</v>
      </c>
      <c r="J12" s="116" t="s">
        <v>346</v>
      </c>
      <c r="K12" s="144" t="s">
        <v>127</v>
      </c>
      <c r="L12" s="119"/>
      <c r="M12" s="119"/>
      <c r="N12" s="144" t="s">
        <v>127</v>
      </c>
      <c r="O12" s="144" t="s">
        <v>127</v>
      </c>
      <c r="P12" s="144" t="s">
        <v>127</v>
      </c>
      <c r="Q12" s="116" t="s">
        <v>297</v>
      </c>
      <c r="R12" s="144" t="s">
        <v>127</v>
      </c>
      <c r="S12" s="144" t="s">
        <v>127</v>
      </c>
      <c r="T12" s="144" t="s">
        <v>127</v>
      </c>
      <c r="U12" s="153" t="s">
        <v>127</v>
      </c>
      <c r="V12" s="155" t="s">
        <v>347</v>
      </c>
      <c r="W12" s="144" t="s">
        <v>127</v>
      </c>
      <c r="X12" s="144" t="s">
        <v>127</v>
      </c>
      <c r="Y12" s="144" t="s">
        <v>681</v>
      </c>
      <c r="Z12" s="309" t="s">
        <v>297</v>
      </c>
      <c r="AA12" s="309" t="s">
        <v>297</v>
      </c>
    </row>
    <row r="13" spans="1:27">
      <c r="A13" s="417"/>
      <c r="B13" s="141" t="s">
        <v>299</v>
      </c>
      <c r="C13" s="118"/>
      <c r="D13" s="144" t="s">
        <v>127</v>
      </c>
      <c r="E13" s="116" t="s">
        <v>344</v>
      </c>
      <c r="F13" s="142" t="s">
        <v>300</v>
      </c>
      <c r="G13" s="119"/>
      <c r="H13" s="144" t="s">
        <v>127</v>
      </c>
      <c r="I13" s="116" t="s">
        <v>303</v>
      </c>
      <c r="J13" s="116" t="s">
        <v>348</v>
      </c>
      <c r="K13" s="144" t="s">
        <v>127</v>
      </c>
      <c r="L13" s="119"/>
      <c r="M13" s="119"/>
      <c r="N13" s="144" t="s">
        <v>127</v>
      </c>
      <c r="O13" s="144" t="s">
        <v>127</v>
      </c>
      <c r="P13" s="144" t="s">
        <v>127</v>
      </c>
      <c r="Q13" s="116" t="s">
        <v>344</v>
      </c>
      <c r="R13" s="144" t="s">
        <v>127</v>
      </c>
      <c r="S13" s="144" t="s">
        <v>127</v>
      </c>
      <c r="T13" s="144" t="s">
        <v>127</v>
      </c>
      <c r="U13" s="153" t="s">
        <v>127</v>
      </c>
      <c r="V13" s="155" t="s">
        <v>347</v>
      </c>
      <c r="W13" s="144" t="s">
        <v>127</v>
      </c>
      <c r="X13" s="144" t="s">
        <v>127</v>
      </c>
      <c r="Y13" s="144" t="s">
        <v>127</v>
      </c>
      <c r="Z13" s="309" t="s">
        <v>303</v>
      </c>
      <c r="AA13" s="309" t="s">
        <v>303</v>
      </c>
    </row>
    <row r="14" spans="1:27" ht="34.200000000000003">
      <c r="A14" s="417"/>
      <c r="B14" s="114" t="s">
        <v>304</v>
      </c>
      <c r="C14" s="118"/>
      <c r="D14" s="144" t="s">
        <v>127</v>
      </c>
      <c r="E14" s="118" t="s">
        <v>349</v>
      </c>
      <c r="F14" s="118" t="s">
        <v>307</v>
      </c>
      <c r="G14" s="119"/>
      <c r="H14" s="144" t="s">
        <v>127</v>
      </c>
      <c r="I14" s="118" t="s">
        <v>350</v>
      </c>
      <c r="J14" s="118" t="s">
        <v>305</v>
      </c>
      <c r="K14" s="144" t="s">
        <v>127</v>
      </c>
      <c r="L14" s="119"/>
      <c r="M14" s="119"/>
      <c r="N14" s="144" t="s">
        <v>127</v>
      </c>
      <c r="O14" s="144" t="s">
        <v>127</v>
      </c>
      <c r="P14" s="144" t="s">
        <v>127</v>
      </c>
      <c r="Q14" s="118" t="s">
        <v>349</v>
      </c>
      <c r="R14" s="144" t="s">
        <v>127</v>
      </c>
      <c r="S14" s="144" t="s">
        <v>127</v>
      </c>
      <c r="T14" s="144" t="s">
        <v>127</v>
      </c>
      <c r="U14" s="153" t="s">
        <v>127</v>
      </c>
      <c r="V14" s="155" t="s">
        <v>347</v>
      </c>
      <c r="W14" s="144" t="s">
        <v>127</v>
      </c>
      <c r="X14" s="144" t="s">
        <v>127</v>
      </c>
      <c r="Y14" s="144" t="s">
        <v>127</v>
      </c>
      <c r="Z14" s="310" t="s">
        <v>758</v>
      </c>
      <c r="AA14" s="310" t="s">
        <v>758</v>
      </c>
    </row>
    <row r="15" spans="1:27" ht="22.8">
      <c r="A15" s="417"/>
      <c r="B15" s="114" t="s">
        <v>317</v>
      </c>
      <c r="C15" s="118"/>
      <c r="D15" s="144" t="s">
        <v>127</v>
      </c>
      <c r="E15" s="118" t="s">
        <v>318</v>
      </c>
      <c r="F15" s="119" t="s">
        <v>127</v>
      </c>
      <c r="G15" s="119"/>
      <c r="H15" s="144" t="s">
        <v>127</v>
      </c>
      <c r="I15" s="118" t="s">
        <v>320</v>
      </c>
      <c r="J15" s="119" t="s">
        <v>127</v>
      </c>
      <c r="K15" s="144" t="s">
        <v>127</v>
      </c>
      <c r="L15" s="119"/>
      <c r="M15" s="119"/>
      <c r="N15" s="144" t="s">
        <v>127</v>
      </c>
      <c r="O15" s="144" t="s">
        <v>127</v>
      </c>
      <c r="P15" s="144" t="s">
        <v>127</v>
      </c>
      <c r="Q15" s="118" t="s">
        <v>318</v>
      </c>
      <c r="R15" s="144" t="s">
        <v>127</v>
      </c>
      <c r="S15" s="144" t="s">
        <v>127</v>
      </c>
      <c r="T15" s="144" t="s">
        <v>127</v>
      </c>
      <c r="U15" s="153" t="s">
        <v>127</v>
      </c>
      <c r="V15" s="155" t="s">
        <v>347</v>
      </c>
      <c r="W15" s="144" t="s">
        <v>127</v>
      </c>
      <c r="X15" s="144" t="s">
        <v>127</v>
      </c>
      <c r="Y15" s="144" t="s">
        <v>127</v>
      </c>
      <c r="Z15" s="310" t="s">
        <v>318</v>
      </c>
      <c r="AA15" s="310" t="s">
        <v>318</v>
      </c>
    </row>
    <row r="16" spans="1:27">
      <c r="A16" s="417"/>
      <c r="B16" s="114" t="s">
        <v>351</v>
      </c>
      <c r="C16" s="118"/>
      <c r="D16" s="144" t="s">
        <v>127</v>
      </c>
      <c r="E16" s="118" t="s">
        <v>127</v>
      </c>
      <c r="F16" s="144" t="s">
        <v>127</v>
      </c>
      <c r="G16" s="119"/>
      <c r="H16" s="144" t="s">
        <v>127</v>
      </c>
      <c r="I16" s="118" t="s">
        <v>127</v>
      </c>
      <c r="J16" s="119" t="s">
        <v>127</v>
      </c>
      <c r="K16" s="144" t="s">
        <v>127</v>
      </c>
      <c r="L16" s="119"/>
      <c r="M16" s="119"/>
      <c r="N16" s="144" t="s">
        <v>127</v>
      </c>
      <c r="O16" s="144" t="s">
        <v>127</v>
      </c>
      <c r="P16" s="144" t="s">
        <v>127</v>
      </c>
      <c r="Q16" s="118" t="s">
        <v>127</v>
      </c>
      <c r="R16" s="144" t="s">
        <v>127</v>
      </c>
      <c r="S16" s="144" t="s">
        <v>127</v>
      </c>
      <c r="T16" s="144" t="s">
        <v>127</v>
      </c>
      <c r="U16" s="153" t="s">
        <v>127</v>
      </c>
      <c r="V16" s="155" t="s">
        <v>347</v>
      </c>
      <c r="W16" s="144" t="s">
        <v>127</v>
      </c>
      <c r="X16" s="144" t="s">
        <v>127</v>
      </c>
      <c r="Y16" s="144" t="s">
        <v>127</v>
      </c>
      <c r="Z16" s="310" t="s">
        <v>127</v>
      </c>
      <c r="AA16" s="310" t="s">
        <v>127</v>
      </c>
    </row>
    <row r="17" spans="1:27" ht="22.8">
      <c r="A17" s="417"/>
      <c r="B17" s="114" t="s">
        <v>324</v>
      </c>
      <c r="C17" s="118"/>
      <c r="D17" s="144" t="s">
        <v>127</v>
      </c>
      <c r="E17" s="118" t="s">
        <v>352</v>
      </c>
      <c r="F17" s="144" t="s">
        <v>325</v>
      </c>
      <c r="G17" s="119"/>
      <c r="H17" s="144" t="s">
        <v>127</v>
      </c>
      <c r="I17" s="118" t="s">
        <v>353</v>
      </c>
      <c r="J17" s="144" t="s">
        <v>325</v>
      </c>
      <c r="K17" s="144" t="s">
        <v>127</v>
      </c>
      <c r="L17" s="119"/>
      <c r="M17" s="119"/>
      <c r="N17" s="144" t="s">
        <v>127</v>
      </c>
      <c r="O17" s="144" t="s">
        <v>127</v>
      </c>
      <c r="P17" s="144" t="s">
        <v>127</v>
      </c>
      <c r="Q17" s="118" t="s">
        <v>352</v>
      </c>
      <c r="R17" s="144" t="s">
        <v>127</v>
      </c>
      <c r="S17" s="144" t="s">
        <v>127</v>
      </c>
      <c r="T17" s="144" t="s">
        <v>127</v>
      </c>
      <c r="U17" s="153" t="s">
        <v>127</v>
      </c>
      <c r="V17" s="155" t="s">
        <v>347</v>
      </c>
      <c r="W17" s="144" t="s">
        <v>127</v>
      </c>
      <c r="X17" s="144" t="s">
        <v>127</v>
      </c>
      <c r="Y17" s="144" t="s">
        <v>127</v>
      </c>
      <c r="Z17" s="311" t="s">
        <v>756</v>
      </c>
      <c r="AA17" s="311" t="s">
        <v>756</v>
      </c>
    </row>
    <row r="18" spans="1:27" ht="57.75" customHeight="1">
      <c r="A18" s="417"/>
      <c r="B18" s="114" t="s">
        <v>329</v>
      </c>
      <c r="C18" s="122"/>
      <c r="D18" s="144" t="s">
        <v>127</v>
      </c>
      <c r="E18" s="118" t="s">
        <v>330</v>
      </c>
      <c r="F18" s="118" t="s">
        <v>331</v>
      </c>
      <c r="G18" s="119"/>
      <c r="H18" s="144" t="s">
        <v>127</v>
      </c>
      <c r="I18" s="145" t="s">
        <v>354</v>
      </c>
      <c r="J18" s="118" t="s">
        <v>334</v>
      </c>
      <c r="K18" s="144" t="s">
        <v>127</v>
      </c>
      <c r="L18" s="119"/>
      <c r="M18" s="119"/>
      <c r="N18" s="144" t="s">
        <v>127</v>
      </c>
      <c r="O18" s="144" t="s">
        <v>127</v>
      </c>
      <c r="P18" s="144" t="s">
        <v>127</v>
      </c>
      <c r="Q18" s="118" t="s">
        <v>330</v>
      </c>
      <c r="R18" s="144" t="s">
        <v>127</v>
      </c>
      <c r="S18" s="144" t="s">
        <v>127</v>
      </c>
      <c r="T18" s="144" t="s">
        <v>127</v>
      </c>
      <c r="U18" s="153" t="s">
        <v>127</v>
      </c>
      <c r="V18" s="155" t="s">
        <v>347</v>
      </c>
      <c r="W18" s="144" t="s">
        <v>127</v>
      </c>
      <c r="X18" s="144" t="s">
        <v>127</v>
      </c>
      <c r="Y18" s="144" t="s">
        <v>127</v>
      </c>
      <c r="Z18" s="310" t="s">
        <v>330</v>
      </c>
      <c r="AA18" s="310" t="s">
        <v>330</v>
      </c>
    </row>
    <row r="19" spans="1:27" ht="38.25" customHeight="1">
      <c r="A19" s="417"/>
      <c r="B19" s="121" t="s">
        <v>355</v>
      </c>
      <c r="C19" s="122"/>
      <c r="D19" s="144" t="s">
        <v>127</v>
      </c>
      <c r="E19" s="118" t="s">
        <v>356</v>
      </c>
      <c r="F19" s="144" t="s">
        <v>127</v>
      </c>
      <c r="G19" s="119"/>
      <c r="H19" s="144" t="s">
        <v>127</v>
      </c>
      <c r="I19" s="118" t="s">
        <v>357</v>
      </c>
      <c r="J19" s="118" t="s">
        <v>358</v>
      </c>
      <c r="K19" s="144" t="s">
        <v>127</v>
      </c>
      <c r="L19" s="119"/>
      <c r="M19" s="119"/>
      <c r="N19" s="144" t="s">
        <v>127</v>
      </c>
      <c r="O19" s="144" t="s">
        <v>127</v>
      </c>
      <c r="P19" s="144" t="s">
        <v>127</v>
      </c>
      <c r="Q19" s="118" t="s">
        <v>356</v>
      </c>
      <c r="R19" s="144" t="s">
        <v>127</v>
      </c>
      <c r="S19" s="144" t="s">
        <v>127</v>
      </c>
      <c r="T19" s="144" t="s">
        <v>127</v>
      </c>
      <c r="U19" s="153" t="s">
        <v>127</v>
      </c>
      <c r="V19" s="155" t="s">
        <v>347</v>
      </c>
      <c r="W19" s="144" t="s">
        <v>127</v>
      </c>
      <c r="X19" s="144" t="s">
        <v>127</v>
      </c>
      <c r="Y19" s="144" t="s">
        <v>127</v>
      </c>
      <c r="Z19" s="310" t="s">
        <v>356</v>
      </c>
      <c r="AA19" s="310" t="s">
        <v>356</v>
      </c>
    </row>
    <row r="20" spans="1:27" ht="14.25" customHeight="1">
      <c r="A20" s="418"/>
      <c r="B20" s="114" t="s">
        <v>340</v>
      </c>
      <c r="C20" s="118"/>
      <c r="D20" s="144" t="s">
        <v>127</v>
      </c>
      <c r="E20" s="144" t="s">
        <v>297</v>
      </c>
      <c r="F20" s="144" t="s">
        <v>127</v>
      </c>
      <c r="G20" s="119"/>
      <c r="H20" s="144" t="s">
        <v>127</v>
      </c>
      <c r="I20" s="144" t="s">
        <v>127</v>
      </c>
      <c r="J20" s="144" t="s">
        <v>127</v>
      </c>
      <c r="K20" s="144" t="s">
        <v>127</v>
      </c>
      <c r="L20" s="119"/>
      <c r="M20" s="119"/>
      <c r="N20" s="144" t="s">
        <v>127</v>
      </c>
      <c r="O20" s="144" t="s">
        <v>127</v>
      </c>
      <c r="P20" s="144" t="s">
        <v>127</v>
      </c>
      <c r="Q20" s="144" t="s">
        <v>297</v>
      </c>
      <c r="R20" s="144" t="s">
        <v>127</v>
      </c>
      <c r="S20" s="144" t="s">
        <v>127</v>
      </c>
      <c r="T20" s="144" t="s">
        <v>127</v>
      </c>
      <c r="U20" s="153" t="s">
        <v>127</v>
      </c>
      <c r="V20" s="153" t="s">
        <v>127</v>
      </c>
      <c r="W20" s="144" t="s">
        <v>127</v>
      </c>
      <c r="X20" s="144" t="s">
        <v>127</v>
      </c>
      <c r="Y20" s="144" t="s">
        <v>127</v>
      </c>
      <c r="Z20" s="311" t="s">
        <v>127</v>
      </c>
      <c r="AA20" s="311" t="s">
        <v>297</v>
      </c>
    </row>
    <row r="21" spans="1:27">
      <c r="A21" s="120"/>
      <c r="B21" s="114"/>
      <c r="C21" s="118"/>
      <c r="D21" s="144"/>
      <c r="E21" s="119"/>
      <c r="F21" s="119"/>
      <c r="G21" s="119"/>
      <c r="H21" s="144"/>
      <c r="I21" s="119"/>
      <c r="J21" s="119"/>
      <c r="K21" s="119"/>
      <c r="L21" s="119"/>
      <c r="M21" s="119"/>
      <c r="N21" s="119"/>
      <c r="O21" s="119"/>
      <c r="P21" s="144"/>
      <c r="Q21" s="119"/>
      <c r="R21" s="119"/>
      <c r="S21" s="119"/>
      <c r="T21" s="119"/>
      <c r="W21" s="119"/>
      <c r="Z21" s="144"/>
      <c r="AA21" s="119"/>
    </row>
    <row r="22" spans="1:27">
      <c r="A22" s="120"/>
      <c r="B22" s="114"/>
      <c r="C22" s="118"/>
      <c r="D22" s="144"/>
      <c r="E22" s="119"/>
      <c r="F22" s="119"/>
      <c r="G22" s="119"/>
      <c r="H22" s="144"/>
      <c r="I22" s="119"/>
      <c r="J22" s="119"/>
      <c r="K22" s="119"/>
      <c r="L22" s="119"/>
      <c r="M22" s="119"/>
      <c r="N22" s="119"/>
      <c r="O22" s="119"/>
      <c r="P22" s="144"/>
      <c r="Q22" s="119"/>
      <c r="R22" s="119"/>
      <c r="S22" s="119"/>
      <c r="T22" s="119"/>
      <c r="W22" s="119"/>
      <c r="Z22" s="144"/>
      <c r="AA22" s="119"/>
    </row>
    <row r="23" spans="1:27">
      <c r="A23" s="120"/>
      <c r="B23" s="114"/>
      <c r="C23" s="118"/>
      <c r="D23" s="144"/>
      <c r="E23" s="119"/>
      <c r="F23" s="119"/>
      <c r="G23" s="119"/>
      <c r="H23" s="144"/>
      <c r="I23" s="119"/>
      <c r="J23" s="119"/>
      <c r="K23" s="119"/>
      <c r="L23" s="119"/>
      <c r="M23" s="119"/>
      <c r="N23" s="119"/>
      <c r="O23" s="119"/>
      <c r="P23" s="144"/>
      <c r="Q23" s="119"/>
      <c r="R23" s="119"/>
      <c r="S23" s="119"/>
      <c r="T23" s="119"/>
      <c r="W23" s="119"/>
      <c r="Z23" s="144"/>
      <c r="AA23" s="119"/>
    </row>
    <row r="24" spans="1:27" ht="24.75" customHeight="1">
      <c r="A24" s="120"/>
      <c r="B24" s="123"/>
      <c r="C24" s="118"/>
      <c r="D24" s="144"/>
      <c r="E24" s="119"/>
      <c r="F24" s="119"/>
      <c r="G24" s="119"/>
      <c r="H24" s="144"/>
      <c r="I24" s="119"/>
      <c r="J24" s="119"/>
      <c r="K24" s="119"/>
      <c r="L24" s="119"/>
      <c r="M24" s="119"/>
      <c r="N24" s="119"/>
      <c r="O24" s="119"/>
      <c r="P24" s="144"/>
      <c r="Q24" s="119"/>
      <c r="R24" s="119"/>
      <c r="S24" s="119"/>
      <c r="T24" s="119"/>
      <c r="W24" s="119"/>
      <c r="Z24" s="144"/>
      <c r="AA24" s="119"/>
    </row>
    <row r="25" spans="1:27">
      <c r="A25" s="120"/>
      <c r="B25" s="124"/>
      <c r="C25" s="124"/>
      <c r="D25" s="144"/>
      <c r="E25" s="119"/>
      <c r="F25" s="119"/>
      <c r="G25" s="119"/>
      <c r="H25" s="144"/>
      <c r="I25" s="119"/>
      <c r="J25" s="119"/>
      <c r="K25" s="119"/>
      <c r="L25" s="119"/>
      <c r="M25" s="119"/>
      <c r="N25" s="119"/>
      <c r="O25" s="119"/>
      <c r="P25" s="144"/>
      <c r="Q25" s="119"/>
      <c r="R25" s="119"/>
      <c r="S25" s="119"/>
      <c r="T25" s="119"/>
      <c r="W25" s="119"/>
      <c r="Z25" s="144"/>
      <c r="AA25" s="119"/>
    </row>
    <row r="26" spans="1:27">
      <c r="A26" s="120"/>
      <c r="B26" s="125"/>
      <c r="C26" s="126"/>
      <c r="D26" s="144"/>
      <c r="E26" s="119"/>
      <c r="F26" s="119"/>
      <c r="G26" s="119"/>
      <c r="H26" s="144"/>
      <c r="I26" s="119"/>
      <c r="J26" s="119"/>
      <c r="K26" s="119"/>
      <c r="L26" s="119"/>
      <c r="M26" s="119"/>
      <c r="N26" s="119"/>
      <c r="O26" s="119"/>
      <c r="P26" s="144"/>
      <c r="Q26" s="119"/>
      <c r="R26" s="119"/>
      <c r="S26" s="119"/>
      <c r="T26" s="119"/>
      <c r="W26" s="119"/>
      <c r="Z26" s="144"/>
      <c r="AA26" s="119"/>
    </row>
    <row r="27" spans="1:27">
      <c r="A27" s="120"/>
      <c r="B27" s="127"/>
      <c r="C27" s="126"/>
      <c r="D27" s="144"/>
      <c r="E27" s="119"/>
      <c r="F27" s="119"/>
      <c r="G27" s="119"/>
      <c r="H27" s="144"/>
      <c r="I27" s="119"/>
      <c r="J27" s="119"/>
      <c r="K27" s="119"/>
      <c r="L27" s="119"/>
      <c r="M27" s="119"/>
      <c r="N27" s="119"/>
      <c r="O27" s="119"/>
      <c r="P27" s="144"/>
      <c r="Q27" s="119"/>
      <c r="R27" s="119"/>
      <c r="S27" s="119"/>
      <c r="T27" s="119"/>
      <c r="W27" s="119"/>
      <c r="Z27" s="144"/>
      <c r="AA27" s="119"/>
    </row>
    <row r="28" spans="1:27">
      <c r="A28" s="120"/>
      <c r="B28" s="127"/>
      <c r="C28" s="126"/>
      <c r="D28" s="144"/>
      <c r="E28" s="119"/>
      <c r="F28" s="119"/>
      <c r="G28" s="119"/>
      <c r="H28" s="144"/>
      <c r="I28" s="119"/>
      <c r="J28" s="119"/>
      <c r="K28" s="119"/>
      <c r="L28" s="119"/>
      <c r="M28" s="119"/>
      <c r="N28" s="119"/>
      <c r="O28" s="119"/>
      <c r="P28" s="144"/>
      <c r="Q28" s="119"/>
      <c r="R28" s="119"/>
      <c r="S28" s="119"/>
      <c r="T28" s="119"/>
      <c r="W28" s="119"/>
      <c r="Z28" s="144"/>
      <c r="AA28" s="119"/>
    </row>
    <row r="29" spans="1:27">
      <c r="A29" s="120"/>
      <c r="B29" s="127"/>
      <c r="C29" s="126"/>
      <c r="D29" s="144"/>
      <c r="E29" s="119"/>
      <c r="F29" s="119"/>
      <c r="G29" s="119"/>
      <c r="H29" s="144"/>
      <c r="I29" s="119"/>
      <c r="J29" s="119"/>
      <c r="K29" s="119"/>
      <c r="L29" s="119"/>
      <c r="M29" s="119"/>
      <c r="N29" s="119"/>
      <c r="O29" s="119"/>
      <c r="P29" s="144"/>
      <c r="Q29" s="119"/>
      <c r="R29" s="119"/>
      <c r="S29" s="119"/>
      <c r="T29" s="119"/>
      <c r="W29" s="119"/>
      <c r="Z29" s="144"/>
      <c r="AA29" s="119"/>
    </row>
    <row r="30" spans="1:27">
      <c r="A30" s="120"/>
      <c r="B30" s="127"/>
      <c r="C30" s="126"/>
      <c r="D30" s="144"/>
      <c r="E30" s="119"/>
      <c r="F30" s="119"/>
      <c r="G30" s="119"/>
      <c r="H30" s="144"/>
      <c r="I30" s="119"/>
      <c r="J30" s="119"/>
      <c r="K30" s="119"/>
      <c r="L30" s="119"/>
      <c r="M30" s="119"/>
      <c r="N30" s="119"/>
      <c r="O30" s="119"/>
      <c r="P30" s="144"/>
      <c r="Q30" s="119"/>
      <c r="R30" s="119"/>
      <c r="S30" s="119"/>
      <c r="T30" s="119"/>
      <c r="W30" s="119"/>
      <c r="Z30" s="144"/>
      <c r="AA30" s="119"/>
    </row>
    <row r="31" spans="1:27">
      <c r="A31" s="120"/>
      <c r="B31" s="127"/>
      <c r="C31" s="129"/>
      <c r="D31" s="144"/>
      <c r="E31" s="119"/>
      <c r="F31" s="119"/>
      <c r="G31" s="119"/>
      <c r="H31" s="144"/>
      <c r="I31" s="119"/>
      <c r="J31" s="119"/>
      <c r="K31" s="119"/>
      <c r="L31" s="119"/>
      <c r="M31" s="119"/>
      <c r="N31" s="119"/>
      <c r="O31" s="119"/>
      <c r="P31" s="144"/>
      <c r="Q31" s="119"/>
      <c r="R31" s="119"/>
      <c r="S31" s="119"/>
      <c r="T31" s="119"/>
      <c r="W31" s="119"/>
      <c r="Z31" s="144"/>
      <c r="AA31" s="119"/>
    </row>
    <row r="32" spans="1:27">
      <c r="A32" s="120"/>
      <c r="B32" s="121"/>
      <c r="C32" s="126"/>
      <c r="D32" s="144"/>
      <c r="E32" s="119"/>
      <c r="F32" s="119"/>
      <c r="G32" s="119"/>
      <c r="H32" s="144"/>
      <c r="I32" s="119"/>
      <c r="J32" s="119"/>
      <c r="K32" s="119"/>
      <c r="L32" s="119"/>
      <c r="M32" s="119"/>
      <c r="N32" s="119"/>
      <c r="O32" s="119"/>
      <c r="P32" s="144"/>
      <c r="Q32" s="119"/>
      <c r="R32" s="119"/>
      <c r="S32" s="119"/>
      <c r="T32" s="119"/>
      <c r="W32" s="119"/>
      <c r="Z32" s="144"/>
      <c r="AA32" s="119"/>
    </row>
    <row r="33" spans="1:27">
      <c r="A33" s="120"/>
      <c r="B33" s="419"/>
      <c r="C33" s="126"/>
      <c r="D33" s="144"/>
      <c r="E33" s="119"/>
      <c r="F33" s="119"/>
      <c r="G33" s="119"/>
      <c r="H33" s="144"/>
      <c r="I33" s="119"/>
      <c r="J33" s="119"/>
      <c r="K33" s="119"/>
      <c r="L33" s="119"/>
      <c r="M33" s="119"/>
      <c r="N33" s="119"/>
      <c r="O33" s="119"/>
      <c r="P33" s="144"/>
      <c r="Q33" s="119"/>
      <c r="R33" s="119"/>
      <c r="S33" s="119"/>
      <c r="T33" s="119"/>
      <c r="W33" s="119"/>
      <c r="Z33" s="144"/>
      <c r="AA33" s="119"/>
    </row>
    <row r="34" spans="1:27">
      <c r="A34" s="120"/>
      <c r="B34" s="419"/>
      <c r="C34" s="126"/>
      <c r="D34" s="144"/>
      <c r="E34" s="119"/>
      <c r="F34" s="119"/>
      <c r="G34" s="119"/>
      <c r="H34" s="144"/>
      <c r="I34" s="119"/>
      <c r="J34" s="119"/>
      <c r="K34" s="119"/>
      <c r="L34" s="119"/>
      <c r="M34" s="119"/>
      <c r="N34" s="119"/>
      <c r="O34" s="119"/>
      <c r="P34" s="144"/>
      <c r="Q34" s="119"/>
      <c r="R34" s="119"/>
      <c r="S34" s="119"/>
      <c r="T34" s="119"/>
      <c r="W34" s="119"/>
      <c r="Z34" s="144"/>
      <c r="AA34" s="119"/>
    </row>
    <row r="35" spans="1:27">
      <c r="A35" s="120"/>
      <c r="B35" s="127"/>
      <c r="C35" s="126"/>
      <c r="D35" s="144"/>
      <c r="E35" s="119"/>
      <c r="F35" s="119"/>
      <c r="G35" s="119"/>
      <c r="H35" s="144"/>
      <c r="I35" s="119"/>
      <c r="J35" s="119"/>
      <c r="K35" s="119"/>
      <c r="L35" s="119"/>
      <c r="M35" s="119"/>
      <c r="N35" s="119"/>
      <c r="O35" s="119"/>
      <c r="P35" s="144"/>
      <c r="Q35" s="119"/>
      <c r="R35" s="119"/>
      <c r="S35" s="119"/>
      <c r="T35" s="119"/>
      <c r="W35" s="119"/>
      <c r="Z35" s="144"/>
      <c r="AA35" s="119"/>
    </row>
    <row r="36" spans="1:27">
      <c r="B36" s="128"/>
      <c r="C36" s="130"/>
      <c r="D36" s="144"/>
      <c r="E36" s="119"/>
      <c r="F36" s="119"/>
      <c r="G36" s="119"/>
      <c r="H36" s="144"/>
      <c r="I36" s="119"/>
      <c r="J36" s="119"/>
      <c r="K36" s="119"/>
      <c r="L36" s="119"/>
      <c r="M36" s="119"/>
      <c r="N36" s="119"/>
      <c r="O36" s="119"/>
      <c r="P36" s="144"/>
      <c r="Q36" s="119"/>
      <c r="R36" s="119"/>
      <c r="S36" s="119"/>
      <c r="T36" s="119"/>
      <c r="W36" s="119"/>
      <c r="Z36" s="144"/>
      <c r="AA36" s="119"/>
    </row>
    <row r="37" spans="1:27">
      <c r="B37" s="128"/>
      <c r="C37" s="126"/>
      <c r="D37" s="144"/>
      <c r="E37" s="119"/>
      <c r="F37" s="119"/>
      <c r="G37" s="119"/>
      <c r="H37" s="144"/>
      <c r="I37" s="119"/>
      <c r="J37" s="119"/>
      <c r="K37" s="119"/>
      <c r="L37" s="119"/>
      <c r="M37" s="119"/>
      <c r="N37" s="119"/>
      <c r="O37" s="119"/>
      <c r="P37" s="144"/>
      <c r="Q37" s="119"/>
      <c r="R37" s="119"/>
      <c r="S37" s="119"/>
      <c r="T37" s="119"/>
      <c r="W37" s="119"/>
      <c r="Z37" s="144"/>
      <c r="AA37" s="119"/>
    </row>
    <row r="38" spans="1:27">
      <c r="B38" s="128"/>
      <c r="C38" s="126"/>
      <c r="D38" s="144"/>
      <c r="E38" s="119"/>
      <c r="F38" s="119"/>
      <c r="G38" s="119"/>
      <c r="H38" s="144"/>
      <c r="I38" s="119"/>
      <c r="J38" s="119"/>
      <c r="K38" s="119"/>
      <c r="L38" s="119"/>
      <c r="M38" s="119"/>
      <c r="N38" s="119"/>
      <c r="O38" s="119"/>
      <c r="P38" s="144"/>
      <c r="Q38" s="119"/>
      <c r="R38" s="119"/>
      <c r="S38" s="119"/>
      <c r="T38" s="119"/>
      <c r="W38" s="119"/>
      <c r="Z38" s="144"/>
      <c r="AA38" s="119"/>
    </row>
    <row r="39" spans="1:27">
      <c r="B39" s="420"/>
      <c r="C39" s="411"/>
      <c r="D39" s="144"/>
      <c r="E39" s="119"/>
      <c r="F39" s="119"/>
      <c r="G39" s="119"/>
      <c r="H39" s="144"/>
      <c r="I39" s="119"/>
      <c r="J39" s="119"/>
      <c r="K39" s="119"/>
      <c r="L39" s="119"/>
      <c r="M39" s="119"/>
      <c r="N39" s="119"/>
      <c r="O39" s="119"/>
      <c r="P39" s="144"/>
      <c r="Q39" s="119"/>
      <c r="R39" s="119"/>
      <c r="S39" s="119"/>
      <c r="T39" s="119"/>
      <c r="W39" s="119"/>
      <c r="Z39" s="144"/>
      <c r="AA39" s="119"/>
    </row>
    <row r="40" spans="1:27">
      <c r="B40" s="420"/>
      <c r="C40" s="411"/>
      <c r="D40" s="144"/>
      <c r="E40" s="119"/>
      <c r="F40" s="119"/>
      <c r="G40" s="119"/>
      <c r="H40" s="144"/>
      <c r="I40" s="119"/>
      <c r="J40" s="119"/>
      <c r="K40" s="119"/>
      <c r="L40" s="119"/>
      <c r="M40" s="119"/>
      <c r="N40" s="119"/>
      <c r="O40" s="119"/>
      <c r="P40" s="144"/>
      <c r="Q40" s="119"/>
      <c r="R40" s="119"/>
      <c r="S40" s="119"/>
      <c r="T40" s="119"/>
      <c r="W40" s="119"/>
      <c r="Z40" s="144"/>
      <c r="AA40" s="119"/>
    </row>
    <row r="41" spans="1:27">
      <c r="B41" s="128"/>
      <c r="C41" s="126"/>
      <c r="D41" s="144"/>
      <c r="E41" s="119"/>
      <c r="F41" s="119"/>
      <c r="G41" s="119"/>
      <c r="H41" s="144"/>
      <c r="I41" s="119"/>
      <c r="J41" s="119"/>
      <c r="K41" s="119"/>
      <c r="L41" s="119"/>
      <c r="M41" s="119"/>
      <c r="N41" s="119"/>
      <c r="O41" s="119"/>
      <c r="P41" s="144"/>
      <c r="Q41" s="119"/>
      <c r="R41" s="119"/>
      <c r="S41" s="119"/>
      <c r="T41" s="119"/>
      <c r="W41" s="119"/>
      <c r="Z41" s="144"/>
      <c r="AA41" s="119"/>
    </row>
    <row r="42" spans="1:27">
      <c r="B42" s="128"/>
      <c r="C42" s="126"/>
      <c r="D42" s="144"/>
      <c r="E42" s="119"/>
      <c r="F42" s="119"/>
      <c r="G42" s="119"/>
      <c r="H42" s="144"/>
      <c r="I42" s="119"/>
      <c r="J42" s="119"/>
      <c r="K42" s="119"/>
      <c r="L42" s="119"/>
      <c r="M42" s="119"/>
      <c r="N42" s="119"/>
      <c r="O42" s="119"/>
      <c r="P42" s="144"/>
      <c r="Q42" s="119"/>
      <c r="R42" s="119"/>
      <c r="S42" s="119"/>
      <c r="T42" s="119"/>
      <c r="W42" s="119"/>
      <c r="Z42" s="144"/>
      <c r="AA42" s="119"/>
    </row>
    <row r="43" spans="1:27">
      <c r="B43" s="128"/>
      <c r="C43" s="126"/>
      <c r="D43" s="144"/>
      <c r="E43" s="119"/>
      <c r="F43" s="119"/>
      <c r="G43" s="119"/>
      <c r="H43" s="144"/>
      <c r="I43" s="119"/>
      <c r="J43" s="119"/>
      <c r="K43" s="119"/>
      <c r="L43" s="119"/>
      <c r="M43" s="119"/>
      <c r="N43" s="119"/>
      <c r="O43" s="119"/>
      <c r="P43" s="144"/>
      <c r="Q43" s="119"/>
      <c r="R43" s="119"/>
      <c r="S43" s="119"/>
      <c r="T43" s="119"/>
      <c r="W43" s="119"/>
      <c r="Z43" s="144"/>
      <c r="AA43" s="119"/>
    </row>
    <row r="44" spans="1:27">
      <c r="B44" s="128"/>
      <c r="C44" s="131"/>
      <c r="D44" s="144"/>
      <c r="E44" s="119"/>
      <c r="F44" s="119"/>
      <c r="G44" s="119"/>
      <c r="H44" s="144"/>
      <c r="I44" s="119"/>
      <c r="J44" s="119"/>
      <c r="K44" s="119"/>
      <c r="L44" s="119"/>
      <c r="M44" s="119"/>
      <c r="N44" s="119"/>
      <c r="O44" s="119"/>
      <c r="P44" s="144"/>
      <c r="Q44" s="119"/>
      <c r="R44" s="119"/>
      <c r="S44" s="119"/>
      <c r="T44" s="119"/>
      <c r="W44" s="119"/>
      <c r="Z44" s="144"/>
      <c r="AA44" s="119"/>
    </row>
    <row r="45" spans="1:27">
      <c r="B45" s="128"/>
      <c r="C45" s="129"/>
      <c r="D45" s="144"/>
      <c r="E45" s="119"/>
      <c r="F45" s="119"/>
      <c r="G45" s="119"/>
      <c r="H45" s="144"/>
      <c r="I45" s="119"/>
      <c r="J45" s="119"/>
      <c r="K45" s="119"/>
      <c r="L45" s="119"/>
      <c r="M45" s="119"/>
      <c r="N45" s="119"/>
      <c r="O45" s="119"/>
      <c r="P45" s="144"/>
      <c r="Q45" s="119"/>
      <c r="R45" s="119"/>
      <c r="S45" s="119"/>
      <c r="T45" s="119"/>
      <c r="W45" s="119"/>
      <c r="Z45" s="144"/>
      <c r="AA45" s="119"/>
    </row>
    <row r="46" spans="1:27">
      <c r="B46" s="128"/>
      <c r="C46" s="132"/>
      <c r="D46" s="144"/>
      <c r="E46" s="119"/>
      <c r="F46" s="119"/>
      <c r="G46" s="119"/>
      <c r="H46" s="144"/>
      <c r="I46" s="119"/>
      <c r="J46" s="119"/>
      <c r="K46" s="119"/>
      <c r="L46" s="119"/>
      <c r="M46" s="119"/>
      <c r="N46" s="119"/>
      <c r="O46" s="119"/>
      <c r="P46" s="144"/>
      <c r="Q46" s="119"/>
      <c r="R46" s="119"/>
      <c r="S46" s="119"/>
      <c r="T46" s="119"/>
      <c r="W46" s="119"/>
      <c r="Z46" s="144"/>
      <c r="AA46" s="119"/>
    </row>
    <row r="47" spans="1:27">
      <c r="B47" s="128"/>
      <c r="C47" s="130"/>
      <c r="D47" s="144"/>
      <c r="E47" s="119"/>
      <c r="F47" s="119"/>
      <c r="G47" s="119"/>
      <c r="H47" s="144"/>
      <c r="I47" s="119"/>
      <c r="J47" s="119"/>
      <c r="K47" s="119"/>
      <c r="L47" s="119"/>
      <c r="M47" s="119"/>
      <c r="N47" s="119"/>
      <c r="O47" s="119"/>
      <c r="P47" s="144"/>
      <c r="Q47" s="119"/>
      <c r="R47" s="119"/>
      <c r="S47" s="119"/>
      <c r="T47" s="119"/>
      <c r="W47" s="119"/>
      <c r="Z47" s="144"/>
      <c r="AA47" s="119"/>
    </row>
    <row r="48" spans="1:27">
      <c r="B48" s="128"/>
      <c r="C48" s="126"/>
      <c r="D48" s="144"/>
      <c r="E48" s="119"/>
      <c r="F48" s="119"/>
      <c r="G48" s="119"/>
      <c r="H48" s="144"/>
      <c r="I48" s="119"/>
      <c r="J48" s="119"/>
      <c r="K48" s="119"/>
      <c r="L48" s="119"/>
      <c r="M48" s="119"/>
      <c r="N48" s="119"/>
      <c r="O48" s="119"/>
      <c r="P48" s="144"/>
      <c r="Q48" s="119"/>
      <c r="R48" s="119"/>
      <c r="S48" s="119"/>
      <c r="T48" s="119"/>
      <c r="W48" s="119"/>
      <c r="Z48" s="144"/>
      <c r="AA48" s="119"/>
    </row>
    <row r="49" spans="2:27">
      <c r="B49" s="420"/>
      <c r="C49" s="126"/>
      <c r="D49" s="144"/>
      <c r="E49" s="119"/>
      <c r="F49" s="119"/>
      <c r="G49" s="119"/>
      <c r="H49" s="144"/>
      <c r="I49" s="119"/>
      <c r="J49" s="119"/>
      <c r="K49" s="119"/>
      <c r="L49" s="119"/>
      <c r="M49" s="119"/>
      <c r="N49" s="119"/>
      <c r="O49" s="119"/>
      <c r="P49" s="144"/>
      <c r="Q49" s="119"/>
      <c r="R49" s="119"/>
      <c r="S49" s="119"/>
      <c r="T49" s="119"/>
      <c r="W49" s="119"/>
      <c r="Z49" s="144"/>
      <c r="AA49" s="119"/>
    </row>
    <row r="50" spans="2:27">
      <c r="B50" s="420"/>
      <c r="C50" s="126"/>
      <c r="D50" s="144"/>
      <c r="E50" s="119"/>
      <c r="F50" s="119"/>
      <c r="G50" s="119"/>
      <c r="H50" s="144"/>
      <c r="I50" s="119"/>
      <c r="J50" s="119"/>
      <c r="K50" s="119"/>
      <c r="L50" s="119"/>
      <c r="M50" s="119"/>
      <c r="N50" s="119"/>
      <c r="O50" s="119"/>
      <c r="P50" s="144"/>
      <c r="Q50" s="119"/>
      <c r="R50" s="119"/>
      <c r="S50" s="119"/>
      <c r="T50" s="119"/>
      <c r="W50" s="119"/>
      <c r="Z50" s="144"/>
      <c r="AA50" s="119"/>
    </row>
    <row r="51" spans="2:27">
      <c r="B51" s="420"/>
      <c r="C51" s="126"/>
      <c r="D51" s="144"/>
      <c r="E51" s="119"/>
      <c r="F51" s="119"/>
      <c r="G51" s="119"/>
      <c r="H51" s="144"/>
      <c r="I51" s="119"/>
      <c r="J51" s="119"/>
      <c r="K51" s="119"/>
      <c r="L51" s="119"/>
      <c r="M51" s="119"/>
      <c r="N51" s="119"/>
      <c r="O51" s="119"/>
      <c r="P51" s="144"/>
      <c r="Q51" s="119"/>
      <c r="R51" s="119"/>
      <c r="S51" s="119"/>
      <c r="T51" s="119"/>
      <c r="W51" s="119"/>
      <c r="Z51" s="144"/>
      <c r="AA51" s="119"/>
    </row>
    <row r="52" spans="2:27">
      <c r="B52" s="420"/>
      <c r="C52" s="126"/>
      <c r="D52" s="144"/>
      <c r="E52" s="119"/>
      <c r="F52" s="119"/>
      <c r="G52" s="119"/>
      <c r="H52" s="144"/>
      <c r="I52" s="119"/>
      <c r="J52" s="119"/>
      <c r="K52" s="119"/>
      <c r="L52" s="119"/>
      <c r="M52" s="119"/>
      <c r="N52" s="119"/>
      <c r="O52" s="119"/>
      <c r="P52" s="144"/>
      <c r="Q52" s="119"/>
      <c r="R52" s="119"/>
      <c r="S52" s="119"/>
      <c r="T52" s="119"/>
      <c r="W52" s="119"/>
      <c r="Z52" s="144"/>
      <c r="AA52" s="119"/>
    </row>
    <row r="53" spans="2:27">
      <c r="B53" s="407"/>
      <c r="C53" s="411"/>
      <c r="D53" s="144"/>
      <c r="E53" s="119"/>
      <c r="F53" s="119"/>
      <c r="G53" s="119"/>
      <c r="H53" s="144"/>
      <c r="I53" s="119"/>
      <c r="J53" s="119"/>
      <c r="K53" s="119"/>
      <c r="L53" s="119"/>
      <c r="M53" s="119"/>
      <c r="N53" s="119"/>
      <c r="O53" s="119"/>
      <c r="P53" s="144"/>
      <c r="Q53" s="119"/>
      <c r="R53" s="119"/>
      <c r="S53" s="119"/>
      <c r="T53" s="119"/>
      <c r="W53" s="119"/>
      <c r="Z53" s="144"/>
      <c r="AA53" s="119"/>
    </row>
    <row r="54" spans="2:27">
      <c r="B54" s="407"/>
      <c r="C54" s="411"/>
      <c r="D54" s="144"/>
      <c r="E54" s="119"/>
      <c r="F54" s="119"/>
      <c r="G54" s="119"/>
      <c r="H54" s="144"/>
      <c r="I54" s="119"/>
      <c r="J54" s="119"/>
      <c r="K54" s="119"/>
      <c r="L54" s="119"/>
      <c r="M54" s="119"/>
      <c r="N54" s="119"/>
      <c r="O54" s="119"/>
      <c r="P54" s="144"/>
      <c r="Q54" s="119"/>
      <c r="R54" s="119"/>
      <c r="S54" s="119"/>
      <c r="T54" s="119"/>
      <c r="W54" s="119"/>
      <c r="Z54" s="144"/>
      <c r="AA54" s="119"/>
    </row>
    <row r="55" spans="2:27">
      <c r="B55" s="122"/>
      <c r="C55" s="126"/>
      <c r="D55" s="144"/>
      <c r="E55" s="119"/>
      <c r="F55" s="119"/>
      <c r="G55" s="119"/>
      <c r="H55" s="144"/>
      <c r="I55" s="119"/>
      <c r="J55" s="119"/>
      <c r="K55" s="119"/>
      <c r="L55" s="119"/>
      <c r="M55" s="119"/>
      <c r="N55" s="119"/>
      <c r="O55" s="119"/>
      <c r="P55" s="144"/>
      <c r="Q55" s="119"/>
      <c r="R55" s="119"/>
      <c r="S55" s="119"/>
      <c r="T55" s="119"/>
      <c r="W55" s="119"/>
      <c r="Z55" s="144"/>
      <c r="AA55" s="119"/>
    </row>
    <row r="56" spans="2:27">
      <c r="B56" s="122"/>
      <c r="C56" s="126"/>
      <c r="D56" s="144"/>
      <c r="E56" s="119"/>
      <c r="F56" s="119"/>
      <c r="G56" s="119"/>
      <c r="H56" s="144"/>
      <c r="I56" s="119"/>
      <c r="J56" s="119"/>
      <c r="K56" s="119"/>
      <c r="L56" s="119"/>
      <c r="M56" s="119"/>
      <c r="N56" s="119"/>
      <c r="O56" s="119"/>
      <c r="P56" s="144"/>
      <c r="Q56" s="119"/>
      <c r="R56" s="119"/>
      <c r="S56" s="119"/>
      <c r="T56" s="119"/>
      <c r="W56" s="119"/>
      <c r="Z56" s="144"/>
      <c r="AA56" s="119"/>
    </row>
    <row r="57" spans="2:27">
      <c r="B57" s="122"/>
      <c r="C57" s="126"/>
      <c r="D57" s="144"/>
      <c r="E57" s="119"/>
      <c r="F57" s="119"/>
      <c r="G57" s="119"/>
      <c r="H57" s="144"/>
      <c r="I57" s="119"/>
      <c r="J57" s="119"/>
      <c r="K57" s="119"/>
      <c r="L57" s="119"/>
      <c r="M57" s="119"/>
      <c r="N57" s="119"/>
      <c r="O57" s="119"/>
      <c r="P57" s="144"/>
      <c r="Q57" s="119"/>
      <c r="R57" s="119"/>
      <c r="S57" s="119"/>
      <c r="T57" s="119"/>
      <c r="W57" s="119"/>
      <c r="Z57" s="144"/>
      <c r="AA57" s="119"/>
    </row>
    <row r="58" spans="2:27">
      <c r="B58" s="122"/>
      <c r="C58" s="130"/>
      <c r="D58" s="144"/>
      <c r="E58" s="119"/>
      <c r="F58" s="119"/>
      <c r="G58" s="119"/>
      <c r="H58" s="144"/>
      <c r="I58" s="119"/>
      <c r="J58" s="119"/>
      <c r="K58" s="119"/>
      <c r="L58" s="119"/>
      <c r="M58" s="119"/>
      <c r="N58" s="119"/>
      <c r="O58" s="119"/>
      <c r="P58" s="144"/>
      <c r="Q58" s="119"/>
      <c r="R58" s="119"/>
      <c r="S58" s="119"/>
      <c r="T58" s="119"/>
      <c r="W58" s="119"/>
      <c r="Z58" s="144"/>
      <c r="AA58" s="119"/>
    </row>
    <row r="59" spans="2:27" ht="14.25" customHeight="1">
      <c r="B59" s="408"/>
      <c r="C59" s="411"/>
      <c r="D59" s="144"/>
      <c r="E59" s="119"/>
      <c r="F59" s="119"/>
      <c r="G59" s="119"/>
      <c r="H59" s="144"/>
      <c r="I59" s="119"/>
      <c r="J59" s="119"/>
      <c r="K59" s="119"/>
      <c r="L59" s="119"/>
      <c r="M59" s="119"/>
      <c r="N59" s="119"/>
      <c r="O59" s="119"/>
      <c r="P59" s="144"/>
      <c r="Q59" s="119"/>
      <c r="R59" s="119"/>
      <c r="S59" s="119"/>
      <c r="T59" s="119"/>
      <c r="W59" s="119"/>
      <c r="Z59" s="144"/>
      <c r="AA59" s="119"/>
    </row>
    <row r="60" spans="2:27">
      <c r="B60" s="408"/>
      <c r="C60" s="411"/>
      <c r="D60" s="144"/>
      <c r="E60" s="119"/>
      <c r="F60" s="119"/>
      <c r="G60" s="119"/>
      <c r="H60" s="144"/>
      <c r="I60" s="119"/>
      <c r="J60" s="119"/>
      <c r="K60" s="119"/>
      <c r="L60" s="119"/>
      <c r="M60" s="119"/>
      <c r="N60" s="119"/>
      <c r="O60" s="119"/>
      <c r="P60" s="144"/>
      <c r="Q60" s="119"/>
      <c r="R60" s="119"/>
      <c r="S60" s="119"/>
      <c r="T60" s="119"/>
      <c r="W60" s="119"/>
      <c r="Z60" s="144"/>
      <c r="AA60" s="119"/>
    </row>
    <row r="61" spans="2:27">
      <c r="B61" s="122"/>
      <c r="C61" s="126"/>
      <c r="D61" s="144"/>
      <c r="E61" s="119"/>
      <c r="F61" s="119"/>
      <c r="G61" s="119"/>
      <c r="H61" s="144"/>
      <c r="I61" s="119"/>
      <c r="J61" s="119"/>
      <c r="K61" s="119"/>
      <c r="L61" s="119"/>
      <c r="M61" s="119"/>
      <c r="N61" s="119"/>
      <c r="O61" s="119"/>
      <c r="P61" s="144"/>
      <c r="Q61" s="119"/>
      <c r="R61" s="119"/>
      <c r="S61" s="119"/>
      <c r="T61" s="119"/>
      <c r="W61" s="119"/>
      <c r="Z61" s="144"/>
      <c r="AA61" s="119"/>
    </row>
    <row r="62" spans="2:27">
      <c r="B62" s="122"/>
      <c r="C62" s="126"/>
      <c r="D62" s="144"/>
      <c r="E62" s="119"/>
      <c r="F62" s="119"/>
      <c r="G62" s="119"/>
      <c r="H62" s="144"/>
      <c r="I62" s="119"/>
      <c r="J62" s="119"/>
      <c r="K62" s="119"/>
      <c r="L62" s="119"/>
      <c r="M62" s="119"/>
      <c r="N62" s="119"/>
      <c r="O62" s="119"/>
      <c r="P62" s="144"/>
      <c r="Q62" s="119"/>
      <c r="R62" s="119"/>
      <c r="S62" s="119"/>
      <c r="T62" s="119"/>
      <c r="W62" s="119"/>
      <c r="Z62" s="144"/>
      <c r="AA62" s="119"/>
    </row>
    <row r="63" spans="2:27">
      <c r="B63" s="122"/>
      <c r="C63" s="126"/>
      <c r="D63" s="144"/>
      <c r="E63" s="119"/>
      <c r="F63" s="119"/>
      <c r="G63" s="119"/>
      <c r="H63" s="144"/>
      <c r="I63" s="119"/>
      <c r="J63" s="119"/>
      <c r="K63" s="119"/>
      <c r="L63" s="119"/>
      <c r="M63" s="119"/>
      <c r="N63" s="119"/>
      <c r="O63" s="119"/>
      <c r="P63" s="144"/>
      <c r="Q63" s="119"/>
      <c r="R63" s="119"/>
      <c r="S63" s="119"/>
      <c r="T63" s="119"/>
      <c r="W63" s="119"/>
      <c r="Z63" s="144"/>
      <c r="AA63" s="119"/>
    </row>
    <row r="64" spans="2:27">
      <c r="B64" s="122"/>
      <c r="C64" s="126"/>
      <c r="D64" s="144"/>
      <c r="E64" s="119"/>
      <c r="F64" s="119"/>
      <c r="G64" s="119"/>
      <c r="H64" s="144"/>
      <c r="I64" s="119"/>
      <c r="J64" s="119"/>
      <c r="K64" s="119"/>
      <c r="L64" s="119"/>
      <c r="M64" s="119"/>
      <c r="N64" s="119"/>
      <c r="O64" s="119"/>
      <c r="P64" s="144"/>
      <c r="Q64" s="119"/>
      <c r="R64" s="119"/>
      <c r="S64" s="119"/>
      <c r="T64" s="119"/>
      <c r="W64" s="119"/>
      <c r="Z64" s="144"/>
      <c r="AA64" s="119"/>
    </row>
    <row r="65" spans="2:27">
      <c r="B65" s="122"/>
      <c r="C65" s="126"/>
      <c r="D65" s="144"/>
      <c r="E65" s="119"/>
      <c r="F65" s="119"/>
      <c r="G65" s="119"/>
      <c r="H65" s="144"/>
      <c r="I65" s="119"/>
      <c r="J65" s="119"/>
      <c r="K65" s="119"/>
      <c r="L65" s="119"/>
      <c r="M65" s="119"/>
      <c r="N65" s="119"/>
      <c r="O65" s="119"/>
      <c r="P65" s="144"/>
      <c r="Q65" s="119"/>
      <c r="R65" s="119"/>
      <c r="S65" s="119"/>
      <c r="T65" s="119"/>
      <c r="W65" s="119"/>
      <c r="Z65" s="144"/>
      <c r="AA65" s="119"/>
    </row>
    <row r="66" spans="2:27">
      <c r="B66" s="122"/>
      <c r="C66" s="126"/>
      <c r="D66" s="144"/>
      <c r="E66" s="119"/>
      <c r="F66" s="119"/>
      <c r="G66" s="119"/>
      <c r="H66" s="144"/>
      <c r="I66" s="119"/>
      <c r="J66" s="119"/>
      <c r="K66" s="119"/>
      <c r="L66" s="119"/>
      <c r="M66" s="119"/>
      <c r="N66" s="119"/>
      <c r="O66" s="119"/>
      <c r="P66" s="144"/>
      <c r="Q66" s="119"/>
      <c r="R66" s="119"/>
      <c r="S66" s="119"/>
      <c r="T66" s="119"/>
      <c r="W66" s="119"/>
      <c r="Z66" s="144"/>
      <c r="AA66" s="119"/>
    </row>
    <row r="67" spans="2:27">
      <c r="B67" s="122"/>
      <c r="C67" s="126"/>
      <c r="D67" s="144"/>
      <c r="E67" s="119"/>
      <c r="F67" s="119"/>
      <c r="G67" s="119"/>
      <c r="H67" s="144"/>
      <c r="I67" s="119"/>
      <c r="J67" s="119"/>
      <c r="K67" s="119"/>
      <c r="L67" s="119"/>
      <c r="M67" s="119"/>
      <c r="N67" s="119"/>
      <c r="O67" s="119"/>
      <c r="P67" s="144"/>
      <c r="Q67" s="119"/>
      <c r="R67" s="119"/>
      <c r="S67" s="119"/>
      <c r="T67" s="119"/>
      <c r="W67" s="119"/>
      <c r="Z67" s="144"/>
      <c r="AA67" s="119"/>
    </row>
    <row r="68" spans="2:27">
      <c r="B68" s="122"/>
      <c r="C68" s="126"/>
      <c r="D68" s="144"/>
      <c r="E68" s="119"/>
      <c r="F68" s="119"/>
      <c r="G68" s="119"/>
      <c r="H68" s="156"/>
      <c r="J68" s="119"/>
      <c r="K68" s="119"/>
      <c r="L68" s="119"/>
      <c r="M68" s="119"/>
      <c r="N68" s="119"/>
      <c r="O68" s="119"/>
      <c r="P68" s="144"/>
      <c r="Q68" s="119"/>
      <c r="R68" s="119"/>
      <c r="S68" s="119"/>
      <c r="T68" s="119"/>
      <c r="W68" s="119"/>
      <c r="Z68" s="144"/>
      <c r="AA68" s="119"/>
    </row>
    <row r="69" spans="2:27">
      <c r="B69" s="122"/>
      <c r="C69" s="130"/>
      <c r="D69" s="156"/>
      <c r="P69" s="156"/>
      <c r="W69"/>
      <c r="Z69" s="156"/>
    </row>
  </sheetData>
  <customSheetViews>
    <customSheetView guid="{35BB8162-AD08-4F19-B47C-5A1FD7B0567B}" scale="85" hiddenColumns="1" topLeftCell="J1">
      <selection activeCell="L16" sqref="L16"/>
      <pageMargins left="0.74791666666666701" right="0.74791666666666701" top="0.98402777777777795" bottom="0.98402777777777795" header="0.51180555555555596" footer="0.51180555555555596"/>
      <pageSetup paperSize="9" orientation="portrait" r:id="rId1"/>
      <headerFooter alignWithMargins="0">
        <oddHeader>&amp;L&amp;G&amp;C&amp;F&amp;R文档密级</oddHeader>
        <oddFooter>&amp;L&amp;D&amp;C华为保密信息,未经授权禁止扩散&amp;R第&amp;P页，共&amp;N页</oddFooter>
      </headerFooter>
    </customSheetView>
    <customSheetView guid="{0F2BBD7E-9334-44AA-B170-23CF20E0BAAC}" scale="85" hiddenColumns="1" topLeftCell="J1">
      <selection activeCell="L16" sqref="L16"/>
      <pageMargins left="0.74791666666666701" right="0.74791666666666701" top="0.98402777777777795" bottom="0.98402777777777795" header="0.51180555555555596" footer="0.51180555555555596"/>
      <pageSetup paperSize="9" orientation="portrait" r:id="rId2"/>
      <headerFooter alignWithMargins="0">
        <oddHeader>&amp;L&amp;G&amp;C&amp;F&amp;R文档密级</oddHeader>
        <oddFooter>&amp;L&amp;D&amp;C华为保密信息,未经授权禁止扩散&amp;R第&amp;P页，共&amp;N页</oddFooter>
      </headerFooter>
    </customSheetView>
    <customSheetView guid="{02347D80-63DB-496D-935F-2CF95DC088FE}" scale="85" hiddenColumns="1">
      <selection activeCell="K16" sqref="K16"/>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EBD1C52-A862-496E-88D9-4B6EAB1093EB}" scale="85" hiddenColumns="1">
      <selection activeCell="I16" sqref="I16"/>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279B0F34-BE9C-4778-A036-3ED8EAAF78FA}" scale="85" hiddenColumns="1" topLeftCell="Q4">
      <selection activeCell="Y7" sqref="Y7"/>
      <pageMargins left="0.74791666666666701" right="0.74791666666666701" top="0.98402777777777795" bottom="0.98402777777777795" header="0.51180555555555596" footer="0.51180555555555596"/>
      <pageSetup paperSize="9" orientation="portrait" r:id="rId3"/>
      <headerFooter alignWithMargins="0">
        <oddHeader>&amp;L&amp;G&amp;C&amp;F&amp;R文档密级</oddHeader>
        <oddFooter>&amp;L&amp;D&amp;C华为保密信息,未经授权禁止扩散&amp;R第&amp;P页，共&amp;N页</oddFooter>
      </headerFooter>
    </customSheetView>
    <customSheetView guid="{FE13EA77-3511-4AB1-99FB-5446425992B9}" scale="85" hiddenColumns="1" topLeftCell="L1">
      <selection activeCell="V8" sqref="V8"/>
      <pageMargins left="0.74791666666666701" right="0.74791666666666701" top="0.98402777777777795" bottom="0.98402777777777795" header="0.51180555555555596" footer="0.51180555555555596"/>
      <pageSetup paperSize="9" orientation="portrait" r:id="rId4"/>
      <headerFooter alignWithMargins="0">
        <oddHeader>&amp;L&amp;G&amp;C&amp;F&amp;R文档密级</oddHeader>
        <oddFooter>&amp;L&amp;D&amp;C华为保密信息,未经授权禁止扩散&amp;R第&amp;P页，共&amp;N页</oddFooter>
      </headerFooter>
    </customSheetView>
    <customSheetView guid="{15D5C299-761A-4CBF-AA27-B17032FC4CEB}" scale="85" hiddenColumns="1" topLeftCell="J1">
      <selection activeCell="L16" sqref="L16"/>
      <pageMargins left="0.74791666666666701" right="0.74791666666666701" top="0.98402777777777795" bottom="0.98402777777777795" header="0.51180555555555596" footer="0.51180555555555596"/>
      <pageSetup paperSize="9" orientation="portrait" r:id="rId5"/>
      <headerFooter alignWithMargins="0">
        <oddHeader>&amp;L&amp;G&amp;C&amp;F&amp;R文档密级</oddHeader>
        <oddFooter>&amp;L&amp;D&amp;C华为保密信息,未经授权禁止扩散&amp;R第&amp;P页，共&amp;N页</oddFooter>
      </headerFooter>
    </customSheetView>
  </customSheetViews>
  <mergeCells count="21">
    <mergeCell ref="Z2:AA2"/>
    <mergeCell ref="A1:B1"/>
    <mergeCell ref="D2:E2"/>
    <mergeCell ref="H2:I2"/>
    <mergeCell ref="L2:M2"/>
    <mergeCell ref="P2:Q2"/>
    <mergeCell ref="N2:O2"/>
    <mergeCell ref="R2:S2"/>
    <mergeCell ref="U2:V2"/>
    <mergeCell ref="B53:B54"/>
    <mergeCell ref="B59:B60"/>
    <mergeCell ref="C2:C3"/>
    <mergeCell ref="C39:C40"/>
    <mergeCell ref="C53:C54"/>
    <mergeCell ref="C59:C60"/>
    <mergeCell ref="A2:B3"/>
    <mergeCell ref="A4:A11"/>
    <mergeCell ref="A12:A20"/>
    <mergeCell ref="B33:B34"/>
    <mergeCell ref="B39:B40"/>
    <mergeCell ref="B49:B52"/>
  </mergeCells>
  <phoneticPr fontId="15" type="noConversion"/>
  <pageMargins left="0.74791666666666701" right="0.74791666666666701" top="0.98402777777777795" bottom="0.98402777777777795" header="0.51180555555555596" footer="0.51180555555555596"/>
  <pageSetup paperSize="9" orientation="portrait" r:id="rId6"/>
  <headerFooter alignWithMargins="0">
    <oddHeader>&amp;L&amp;G&amp;C&amp;F&amp;R文档密级</oddHeader>
    <oddFooter>&amp;L&amp;D&amp;C华为保密信息,未经授权禁止扩散&amp;R第&amp;P页，共&amp;N页</oddFooter>
  </headerFooter>
  <drawing r:id="rId7"/>
  <legacyDrawingHF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64"/>
  <sheetViews>
    <sheetView topLeftCell="K1" workbookViewId="0">
      <selection activeCell="R4" sqref="R4"/>
    </sheetView>
  </sheetViews>
  <sheetFormatPr defaultColWidth="9.44140625" defaultRowHeight="15.6"/>
  <cols>
    <col min="1" max="1" width="10.44140625" style="108" customWidth="1"/>
    <col min="2" max="2" width="29.44140625" style="108" customWidth="1"/>
    <col min="3" max="3" width="43" style="108" customWidth="1"/>
    <col min="4" max="13" width="31.44140625" style="109" customWidth="1"/>
    <col min="14" max="14" width="31.5546875" style="109" customWidth="1"/>
    <col min="15" max="23" width="31.44140625" style="109" customWidth="1"/>
    <col min="24" max="16384" width="9.44140625" style="108"/>
  </cols>
  <sheetData>
    <row r="1" spans="1:23" ht="41.4">
      <c r="A1" s="412" t="s">
        <v>63</v>
      </c>
      <c r="B1" s="413"/>
      <c r="C1" s="110" t="s">
        <v>291</v>
      </c>
    </row>
    <row r="2" spans="1:23" ht="14.25" customHeight="1">
      <c r="A2" s="412" t="s">
        <v>292</v>
      </c>
      <c r="B2" s="413"/>
      <c r="C2" s="409" t="s">
        <v>217</v>
      </c>
      <c r="D2" s="398" t="s">
        <v>5</v>
      </c>
      <c r="E2" s="399"/>
      <c r="F2" s="112" t="s">
        <v>11</v>
      </c>
      <c r="G2" s="112" t="s">
        <v>359</v>
      </c>
      <c r="H2" s="398" t="s">
        <v>16</v>
      </c>
      <c r="I2" s="399"/>
      <c r="J2" s="111" t="s">
        <v>21</v>
      </c>
      <c r="K2" s="133" t="s">
        <v>23</v>
      </c>
      <c r="L2" s="398" t="s">
        <v>26</v>
      </c>
      <c r="M2" s="399"/>
      <c r="N2" s="134" t="s">
        <v>32</v>
      </c>
      <c r="O2" s="225" t="s">
        <v>680</v>
      </c>
      <c r="P2" s="421" t="s">
        <v>17</v>
      </c>
      <c r="Q2" s="422"/>
      <c r="R2" s="112" t="s">
        <v>764</v>
      </c>
      <c r="S2" s="133"/>
      <c r="T2" s="133"/>
      <c r="U2" s="133"/>
      <c r="V2" s="133"/>
      <c r="W2" s="133"/>
    </row>
    <row r="3" spans="1:23">
      <c r="A3" s="414"/>
      <c r="B3" s="415"/>
      <c r="C3" s="423"/>
      <c r="D3" s="112" t="s">
        <v>72</v>
      </c>
      <c r="E3" s="112" t="s">
        <v>73</v>
      </c>
      <c r="F3" s="113" t="s">
        <v>72</v>
      </c>
      <c r="G3" s="112" t="s">
        <v>72</v>
      </c>
      <c r="H3" s="112" t="s">
        <v>72</v>
      </c>
      <c r="I3" s="112" t="s">
        <v>73</v>
      </c>
      <c r="J3" s="113" t="s">
        <v>72</v>
      </c>
      <c r="K3" s="133" t="s">
        <v>72</v>
      </c>
      <c r="L3" s="112" t="s">
        <v>72</v>
      </c>
      <c r="M3" s="225" t="s">
        <v>730</v>
      </c>
      <c r="N3" s="134" t="s">
        <v>73</v>
      </c>
      <c r="O3" s="225" t="s">
        <v>547</v>
      </c>
      <c r="P3" s="308" t="s">
        <v>72</v>
      </c>
      <c r="Q3" s="308" t="s">
        <v>73</v>
      </c>
      <c r="R3" s="112" t="s">
        <v>710</v>
      </c>
      <c r="S3" s="133"/>
      <c r="T3" s="133"/>
      <c r="U3" s="133"/>
      <c r="V3" s="133"/>
      <c r="W3" s="133"/>
    </row>
    <row r="4" spans="1:23" ht="52.8">
      <c r="A4" s="416" t="s">
        <v>295</v>
      </c>
      <c r="B4" s="114" t="s">
        <v>360</v>
      </c>
      <c r="D4" s="115" t="s">
        <v>361</v>
      </c>
      <c r="E4" s="116" t="s">
        <v>362</v>
      </c>
      <c r="F4" s="115" t="s">
        <v>361</v>
      </c>
      <c r="G4" s="117" t="s">
        <v>363</v>
      </c>
      <c r="H4" s="214" t="s">
        <v>537</v>
      </c>
      <c r="I4" s="115" t="s">
        <v>364</v>
      </c>
      <c r="J4" s="116" t="s">
        <v>365</v>
      </c>
      <c r="K4" s="115" t="s">
        <v>361</v>
      </c>
      <c r="L4" s="115" t="s">
        <v>361</v>
      </c>
      <c r="M4" s="214" t="s">
        <v>731</v>
      </c>
      <c r="N4" s="135" t="s">
        <v>366</v>
      </c>
      <c r="O4" s="275" t="s">
        <v>361</v>
      </c>
      <c r="P4" s="312" t="s">
        <v>759</v>
      </c>
      <c r="Q4" s="309" t="s">
        <v>759</v>
      </c>
      <c r="R4" s="309" t="s">
        <v>1008</v>
      </c>
      <c r="S4" s="119"/>
      <c r="T4" s="119"/>
      <c r="U4" s="119"/>
      <c r="V4" s="119"/>
      <c r="W4" s="119"/>
    </row>
    <row r="5" spans="1:23" ht="34.200000000000003">
      <c r="A5" s="417"/>
      <c r="B5" s="114" t="s">
        <v>324</v>
      </c>
      <c r="C5" s="118"/>
      <c r="D5" s="116" t="s">
        <v>367</v>
      </c>
      <c r="E5" s="116" t="s">
        <v>368</v>
      </c>
      <c r="F5" s="116" t="s">
        <v>369</v>
      </c>
      <c r="G5" s="117" t="s">
        <v>370</v>
      </c>
      <c r="H5" s="116" t="s">
        <v>371</v>
      </c>
      <c r="I5" s="116" t="s">
        <v>371</v>
      </c>
      <c r="J5" s="116" t="s">
        <v>372</v>
      </c>
      <c r="K5" s="116" t="s">
        <v>367</v>
      </c>
      <c r="L5" s="116" t="s">
        <v>367</v>
      </c>
      <c r="M5" s="116" t="s">
        <v>732</v>
      </c>
      <c r="N5" s="135" t="s">
        <v>373</v>
      </c>
      <c r="O5" s="142" t="s">
        <v>682</v>
      </c>
      <c r="P5" s="309" t="s">
        <v>760</v>
      </c>
      <c r="Q5" s="309" t="s">
        <v>760</v>
      </c>
      <c r="R5" s="309" t="s">
        <v>1009</v>
      </c>
      <c r="S5" s="119"/>
      <c r="T5" s="119"/>
      <c r="U5" s="119"/>
      <c r="V5" s="119"/>
      <c r="W5" s="119"/>
    </row>
    <row r="6" spans="1:23" ht="22.8">
      <c r="A6" s="418"/>
      <c r="B6" s="114" t="s">
        <v>343</v>
      </c>
      <c r="C6" s="118"/>
      <c r="D6" s="115" t="s">
        <v>374</v>
      </c>
      <c r="E6" s="115" t="s">
        <v>374</v>
      </c>
      <c r="F6" s="115" t="s">
        <v>374</v>
      </c>
      <c r="G6" s="117" t="s">
        <v>375</v>
      </c>
      <c r="H6" s="115" t="s">
        <v>376</v>
      </c>
      <c r="I6" s="115" t="s">
        <v>376</v>
      </c>
      <c r="J6" s="136" t="s">
        <v>374</v>
      </c>
      <c r="K6" s="115" t="s">
        <v>374</v>
      </c>
      <c r="L6" s="115" t="s">
        <v>374</v>
      </c>
      <c r="M6" s="214" t="s">
        <v>733</v>
      </c>
      <c r="N6" s="137" t="s">
        <v>376</v>
      </c>
      <c r="O6" s="275" t="s">
        <v>374</v>
      </c>
      <c r="P6" s="313" t="s">
        <v>374</v>
      </c>
      <c r="Q6" s="313" t="s">
        <v>374</v>
      </c>
      <c r="R6" s="309"/>
      <c r="S6" s="119"/>
      <c r="T6" s="119"/>
      <c r="U6" s="119"/>
      <c r="V6" s="119"/>
      <c r="W6" s="119"/>
    </row>
    <row r="7" spans="1:23" ht="34.200000000000003">
      <c r="A7" s="416" t="s">
        <v>345</v>
      </c>
      <c r="B7" s="114" t="s">
        <v>360</v>
      </c>
      <c r="C7" s="118"/>
      <c r="D7" s="119" t="s">
        <v>127</v>
      </c>
      <c r="E7" s="116" t="s">
        <v>377</v>
      </c>
      <c r="F7" s="116" t="s">
        <v>365</v>
      </c>
      <c r="G7" s="119"/>
      <c r="H7" s="119" t="s">
        <v>127</v>
      </c>
      <c r="I7" s="119" t="s">
        <v>127</v>
      </c>
      <c r="J7" s="116" t="s">
        <v>365</v>
      </c>
      <c r="K7" s="119" t="s">
        <v>127</v>
      </c>
      <c r="L7" s="119" t="s">
        <v>127</v>
      </c>
      <c r="M7" s="119" t="s">
        <v>127</v>
      </c>
      <c r="N7" s="135" t="s">
        <v>347</v>
      </c>
      <c r="O7" s="267" t="s">
        <v>127</v>
      </c>
      <c r="P7" s="309" t="s">
        <v>759</v>
      </c>
      <c r="Q7" s="309" t="s">
        <v>759</v>
      </c>
      <c r="R7" s="309" t="s">
        <v>1008</v>
      </c>
      <c r="S7" s="119"/>
      <c r="T7" s="119"/>
      <c r="U7" s="119"/>
      <c r="V7" s="119"/>
      <c r="W7" s="119"/>
    </row>
    <row r="8" spans="1:23" ht="34.200000000000003">
      <c r="A8" s="417"/>
      <c r="B8" s="114" t="s">
        <v>324</v>
      </c>
      <c r="C8" s="118"/>
      <c r="D8" s="119" t="s">
        <v>127</v>
      </c>
      <c r="E8" s="116" t="s">
        <v>368</v>
      </c>
      <c r="F8" s="116" t="s">
        <v>369</v>
      </c>
      <c r="G8" s="119"/>
      <c r="H8" s="119" t="s">
        <v>127</v>
      </c>
      <c r="I8" s="119" t="s">
        <v>127</v>
      </c>
      <c r="J8" s="116" t="s">
        <v>378</v>
      </c>
      <c r="K8" s="119" t="s">
        <v>127</v>
      </c>
      <c r="L8" s="119" t="s">
        <v>127</v>
      </c>
      <c r="M8" s="119" t="s">
        <v>127</v>
      </c>
      <c r="N8" s="135" t="s">
        <v>347</v>
      </c>
      <c r="O8" s="267" t="s">
        <v>127</v>
      </c>
      <c r="P8" s="309" t="s">
        <v>760</v>
      </c>
      <c r="Q8" s="309" t="s">
        <v>760</v>
      </c>
      <c r="R8" s="309" t="s">
        <v>1009</v>
      </c>
      <c r="S8" s="119"/>
      <c r="T8" s="119"/>
      <c r="U8" s="119"/>
      <c r="V8" s="119"/>
      <c r="W8" s="119"/>
    </row>
    <row r="9" spans="1:23" ht="26.25" customHeight="1">
      <c r="A9" s="417"/>
      <c r="B9" s="114" t="s">
        <v>343</v>
      </c>
      <c r="C9" s="118"/>
      <c r="D9" s="119" t="s">
        <v>127</v>
      </c>
      <c r="E9" s="116" t="s">
        <v>374</v>
      </c>
      <c r="F9" s="115" t="s">
        <v>374</v>
      </c>
      <c r="G9" s="119"/>
      <c r="H9" s="119" t="s">
        <v>127</v>
      </c>
      <c r="I9" s="119" t="s">
        <v>127</v>
      </c>
      <c r="J9" s="115" t="s">
        <v>374</v>
      </c>
      <c r="K9" s="119" t="s">
        <v>127</v>
      </c>
      <c r="L9" s="119" t="s">
        <v>127</v>
      </c>
      <c r="M9" s="119" t="s">
        <v>127</v>
      </c>
      <c r="N9" s="135" t="s">
        <v>347</v>
      </c>
      <c r="O9" s="267" t="s">
        <v>127</v>
      </c>
      <c r="P9" s="309" t="s">
        <v>761</v>
      </c>
      <c r="Q9" s="309" t="s">
        <v>761</v>
      </c>
      <c r="R9" s="309" t="s">
        <v>1010</v>
      </c>
      <c r="S9" s="119"/>
      <c r="T9" s="119"/>
      <c r="U9" s="119"/>
      <c r="V9" s="119"/>
      <c r="W9" s="119"/>
    </row>
    <row r="10" spans="1:23" ht="45.6">
      <c r="A10" s="418"/>
      <c r="B10" s="114" t="s">
        <v>355</v>
      </c>
      <c r="C10" s="118"/>
      <c r="D10" s="119" t="s">
        <v>127</v>
      </c>
      <c r="E10" s="116" t="s">
        <v>356</v>
      </c>
      <c r="F10" s="119" t="s">
        <v>127</v>
      </c>
      <c r="G10" s="119"/>
      <c r="H10" s="119" t="s">
        <v>127</v>
      </c>
      <c r="I10" s="119" t="s">
        <v>127</v>
      </c>
      <c r="J10" s="118" t="s">
        <v>379</v>
      </c>
      <c r="K10" s="119" t="s">
        <v>127</v>
      </c>
      <c r="L10" s="119" t="s">
        <v>127</v>
      </c>
      <c r="M10" s="119" t="s">
        <v>127</v>
      </c>
      <c r="N10" s="135" t="s">
        <v>347</v>
      </c>
      <c r="O10" s="267" t="s">
        <v>127</v>
      </c>
      <c r="P10" s="310" t="s">
        <v>356</v>
      </c>
      <c r="Q10" s="310" t="s">
        <v>356</v>
      </c>
      <c r="R10" s="309" t="s">
        <v>1011</v>
      </c>
      <c r="S10" s="119"/>
      <c r="T10" s="119"/>
      <c r="U10" s="119"/>
      <c r="V10" s="119"/>
      <c r="W10" s="119"/>
    </row>
    <row r="11" spans="1:23">
      <c r="A11" s="120"/>
      <c r="B11" s="114"/>
      <c r="C11" s="118"/>
      <c r="D11" s="119"/>
      <c r="E11" s="119"/>
      <c r="F11" s="119"/>
      <c r="G11" s="119"/>
      <c r="H11" s="119"/>
      <c r="I11" s="119"/>
      <c r="J11" s="119"/>
      <c r="K11" s="119"/>
      <c r="L11" s="119"/>
      <c r="M11" s="119"/>
      <c r="N11" s="119"/>
      <c r="O11" s="119"/>
      <c r="P11" s="119"/>
      <c r="Q11" s="119"/>
      <c r="R11" s="119"/>
      <c r="S11" s="119"/>
      <c r="T11" s="119"/>
      <c r="U11" s="119"/>
      <c r="V11" s="119"/>
      <c r="W11" s="119"/>
    </row>
    <row r="12" spans="1:23">
      <c r="A12" s="120"/>
      <c r="B12" s="114"/>
      <c r="C12" s="118"/>
      <c r="D12" s="119"/>
      <c r="E12" s="119"/>
      <c r="F12" s="119"/>
      <c r="G12" s="119"/>
      <c r="H12" s="119"/>
      <c r="I12" s="119"/>
      <c r="J12" s="119"/>
      <c r="K12" s="119"/>
      <c r="L12" s="119"/>
      <c r="M12" s="119"/>
      <c r="N12" s="119"/>
      <c r="O12" s="119"/>
      <c r="P12" s="119"/>
      <c r="Q12" s="119"/>
      <c r="R12" s="119"/>
      <c r="S12" s="119"/>
      <c r="T12" s="119"/>
      <c r="U12" s="119"/>
      <c r="V12" s="119"/>
      <c r="W12" s="119"/>
    </row>
    <row r="13" spans="1:23">
      <c r="A13" s="120"/>
      <c r="B13" s="114"/>
      <c r="C13" s="118"/>
      <c r="D13" s="119"/>
      <c r="E13" s="119"/>
      <c r="F13" s="119"/>
      <c r="G13" s="119"/>
      <c r="H13" s="119"/>
      <c r="I13" s="119"/>
      <c r="J13" s="119"/>
      <c r="K13" s="119"/>
      <c r="L13" s="119"/>
      <c r="M13" s="119"/>
      <c r="N13" s="119"/>
      <c r="O13" s="119"/>
      <c r="P13" s="119"/>
      <c r="Q13" s="119"/>
      <c r="R13" s="119"/>
      <c r="S13" s="119"/>
      <c r="T13" s="119"/>
      <c r="U13" s="119"/>
      <c r="V13" s="119"/>
      <c r="W13" s="119"/>
    </row>
    <row r="14" spans="1:23" ht="60" customHeight="1">
      <c r="A14" s="120"/>
      <c r="B14" s="121"/>
      <c r="C14" s="122"/>
      <c r="D14" s="119"/>
      <c r="E14" s="119"/>
      <c r="F14" s="119"/>
      <c r="G14" s="119"/>
      <c r="H14" s="119"/>
      <c r="I14" s="119"/>
      <c r="J14" s="119"/>
      <c r="K14" s="119"/>
      <c r="L14" s="119"/>
      <c r="M14" s="119"/>
      <c r="N14" s="119"/>
      <c r="O14" s="119"/>
      <c r="P14" s="119"/>
      <c r="Q14" s="119"/>
      <c r="R14" s="119"/>
      <c r="S14" s="119"/>
      <c r="T14" s="119"/>
      <c r="U14" s="119"/>
      <c r="V14" s="119"/>
      <c r="W14" s="119"/>
    </row>
    <row r="15" spans="1:23" ht="58.5" customHeight="1">
      <c r="A15" s="120"/>
      <c r="B15" s="121"/>
      <c r="C15" s="122"/>
      <c r="D15" s="119"/>
      <c r="E15" s="119"/>
      <c r="F15" s="119"/>
      <c r="G15" s="119"/>
      <c r="H15" s="119"/>
      <c r="I15" s="119"/>
      <c r="J15" s="119"/>
      <c r="K15" s="119"/>
      <c r="L15" s="119"/>
      <c r="M15" s="119"/>
      <c r="N15" s="119"/>
      <c r="O15" s="119"/>
      <c r="P15" s="119"/>
      <c r="Q15" s="119"/>
      <c r="R15" s="119"/>
      <c r="S15" s="119"/>
      <c r="T15" s="119"/>
      <c r="U15" s="119"/>
      <c r="V15" s="119"/>
      <c r="W15" s="119"/>
    </row>
    <row r="16" spans="1:23">
      <c r="A16" s="120"/>
      <c r="B16" s="114"/>
      <c r="C16" s="118"/>
      <c r="D16" s="119"/>
      <c r="E16" s="119"/>
      <c r="F16" s="119"/>
      <c r="G16" s="119"/>
      <c r="H16" s="119"/>
      <c r="I16" s="119"/>
      <c r="J16" s="119"/>
      <c r="K16" s="119"/>
      <c r="L16" s="119"/>
      <c r="M16" s="119"/>
      <c r="N16" s="119"/>
      <c r="O16" s="119"/>
      <c r="P16" s="119"/>
      <c r="Q16" s="119"/>
      <c r="R16" s="119"/>
      <c r="S16" s="119"/>
      <c r="T16" s="119"/>
      <c r="U16" s="119"/>
      <c r="V16" s="119"/>
      <c r="W16" s="119"/>
    </row>
    <row r="17" spans="1:23">
      <c r="A17" s="120"/>
      <c r="B17" s="114"/>
      <c r="C17" s="118"/>
      <c r="D17" s="119"/>
      <c r="E17" s="119"/>
      <c r="F17" s="119"/>
      <c r="G17" s="119"/>
      <c r="H17" s="119"/>
      <c r="I17" s="119"/>
      <c r="J17" s="119"/>
      <c r="K17" s="119"/>
      <c r="L17" s="119"/>
      <c r="M17" s="119"/>
      <c r="N17" s="119"/>
      <c r="O17" s="119"/>
      <c r="P17" s="119"/>
      <c r="Q17" s="119"/>
      <c r="R17" s="119"/>
      <c r="S17" s="119"/>
      <c r="T17" s="119"/>
      <c r="U17" s="119"/>
      <c r="V17" s="119"/>
      <c r="W17" s="119"/>
    </row>
    <row r="18" spans="1:23">
      <c r="A18" s="120"/>
      <c r="B18" s="114"/>
      <c r="C18" s="118"/>
      <c r="D18" s="119"/>
      <c r="E18" s="119"/>
      <c r="F18" s="119"/>
      <c r="G18" s="119"/>
      <c r="H18" s="119"/>
      <c r="I18" s="119"/>
      <c r="J18" s="119"/>
      <c r="K18" s="119"/>
      <c r="L18" s="119"/>
      <c r="M18" s="119"/>
      <c r="N18" s="119"/>
      <c r="O18" s="119"/>
      <c r="P18" s="119"/>
      <c r="Q18" s="119"/>
      <c r="R18" s="119"/>
      <c r="S18" s="119"/>
      <c r="T18" s="119"/>
      <c r="U18" s="119"/>
      <c r="V18" s="119"/>
      <c r="W18" s="119"/>
    </row>
    <row r="19" spans="1:23" ht="24.75" customHeight="1">
      <c r="A19" s="120"/>
      <c r="B19" s="123"/>
      <c r="C19" s="118"/>
      <c r="D19" s="119"/>
      <c r="E19" s="119"/>
      <c r="F19" s="119"/>
      <c r="G19" s="119"/>
      <c r="H19" s="119"/>
      <c r="I19" s="119"/>
      <c r="J19" s="119"/>
      <c r="K19" s="119"/>
      <c r="L19" s="119"/>
      <c r="M19" s="119"/>
      <c r="N19" s="119"/>
      <c r="O19" s="119"/>
      <c r="P19" s="119"/>
      <c r="Q19" s="119"/>
      <c r="R19" s="119"/>
      <c r="S19" s="119"/>
      <c r="T19" s="119"/>
      <c r="U19" s="119"/>
      <c r="V19" s="119"/>
      <c r="W19" s="119"/>
    </row>
    <row r="20" spans="1:23">
      <c r="A20" s="120"/>
      <c r="B20" s="124"/>
      <c r="C20" s="124"/>
      <c r="D20" s="119"/>
      <c r="E20" s="119"/>
      <c r="F20" s="119"/>
      <c r="G20" s="119"/>
      <c r="H20" s="119"/>
      <c r="I20" s="119"/>
      <c r="J20" s="119"/>
      <c r="K20" s="119"/>
      <c r="L20" s="119"/>
      <c r="M20" s="119"/>
      <c r="N20" s="119"/>
      <c r="O20" s="119"/>
      <c r="P20" s="119"/>
      <c r="Q20" s="119"/>
      <c r="R20" s="119"/>
      <c r="S20" s="119"/>
      <c r="T20" s="119"/>
      <c r="U20" s="119"/>
      <c r="V20" s="119"/>
      <c r="W20" s="119"/>
    </row>
    <row r="21" spans="1:23">
      <c r="A21" s="120"/>
      <c r="B21" s="125"/>
      <c r="C21" s="126"/>
      <c r="D21" s="119"/>
      <c r="E21" s="119"/>
      <c r="F21" s="119"/>
      <c r="G21" s="119"/>
      <c r="H21" s="119"/>
      <c r="I21" s="119"/>
      <c r="J21" s="119"/>
      <c r="K21" s="119"/>
      <c r="L21" s="119"/>
      <c r="M21" s="119"/>
      <c r="N21" s="119"/>
      <c r="O21" s="119"/>
      <c r="P21" s="119"/>
      <c r="Q21" s="119"/>
      <c r="R21" s="119"/>
      <c r="S21" s="119"/>
      <c r="T21" s="119"/>
      <c r="U21" s="119"/>
      <c r="V21" s="119"/>
      <c r="W21" s="119"/>
    </row>
    <row r="22" spans="1:23">
      <c r="A22" s="120"/>
      <c r="B22" s="127"/>
      <c r="C22" s="126"/>
      <c r="D22" s="119"/>
      <c r="E22" s="119"/>
      <c r="F22" s="119"/>
      <c r="G22" s="119"/>
      <c r="H22" s="119"/>
      <c r="I22" s="119"/>
      <c r="J22" s="119"/>
      <c r="K22" s="119"/>
      <c r="L22" s="119"/>
      <c r="M22" s="119"/>
      <c r="N22" s="119"/>
      <c r="O22" s="119"/>
      <c r="P22" s="119"/>
      <c r="Q22" s="119"/>
      <c r="R22" s="119"/>
      <c r="S22" s="119"/>
      <c r="T22" s="119"/>
      <c r="U22" s="119"/>
      <c r="V22" s="119"/>
      <c r="W22" s="119"/>
    </row>
    <row r="23" spans="1:23">
      <c r="A23" s="120"/>
      <c r="B23" s="127"/>
      <c r="C23" s="126"/>
      <c r="D23" s="119"/>
      <c r="E23" s="119"/>
      <c r="F23" s="119"/>
      <c r="G23" s="119"/>
      <c r="H23" s="119"/>
      <c r="I23" s="119"/>
      <c r="J23" s="119"/>
      <c r="K23" s="119"/>
      <c r="L23" s="119"/>
      <c r="M23" s="119"/>
      <c r="N23" s="119"/>
      <c r="O23" s="119"/>
      <c r="P23" s="119"/>
      <c r="Q23" s="119"/>
      <c r="R23" s="119"/>
      <c r="S23" s="119"/>
      <c r="T23" s="119"/>
      <c r="U23" s="119"/>
      <c r="V23" s="119"/>
      <c r="W23" s="119"/>
    </row>
    <row r="24" spans="1:23">
      <c r="A24" s="120"/>
      <c r="B24" s="127"/>
      <c r="C24" s="126"/>
      <c r="D24" s="119"/>
      <c r="E24" s="119"/>
      <c r="F24" s="119"/>
      <c r="G24" s="119"/>
      <c r="H24" s="119"/>
      <c r="I24" s="119"/>
      <c r="J24" s="119"/>
      <c r="K24" s="119"/>
      <c r="L24" s="119"/>
      <c r="M24" s="119"/>
      <c r="N24" s="119"/>
      <c r="O24" s="119"/>
      <c r="P24" s="119"/>
      <c r="Q24" s="119"/>
      <c r="R24" s="119"/>
      <c r="S24" s="119"/>
      <c r="T24" s="119"/>
      <c r="U24" s="119"/>
      <c r="V24" s="119"/>
      <c r="W24" s="119"/>
    </row>
    <row r="25" spans="1:23">
      <c r="B25" s="128"/>
      <c r="C25" s="126"/>
      <c r="D25" s="119"/>
      <c r="E25" s="119"/>
      <c r="F25" s="119"/>
      <c r="G25" s="119"/>
      <c r="H25" s="119"/>
      <c r="I25" s="119"/>
      <c r="J25" s="119"/>
      <c r="K25" s="119"/>
      <c r="L25" s="119"/>
      <c r="M25" s="119"/>
      <c r="N25" s="119"/>
      <c r="O25" s="119"/>
      <c r="P25" s="119"/>
      <c r="Q25" s="119"/>
      <c r="R25" s="119"/>
      <c r="S25" s="119"/>
      <c r="T25" s="119"/>
      <c r="U25" s="119"/>
      <c r="V25" s="119"/>
      <c r="W25" s="119"/>
    </row>
    <row r="26" spans="1:23">
      <c r="B26" s="128"/>
      <c r="C26" s="129"/>
      <c r="D26" s="119"/>
      <c r="E26" s="119"/>
      <c r="F26" s="119"/>
      <c r="G26" s="119"/>
      <c r="H26" s="119"/>
      <c r="I26" s="119"/>
      <c r="J26" s="119"/>
      <c r="K26" s="119"/>
      <c r="L26" s="119"/>
      <c r="M26" s="119"/>
      <c r="N26" s="119"/>
      <c r="O26" s="119"/>
      <c r="P26" s="119"/>
      <c r="Q26" s="119"/>
      <c r="R26" s="119"/>
      <c r="S26" s="119"/>
      <c r="T26" s="119"/>
      <c r="U26" s="119"/>
      <c r="V26" s="119"/>
      <c r="W26" s="119"/>
    </row>
    <row r="27" spans="1:23">
      <c r="B27" s="122"/>
      <c r="C27" s="126"/>
      <c r="D27" s="119"/>
      <c r="E27" s="119"/>
      <c r="F27" s="119"/>
      <c r="G27" s="119"/>
      <c r="H27" s="119"/>
      <c r="I27" s="119"/>
      <c r="J27" s="119"/>
      <c r="K27" s="119"/>
      <c r="L27" s="119"/>
      <c r="M27" s="119"/>
      <c r="N27" s="119"/>
      <c r="O27" s="119"/>
      <c r="P27" s="119"/>
      <c r="Q27" s="119"/>
      <c r="R27" s="119"/>
      <c r="S27" s="119"/>
      <c r="T27" s="119"/>
      <c r="U27" s="119"/>
      <c r="V27" s="119"/>
      <c r="W27" s="119"/>
    </row>
    <row r="28" spans="1:23">
      <c r="B28" s="420"/>
      <c r="C28" s="126"/>
      <c r="D28" s="119"/>
      <c r="E28" s="119"/>
      <c r="F28" s="119"/>
      <c r="G28" s="119"/>
      <c r="H28" s="119"/>
      <c r="I28" s="119"/>
      <c r="J28" s="119"/>
      <c r="K28" s="119"/>
      <c r="L28" s="119"/>
      <c r="M28" s="119"/>
      <c r="N28" s="119"/>
      <c r="O28" s="119"/>
      <c r="P28" s="119"/>
      <c r="Q28" s="119"/>
      <c r="R28" s="119"/>
      <c r="S28" s="119"/>
      <c r="T28" s="119"/>
      <c r="U28" s="119"/>
      <c r="V28" s="119"/>
      <c r="W28" s="119"/>
    </row>
    <row r="29" spans="1:23">
      <c r="B29" s="420"/>
      <c r="C29" s="126"/>
      <c r="D29" s="119"/>
      <c r="E29" s="119"/>
      <c r="F29" s="119"/>
      <c r="G29" s="119"/>
      <c r="H29" s="119"/>
      <c r="I29" s="119"/>
      <c r="J29" s="119"/>
      <c r="K29" s="119"/>
      <c r="L29" s="119"/>
      <c r="M29" s="119"/>
      <c r="N29" s="119"/>
      <c r="O29" s="119"/>
      <c r="P29" s="119"/>
      <c r="Q29" s="119"/>
      <c r="R29" s="119"/>
      <c r="S29" s="119"/>
      <c r="T29" s="119"/>
      <c r="U29" s="119"/>
      <c r="V29" s="119"/>
      <c r="W29" s="119"/>
    </row>
    <row r="30" spans="1:23">
      <c r="B30" s="128"/>
      <c r="C30" s="126"/>
      <c r="D30" s="119"/>
      <c r="E30" s="119"/>
      <c r="F30" s="119"/>
      <c r="G30" s="119"/>
      <c r="H30" s="119"/>
      <c r="I30" s="119"/>
      <c r="J30" s="119"/>
      <c r="K30" s="119"/>
      <c r="L30" s="119"/>
      <c r="M30" s="119"/>
      <c r="N30" s="119"/>
      <c r="O30" s="119"/>
      <c r="P30" s="119"/>
      <c r="Q30" s="119"/>
      <c r="R30" s="119"/>
      <c r="S30" s="119"/>
      <c r="T30" s="119"/>
      <c r="U30" s="119"/>
      <c r="V30" s="119"/>
      <c r="W30" s="119"/>
    </row>
    <row r="31" spans="1:23">
      <c r="B31" s="128"/>
      <c r="C31" s="130"/>
      <c r="D31" s="119"/>
      <c r="E31" s="119"/>
      <c r="F31" s="119"/>
      <c r="G31" s="119"/>
      <c r="H31" s="119"/>
      <c r="I31" s="119"/>
      <c r="J31" s="119"/>
      <c r="K31" s="119"/>
      <c r="L31" s="119"/>
      <c r="M31" s="119"/>
      <c r="N31" s="119"/>
      <c r="O31" s="119"/>
      <c r="P31" s="119"/>
      <c r="Q31" s="119"/>
      <c r="R31" s="119"/>
      <c r="S31" s="119"/>
      <c r="T31" s="119"/>
      <c r="U31" s="119"/>
      <c r="V31" s="119"/>
      <c r="W31" s="119"/>
    </row>
    <row r="32" spans="1:23">
      <c r="B32" s="128"/>
      <c r="C32" s="126"/>
      <c r="D32" s="119"/>
      <c r="E32" s="119"/>
      <c r="F32" s="119"/>
      <c r="G32" s="119"/>
      <c r="H32" s="119"/>
      <c r="I32" s="119"/>
      <c r="J32" s="119"/>
      <c r="K32" s="119"/>
      <c r="L32" s="119"/>
      <c r="M32" s="119"/>
      <c r="N32" s="119"/>
      <c r="O32" s="119"/>
      <c r="P32" s="119"/>
      <c r="Q32" s="119"/>
      <c r="R32" s="119"/>
      <c r="S32" s="119"/>
      <c r="T32" s="119"/>
      <c r="U32" s="119"/>
      <c r="V32" s="119"/>
      <c r="W32" s="119"/>
    </row>
    <row r="33" spans="2:23">
      <c r="B33" s="128"/>
      <c r="C33" s="126"/>
      <c r="D33" s="119"/>
      <c r="E33" s="119"/>
      <c r="F33" s="119"/>
      <c r="G33" s="119"/>
      <c r="H33" s="119"/>
      <c r="I33" s="119"/>
      <c r="J33" s="119"/>
      <c r="K33" s="119"/>
      <c r="L33" s="119"/>
      <c r="M33" s="119"/>
      <c r="N33" s="119"/>
      <c r="O33" s="119"/>
      <c r="P33" s="119"/>
      <c r="Q33" s="119"/>
      <c r="R33" s="119"/>
      <c r="S33" s="119"/>
      <c r="T33" s="119"/>
      <c r="U33" s="119"/>
      <c r="V33" s="119"/>
      <c r="W33" s="119"/>
    </row>
    <row r="34" spans="2:23">
      <c r="B34" s="420"/>
      <c r="C34" s="411"/>
      <c r="D34" s="119"/>
      <c r="E34" s="119"/>
      <c r="F34" s="119"/>
      <c r="G34" s="119"/>
      <c r="H34" s="119"/>
      <c r="I34" s="119"/>
      <c r="J34" s="119"/>
      <c r="K34" s="119"/>
      <c r="L34" s="119"/>
      <c r="M34" s="119"/>
      <c r="N34" s="119"/>
      <c r="O34" s="119"/>
      <c r="P34" s="119"/>
      <c r="Q34" s="119"/>
      <c r="R34" s="119"/>
      <c r="S34" s="119"/>
      <c r="T34" s="119"/>
      <c r="U34" s="119"/>
      <c r="V34" s="119"/>
      <c r="W34" s="119"/>
    </row>
    <row r="35" spans="2:23">
      <c r="B35" s="420"/>
      <c r="C35" s="411"/>
      <c r="D35" s="119"/>
      <c r="E35" s="119"/>
      <c r="F35" s="119"/>
      <c r="G35" s="119"/>
      <c r="H35" s="119"/>
      <c r="I35" s="119"/>
      <c r="J35" s="119"/>
      <c r="K35" s="119"/>
      <c r="L35" s="119"/>
      <c r="M35" s="119"/>
      <c r="N35" s="119"/>
      <c r="O35" s="119"/>
      <c r="P35" s="119"/>
      <c r="Q35" s="119"/>
      <c r="R35" s="119"/>
      <c r="S35" s="119"/>
      <c r="T35" s="119"/>
      <c r="U35" s="119"/>
      <c r="V35" s="119"/>
      <c r="W35" s="119"/>
    </row>
    <row r="36" spans="2:23">
      <c r="B36" s="128"/>
      <c r="C36" s="126"/>
      <c r="D36" s="119"/>
      <c r="E36" s="119"/>
      <c r="F36" s="119"/>
      <c r="G36" s="119"/>
      <c r="H36" s="119"/>
      <c r="I36" s="119"/>
      <c r="J36" s="119"/>
      <c r="K36" s="119"/>
      <c r="L36" s="119"/>
      <c r="M36" s="119"/>
      <c r="N36" s="119"/>
      <c r="O36" s="119"/>
      <c r="P36" s="119"/>
      <c r="Q36" s="119"/>
      <c r="R36" s="119"/>
      <c r="S36" s="119"/>
      <c r="T36" s="119"/>
      <c r="U36" s="119"/>
      <c r="V36" s="119"/>
      <c r="W36" s="119"/>
    </row>
    <row r="37" spans="2:23">
      <c r="B37" s="128"/>
      <c r="C37" s="126"/>
      <c r="D37" s="119"/>
      <c r="E37" s="119"/>
      <c r="F37" s="119"/>
      <c r="G37" s="119"/>
      <c r="H37" s="119"/>
      <c r="I37" s="119"/>
      <c r="J37" s="119"/>
      <c r="K37" s="119"/>
      <c r="L37" s="119"/>
      <c r="M37" s="119"/>
      <c r="N37" s="119"/>
      <c r="O37" s="119"/>
      <c r="P37" s="119"/>
      <c r="Q37" s="119"/>
      <c r="R37" s="119"/>
      <c r="S37" s="119"/>
      <c r="T37" s="119"/>
      <c r="U37" s="119"/>
      <c r="V37" s="119"/>
      <c r="W37" s="119"/>
    </row>
    <row r="38" spans="2:23">
      <c r="B38" s="128"/>
      <c r="C38" s="126"/>
      <c r="D38" s="119"/>
      <c r="E38" s="119"/>
      <c r="F38" s="119"/>
      <c r="G38" s="119"/>
      <c r="H38" s="119"/>
      <c r="I38" s="119"/>
      <c r="J38" s="119"/>
      <c r="K38" s="119"/>
      <c r="L38" s="119"/>
      <c r="M38" s="119"/>
      <c r="N38" s="119"/>
      <c r="O38" s="119"/>
      <c r="P38" s="119"/>
      <c r="Q38" s="119"/>
      <c r="R38" s="119"/>
      <c r="S38" s="119"/>
      <c r="T38" s="119"/>
      <c r="U38" s="119"/>
      <c r="V38" s="119"/>
      <c r="W38" s="119"/>
    </row>
    <row r="39" spans="2:23">
      <c r="B39" s="128"/>
      <c r="C39" s="131"/>
      <c r="D39" s="119"/>
      <c r="E39" s="119"/>
      <c r="F39" s="119"/>
      <c r="G39" s="119"/>
      <c r="H39" s="119"/>
      <c r="I39" s="119"/>
      <c r="J39" s="119"/>
      <c r="K39" s="119"/>
      <c r="L39" s="119"/>
      <c r="M39" s="119"/>
      <c r="N39" s="119"/>
      <c r="O39" s="119"/>
      <c r="P39" s="119"/>
      <c r="Q39" s="119"/>
      <c r="R39" s="119"/>
      <c r="S39" s="119"/>
      <c r="T39" s="119"/>
      <c r="U39" s="119"/>
      <c r="V39" s="119"/>
      <c r="W39" s="119"/>
    </row>
    <row r="40" spans="2:23">
      <c r="B40" s="128"/>
      <c r="C40" s="129"/>
      <c r="D40" s="119"/>
      <c r="E40" s="119"/>
      <c r="F40" s="119"/>
      <c r="G40" s="119"/>
      <c r="H40" s="119"/>
      <c r="I40" s="119"/>
      <c r="J40" s="119"/>
      <c r="K40" s="119"/>
      <c r="L40" s="119"/>
      <c r="M40" s="119"/>
      <c r="N40" s="119"/>
      <c r="O40" s="119"/>
      <c r="P40" s="119"/>
      <c r="Q40" s="119"/>
      <c r="R40" s="119"/>
      <c r="S40" s="119"/>
      <c r="T40" s="119"/>
      <c r="U40" s="119"/>
      <c r="V40" s="119"/>
      <c r="W40" s="119"/>
    </row>
    <row r="41" spans="2:23">
      <c r="B41" s="128"/>
      <c r="C41" s="132"/>
      <c r="D41" s="119"/>
      <c r="E41" s="119"/>
      <c r="F41" s="119"/>
      <c r="G41" s="119"/>
      <c r="H41" s="119"/>
      <c r="I41" s="119"/>
      <c r="J41" s="119"/>
      <c r="K41" s="119"/>
      <c r="L41" s="119"/>
      <c r="M41" s="119"/>
      <c r="N41" s="119"/>
      <c r="O41" s="119"/>
      <c r="P41" s="119"/>
      <c r="Q41" s="119"/>
      <c r="R41" s="119"/>
      <c r="S41" s="119"/>
      <c r="T41" s="119"/>
      <c r="U41" s="119"/>
      <c r="V41" s="119"/>
      <c r="W41" s="119"/>
    </row>
    <row r="42" spans="2:23">
      <c r="B42" s="128"/>
      <c r="C42" s="130"/>
      <c r="D42" s="119"/>
      <c r="E42" s="119"/>
      <c r="F42" s="119"/>
      <c r="G42" s="119"/>
      <c r="H42" s="119"/>
      <c r="I42" s="119"/>
      <c r="J42" s="119"/>
      <c r="K42" s="119"/>
      <c r="L42" s="119"/>
      <c r="M42" s="119"/>
      <c r="N42" s="119"/>
      <c r="O42" s="119"/>
      <c r="P42" s="119"/>
      <c r="Q42" s="119"/>
      <c r="R42" s="119"/>
      <c r="S42" s="119"/>
      <c r="T42" s="119"/>
      <c r="U42" s="119"/>
      <c r="V42" s="119"/>
      <c r="W42" s="119"/>
    </row>
    <row r="43" spans="2:23">
      <c r="B43" s="128"/>
      <c r="C43" s="126"/>
      <c r="D43" s="119"/>
      <c r="E43" s="119"/>
      <c r="F43" s="119"/>
      <c r="G43" s="119"/>
      <c r="H43" s="119"/>
      <c r="I43" s="119"/>
      <c r="J43" s="119"/>
      <c r="K43" s="119"/>
      <c r="L43" s="119"/>
      <c r="M43" s="119"/>
      <c r="N43" s="119"/>
      <c r="O43" s="119"/>
      <c r="P43" s="119"/>
      <c r="Q43" s="119"/>
      <c r="R43" s="119"/>
      <c r="S43" s="119"/>
      <c r="T43" s="119"/>
      <c r="U43" s="119"/>
      <c r="V43" s="119"/>
      <c r="W43" s="119"/>
    </row>
    <row r="44" spans="2:23">
      <c r="B44" s="420"/>
      <c r="C44" s="126"/>
      <c r="D44" s="119"/>
      <c r="E44" s="119"/>
      <c r="F44" s="119"/>
      <c r="G44" s="119"/>
      <c r="H44" s="119"/>
      <c r="I44" s="119"/>
      <c r="J44" s="119"/>
      <c r="K44" s="119"/>
      <c r="L44" s="119"/>
      <c r="M44" s="119"/>
      <c r="N44" s="119"/>
      <c r="O44" s="119"/>
      <c r="P44" s="119"/>
      <c r="Q44" s="119"/>
      <c r="R44" s="119"/>
      <c r="S44" s="119"/>
      <c r="T44" s="119"/>
      <c r="U44" s="119"/>
      <c r="V44" s="119"/>
      <c r="W44" s="119"/>
    </row>
    <row r="45" spans="2:23">
      <c r="B45" s="420"/>
      <c r="C45" s="126"/>
      <c r="D45" s="119"/>
      <c r="E45" s="119"/>
      <c r="F45" s="119"/>
      <c r="G45" s="119"/>
      <c r="H45" s="119"/>
      <c r="I45" s="119"/>
      <c r="J45" s="119"/>
      <c r="K45" s="119"/>
      <c r="L45" s="119"/>
      <c r="M45" s="119"/>
      <c r="N45" s="119"/>
      <c r="O45" s="119"/>
      <c r="P45" s="119"/>
      <c r="Q45" s="119"/>
      <c r="R45" s="119"/>
      <c r="S45" s="119"/>
      <c r="T45" s="119"/>
      <c r="U45" s="119"/>
      <c r="V45" s="119"/>
      <c r="W45" s="119"/>
    </row>
    <row r="46" spans="2:23">
      <c r="B46" s="420"/>
      <c r="C46" s="126"/>
      <c r="D46" s="119"/>
      <c r="E46" s="119"/>
      <c r="F46" s="119"/>
      <c r="G46" s="119"/>
      <c r="H46" s="119"/>
      <c r="I46" s="119"/>
      <c r="J46" s="119"/>
      <c r="K46" s="119"/>
      <c r="L46" s="119"/>
      <c r="M46" s="119"/>
      <c r="N46" s="119"/>
      <c r="O46" s="119"/>
      <c r="P46" s="119"/>
      <c r="Q46" s="119"/>
      <c r="R46" s="119"/>
      <c r="S46" s="119"/>
      <c r="T46" s="119"/>
      <c r="U46" s="119"/>
      <c r="V46" s="119"/>
      <c r="W46" s="119"/>
    </row>
    <row r="47" spans="2:23">
      <c r="B47" s="420"/>
      <c r="C47" s="126"/>
      <c r="D47" s="119"/>
      <c r="E47" s="119"/>
      <c r="F47" s="119"/>
      <c r="G47" s="119"/>
      <c r="H47" s="119"/>
      <c r="I47" s="119"/>
      <c r="J47" s="119"/>
      <c r="K47" s="119"/>
      <c r="L47" s="119"/>
      <c r="M47" s="119"/>
      <c r="N47" s="119"/>
      <c r="O47" s="119"/>
      <c r="P47" s="119"/>
      <c r="Q47" s="119"/>
      <c r="R47" s="119"/>
      <c r="S47" s="119"/>
      <c r="T47" s="119"/>
      <c r="U47" s="119"/>
      <c r="V47" s="119"/>
      <c r="W47" s="119"/>
    </row>
    <row r="48" spans="2:23">
      <c r="B48" s="407"/>
      <c r="C48" s="411"/>
      <c r="D48" s="119"/>
      <c r="E48" s="119"/>
      <c r="F48" s="119"/>
      <c r="G48" s="119"/>
      <c r="H48" s="119"/>
      <c r="I48" s="119"/>
      <c r="J48" s="119"/>
      <c r="K48" s="119"/>
      <c r="L48" s="119"/>
      <c r="M48" s="119"/>
      <c r="N48" s="119"/>
      <c r="O48" s="119"/>
      <c r="P48" s="119"/>
      <c r="Q48" s="119"/>
      <c r="R48" s="119"/>
      <c r="S48" s="119"/>
      <c r="T48" s="119"/>
      <c r="U48" s="119"/>
      <c r="V48" s="119"/>
      <c r="W48" s="119"/>
    </row>
    <row r="49" spans="2:23">
      <c r="B49" s="407"/>
      <c r="C49" s="411"/>
      <c r="D49" s="119"/>
      <c r="E49" s="119"/>
      <c r="F49" s="119"/>
      <c r="G49" s="119"/>
      <c r="H49" s="119"/>
      <c r="I49" s="119"/>
      <c r="J49" s="119"/>
      <c r="K49" s="119"/>
      <c r="L49" s="119"/>
      <c r="M49" s="119"/>
      <c r="N49" s="119"/>
      <c r="O49" s="119"/>
      <c r="P49" s="119"/>
      <c r="Q49" s="119"/>
      <c r="R49" s="119"/>
      <c r="S49" s="119"/>
      <c r="T49" s="119"/>
      <c r="U49" s="119"/>
      <c r="V49" s="119"/>
      <c r="W49" s="119"/>
    </row>
    <row r="50" spans="2:23">
      <c r="B50" s="122"/>
      <c r="C50" s="126"/>
      <c r="D50" s="119"/>
      <c r="E50" s="119"/>
      <c r="F50" s="119"/>
      <c r="G50" s="119"/>
      <c r="H50" s="119"/>
      <c r="I50" s="119"/>
      <c r="J50" s="119"/>
      <c r="K50" s="119"/>
      <c r="L50" s="119"/>
      <c r="M50" s="119"/>
      <c r="N50" s="119"/>
      <c r="O50" s="119"/>
      <c r="P50" s="119"/>
      <c r="Q50" s="119"/>
      <c r="R50" s="119"/>
      <c r="S50" s="119"/>
      <c r="T50" s="119"/>
      <c r="U50" s="119"/>
      <c r="V50" s="119"/>
      <c r="W50" s="119"/>
    </row>
    <row r="51" spans="2:23">
      <c r="B51" s="122"/>
      <c r="C51" s="126"/>
      <c r="D51" s="119"/>
      <c r="E51" s="119"/>
      <c r="F51" s="119"/>
      <c r="G51" s="119"/>
      <c r="H51" s="119"/>
      <c r="I51" s="119"/>
      <c r="J51" s="119"/>
      <c r="K51" s="119"/>
      <c r="L51" s="119"/>
      <c r="M51" s="119"/>
      <c r="N51" s="119"/>
      <c r="O51" s="119"/>
      <c r="P51" s="119"/>
      <c r="Q51" s="119"/>
      <c r="R51" s="119"/>
      <c r="S51" s="119"/>
      <c r="T51" s="119"/>
      <c r="U51" s="119"/>
      <c r="V51" s="119"/>
      <c r="W51" s="119"/>
    </row>
    <row r="52" spans="2:23">
      <c r="B52" s="122"/>
      <c r="C52" s="126"/>
      <c r="D52" s="119"/>
      <c r="E52" s="119"/>
      <c r="F52" s="119"/>
      <c r="G52" s="119"/>
      <c r="H52" s="119"/>
      <c r="I52" s="119"/>
      <c r="J52" s="119"/>
      <c r="K52" s="119"/>
      <c r="L52" s="119"/>
      <c r="M52" s="119"/>
      <c r="N52" s="119"/>
      <c r="O52" s="119"/>
      <c r="P52" s="119"/>
      <c r="Q52" s="119"/>
      <c r="R52" s="119"/>
      <c r="S52" s="119"/>
      <c r="T52" s="119"/>
      <c r="U52" s="119"/>
      <c r="V52" s="119"/>
      <c r="W52" s="119"/>
    </row>
    <row r="53" spans="2:23">
      <c r="B53" s="122"/>
      <c r="C53" s="130"/>
      <c r="D53" s="119"/>
      <c r="E53" s="119"/>
      <c r="F53" s="119"/>
      <c r="G53" s="119"/>
      <c r="H53" s="119"/>
      <c r="I53" s="119"/>
      <c r="J53" s="119"/>
      <c r="K53" s="119"/>
      <c r="L53" s="119"/>
      <c r="M53" s="119"/>
      <c r="N53" s="119"/>
      <c r="O53" s="119"/>
      <c r="P53" s="119"/>
      <c r="Q53" s="119"/>
      <c r="R53" s="119"/>
      <c r="S53" s="119"/>
      <c r="T53" s="119"/>
      <c r="U53" s="119"/>
      <c r="V53" s="119"/>
      <c r="W53" s="119"/>
    </row>
    <row r="54" spans="2:23" ht="14.25" customHeight="1">
      <c r="B54" s="408"/>
      <c r="C54" s="411"/>
      <c r="D54" s="119"/>
      <c r="E54" s="119"/>
      <c r="F54" s="119"/>
      <c r="G54" s="119"/>
      <c r="H54" s="119"/>
      <c r="I54" s="119"/>
      <c r="J54" s="119"/>
      <c r="K54" s="119"/>
      <c r="L54" s="119"/>
      <c r="M54" s="119"/>
      <c r="N54" s="119"/>
      <c r="O54" s="119"/>
      <c r="P54" s="119"/>
      <c r="Q54" s="119"/>
      <c r="R54" s="119"/>
      <c r="S54" s="119"/>
      <c r="T54" s="119"/>
      <c r="U54" s="119"/>
      <c r="V54" s="119"/>
      <c r="W54" s="119"/>
    </row>
    <row r="55" spans="2:23">
      <c r="B55" s="408"/>
      <c r="C55" s="411"/>
      <c r="D55" s="119"/>
      <c r="E55" s="119"/>
      <c r="F55" s="119"/>
      <c r="G55" s="119"/>
      <c r="H55" s="119"/>
      <c r="I55" s="119"/>
      <c r="J55" s="119"/>
      <c r="K55" s="119"/>
      <c r="L55" s="119"/>
      <c r="M55" s="119"/>
      <c r="N55" s="119"/>
      <c r="O55" s="119"/>
      <c r="P55" s="119"/>
      <c r="Q55" s="119"/>
      <c r="R55" s="119"/>
      <c r="S55" s="119"/>
      <c r="T55" s="119"/>
      <c r="U55" s="119"/>
      <c r="V55" s="119"/>
      <c r="W55" s="119"/>
    </row>
    <row r="56" spans="2:23">
      <c r="B56" s="122"/>
      <c r="C56" s="126"/>
      <c r="D56" s="119"/>
      <c r="E56" s="119"/>
      <c r="F56" s="119"/>
      <c r="G56" s="119"/>
      <c r="H56" s="119"/>
      <c r="I56" s="119"/>
      <c r="J56" s="119"/>
      <c r="K56" s="119"/>
      <c r="L56" s="119"/>
      <c r="M56" s="119"/>
      <c r="N56" s="119"/>
      <c r="O56" s="119"/>
      <c r="P56" s="119"/>
      <c r="Q56" s="119"/>
      <c r="R56" s="119"/>
      <c r="S56" s="119"/>
      <c r="T56" s="119"/>
      <c r="U56" s="119"/>
      <c r="V56" s="119"/>
      <c r="W56" s="119"/>
    </row>
    <row r="57" spans="2:23">
      <c r="B57" s="122"/>
      <c r="C57" s="126"/>
      <c r="D57" s="119"/>
      <c r="E57" s="119"/>
      <c r="F57" s="119"/>
      <c r="G57" s="119"/>
      <c r="H57" s="119"/>
      <c r="I57" s="119"/>
      <c r="J57" s="119"/>
      <c r="K57" s="119"/>
      <c r="L57" s="119"/>
      <c r="M57" s="119"/>
      <c r="N57" s="119"/>
      <c r="O57" s="119"/>
      <c r="P57" s="119"/>
      <c r="Q57" s="119"/>
      <c r="R57" s="119"/>
      <c r="S57" s="119"/>
      <c r="T57" s="119"/>
      <c r="U57" s="119"/>
      <c r="V57" s="119"/>
      <c r="W57" s="119"/>
    </row>
    <row r="58" spans="2:23">
      <c r="B58" s="122"/>
      <c r="C58" s="126"/>
      <c r="D58" s="119"/>
      <c r="E58" s="119"/>
      <c r="F58" s="119"/>
      <c r="G58" s="119"/>
      <c r="H58" s="119"/>
      <c r="I58" s="119"/>
      <c r="J58" s="119"/>
      <c r="K58" s="119"/>
      <c r="L58" s="119"/>
      <c r="M58" s="119"/>
      <c r="N58" s="119"/>
      <c r="O58" s="119"/>
      <c r="P58" s="119"/>
      <c r="Q58" s="119"/>
      <c r="R58" s="119"/>
      <c r="S58" s="119"/>
      <c r="T58" s="119"/>
      <c r="U58" s="119"/>
      <c r="V58" s="119"/>
      <c r="W58" s="119"/>
    </row>
    <row r="59" spans="2:23">
      <c r="B59" s="122"/>
      <c r="C59" s="126"/>
      <c r="D59" s="119"/>
      <c r="E59" s="119"/>
      <c r="F59" s="119"/>
      <c r="G59" s="119"/>
      <c r="H59" s="119"/>
      <c r="I59" s="119"/>
      <c r="J59" s="119"/>
      <c r="K59" s="119"/>
      <c r="L59" s="119"/>
      <c r="M59" s="119"/>
      <c r="N59" s="119"/>
      <c r="O59" s="119"/>
      <c r="P59" s="119"/>
      <c r="Q59" s="119"/>
      <c r="R59" s="119"/>
      <c r="S59" s="119"/>
      <c r="T59" s="119"/>
      <c r="U59" s="119"/>
      <c r="V59" s="119"/>
      <c r="W59" s="119"/>
    </row>
    <row r="60" spans="2:23">
      <c r="B60" s="122"/>
      <c r="C60" s="126"/>
      <c r="D60" s="119"/>
      <c r="E60" s="119"/>
      <c r="F60" s="119"/>
      <c r="G60" s="119"/>
      <c r="H60" s="119"/>
      <c r="I60" s="119"/>
      <c r="J60" s="119"/>
      <c r="K60" s="119"/>
      <c r="L60" s="119"/>
      <c r="M60" s="119"/>
      <c r="N60" s="119"/>
      <c r="O60" s="119"/>
      <c r="P60" s="119"/>
      <c r="Q60" s="119"/>
      <c r="R60" s="119"/>
      <c r="S60" s="119"/>
      <c r="T60" s="119"/>
      <c r="U60" s="119"/>
      <c r="V60" s="119"/>
      <c r="W60" s="119"/>
    </row>
    <row r="61" spans="2:23">
      <c r="B61" s="122"/>
      <c r="C61" s="126"/>
      <c r="D61" s="119"/>
      <c r="E61" s="119"/>
      <c r="F61" s="119"/>
      <c r="G61" s="119"/>
      <c r="H61" s="119"/>
      <c r="I61" s="119"/>
      <c r="J61" s="119"/>
      <c r="K61" s="119"/>
      <c r="L61" s="119"/>
      <c r="M61" s="119"/>
      <c r="N61" s="119"/>
      <c r="O61" s="119"/>
      <c r="P61" s="119"/>
      <c r="Q61" s="119"/>
      <c r="R61" s="119"/>
      <c r="S61" s="119"/>
      <c r="T61" s="119"/>
      <c r="U61" s="119"/>
      <c r="V61" s="119"/>
      <c r="W61" s="119"/>
    </row>
    <row r="62" spans="2:23">
      <c r="B62" s="122"/>
      <c r="C62" s="126"/>
      <c r="D62" s="119"/>
      <c r="E62" s="119"/>
      <c r="F62" s="119"/>
      <c r="G62" s="119"/>
      <c r="H62" s="119"/>
      <c r="I62" s="119"/>
      <c r="J62" s="119"/>
      <c r="K62" s="119"/>
      <c r="L62" s="119"/>
      <c r="M62" s="119"/>
      <c r="N62" s="119"/>
      <c r="O62" s="119"/>
      <c r="P62" s="119"/>
      <c r="Q62" s="119"/>
      <c r="R62" s="119"/>
      <c r="S62" s="119"/>
      <c r="T62" s="119"/>
      <c r="U62" s="119"/>
      <c r="V62" s="119"/>
      <c r="W62" s="119"/>
    </row>
    <row r="63" spans="2:23">
      <c r="B63" s="122"/>
      <c r="C63" s="126"/>
      <c r="D63" s="119"/>
      <c r="E63" s="119"/>
      <c r="F63" s="119"/>
      <c r="G63" s="119"/>
      <c r="H63" s="119"/>
      <c r="I63" s="119"/>
      <c r="J63" s="119"/>
      <c r="K63" s="119"/>
      <c r="L63" s="119"/>
      <c r="M63" s="119"/>
      <c r="N63" s="119"/>
      <c r="O63" s="119"/>
      <c r="P63" s="119"/>
      <c r="Q63" s="119"/>
      <c r="R63" s="119"/>
      <c r="S63" s="119"/>
      <c r="T63" s="119"/>
      <c r="U63" s="119"/>
      <c r="V63" s="119"/>
      <c r="W63" s="119"/>
    </row>
    <row r="64" spans="2:23">
      <c r="B64" s="122"/>
      <c r="C64" s="130"/>
    </row>
  </sheetData>
  <customSheetViews>
    <customSheetView guid="{35BB8162-AD08-4F19-B47C-5A1FD7B0567B}" topLeftCell="J1">
      <selection activeCell="N10" sqref="N1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F2BBD7E-9334-44AA-B170-23CF20E0BAAC}" topLeftCell="E1">
      <selection activeCell="N10" sqref="N1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2347D80-63DB-496D-935F-2CF95DC088FE}" topLeftCell="D1">
      <selection activeCell="G13" sqref="G13"/>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0EBD1C52-A862-496E-88D9-4B6EAB1093EB}" topLeftCell="D1">
      <selection activeCell="G13" sqref="G13"/>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279B0F34-BE9C-4778-A036-3ED8EAAF78FA}" topLeftCell="J1">
      <selection activeCell="N10" sqref="N1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FE13EA77-3511-4AB1-99FB-5446425992B9}" topLeftCell="J1">
      <selection activeCell="N10" sqref="N1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 guid="{15D5C299-761A-4CBF-AA27-B17032FC4CEB}" topLeftCell="J1">
      <selection activeCell="N10" sqref="N10"/>
      <pageMargins left="0.74791666666666701" right="0.74791666666666701" top="0.98402777777777795" bottom="0.98402777777777795" header="0.51180555555555596" footer="0.51180555555555596"/>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17">
    <mergeCell ref="L2:M2"/>
    <mergeCell ref="C34:C35"/>
    <mergeCell ref="C48:C49"/>
    <mergeCell ref="P2:Q2"/>
    <mergeCell ref="A1:B1"/>
    <mergeCell ref="D2:E2"/>
    <mergeCell ref="H2:I2"/>
    <mergeCell ref="A4:A6"/>
    <mergeCell ref="C54:C55"/>
    <mergeCell ref="A2:B3"/>
    <mergeCell ref="B28:B29"/>
    <mergeCell ref="B34:B35"/>
    <mergeCell ref="B44:B47"/>
    <mergeCell ref="B48:B49"/>
    <mergeCell ref="B54:B55"/>
    <mergeCell ref="A7:A10"/>
    <mergeCell ref="C2:C3"/>
  </mergeCells>
  <phoneticPr fontId="15" type="noConversion"/>
  <pageMargins left="0.74791666666666701" right="0.74791666666666701" top="0.98402777777777795" bottom="0.98402777777777795" header="0.51180555555555596" footer="0.51180555555555596"/>
  <pageSetup paperSize="9" orientation="portrait" r:id="rId1"/>
  <headerFooter alignWithMargins="0">
    <oddHeader>&amp;L&amp;G&amp;C&amp;F&amp;R文档密级</oddHeader>
    <oddFooter>&amp;L&amp;D&amp;C华为保密信息,未经授权禁止扩散&amp;R第&amp;P页，共&amp;N页</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250"/>
  <sheetViews>
    <sheetView topLeftCell="N82" zoomScale="85" zoomScaleNormal="85" workbookViewId="0">
      <selection activeCell="W97" sqref="W97"/>
    </sheetView>
  </sheetViews>
  <sheetFormatPr defaultColWidth="8.88671875" defaultRowHeight="13.2"/>
  <cols>
    <col min="1" max="1" width="10.44140625" customWidth="1"/>
    <col min="2" max="2" width="39" customWidth="1"/>
    <col min="3" max="3" width="22.44140625" customWidth="1"/>
    <col min="4" max="4" width="23.44140625" style="17" customWidth="1"/>
    <col min="5" max="6" width="15.44140625" style="17" customWidth="1"/>
    <col min="7" max="10" width="8.88671875" style="17"/>
    <col min="11" max="11" width="11.109375" style="17" customWidth="1"/>
    <col min="12" max="12" width="11.44140625" customWidth="1"/>
    <col min="13" max="13" width="16" style="17" customWidth="1"/>
    <col min="14" max="14" width="13.88671875" style="17" customWidth="1"/>
    <col min="15" max="15" width="14.44140625" style="58" customWidth="1"/>
    <col min="16" max="16" width="10.109375" style="17" customWidth="1"/>
    <col min="17" max="17" width="13.5546875" style="17" customWidth="1"/>
    <col min="18" max="18" width="14" style="58" customWidth="1"/>
    <col min="19" max="19" width="15.44140625" customWidth="1"/>
    <col min="20" max="20" width="10.5546875" style="17" customWidth="1"/>
    <col min="21" max="21" width="14.44140625" customWidth="1"/>
    <col min="22" max="22" width="11.109375" customWidth="1"/>
    <col min="23" max="23" width="12.44140625" customWidth="1"/>
    <col min="24" max="24" width="12.5546875" customWidth="1"/>
    <col min="25" max="25" width="11.5546875" customWidth="1"/>
    <col min="26" max="26" width="10.5546875" customWidth="1"/>
    <col min="27" max="27" width="11.88671875" customWidth="1"/>
    <col min="28" max="28" width="12" customWidth="1"/>
    <col min="29" max="29" width="12.44140625" customWidth="1"/>
  </cols>
  <sheetData>
    <row r="1" spans="1:27" ht="57.75" customHeight="1">
      <c r="B1" s="424" t="s">
        <v>539</v>
      </c>
      <c r="C1" s="424"/>
      <c r="D1" s="424"/>
      <c r="E1" s="424"/>
      <c r="F1" s="424"/>
      <c r="G1" s="424"/>
      <c r="H1" s="424"/>
      <c r="I1" s="424"/>
      <c r="J1" s="424"/>
    </row>
    <row r="2" spans="1:27" ht="13.8">
      <c r="B2" s="38" t="s">
        <v>380</v>
      </c>
      <c r="C2" s="38"/>
    </row>
    <row r="3" spans="1:27" ht="13.8">
      <c r="B3" s="38" t="s">
        <v>381</v>
      </c>
      <c r="C3" s="38"/>
      <c r="D3" s="17" t="s">
        <v>382</v>
      </c>
      <c r="E3" s="17" t="s">
        <v>383</v>
      </c>
      <c r="F3" s="17" t="s">
        <v>384</v>
      </c>
    </row>
    <row r="4" spans="1:27" ht="13.8">
      <c r="B4" s="38" t="s">
        <v>385</v>
      </c>
      <c r="D4" s="17">
        <v>10</v>
      </c>
      <c r="E4" s="17">
        <v>20</v>
      </c>
      <c r="F4" s="17">
        <v>40</v>
      </c>
    </row>
    <row r="5" spans="1:27" ht="13.8">
      <c r="B5" s="38" t="s">
        <v>386</v>
      </c>
      <c r="C5" s="38"/>
      <c r="D5" s="17">
        <f>52</f>
        <v>52</v>
      </c>
      <c r="E5" s="17">
        <v>106</v>
      </c>
      <c r="F5" s="17">
        <v>216</v>
      </c>
    </row>
    <row r="6" spans="1:27" ht="13.8">
      <c r="B6" s="38" t="s">
        <v>535</v>
      </c>
      <c r="D6" s="71">
        <v>6.4000000000000001E-2</v>
      </c>
      <c r="E6" s="71">
        <v>4.5999999999999999E-2</v>
      </c>
      <c r="F6" s="71">
        <v>2.8000000000000001E-2</v>
      </c>
    </row>
    <row r="7" spans="1:27" ht="64.5" customHeight="1">
      <c r="B7" s="20"/>
      <c r="C7" s="20" t="s">
        <v>387</v>
      </c>
      <c r="D7" s="20"/>
      <c r="E7" s="20" t="s">
        <v>324</v>
      </c>
      <c r="F7" s="20" t="s">
        <v>388</v>
      </c>
      <c r="G7" s="20" t="s">
        <v>389</v>
      </c>
      <c r="H7" s="20" t="s">
        <v>329</v>
      </c>
      <c r="I7" s="20" t="s">
        <v>299</v>
      </c>
      <c r="J7" s="20" t="s">
        <v>296</v>
      </c>
      <c r="K7" s="20"/>
      <c r="L7" s="20"/>
      <c r="M7" s="39" t="s">
        <v>390</v>
      </c>
      <c r="N7" s="39" t="s">
        <v>391</v>
      </c>
      <c r="O7" s="39" t="s">
        <v>392</v>
      </c>
      <c r="P7" s="40" t="s">
        <v>393</v>
      </c>
      <c r="Q7" s="40" t="s">
        <v>394</v>
      </c>
      <c r="R7" s="56" t="s">
        <v>395</v>
      </c>
      <c r="S7" s="57" t="s">
        <v>396</v>
      </c>
      <c r="T7" s="40" t="s">
        <v>397</v>
      </c>
      <c r="U7" s="40" t="s">
        <v>398</v>
      </c>
      <c r="V7" s="56" t="s">
        <v>399</v>
      </c>
      <c r="W7" s="57" t="s">
        <v>400</v>
      </c>
      <c r="X7" s="40" t="s">
        <v>401</v>
      </c>
      <c r="Y7" s="40" t="s">
        <v>402</v>
      </c>
      <c r="Z7" s="56" t="s">
        <v>403</v>
      </c>
      <c r="AA7" s="57" t="s">
        <v>404</v>
      </c>
    </row>
    <row r="8" spans="1:27" ht="13.8">
      <c r="A8">
        <v>1</v>
      </c>
      <c r="B8" s="22" t="s">
        <v>8</v>
      </c>
      <c r="C8" s="22" t="s">
        <v>405</v>
      </c>
      <c r="D8" s="22"/>
      <c r="E8" s="22">
        <f>24*D5*10</f>
        <v>12480</v>
      </c>
      <c r="F8" s="22">
        <f>32*D5</f>
        <v>1664</v>
      </c>
      <c r="G8" s="22">
        <f>4*D5</f>
        <v>208</v>
      </c>
      <c r="H8" s="22">
        <f>2*4*D5*1/2</f>
        <v>208</v>
      </c>
      <c r="I8" s="22">
        <f>1*4*240</f>
        <v>960</v>
      </c>
      <c r="J8" s="22">
        <f>12*8*6*10</f>
        <v>5760</v>
      </c>
      <c r="K8" s="22"/>
      <c r="L8" s="22"/>
      <c r="M8" s="22">
        <f>D5*12*10*14</f>
        <v>87360</v>
      </c>
      <c r="N8" s="22">
        <f>SUM(E8:J8)</f>
        <v>21280</v>
      </c>
      <c r="O8" s="75">
        <f>100*N8/M8</f>
        <v>24.358974358974358</v>
      </c>
      <c r="P8" s="27">
        <f>M8</f>
        <v>87360</v>
      </c>
      <c r="Q8" s="27">
        <f>N8+J10-J8</f>
        <v>28000</v>
      </c>
      <c r="R8" s="76">
        <f>100*Q8/P8</f>
        <v>32.051282051282051</v>
      </c>
      <c r="S8" s="58">
        <f>(1-R8/100)/(1-O8/100)</f>
        <v>0.89830508474576276</v>
      </c>
      <c r="T8" s="17">
        <f>P8*$E$5/$D$5</f>
        <v>178080</v>
      </c>
      <c r="U8" s="80">
        <f>SUM(E8:G8)*$E$5/$D$5+H8+I8+12*CEILING($E$5*2*$D$4/$E$4,1)*10</f>
        <v>43144</v>
      </c>
      <c r="V8" s="76">
        <f>100*U8/T8</f>
        <v>24.227313566936207</v>
      </c>
      <c r="W8" s="58">
        <f>(1-V8/100)/(1-R8/100)*(1-$E$6)/(1-$D$6)</f>
        <v>1.1365902964959571</v>
      </c>
      <c r="X8" s="17">
        <f>P8*$F$5/$D$5</f>
        <v>362880</v>
      </c>
      <c r="Y8" s="80">
        <f>SUM(E8:G8)*$F$5/$D$5+H8+I8+12*CEILING($F$5*2*$D$4/$F$4,1)*10</f>
        <v>73744</v>
      </c>
      <c r="Z8" s="76">
        <f>100*Y8/X8</f>
        <v>20.321869488536155</v>
      </c>
      <c r="AA8" s="58">
        <f>(1-Z8/100)/(1-R8/100)*(1-$F$6)/(1-$D$6)</f>
        <v>1.2177223719676549</v>
      </c>
    </row>
    <row r="9" spans="1:27">
      <c r="A9">
        <v>2</v>
      </c>
      <c r="B9" s="27" t="s">
        <v>11</v>
      </c>
      <c r="C9" s="27" t="s">
        <v>405</v>
      </c>
      <c r="D9" s="27"/>
      <c r="E9" s="27">
        <f>24*D5*10</f>
        <v>12480</v>
      </c>
      <c r="F9" s="27">
        <f>32*D5*2</f>
        <v>3328</v>
      </c>
      <c r="G9" s="27">
        <v>0</v>
      </c>
      <c r="H9" s="27">
        <f>2*4*D5*1/2</f>
        <v>208</v>
      </c>
      <c r="I9" s="27">
        <f>1*4*240/2</f>
        <v>480</v>
      </c>
      <c r="J9" s="27">
        <f>2*12*D5*10</f>
        <v>12480</v>
      </c>
      <c r="K9" s="27"/>
      <c r="L9" s="27"/>
      <c r="M9" s="27">
        <f>D5*12*10*14</f>
        <v>87360</v>
      </c>
      <c r="N9" s="27">
        <f>SUM(E9:J9)</f>
        <v>28976</v>
      </c>
      <c r="O9" s="76">
        <f>100*N9/M9</f>
        <v>33.168498168498168</v>
      </c>
      <c r="P9" s="27">
        <f>M9</f>
        <v>87360</v>
      </c>
      <c r="Q9" s="27">
        <f>N9+J11-J9</f>
        <v>28976</v>
      </c>
      <c r="R9" s="76">
        <f>100*Q9/P9</f>
        <v>33.168498168498168</v>
      </c>
      <c r="S9" s="58">
        <f t="shared" ref="S9:S21" si="0">(1-R9/100)/(1-O9/100)</f>
        <v>1</v>
      </c>
      <c r="T9" s="17">
        <f t="shared" ref="T9:T21" si="1">P9*$E$5/$D$5</f>
        <v>178080</v>
      </c>
      <c r="U9" s="80">
        <f t="shared" ref="U9:U21" si="2">SUM(E9:G9)*$E$5/$D$5+H9+I9+12*CEILING($E$5*2*$D$4/$E$4,1)*10</f>
        <v>45632</v>
      </c>
      <c r="V9" s="76">
        <f t="shared" ref="V9:V21" si="3">100*U9/T9</f>
        <v>25.624438454627136</v>
      </c>
      <c r="W9" s="58">
        <f t="shared" ref="W9:W21" si="4">(1-V9/100)/(1-R9/100)*(1-$E$6)/(1-$D$6)</f>
        <v>1.1342833653055631</v>
      </c>
      <c r="X9" s="17">
        <f>P9*$F$5/$D$5</f>
        <v>362880</v>
      </c>
      <c r="Y9" s="80">
        <f t="shared" ref="Y9:Y21" si="5">SUM(E9:G9)*$F$5/$D$5+H9+I9+12*CEILING($F$5*2*$D$4/$F$4,1)*10</f>
        <v>79312</v>
      </c>
      <c r="Z9" s="76">
        <f>100*Y9/X9</f>
        <v>21.85626102292769</v>
      </c>
      <c r="AA9" s="58">
        <f>(1-Z9/100)/(1-R9/100)*(1-$F$6)/(1-$D$6)</f>
        <v>1.2142367771992324</v>
      </c>
    </row>
    <row r="10" spans="1:27">
      <c r="A10">
        <v>3</v>
      </c>
      <c r="B10" s="27" t="s">
        <v>16</v>
      </c>
      <c r="C10" s="27" t="s">
        <v>405</v>
      </c>
      <c r="D10" s="27"/>
      <c r="E10" s="27">
        <f>2*12*D5*10</f>
        <v>12480</v>
      </c>
      <c r="F10" s="27">
        <f>32*D5</f>
        <v>1664</v>
      </c>
      <c r="G10" s="27">
        <f>4*D5</f>
        <v>208</v>
      </c>
      <c r="H10" s="27">
        <f>4*3*D5*10/80</f>
        <v>78</v>
      </c>
      <c r="I10" s="27">
        <f>4*240*1/2</f>
        <v>480</v>
      </c>
      <c r="J10" s="27">
        <f>2*12*D5*10</f>
        <v>12480</v>
      </c>
      <c r="K10" s="27"/>
      <c r="L10" s="15"/>
      <c r="M10" s="27">
        <f>12*14*D5*10</f>
        <v>87360</v>
      </c>
      <c r="N10" s="27">
        <f>SUM(E10:J10)</f>
        <v>27390</v>
      </c>
      <c r="O10" s="76">
        <f>100*N10/M10</f>
        <v>31.353021978021978</v>
      </c>
      <c r="P10" s="27">
        <v>87360</v>
      </c>
      <c r="Q10" s="27">
        <v>27390</v>
      </c>
      <c r="R10" s="76">
        <v>31.353021978021999</v>
      </c>
      <c r="S10" s="58">
        <f t="shared" si="0"/>
        <v>0.99999999999999967</v>
      </c>
      <c r="T10" s="17">
        <f t="shared" si="1"/>
        <v>178080</v>
      </c>
      <c r="U10" s="80">
        <f t="shared" si="2"/>
        <v>42534</v>
      </c>
      <c r="V10" s="76">
        <f t="shared" si="3"/>
        <v>23.884770889487871</v>
      </c>
      <c r="W10" s="58">
        <f t="shared" si="4"/>
        <v>1.1301150575287648</v>
      </c>
      <c r="X10" s="17">
        <f t="shared" ref="X10:X21" si="6">P10*$F$5/$D$5</f>
        <v>362880</v>
      </c>
      <c r="Y10" s="80">
        <f t="shared" si="5"/>
        <v>73134</v>
      </c>
      <c r="Z10" s="76">
        <f t="shared" ref="Z10:Z21" si="7">100*Y10/X10</f>
        <v>20.153769841269842</v>
      </c>
      <c r="AA10" s="58">
        <f t="shared" ref="AA10:AA21" si="8">(1-Z10/100)/(1-R10/100)*(1-$F$6)/(1-$D$6)</f>
        <v>1.2078789394697353</v>
      </c>
    </row>
    <row r="11" spans="1:27">
      <c r="A11">
        <v>4</v>
      </c>
      <c r="B11" s="27" t="s">
        <v>5</v>
      </c>
      <c r="C11" s="27" t="s">
        <v>405</v>
      </c>
      <c r="D11" s="27"/>
      <c r="E11" s="27">
        <v>9410</v>
      </c>
      <c r="F11" s="27">
        <f>32*D5*2</f>
        <v>3328</v>
      </c>
      <c r="G11" s="27">
        <f>4*D5*2</f>
        <v>416</v>
      </c>
      <c r="H11" s="27">
        <f>4*3*D5*10/20</f>
        <v>312</v>
      </c>
      <c r="I11" s="27">
        <f>1*4*240*10/20</f>
        <v>480</v>
      </c>
      <c r="J11" s="27">
        <f>2*12*D5*10</f>
        <v>12480</v>
      </c>
      <c r="K11" s="27"/>
      <c r="L11" s="15"/>
      <c r="M11" s="27">
        <f>12*14*D5*10</f>
        <v>87360</v>
      </c>
      <c r="N11" s="27">
        <f>SUM(E11:J11)</f>
        <v>26426</v>
      </c>
      <c r="O11" s="76">
        <f>100*N11/M11</f>
        <v>30.249542124542124</v>
      </c>
      <c r="P11" s="27">
        <v>87360</v>
      </c>
      <c r="Q11" s="27">
        <v>26426</v>
      </c>
      <c r="R11" s="76">
        <v>30.249542124542099</v>
      </c>
      <c r="S11" s="58">
        <f t="shared" si="0"/>
        <v>1.0000000000000002</v>
      </c>
      <c r="T11" s="17">
        <f t="shared" si="1"/>
        <v>178080</v>
      </c>
      <c r="U11" s="80">
        <f t="shared" si="2"/>
        <v>40325.923076923078</v>
      </c>
      <c r="V11" s="76">
        <f t="shared" si="3"/>
        <v>22.644835510401549</v>
      </c>
      <c r="W11" s="58">
        <f t="shared" si="4"/>
        <v>1.1303547848744286</v>
      </c>
      <c r="X11" s="17">
        <f t="shared" si="6"/>
        <v>362880</v>
      </c>
      <c r="Y11" s="80">
        <f t="shared" si="5"/>
        <v>68391.692307692312</v>
      </c>
      <c r="Z11" s="76">
        <f t="shared" si="7"/>
        <v>18.846916971916972</v>
      </c>
      <c r="AA11" s="58">
        <f t="shared" si="8"/>
        <v>1.2082265553398248</v>
      </c>
    </row>
    <row r="12" spans="1:27" s="17" customFormat="1">
      <c r="A12">
        <v>5</v>
      </c>
      <c r="B12" s="17" t="s">
        <v>25</v>
      </c>
      <c r="C12" s="17" t="s">
        <v>405</v>
      </c>
      <c r="E12" s="17">
        <f>2*12*D5*10</f>
        <v>12480</v>
      </c>
      <c r="F12" s="17">
        <f>32*D5*2</f>
        <v>3328</v>
      </c>
      <c r="G12" s="17">
        <f>4*D5</f>
        <v>208</v>
      </c>
      <c r="H12" s="17">
        <f>8*D5*1/2</f>
        <v>208</v>
      </c>
      <c r="I12" s="17">
        <f t="shared" ref="I12" si="9">1*4*240*10/20</f>
        <v>480</v>
      </c>
      <c r="J12" s="17">
        <f>2*12*D5*10</f>
        <v>12480</v>
      </c>
      <c r="M12" s="17">
        <f>12*14*D5*10</f>
        <v>87360</v>
      </c>
      <c r="N12" s="17">
        <f t="shared" ref="N12:N17" si="10">SUM(E12:J12)</f>
        <v>29184</v>
      </c>
      <c r="O12" s="58">
        <f>N12/M12*100</f>
        <v>33.406593406593402</v>
      </c>
      <c r="P12" s="17">
        <v>87360</v>
      </c>
      <c r="Q12" s="17">
        <v>29184</v>
      </c>
      <c r="R12" s="58">
        <v>33.406593406593402</v>
      </c>
      <c r="S12" s="58">
        <f t="shared" si="0"/>
        <v>1</v>
      </c>
      <c r="T12" s="17">
        <f t="shared" si="1"/>
        <v>178080</v>
      </c>
      <c r="U12" s="80">
        <f t="shared" si="2"/>
        <v>46056</v>
      </c>
      <c r="V12" s="76">
        <f t="shared" si="3"/>
        <v>25.862533692722373</v>
      </c>
      <c r="W12" s="58">
        <f t="shared" si="4"/>
        <v>1.1346947194719472</v>
      </c>
      <c r="X12" s="17">
        <f t="shared" si="6"/>
        <v>362880</v>
      </c>
      <c r="Y12" s="80">
        <f t="shared" si="5"/>
        <v>80176</v>
      </c>
      <c r="Z12" s="76">
        <f t="shared" si="7"/>
        <v>22.094356261022927</v>
      </c>
      <c r="AA12" s="58">
        <f t="shared" si="8"/>
        <v>1.2148652365236523</v>
      </c>
    </row>
    <row r="13" spans="1:27">
      <c r="A13">
        <v>6</v>
      </c>
      <c r="B13" s="17" t="s">
        <v>23</v>
      </c>
      <c r="C13" s="17" t="s">
        <v>405</v>
      </c>
      <c r="E13" s="17">
        <f>2*12*D5*10</f>
        <v>12480</v>
      </c>
      <c r="F13" s="17">
        <f>32*D5*2</f>
        <v>3328</v>
      </c>
      <c r="G13" s="17">
        <f>4*D5*2</f>
        <v>416</v>
      </c>
      <c r="H13" s="17">
        <f>12*D5*10/20</f>
        <v>312</v>
      </c>
      <c r="I13" s="17">
        <f>4*240*1/2</f>
        <v>480</v>
      </c>
      <c r="J13" s="17">
        <f>2*12*D5*10</f>
        <v>12480</v>
      </c>
      <c r="M13" s="17">
        <f>12*14*D5*10</f>
        <v>87360</v>
      </c>
      <c r="N13" s="17">
        <f t="shared" si="10"/>
        <v>29496</v>
      </c>
      <c r="O13" s="58">
        <f>100*N13/M13</f>
        <v>33.763736263736263</v>
      </c>
      <c r="P13" s="17">
        <v>87360</v>
      </c>
      <c r="Q13" s="17">
        <v>29496</v>
      </c>
      <c r="R13" s="58">
        <v>33.763736263736298</v>
      </c>
      <c r="S13" s="58">
        <f t="shared" si="0"/>
        <v>0.99999999999999933</v>
      </c>
      <c r="T13" s="17">
        <f t="shared" si="1"/>
        <v>178080</v>
      </c>
      <c r="U13" s="80">
        <f t="shared" si="2"/>
        <v>46584</v>
      </c>
      <c r="V13" s="76">
        <f t="shared" si="3"/>
        <v>26.159029649595688</v>
      </c>
      <c r="W13" s="58">
        <f t="shared" si="4"/>
        <v>1.1362505184570724</v>
      </c>
      <c r="X13" s="17">
        <f t="shared" si="6"/>
        <v>362880</v>
      </c>
      <c r="Y13" s="80">
        <f t="shared" si="5"/>
        <v>81144</v>
      </c>
      <c r="Z13" s="76">
        <f t="shared" si="7"/>
        <v>22.361111111111111</v>
      </c>
      <c r="AA13" s="58">
        <f t="shared" si="8"/>
        <v>1.2172335130651188</v>
      </c>
    </row>
    <row r="14" spans="1:27">
      <c r="A14">
        <v>7</v>
      </c>
      <c r="B14" s="17" t="s">
        <v>218</v>
      </c>
      <c r="C14" s="17" t="s">
        <v>405</v>
      </c>
      <c r="E14" s="17">
        <v>12480</v>
      </c>
      <c r="F14" s="17">
        <v>3328</v>
      </c>
      <c r="G14" s="17">
        <v>208</v>
      </c>
      <c r="H14" s="17">
        <v>208</v>
      </c>
      <c r="I14" s="17">
        <v>480</v>
      </c>
      <c r="J14" s="17">
        <v>12480</v>
      </c>
      <c r="M14" s="17">
        <f>12*14*D5*10</f>
        <v>87360</v>
      </c>
      <c r="N14" s="17">
        <f t="shared" si="10"/>
        <v>29184</v>
      </c>
      <c r="O14" s="58">
        <f>100*N14/M14</f>
        <v>33.406593406593409</v>
      </c>
      <c r="P14" s="17">
        <v>87360</v>
      </c>
      <c r="Q14" s="17">
        <v>29184</v>
      </c>
      <c r="R14" s="58">
        <v>33.406593406593402</v>
      </c>
      <c r="S14" s="58">
        <f t="shared" si="0"/>
        <v>1.0000000000000002</v>
      </c>
      <c r="T14" s="17">
        <f t="shared" si="1"/>
        <v>178080</v>
      </c>
      <c r="U14" s="80">
        <f t="shared" si="2"/>
        <v>46056</v>
      </c>
      <c r="V14" s="76">
        <f t="shared" si="3"/>
        <v>25.862533692722373</v>
      </c>
      <c r="W14" s="58">
        <f t="shared" si="4"/>
        <v>1.1346947194719472</v>
      </c>
      <c r="X14" s="17">
        <f t="shared" si="6"/>
        <v>362880</v>
      </c>
      <c r="Y14" s="80">
        <f t="shared" si="5"/>
        <v>80176</v>
      </c>
      <c r="Z14" s="76">
        <f t="shared" si="7"/>
        <v>22.094356261022927</v>
      </c>
      <c r="AA14" s="58">
        <f t="shared" si="8"/>
        <v>1.2148652365236523</v>
      </c>
    </row>
    <row r="15" spans="1:27">
      <c r="A15">
        <v>8</v>
      </c>
      <c r="B15" s="17" t="s">
        <v>26</v>
      </c>
      <c r="C15" s="17" t="s">
        <v>405</v>
      </c>
      <c r="E15" s="17">
        <f>8*D5*10</f>
        <v>4160</v>
      </c>
      <c r="F15" s="17">
        <f>32*D5*2</f>
        <v>3328</v>
      </c>
      <c r="G15" s="17">
        <f>4*D5*2</f>
        <v>416</v>
      </c>
      <c r="H15" s="17">
        <f>3*4*D5*10/20</f>
        <v>312</v>
      </c>
      <c r="I15" s="17">
        <f>1*4*20*12*10/20</f>
        <v>480</v>
      </c>
      <c r="J15" s="17">
        <f>2*12*D5*10</f>
        <v>12480</v>
      </c>
      <c r="M15" s="17">
        <f>12*14*D5*10</f>
        <v>87360</v>
      </c>
      <c r="N15" s="17">
        <f t="shared" si="10"/>
        <v>21176</v>
      </c>
      <c r="O15" s="58">
        <f>100*N15/M15</f>
        <v>24.239926739926741</v>
      </c>
      <c r="P15" s="17">
        <v>87360</v>
      </c>
      <c r="Q15" s="17">
        <v>21176</v>
      </c>
      <c r="R15" s="58">
        <v>24.239926739926702</v>
      </c>
      <c r="S15" s="58">
        <f t="shared" si="0"/>
        <v>1.0000000000000007</v>
      </c>
      <c r="T15" s="17">
        <f t="shared" si="1"/>
        <v>178080</v>
      </c>
      <c r="U15" s="80">
        <f t="shared" si="2"/>
        <v>29624</v>
      </c>
      <c r="V15" s="76">
        <f t="shared" si="3"/>
        <v>16.635220125786162</v>
      </c>
      <c r="W15" s="58">
        <f t="shared" si="4"/>
        <v>1.1215399492324423</v>
      </c>
      <c r="X15" s="17">
        <f t="shared" si="6"/>
        <v>362880</v>
      </c>
      <c r="Y15" s="80">
        <f t="shared" si="5"/>
        <v>46584</v>
      </c>
      <c r="Z15" s="76">
        <f t="shared" si="7"/>
        <v>12.837301587301587</v>
      </c>
      <c r="AA15" s="58">
        <f t="shared" si="8"/>
        <v>1.1947600628550703</v>
      </c>
    </row>
    <row r="16" spans="1:27">
      <c r="A16">
        <v>9</v>
      </c>
      <c r="B16" s="17" t="s">
        <v>27</v>
      </c>
      <c r="C16" s="17" t="s">
        <v>405</v>
      </c>
      <c r="E16" s="29">
        <f>12*D5*10</f>
        <v>6240</v>
      </c>
      <c r="F16" s="29">
        <f>32*D5*2</f>
        <v>3328</v>
      </c>
      <c r="G16" s="29">
        <f>4*D5*2</f>
        <v>416</v>
      </c>
      <c r="H16" s="29">
        <f>12*52*10/20</f>
        <v>312</v>
      </c>
      <c r="I16" s="29">
        <f>4*240*1/2</f>
        <v>480</v>
      </c>
      <c r="J16" s="29">
        <f>2*12*D5*10</f>
        <v>12480</v>
      </c>
      <c r="M16" s="77">
        <f>D5*12*10*14</f>
        <v>87360</v>
      </c>
      <c r="N16" s="29">
        <f t="shared" si="10"/>
        <v>23256</v>
      </c>
      <c r="O16" s="45">
        <f>100*N16/M16</f>
        <v>26.62087912087912</v>
      </c>
      <c r="P16" s="17">
        <v>87360</v>
      </c>
      <c r="Q16" s="17">
        <v>23256</v>
      </c>
      <c r="R16" s="58">
        <v>26.620879120879099</v>
      </c>
      <c r="S16" s="58">
        <f t="shared" si="0"/>
        <v>1.0000000000000002</v>
      </c>
      <c r="T16" s="17">
        <f t="shared" si="1"/>
        <v>178080</v>
      </c>
      <c r="U16" s="80">
        <f t="shared" si="2"/>
        <v>33864</v>
      </c>
      <c r="V16" s="76">
        <f t="shared" si="3"/>
        <v>19.016172506738545</v>
      </c>
      <c r="W16" s="58">
        <f t="shared" si="4"/>
        <v>1.124859603144889</v>
      </c>
      <c r="X16" s="17">
        <f t="shared" si="6"/>
        <v>362880</v>
      </c>
      <c r="Y16" s="80">
        <f t="shared" si="5"/>
        <v>55224</v>
      </c>
      <c r="Z16" s="76">
        <f t="shared" si="7"/>
        <v>15.218253968253968</v>
      </c>
      <c r="AA16" s="58">
        <f t="shared" si="8"/>
        <v>1.1998315237738673</v>
      </c>
    </row>
    <row r="17" spans="1:27">
      <c r="A17">
        <v>11</v>
      </c>
      <c r="B17" s="17" t="s">
        <v>29</v>
      </c>
      <c r="C17" s="29" t="s">
        <v>405</v>
      </c>
      <c r="E17" s="29">
        <f>8*D5*10</f>
        <v>4160</v>
      </c>
      <c r="F17" s="29">
        <f>32*D5*2</f>
        <v>3328</v>
      </c>
      <c r="G17" s="29">
        <f>4*D5*2</f>
        <v>416</v>
      </c>
      <c r="H17" s="29">
        <f>12*52*10/20</f>
        <v>312</v>
      </c>
      <c r="I17" s="29">
        <f>4*240*1/2</f>
        <v>480</v>
      </c>
      <c r="J17" s="29">
        <f>2*12*D5*10</f>
        <v>12480</v>
      </c>
      <c r="M17" s="77">
        <f>D5*12*10*14</f>
        <v>87360</v>
      </c>
      <c r="N17" s="29">
        <f t="shared" si="10"/>
        <v>21176</v>
      </c>
      <c r="O17" s="45">
        <f>100*N17/M17</f>
        <v>24.239926739926741</v>
      </c>
      <c r="P17" s="17">
        <v>87360</v>
      </c>
      <c r="Q17" s="17">
        <v>21176</v>
      </c>
      <c r="R17" s="58">
        <v>24.239926739926702</v>
      </c>
      <c r="S17" s="58">
        <f t="shared" si="0"/>
        <v>1.0000000000000007</v>
      </c>
      <c r="T17" s="17">
        <f t="shared" si="1"/>
        <v>178080</v>
      </c>
      <c r="U17" s="80">
        <f t="shared" si="2"/>
        <v>29624</v>
      </c>
      <c r="V17" s="76">
        <f t="shared" si="3"/>
        <v>16.635220125786162</v>
      </c>
      <c r="W17" s="58">
        <f t="shared" si="4"/>
        <v>1.1215399492324423</v>
      </c>
      <c r="X17" s="17">
        <f t="shared" si="6"/>
        <v>362880</v>
      </c>
      <c r="Y17" s="80">
        <f t="shared" si="5"/>
        <v>46584</v>
      </c>
      <c r="Z17" s="76">
        <f t="shared" si="7"/>
        <v>12.837301587301587</v>
      </c>
      <c r="AA17" s="58">
        <f t="shared" si="8"/>
        <v>1.1947600628550703</v>
      </c>
    </row>
    <row r="18" spans="1:27">
      <c r="A18">
        <v>11</v>
      </c>
      <c r="B18" s="17" t="s">
        <v>36</v>
      </c>
      <c r="C18" s="17" t="s">
        <v>405</v>
      </c>
      <c r="E18" s="47">
        <v>12480</v>
      </c>
      <c r="F18" s="47">
        <v>3328</v>
      </c>
      <c r="G18" s="47">
        <v>416</v>
      </c>
      <c r="H18" s="47">
        <v>312</v>
      </c>
      <c r="I18" s="47">
        <v>480</v>
      </c>
      <c r="J18" s="47">
        <v>12480</v>
      </c>
      <c r="K18" s="47"/>
      <c r="L18" s="48"/>
      <c r="M18" s="47">
        <v>87360</v>
      </c>
      <c r="N18" s="47">
        <v>29496</v>
      </c>
      <c r="O18" s="45">
        <f t="shared" ref="O18:O21" si="11">100*N18/M18</f>
        <v>33.763736263736263</v>
      </c>
      <c r="P18" s="17">
        <v>87360</v>
      </c>
      <c r="Q18" s="17">
        <v>29496</v>
      </c>
      <c r="R18" s="58">
        <v>33.763736263736298</v>
      </c>
      <c r="S18" s="58">
        <f t="shared" si="0"/>
        <v>0.99999999999999933</v>
      </c>
      <c r="T18" s="17">
        <f t="shared" si="1"/>
        <v>178080</v>
      </c>
      <c r="U18" s="80">
        <f t="shared" si="2"/>
        <v>46584</v>
      </c>
      <c r="V18" s="76">
        <f t="shared" si="3"/>
        <v>26.159029649595688</v>
      </c>
      <c r="W18" s="58">
        <f t="shared" si="4"/>
        <v>1.1362505184570724</v>
      </c>
      <c r="X18" s="17">
        <f t="shared" si="6"/>
        <v>362880</v>
      </c>
      <c r="Y18" s="80">
        <f t="shared" si="5"/>
        <v>81144</v>
      </c>
      <c r="Z18" s="76">
        <f t="shared" si="7"/>
        <v>22.361111111111111</v>
      </c>
      <c r="AA18" s="58">
        <f t="shared" si="8"/>
        <v>1.2172335130651188</v>
      </c>
    </row>
    <row r="19" spans="1:27">
      <c r="A19">
        <v>12</v>
      </c>
      <c r="B19" s="17" t="s">
        <v>39</v>
      </c>
      <c r="C19" s="17" t="s">
        <v>406</v>
      </c>
      <c r="E19" s="17">
        <f>2*12*$D$5*10</f>
        <v>12480</v>
      </c>
      <c r="J19" s="17">
        <f>2*12*$D$5*10</f>
        <v>12480</v>
      </c>
      <c r="M19" s="17">
        <f>14*12*$D$5*10</f>
        <v>87360</v>
      </c>
      <c r="N19" s="29">
        <f>SUM(E19:J19)</f>
        <v>24960</v>
      </c>
      <c r="O19" s="45">
        <f t="shared" si="11"/>
        <v>28.571428571428573</v>
      </c>
      <c r="P19" s="17">
        <v>87360</v>
      </c>
      <c r="Q19" s="17">
        <v>24960</v>
      </c>
      <c r="R19" s="58">
        <v>28.571428571428601</v>
      </c>
      <c r="S19" s="58">
        <f t="shared" si="0"/>
        <v>0.99999999999999967</v>
      </c>
      <c r="T19" s="17">
        <f t="shared" si="1"/>
        <v>178080</v>
      </c>
      <c r="U19" s="80">
        <f t="shared" si="2"/>
        <v>38160</v>
      </c>
      <c r="V19" s="76">
        <f t="shared" si="3"/>
        <v>21.428571428571427</v>
      </c>
      <c r="W19" s="58">
        <f t="shared" si="4"/>
        <v>1.1211538461538468</v>
      </c>
      <c r="X19" s="17">
        <f t="shared" si="6"/>
        <v>362880</v>
      </c>
      <c r="Y19" s="80">
        <f t="shared" si="5"/>
        <v>64800</v>
      </c>
      <c r="Z19" s="76">
        <f t="shared" si="7"/>
        <v>17.857142857142858</v>
      </c>
      <c r="AA19" s="58">
        <f t="shared" si="8"/>
        <v>1.1942307692307697</v>
      </c>
    </row>
    <row r="20" spans="1:27">
      <c r="A20">
        <v>13</v>
      </c>
      <c r="B20" s="17" t="s">
        <v>26</v>
      </c>
      <c r="C20" s="17" t="s">
        <v>407</v>
      </c>
      <c r="E20" s="17">
        <f>8*D5*10</f>
        <v>4160</v>
      </c>
      <c r="F20" s="17">
        <f>4*D5*2</f>
        <v>416</v>
      </c>
      <c r="G20" s="17">
        <f>4*D5*2</f>
        <v>416</v>
      </c>
      <c r="H20" s="17">
        <f>3*4*D5*10/20</f>
        <v>312</v>
      </c>
      <c r="I20" s="17">
        <f>1*4*20*12*10/20</f>
        <v>480</v>
      </c>
      <c r="J20" s="17">
        <f>2*12*D5*10</f>
        <v>12480</v>
      </c>
      <c r="M20" s="17">
        <f>12*14*D5*10</f>
        <v>87360</v>
      </c>
      <c r="N20" s="17">
        <f>SUM(E20:J20)</f>
        <v>18264</v>
      </c>
      <c r="O20" s="58">
        <f t="shared" si="11"/>
        <v>20.906593406593405</v>
      </c>
      <c r="P20" s="17">
        <v>87360</v>
      </c>
      <c r="Q20" s="17">
        <v>18264</v>
      </c>
      <c r="R20" s="58">
        <v>20.906593406593402</v>
      </c>
      <c r="S20" s="58">
        <f t="shared" si="0"/>
        <v>1</v>
      </c>
      <c r="T20" s="17">
        <f t="shared" si="1"/>
        <v>178080</v>
      </c>
      <c r="U20" s="80">
        <f t="shared" si="2"/>
        <v>23688</v>
      </c>
      <c r="V20" s="76">
        <f t="shared" si="3"/>
        <v>13.30188679245283</v>
      </c>
      <c r="W20" s="58">
        <f t="shared" si="4"/>
        <v>1.1172282042375825</v>
      </c>
      <c r="X20" s="17">
        <f t="shared" si="6"/>
        <v>362880</v>
      </c>
      <c r="Y20" s="80">
        <f t="shared" si="5"/>
        <v>34488</v>
      </c>
      <c r="Z20" s="76">
        <f t="shared" si="7"/>
        <v>9.5039682539682548</v>
      </c>
      <c r="AA20" s="58">
        <f t="shared" si="8"/>
        <v>1.1881729767280307</v>
      </c>
    </row>
    <row r="21" spans="1:27">
      <c r="A21">
        <v>15</v>
      </c>
      <c r="B21" s="47" t="s">
        <v>21</v>
      </c>
      <c r="C21" s="47" t="s">
        <v>405</v>
      </c>
      <c r="D21" s="47"/>
      <c r="E21" s="47">
        <v>12480</v>
      </c>
      <c r="F21" s="47">
        <v>3328</v>
      </c>
      <c r="G21" s="47">
        <v>0</v>
      </c>
      <c r="H21" s="47">
        <v>312</v>
      </c>
      <c r="I21" s="47">
        <v>480</v>
      </c>
      <c r="J21" s="47">
        <v>12480</v>
      </c>
      <c r="K21" s="47"/>
      <c r="L21" s="48"/>
      <c r="M21" s="47">
        <v>87360</v>
      </c>
      <c r="N21" s="29">
        <f>SUM(E21:J21)</f>
        <v>29080</v>
      </c>
      <c r="O21" s="58">
        <f t="shared" si="11"/>
        <v>33.287545787545788</v>
      </c>
      <c r="P21" s="17">
        <v>87360</v>
      </c>
      <c r="Q21" s="17">
        <v>29080</v>
      </c>
      <c r="R21" s="58">
        <v>33.287545787545803</v>
      </c>
      <c r="S21" s="58">
        <f t="shared" si="0"/>
        <v>0.99999999999999967</v>
      </c>
      <c r="T21" s="17">
        <f t="shared" si="1"/>
        <v>178080</v>
      </c>
      <c r="U21" s="80">
        <f t="shared" si="2"/>
        <v>45736</v>
      </c>
      <c r="V21" s="76">
        <f t="shared" si="3"/>
        <v>25.68283917340521</v>
      </c>
      <c r="W21" s="58">
        <f t="shared" si="4"/>
        <v>1.1354152367879204</v>
      </c>
      <c r="X21" s="17">
        <f t="shared" si="6"/>
        <v>362880</v>
      </c>
      <c r="Y21" s="80">
        <f t="shared" si="5"/>
        <v>79416</v>
      </c>
      <c r="Z21" s="76">
        <f t="shared" si="7"/>
        <v>21.884920634920636</v>
      </c>
      <c r="AA21" s="58">
        <f t="shared" si="8"/>
        <v>1.2159574468085108</v>
      </c>
    </row>
    <row r="22" spans="1:27">
      <c r="B22" s="224"/>
      <c r="C22" s="47"/>
      <c r="N22" s="27"/>
      <c r="O22" s="76"/>
      <c r="Q22" s="27"/>
      <c r="R22" s="76"/>
      <c r="S22" s="58"/>
      <c r="U22" s="80"/>
      <c r="V22" s="76"/>
      <c r="W22" s="58"/>
      <c r="X22" s="17"/>
      <c r="Y22" s="80"/>
      <c r="Z22" s="76"/>
      <c r="AA22" s="58"/>
    </row>
    <row r="23" spans="1:27" ht="13.8">
      <c r="B23" s="38" t="s">
        <v>408</v>
      </c>
      <c r="C23" s="38"/>
      <c r="S23" s="81"/>
    </row>
    <row r="24" spans="1:27" ht="13.8">
      <c r="B24" s="38" t="s">
        <v>409</v>
      </c>
      <c r="C24" s="38"/>
      <c r="D24" s="17" t="s">
        <v>382</v>
      </c>
      <c r="E24" s="17" t="s">
        <v>383</v>
      </c>
      <c r="F24" s="17" t="s">
        <v>384</v>
      </c>
      <c r="S24" s="81"/>
    </row>
    <row r="25" spans="1:27" ht="13.8">
      <c r="B25" s="38" t="s">
        <v>385</v>
      </c>
      <c r="D25" s="17">
        <v>20</v>
      </c>
      <c r="E25" s="17">
        <v>40</v>
      </c>
      <c r="F25" s="17">
        <v>100</v>
      </c>
      <c r="S25" s="81"/>
    </row>
    <row r="26" spans="1:27" ht="13.8">
      <c r="B26" s="38" t="s">
        <v>410</v>
      </c>
      <c r="C26" s="38"/>
      <c r="D26" s="17">
        <v>106</v>
      </c>
      <c r="E26" s="17">
        <v>216</v>
      </c>
      <c r="F26" s="17" t="s">
        <v>170</v>
      </c>
      <c r="S26" s="81"/>
    </row>
    <row r="27" spans="1:27" ht="13.8">
      <c r="B27" s="38" t="s">
        <v>535</v>
      </c>
      <c r="D27" s="71">
        <v>4.5999999999999999E-2</v>
      </c>
      <c r="E27" s="71">
        <v>2.8000000000000001E-2</v>
      </c>
      <c r="F27" s="17" t="s">
        <v>170</v>
      </c>
      <c r="S27" s="81"/>
    </row>
    <row r="28" spans="1:27" ht="58.5" customHeight="1">
      <c r="B28" s="20"/>
      <c r="C28" s="20" t="s">
        <v>387</v>
      </c>
      <c r="D28" s="20" t="s">
        <v>411</v>
      </c>
      <c r="E28" s="20" t="s">
        <v>324</v>
      </c>
      <c r="F28" s="20" t="s">
        <v>388</v>
      </c>
      <c r="G28" s="20" t="s">
        <v>389</v>
      </c>
      <c r="H28" s="20" t="s">
        <v>329</v>
      </c>
      <c r="I28" s="20" t="s">
        <v>299</v>
      </c>
      <c r="J28" s="20" t="s">
        <v>296</v>
      </c>
      <c r="K28" s="20" t="s">
        <v>412</v>
      </c>
      <c r="L28" s="20"/>
      <c r="M28" s="39" t="s">
        <v>390</v>
      </c>
      <c r="N28" s="39" t="s">
        <v>391</v>
      </c>
      <c r="O28" s="39" t="s">
        <v>392</v>
      </c>
      <c r="P28" s="40" t="s">
        <v>393</v>
      </c>
      <c r="Q28" s="40" t="s">
        <v>394</v>
      </c>
      <c r="R28" s="56" t="s">
        <v>395</v>
      </c>
      <c r="S28" s="57" t="s">
        <v>396</v>
      </c>
      <c r="T28" s="40" t="s">
        <v>413</v>
      </c>
      <c r="U28" s="40" t="s">
        <v>414</v>
      </c>
      <c r="V28" s="56" t="s">
        <v>415</v>
      </c>
      <c r="W28" s="57" t="s">
        <v>400</v>
      </c>
      <c r="X28" s="17"/>
      <c r="Y28" s="80"/>
      <c r="Z28" s="76"/>
    </row>
    <row r="29" spans="1:27" ht="13.8">
      <c r="A29">
        <v>1</v>
      </c>
      <c r="B29" s="32" t="s">
        <v>8</v>
      </c>
      <c r="C29" s="32" t="s">
        <v>405</v>
      </c>
      <c r="D29" s="32" t="s">
        <v>416</v>
      </c>
      <c r="E29" s="22">
        <f>24*D26*6</f>
        <v>15264</v>
      </c>
      <c r="F29" s="22">
        <f>40*D26</f>
        <v>4240</v>
      </c>
      <c r="G29" s="22">
        <f>4*D26</f>
        <v>424</v>
      </c>
      <c r="H29" s="22">
        <f>2*4*D26*1/2</f>
        <v>424</v>
      </c>
      <c r="I29" s="22">
        <f>1*4*240</f>
        <v>960</v>
      </c>
      <c r="J29" s="22">
        <f>12*8*6*6</f>
        <v>3456</v>
      </c>
      <c r="K29" s="22">
        <f>12*2*D26</f>
        <v>2544</v>
      </c>
      <c r="L29" s="22"/>
      <c r="M29" s="22">
        <f>D26*(12*14*4+12*6*2)</f>
        <v>86496</v>
      </c>
      <c r="N29" s="22">
        <f t="shared" ref="N29" si="12">SUM(E29:J29)</f>
        <v>24768</v>
      </c>
      <c r="O29" s="75">
        <f t="shared" ref="O29:O35" si="13">100*N29/M29</f>
        <v>28.634850166481687</v>
      </c>
      <c r="P29" s="22">
        <f>D26*(12*14*4+12*6*2+12*1*2)</f>
        <v>89040</v>
      </c>
      <c r="Q29" s="22">
        <f>SUM(E29:K29)+J30-J29</f>
        <v>39120</v>
      </c>
      <c r="R29" s="75">
        <f t="shared" ref="R29:R35" si="14">100*Q29/P29</f>
        <v>43.935309973045825</v>
      </c>
      <c r="S29" s="58">
        <f>(1-R29/100)/(1-O29/100)</f>
        <v>0.78560319928904687</v>
      </c>
      <c r="T29" s="17">
        <f>P29*$E$26/$D$26</f>
        <v>181440</v>
      </c>
      <c r="U29" s="80">
        <f>SUM(E29:G29,K29)*$E$26/$D$26+H29+I29+12*CEILING($E$26*2*$D$25/$E$25,1)*6</f>
        <v>62728</v>
      </c>
      <c r="V29" s="76">
        <f>100*U29/T29</f>
        <v>34.572310405643741</v>
      </c>
      <c r="W29" s="58">
        <f>(1-V29/100)/(1-R29/100)*(1-$E$27)/(1-$D$27)</f>
        <v>1.1890224358974355</v>
      </c>
      <c r="X29" s="17"/>
      <c r="Y29" s="80"/>
      <c r="Z29" s="76"/>
    </row>
    <row r="30" spans="1:27">
      <c r="A30">
        <v>2</v>
      </c>
      <c r="B30" s="27" t="s">
        <v>417</v>
      </c>
      <c r="C30" s="27" t="s">
        <v>405</v>
      </c>
      <c r="D30" s="27" t="s">
        <v>418</v>
      </c>
      <c r="E30" s="27">
        <f>2*12*D26*6</f>
        <v>15264</v>
      </c>
      <c r="F30" s="27">
        <f>32*D26</f>
        <v>3392</v>
      </c>
      <c r="G30" s="27">
        <f>4*D26</f>
        <v>424</v>
      </c>
      <c r="H30" s="27">
        <f t="shared" ref="H30:H31" si="15">4*3*52*10/80</f>
        <v>78</v>
      </c>
      <c r="I30" s="27">
        <f t="shared" ref="I30:I35" si="16">4*240*1/2</f>
        <v>480</v>
      </c>
      <c r="J30" s="27">
        <f>2*12*D26*6</f>
        <v>15264</v>
      </c>
      <c r="K30" s="27">
        <f>12*D26</f>
        <v>1272</v>
      </c>
      <c r="L30" s="27"/>
      <c r="M30" s="27">
        <f>12*D26*14*4+12*D26*11*2+12*D26*1</f>
        <v>100488</v>
      </c>
      <c r="N30" s="27">
        <f>SUM(E30:K30)</f>
        <v>36174</v>
      </c>
      <c r="O30" s="76">
        <f t="shared" si="13"/>
        <v>35.998328158586098</v>
      </c>
      <c r="P30" s="27">
        <f>D26*(12*14*4+12*11*2+12*0.5*2)</f>
        <v>100488</v>
      </c>
      <c r="Q30" s="27">
        <f t="shared" ref="Q30:Q37" si="17">SUM(E30:K30)</f>
        <v>36174</v>
      </c>
      <c r="R30" s="76">
        <f t="shared" si="14"/>
        <v>35.998328158586098</v>
      </c>
      <c r="S30" s="58">
        <f t="shared" ref="S30:S39" si="18">(1-R30/100)/(1-O30/100)</f>
        <v>1</v>
      </c>
      <c r="T30" s="17">
        <f t="shared" ref="T30:T39" si="19">P30*$E$26/$D$26</f>
        <v>204768</v>
      </c>
      <c r="U30" s="80">
        <f t="shared" ref="U30:U39" si="20">SUM(E30:G30,K30)*$E$26/$D$26+H30+I30+12*CEILING($E$26*2*$D$25/$E$25,1)*6</f>
        <v>57582</v>
      </c>
      <c r="V30" s="76">
        <f t="shared" ref="V30:V39" si="21">100*U30/T30</f>
        <v>28.120604781997187</v>
      </c>
      <c r="W30" s="58">
        <f t="shared" ref="W30:W42" si="22">(1-V30/100)/(1-R30/100)*(1-$E$27)/(1-$D$27)</f>
        <v>1.1442765183319343</v>
      </c>
      <c r="X30" s="17"/>
      <c r="Y30" s="80"/>
      <c r="Z30" s="76"/>
    </row>
    <row r="31" spans="1:27">
      <c r="A31">
        <v>3</v>
      </c>
      <c r="B31" s="27" t="s">
        <v>419</v>
      </c>
      <c r="C31" s="27" t="s">
        <v>420</v>
      </c>
      <c r="D31" s="27" t="s">
        <v>418</v>
      </c>
      <c r="E31" s="27">
        <f>2*12*D26*6</f>
        <v>15264</v>
      </c>
      <c r="F31" s="27">
        <f>40*D26</f>
        <v>4240</v>
      </c>
      <c r="G31" s="27">
        <f>4*D26</f>
        <v>424</v>
      </c>
      <c r="H31" s="27">
        <f t="shared" si="15"/>
        <v>78</v>
      </c>
      <c r="I31" s="27">
        <f t="shared" si="16"/>
        <v>480</v>
      </c>
      <c r="J31" s="27">
        <f>2*12*D26*6</f>
        <v>15264</v>
      </c>
      <c r="K31" s="27">
        <f>12*D26</f>
        <v>1272</v>
      </c>
      <c r="L31" s="27"/>
      <c r="M31" s="27">
        <f>12*D26*14*4+12*D26*11*2+12*D26*1</f>
        <v>100488</v>
      </c>
      <c r="N31" s="27">
        <f>SUM(E31:K31)</f>
        <v>37022</v>
      </c>
      <c r="O31" s="76">
        <f t="shared" si="13"/>
        <v>36.842210015126184</v>
      </c>
      <c r="P31" s="27">
        <f>D26*(12*14*4+12*11*2+12*0.5*2)</f>
        <v>100488</v>
      </c>
      <c r="Q31" s="27">
        <f t="shared" si="17"/>
        <v>37022</v>
      </c>
      <c r="R31" s="76">
        <f t="shared" si="14"/>
        <v>36.842210015126184</v>
      </c>
      <c r="S31" s="58">
        <f t="shared" si="18"/>
        <v>1</v>
      </c>
      <c r="T31" s="17">
        <f t="shared" si="19"/>
        <v>204768</v>
      </c>
      <c r="U31" s="80">
        <f t="shared" si="20"/>
        <v>59310</v>
      </c>
      <c r="V31" s="76">
        <f t="shared" si="21"/>
        <v>28.96448663853727</v>
      </c>
      <c r="W31" s="58">
        <f t="shared" si="22"/>
        <v>1.1459521633630607</v>
      </c>
      <c r="X31" s="17"/>
      <c r="Y31" s="80"/>
      <c r="Z31" s="76"/>
    </row>
    <row r="32" spans="1:27" s="15" customFormat="1">
      <c r="A32">
        <v>6</v>
      </c>
      <c r="B32" s="27" t="s">
        <v>25</v>
      </c>
      <c r="C32" s="27" t="s">
        <v>405</v>
      </c>
      <c r="D32" s="27" t="s">
        <v>418</v>
      </c>
      <c r="E32" s="27">
        <f>2*12*D26*6</f>
        <v>15264</v>
      </c>
      <c r="F32" s="27">
        <f>D26*40*2</f>
        <v>8480</v>
      </c>
      <c r="G32" s="27">
        <f>4*D26</f>
        <v>424</v>
      </c>
      <c r="H32" s="27">
        <f>8*D26*10/20</f>
        <v>424</v>
      </c>
      <c r="I32" s="27">
        <f t="shared" si="16"/>
        <v>480</v>
      </c>
      <c r="J32" s="27">
        <f>2*12*D26*6</f>
        <v>15264</v>
      </c>
      <c r="K32" s="27">
        <f>12*D26</f>
        <v>1272</v>
      </c>
      <c r="M32" s="27">
        <f>12*D26*14*4+12*D26*11*2</f>
        <v>99216</v>
      </c>
      <c r="N32" s="27">
        <f t="shared" ref="N32" si="23">SUM(E32:J32)</f>
        <v>40336</v>
      </c>
      <c r="O32" s="76">
        <f t="shared" si="13"/>
        <v>40.654733107563295</v>
      </c>
      <c r="P32" s="27">
        <f>D26*(12*14*4+12*11*2+12*0.5*2)</f>
        <v>100488</v>
      </c>
      <c r="Q32" s="27">
        <f t="shared" si="17"/>
        <v>41608</v>
      </c>
      <c r="R32" s="76">
        <f t="shared" si="14"/>
        <v>41.405939017594143</v>
      </c>
      <c r="S32" s="58">
        <f t="shared" si="18"/>
        <v>0.98734177215189844</v>
      </c>
      <c r="T32" s="17">
        <f t="shared" si="19"/>
        <v>204768</v>
      </c>
      <c r="U32" s="80">
        <f t="shared" si="20"/>
        <v>68296</v>
      </c>
      <c r="V32" s="76">
        <f t="shared" si="21"/>
        <v>33.35286763556806</v>
      </c>
      <c r="W32" s="58">
        <f t="shared" si="22"/>
        <v>1.1588994565217392</v>
      </c>
      <c r="X32" s="17"/>
      <c r="Y32" s="80"/>
      <c r="Z32" s="76"/>
    </row>
    <row r="33" spans="1:26" s="15" customFormat="1">
      <c r="A33">
        <v>7</v>
      </c>
      <c r="B33" s="27" t="s">
        <v>29</v>
      </c>
      <c r="C33" s="29" t="s">
        <v>405</v>
      </c>
      <c r="D33" s="29" t="s">
        <v>418</v>
      </c>
      <c r="E33" s="29">
        <f>8*D26*6</f>
        <v>5088</v>
      </c>
      <c r="F33" s="29">
        <f>40*D26*2</f>
        <v>8480</v>
      </c>
      <c r="G33" s="29">
        <f>4*D26*2</f>
        <v>848</v>
      </c>
      <c r="H33" s="29">
        <f>12*52*10/20</f>
        <v>312</v>
      </c>
      <c r="I33" s="29">
        <f t="shared" si="16"/>
        <v>480</v>
      </c>
      <c r="J33" s="77">
        <f>12*2*6*D26</f>
        <v>15264</v>
      </c>
      <c r="K33" s="77">
        <f>12*1*D26</f>
        <v>1272</v>
      </c>
      <c r="L33" s="77"/>
      <c r="M33" s="77">
        <f>D26*(12*14*4+12*12*2)</f>
        <v>101760</v>
      </c>
      <c r="N33" s="29">
        <f>SUM(E33:J33)+K33</f>
        <v>31744</v>
      </c>
      <c r="O33" s="45">
        <f t="shared" si="13"/>
        <v>31.19496855345912</v>
      </c>
      <c r="P33" s="27">
        <f>D26*(12*14*4+12*11*2+12*0.5*2)</f>
        <v>100488</v>
      </c>
      <c r="Q33" s="27">
        <f t="shared" si="17"/>
        <v>31744</v>
      </c>
      <c r="R33" s="76">
        <f t="shared" si="14"/>
        <v>31.589841573123159</v>
      </c>
      <c r="S33" s="58">
        <f t="shared" si="18"/>
        <v>0.99426098627727744</v>
      </c>
      <c r="T33" s="17">
        <f t="shared" si="19"/>
        <v>204768</v>
      </c>
      <c r="U33" s="80">
        <f t="shared" si="20"/>
        <v>48312</v>
      </c>
      <c r="V33" s="76">
        <f t="shared" si="21"/>
        <v>23.593530239099859</v>
      </c>
      <c r="W33" s="58">
        <f t="shared" si="22"/>
        <v>1.1379611311532645</v>
      </c>
      <c r="X33" s="17"/>
      <c r="Y33" s="80"/>
      <c r="Z33" s="76"/>
    </row>
    <row r="34" spans="1:26" s="15" customFormat="1">
      <c r="A34">
        <v>8</v>
      </c>
      <c r="B34" s="27" t="s">
        <v>5</v>
      </c>
      <c r="C34" s="223" t="s">
        <v>557</v>
      </c>
      <c r="D34" s="27" t="s">
        <v>421</v>
      </c>
      <c r="E34" s="27">
        <v>15413</v>
      </c>
      <c r="F34" s="27">
        <f>32*D26*2</f>
        <v>6784</v>
      </c>
      <c r="G34" s="27">
        <f>4*D26*2</f>
        <v>848</v>
      </c>
      <c r="H34" s="27">
        <f>4*3*MIN(D26,52)*10/20</f>
        <v>312</v>
      </c>
      <c r="I34" s="27">
        <f t="shared" si="16"/>
        <v>480</v>
      </c>
      <c r="J34" s="77">
        <f>12*2*8*D26</f>
        <v>20352</v>
      </c>
      <c r="K34" s="77">
        <f>12*2*D26</f>
        <v>2544</v>
      </c>
      <c r="M34" s="77">
        <f>D26*(12*14*6+12*10*2+12*2*2)</f>
        <v>137376</v>
      </c>
      <c r="N34" s="29">
        <f>SUM(E34:J34)+K34*2</f>
        <v>49277</v>
      </c>
      <c r="O34" s="45">
        <f t="shared" si="13"/>
        <v>35.870166550198</v>
      </c>
      <c r="P34" s="77">
        <f>D26*(12*14*6+12*10*2+12*1*2)</f>
        <v>134832</v>
      </c>
      <c r="Q34" s="29">
        <f t="shared" si="17"/>
        <v>46733</v>
      </c>
      <c r="R34" s="45">
        <f t="shared" si="14"/>
        <v>34.660169692654563</v>
      </c>
      <c r="S34" s="58">
        <f t="shared" si="18"/>
        <v>1.0188679245283019</v>
      </c>
      <c r="T34" s="17">
        <f t="shared" si="19"/>
        <v>274752</v>
      </c>
      <c r="U34" s="80">
        <f>SUM(E34:G34,K34)*$E$26/$D$26+H34+I34+12*CEILING($E$26*2*$D$25/$E$25,1)*8</f>
        <v>73671.622641509428</v>
      </c>
      <c r="V34" s="76">
        <f t="shared" si="21"/>
        <v>26.813862188995685</v>
      </c>
      <c r="W34" s="58">
        <f t="shared" si="22"/>
        <v>1.1412182735246175</v>
      </c>
      <c r="X34" s="17"/>
      <c r="Y34" s="80"/>
      <c r="Z34" s="76"/>
    </row>
    <row r="35" spans="1:26" s="15" customFormat="1">
      <c r="A35">
        <v>9</v>
      </c>
      <c r="B35" s="27" t="s">
        <v>5</v>
      </c>
      <c r="C35" s="27" t="s">
        <v>422</v>
      </c>
      <c r="D35" s="27" t="s">
        <v>421</v>
      </c>
      <c r="E35" s="27">
        <v>17696</v>
      </c>
      <c r="F35" s="27">
        <f>40*D26*2</f>
        <v>8480</v>
      </c>
      <c r="G35" s="27">
        <f>4*D26*2</f>
        <v>848</v>
      </c>
      <c r="H35" s="27">
        <f>4*3*MIN(D26,52)*10/20</f>
        <v>312</v>
      </c>
      <c r="I35" s="27">
        <f t="shared" si="16"/>
        <v>480</v>
      </c>
      <c r="J35" s="77">
        <f>12*2*8*D26</f>
        <v>20352</v>
      </c>
      <c r="K35" s="77">
        <f>12*2*D26</f>
        <v>2544</v>
      </c>
      <c r="M35" s="77">
        <f>D26*(12*14*6+12*10*2+12*2*2)</f>
        <v>137376</v>
      </c>
      <c r="N35" s="29">
        <f>SUM(E35:J35)+K35*2</f>
        <v>53256</v>
      </c>
      <c r="O35" s="45">
        <f t="shared" si="13"/>
        <v>38.766596785464706</v>
      </c>
      <c r="P35" s="77">
        <f>D26*(12*14*6+12*10*2+12*1*2)</f>
        <v>134832</v>
      </c>
      <c r="Q35" s="29">
        <f t="shared" si="17"/>
        <v>50712</v>
      </c>
      <c r="R35" s="45">
        <f t="shared" si="14"/>
        <v>37.611249555001777</v>
      </c>
      <c r="S35" s="58">
        <f t="shared" si="18"/>
        <v>1.0188679245283019</v>
      </c>
      <c r="T35" s="17">
        <f t="shared" si="19"/>
        <v>274752</v>
      </c>
      <c r="U35" s="80">
        <f>SUM(E35:G35,K35)*$E$26/$D$26+H35+I35+12*CEILING($E$26*2*$D$25/$E$25,1)*8</f>
        <v>81779.773584905663</v>
      </c>
      <c r="V35" s="76">
        <f t="shared" si="21"/>
        <v>29.764942051342906</v>
      </c>
      <c r="W35" s="58">
        <f t="shared" si="22"/>
        <v>1.1470056253869134</v>
      </c>
      <c r="X35" s="17"/>
      <c r="Y35" s="80"/>
      <c r="Z35" s="76"/>
    </row>
    <row r="36" spans="1:26" s="15" customFormat="1">
      <c r="A36" s="15">
        <v>10</v>
      </c>
      <c r="B36" s="27" t="s">
        <v>32</v>
      </c>
      <c r="C36" s="27" t="s">
        <v>422</v>
      </c>
      <c r="D36" s="27" t="s">
        <v>416</v>
      </c>
      <c r="E36" s="27">
        <v>7632</v>
      </c>
      <c r="F36" s="27">
        <v>4240</v>
      </c>
      <c r="G36" s="27">
        <v>424</v>
      </c>
      <c r="H36" s="27">
        <v>159</v>
      </c>
      <c r="I36" s="27">
        <v>480</v>
      </c>
      <c r="J36" s="27">
        <v>15264</v>
      </c>
      <c r="K36" s="77">
        <f>12*2*D26</f>
        <v>2544</v>
      </c>
      <c r="M36" s="27">
        <v>86496</v>
      </c>
      <c r="N36" s="27">
        <f t="shared" ref="N36:N37" si="24">SUM(E36:J36)</f>
        <v>28199</v>
      </c>
      <c r="O36" s="76">
        <v>32.601507584165702</v>
      </c>
      <c r="P36" s="27">
        <f>D26*(12*14*4+12*6*2+12*1*2)</f>
        <v>89040</v>
      </c>
      <c r="Q36" s="27">
        <f t="shared" si="17"/>
        <v>30743</v>
      </c>
      <c r="R36" s="76">
        <f t="shared" ref="R36:R38" si="25">100*Q36/P36</f>
        <v>34.527178796046719</v>
      </c>
      <c r="S36" s="58">
        <f t="shared" si="18"/>
        <v>0.97142857142857086</v>
      </c>
      <c r="T36" s="17">
        <f t="shared" si="19"/>
        <v>181440</v>
      </c>
      <c r="U36" s="80">
        <f t="shared" si="20"/>
        <v>46431</v>
      </c>
      <c r="V36" s="76">
        <f t="shared" si="21"/>
        <v>25.590277777777779</v>
      </c>
      <c r="W36" s="58">
        <f t="shared" si="22"/>
        <v>1.1579412319673397</v>
      </c>
      <c r="X36" s="17"/>
      <c r="Y36" s="80"/>
      <c r="Z36" s="76"/>
    </row>
    <row r="37" spans="1:26" s="15" customFormat="1">
      <c r="A37" s="15">
        <v>11</v>
      </c>
      <c r="B37" s="27" t="s">
        <v>32</v>
      </c>
      <c r="C37" s="27" t="s">
        <v>422</v>
      </c>
      <c r="D37" s="27" t="s">
        <v>423</v>
      </c>
      <c r="E37" s="27">
        <v>10176</v>
      </c>
      <c r="F37" s="27">
        <v>3392</v>
      </c>
      <c r="G37" s="27">
        <v>424</v>
      </c>
      <c r="H37" s="27">
        <v>78</v>
      </c>
      <c r="I37" s="27">
        <v>480</v>
      </c>
      <c r="J37" s="27">
        <v>20352</v>
      </c>
      <c r="K37" s="77">
        <f>12*2*D26</f>
        <v>2544</v>
      </c>
      <c r="M37" s="77">
        <f>D26*(12*14*6+12*10*2)</f>
        <v>132288</v>
      </c>
      <c r="N37" s="27">
        <f t="shared" si="24"/>
        <v>34902</v>
      </c>
      <c r="O37" s="76">
        <v>26.383345428156701</v>
      </c>
      <c r="P37" s="27">
        <f>D26*(12*14*6+12*10*2+12*1*2)</f>
        <v>134832</v>
      </c>
      <c r="Q37" s="27">
        <f t="shared" si="17"/>
        <v>37446</v>
      </c>
      <c r="R37" s="76">
        <f t="shared" si="25"/>
        <v>27.772338910644358</v>
      </c>
      <c r="S37" s="58">
        <f t="shared" si="18"/>
        <v>0.98113207547169745</v>
      </c>
      <c r="T37" s="17">
        <f t="shared" si="19"/>
        <v>274752</v>
      </c>
      <c r="U37" s="80">
        <f>SUM(E37:G37,K37)*$E$26/$D$26+H37+I37+12*CEILING($E$26*2*$D$25/$E$25,1)*8</f>
        <v>54990</v>
      </c>
      <c r="V37" s="76">
        <f t="shared" si="21"/>
        <v>20.014412997903563</v>
      </c>
      <c r="W37" s="58">
        <f t="shared" si="22"/>
        <v>1.1283038629782516</v>
      </c>
      <c r="X37" s="17"/>
      <c r="Y37" s="80"/>
      <c r="Z37" s="76"/>
    </row>
    <row r="38" spans="1:26" s="15" customFormat="1">
      <c r="A38" s="15">
        <v>12</v>
      </c>
      <c r="B38" s="27" t="s">
        <v>424</v>
      </c>
      <c r="C38" s="27"/>
      <c r="D38" s="27" t="s">
        <v>99</v>
      </c>
      <c r="E38" s="27"/>
      <c r="F38" s="27"/>
      <c r="G38" s="27"/>
      <c r="H38" s="27"/>
      <c r="I38" s="27"/>
      <c r="J38" s="27"/>
      <c r="K38" s="27">
        <v>0</v>
      </c>
      <c r="M38" s="27">
        <f>1200*14*10</f>
        <v>168000</v>
      </c>
      <c r="N38" s="27">
        <f>1200*5*10</f>
        <v>60000</v>
      </c>
      <c r="O38" s="55">
        <f>100*N38/M38</f>
        <v>35.714285714285715</v>
      </c>
      <c r="P38" s="27">
        <f>1200*14*10</f>
        <v>168000</v>
      </c>
      <c r="Q38" s="27">
        <f>1200*5*10</f>
        <v>60000</v>
      </c>
      <c r="R38" s="76">
        <f t="shared" si="25"/>
        <v>35.714285714285715</v>
      </c>
      <c r="S38" s="58">
        <f t="shared" si="18"/>
        <v>1</v>
      </c>
      <c r="T38" s="17">
        <f>P38*$E$26/100</f>
        <v>362880</v>
      </c>
      <c r="U38" s="80">
        <f>(Q38-100*12*2*10)*E26/100+12*CEILING($E$26*2*$D$25/$E$25,1)*10</f>
        <v>103680</v>
      </c>
      <c r="V38" s="76">
        <f t="shared" si="21"/>
        <v>28.571428571428573</v>
      </c>
      <c r="W38" s="58">
        <f>(1-V38/100)/(1-R38/100)*(1-$E$27)/(1-0.1)</f>
        <v>1.2</v>
      </c>
      <c r="X38" s="17"/>
      <c r="Y38" s="80"/>
      <c r="Z38" s="76"/>
    </row>
    <row r="39" spans="1:26" ht="13.8">
      <c r="A39">
        <v>13</v>
      </c>
      <c r="B39" s="27" t="s">
        <v>39</v>
      </c>
      <c r="C39" s="27" t="s">
        <v>406</v>
      </c>
      <c r="D39" s="32" t="s">
        <v>416</v>
      </c>
      <c r="E39" s="27">
        <f>D26*(12*2*4+12*2)</f>
        <v>12720</v>
      </c>
      <c r="F39" s="27"/>
      <c r="G39" s="27"/>
      <c r="H39" s="27"/>
      <c r="I39" s="27"/>
      <c r="J39" s="27">
        <f>D26*(12*2*4+12*2)</f>
        <v>12720</v>
      </c>
      <c r="K39" s="77">
        <f>12*2*D26</f>
        <v>2544</v>
      </c>
      <c r="L39" s="15"/>
      <c r="M39" s="27">
        <f>D26*(12*14*4+12*6*2)</f>
        <v>86496</v>
      </c>
      <c r="N39" s="29">
        <f>SUM(E39:J39)</f>
        <v>25440</v>
      </c>
      <c r="O39" s="45">
        <f>100*N39/M39</f>
        <v>29.411764705882351</v>
      </c>
      <c r="P39" s="22">
        <f>D26*(12*14*4+12*6*2+12*1*2)</f>
        <v>89040</v>
      </c>
      <c r="Q39" s="22">
        <f>SUM(E39:K39)+J30-J39</f>
        <v>30528</v>
      </c>
      <c r="R39" s="75">
        <f t="shared" ref="R39:R43" si="26">100*Q39/P39</f>
        <v>34.285714285714285</v>
      </c>
      <c r="S39" s="58">
        <f t="shared" si="18"/>
        <v>0.93095238095238109</v>
      </c>
      <c r="T39" s="17">
        <f t="shared" si="19"/>
        <v>181440</v>
      </c>
      <c r="U39" s="80">
        <f t="shared" si="20"/>
        <v>46656</v>
      </c>
      <c r="V39" s="76">
        <f t="shared" si="21"/>
        <v>25.714285714285715</v>
      </c>
      <c r="W39" s="58">
        <f t="shared" si="22"/>
        <v>1.1517637407711241</v>
      </c>
      <c r="X39" s="17"/>
      <c r="Y39" s="80"/>
      <c r="Z39" s="76"/>
    </row>
    <row r="40" spans="1:26" s="15" customFormat="1">
      <c r="A40" s="15">
        <v>14</v>
      </c>
      <c r="B40" s="27" t="s">
        <v>424</v>
      </c>
      <c r="C40" s="27"/>
      <c r="D40" s="27" t="s">
        <v>421</v>
      </c>
      <c r="E40" s="27"/>
      <c r="F40" s="27"/>
      <c r="G40" s="27"/>
      <c r="H40" s="27"/>
      <c r="I40" s="27"/>
      <c r="J40" s="27"/>
      <c r="K40" s="77">
        <f>12*2*100</f>
        <v>2400</v>
      </c>
      <c r="M40" s="77">
        <f>100*(12*14*6+12*10*2)</f>
        <v>124800</v>
      </c>
      <c r="N40" s="27">
        <f>1200*5*8</f>
        <v>48000</v>
      </c>
      <c r="O40" s="55">
        <f>100*N40/M40</f>
        <v>38.46153846153846</v>
      </c>
      <c r="P40" s="77">
        <f>100*(12*14*6+12*10*2)+K40</f>
        <v>127200</v>
      </c>
      <c r="Q40" s="27">
        <f>1200*5*8+K40</f>
        <v>50400</v>
      </c>
      <c r="R40" s="76">
        <f t="shared" si="26"/>
        <v>39.622641509433961</v>
      </c>
      <c r="S40" s="58">
        <f t="shared" ref="S40:S43" si="27">(1-R40/100)/(1-O40/100)</f>
        <v>0.98113207547169823</v>
      </c>
      <c r="T40" s="17">
        <f>P40*$E$26/100</f>
        <v>274752</v>
      </c>
      <c r="U40" s="80">
        <f>(Q40-100*12*2*8)*E26/100+12*CEILING($E$26*2*$D$25/$E$25,1)*8</f>
        <v>88128</v>
      </c>
      <c r="V40" s="76">
        <f t="shared" ref="V40:V43" si="28">100*U40/T40</f>
        <v>32.075471698113205</v>
      </c>
      <c r="W40" s="58">
        <f>(1-V40/100)/(1-R40/100)*(1-$E$27)/(1-0.1)</f>
        <v>1.2149999999999999</v>
      </c>
      <c r="X40" s="17"/>
      <c r="Y40" s="80"/>
      <c r="Z40" s="76"/>
    </row>
    <row r="41" spans="1:26" s="291" customFormat="1" ht="15.6">
      <c r="A41" s="283">
        <v>15</v>
      </c>
      <c r="B41" s="284" t="s">
        <v>714</v>
      </c>
      <c r="C41" s="285" t="s">
        <v>715</v>
      </c>
      <c r="D41" s="285" t="s">
        <v>716</v>
      </c>
      <c r="E41" s="284">
        <f>$D$26*12*6</f>
        <v>7632</v>
      </c>
      <c r="F41" s="285">
        <f>32*$D$26*2</f>
        <v>6784</v>
      </c>
      <c r="G41" s="285">
        <v>0</v>
      </c>
      <c r="H41" s="285">
        <f>12*52*10/20</f>
        <v>312</v>
      </c>
      <c r="I41" s="285">
        <f>4*240*1/2</f>
        <v>480</v>
      </c>
      <c r="J41" s="284">
        <f>2*12*$D$26*6</f>
        <v>15264</v>
      </c>
      <c r="K41" s="286">
        <f>12*$D$26</f>
        <v>1272</v>
      </c>
      <c r="L41" s="283"/>
      <c r="M41" s="285">
        <f>$D$26*(12*14*6)</f>
        <v>106848</v>
      </c>
      <c r="N41" s="285">
        <f>SUM(E41:K41)</f>
        <v>31744</v>
      </c>
      <c r="O41" s="287">
        <f t="shared" ref="O41:O43" si="29">100*N41/M41</f>
        <v>29.709493860437256</v>
      </c>
      <c r="P41" s="288">
        <f>$D$26*(12*14*6)</f>
        <v>106848</v>
      </c>
      <c r="Q41" s="224">
        <f>SUM(E41:K41)</f>
        <v>31744</v>
      </c>
      <c r="R41" s="289">
        <f t="shared" si="26"/>
        <v>29.709493860437256</v>
      </c>
      <c r="S41" s="289">
        <f t="shared" si="27"/>
        <v>1</v>
      </c>
      <c r="T41" s="224">
        <f>P41*$E$26/$D$26</f>
        <v>217728</v>
      </c>
      <c r="U41" s="290">
        <f>SUM(E41:G41,K41)*$E$26/$D$26+H41+I41+12*CEILING($E$26*2*$D$25/$E$25,1)*6</f>
        <v>48312</v>
      </c>
      <c r="V41" s="289">
        <f t="shared" si="28"/>
        <v>22.18915343915344</v>
      </c>
      <c r="W41" s="317">
        <f t="shared" si="22"/>
        <v>1.1278760119301237</v>
      </c>
    </row>
    <row r="42" spans="1:26" s="291" customFormat="1" ht="15.6">
      <c r="A42" s="291">
        <v>16</v>
      </c>
      <c r="B42" s="284" t="s">
        <v>714</v>
      </c>
      <c r="C42" s="285" t="s">
        <v>715</v>
      </c>
      <c r="D42" s="285" t="s">
        <v>717</v>
      </c>
      <c r="E42" s="284">
        <f>$D$26*12*8</f>
        <v>10176</v>
      </c>
      <c r="F42" s="285">
        <f>32*$D$26*2</f>
        <v>6784</v>
      </c>
      <c r="G42" s="285">
        <v>0</v>
      </c>
      <c r="H42" s="285">
        <f>12*52*10/20</f>
        <v>312</v>
      </c>
      <c r="I42" s="285">
        <f>4*240*1/2</f>
        <v>480</v>
      </c>
      <c r="J42" s="284">
        <f>2*12*$D$26*8</f>
        <v>20352</v>
      </c>
      <c r="K42" s="286">
        <f>12*$D$26*2</f>
        <v>2544</v>
      </c>
      <c r="L42" s="283"/>
      <c r="M42" s="285">
        <f>$D$26*(12*14*8)</f>
        <v>142464</v>
      </c>
      <c r="N42" s="285">
        <f>SUM(E42:K42)</f>
        <v>40648</v>
      </c>
      <c r="O42" s="287">
        <f t="shared" si="29"/>
        <v>28.532120395327944</v>
      </c>
      <c r="P42" s="288">
        <f>$D$26*(12*14*8)</f>
        <v>142464</v>
      </c>
      <c r="Q42" s="224">
        <f>SUM(E42:K42)</f>
        <v>40648</v>
      </c>
      <c r="R42" s="289">
        <f t="shared" si="26"/>
        <v>28.532120395327944</v>
      </c>
      <c r="S42" s="289">
        <f t="shared" si="27"/>
        <v>1</v>
      </c>
      <c r="T42" s="224">
        <f>P42*$E$26/$D$26</f>
        <v>290304</v>
      </c>
      <c r="U42" s="290">
        <f>SUM(E42:G42,K42)*$E$26/$D$26+H42+I42+12*CEILING($E$26*2*$D$25/$E$25,1)*8</f>
        <v>61272</v>
      </c>
      <c r="V42" s="289">
        <f t="shared" si="28"/>
        <v>21.106150793650794</v>
      </c>
      <c r="W42" s="317">
        <f t="shared" si="22"/>
        <v>1.1247348157460517</v>
      </c>
    </row>
    <row r="43" spans="1:26" s="291" customFormat="1" ht="15.6">
      <c r="A43" s="291">
        <v>17</v>
      </c>
      <c r="B43" s="284" t="s">
        <v>734</v>
      </c>
      <c r="C43" s="285" t="s">
        <v>405</v>
      </c>
      <c r="D43" s="285" t="s">
        <v>421</v>
      </c>
      <c r="E43" s="284">
        <f>$D$26*12*8</f>
        <v>10176</v>
      </c>
      <c r="F43" s="285">
        <f>40*D26*2</f>
        <v>8480</v>
      </c>
      <c r="G43" s="285">
        <f>4*D26</f>
        <v>424</v>
      </c>
      <c r="H43" s="285">
        <f>12*52*10/20</f>
        <v>312</v>
      </c>
      <c r="I43" s="285">
        <f>4*240*1/2</f>
        <v>480</v>
      </c>
      <c r="J43" s="284">
        <f>2*12*$D$26*8</f>
        <v>20352</v>
      </c>
      <c r="K43" s="286">
        <f>12*$D$26*2</f>
        <v>2544</v>
      </c>
      <c r="L43" s="283"/>
      <c r="M43" s="285">
        <f>D26*(12*14*6+12*10*2)</f>
        <v>132288</v>
      </c>
      <c r="N43" s="285">
        <f>SUM(E43:J43)</f>
        <v>40224</v>
      </c>
      <c r="O43" s="287">
        <f t="shared" si="29"/>
        <v>30.406386066763424</v>
      </c>
      <c r="P43" s="288">
        <f>$D$26*(12*14*6+12*11*2)</f>
        <v>134832</v>
      </c>
      <c r="Q43" s="224">
        <f>SUM(E43:K43)</f>
        <v>42768</v>
      </c>
      <c r="R43" s="289">
        <f t="shared" si="26"/>
        <v>31.719473122107512</v>
      </c>
      <c r="S43" s="289">
        <f t="shared" si="27"/>
        <v>0.98113207547169812</v>
      </c>
      <c r="T43" s="224">
        <f>P43*$E$26/$D$26</f>
        <v>274752</v>
      </c>
      <c r="U43" s="290">
        <f>SUM(E43:G43,K43)*$E$26/$D$26+H43+I43+12*CEILING($E$26*2*$D$25/$E$25,1)*8</f>
        <v>65592</v>
      </c>
      <c r="V43" s="289">
        <f t="shared" si="28"/>
        <v>23.873165618448638</v>
      </c>
      <c r="W43" s="289">
        <f>(1-V43/100)/(1-R43/100)*(1-$E$27)/(1-$D$27)</f>
        <v>1.1359489051094891</v>
      </c>
    </row>
    <row r="44" spans="1:26" s="15" customFormat="1">
      <c r="B44" s="27"/>
      <c r="C44" s="27"/>
      <c r="D44" s="27"/>
      <c r="E44" s="27"/>
      <c r="F44" s="27"/>
      <c r="G44" s="27"/>
      <c r="H44" s="27"/>
      <c r="I44" s="27"/>
      <c r="J44" s="27"/>
      <c r="K44" s="27"/>
      <c r="M44" s="27"/>
      <c r="N44" s="27"/>
      <c r="O44" s="76"/>
      <c r="P44" s="27"/>
      <c r="Q44" s="27"/>
      <c r="R44" s="76"/>
      <c r="S44" s="82"/>
      <c r="T44" s="27"/>
    </row>
    <row r="45" spans="1:26" s="15" customFormat="1">
      <c r="B45" s="27"/>
      <c r="C45" s="27"/>
      <c r="D45" s="27"/>
      <c r="E45" s="27"/>
      <c r="F45" s="27"/>
      <c r="G45" s="27"/>
      <c r="H45" s="27"/>
      <c r="I45" s="27"/>
      <c r="J45" s="27"/>
      <c r="K45" s="27"/>
      <c r="M45" s="27"/>
      <c r="N45" s="27"/>
      <c r="O45" s="76"/>
      <c r="P45" s="27"/>
      <c r="Q45" s="27"/>
      <c r="R45" s="76"/>
      <c r="S45" s="82"/>
      <c r="T45" s="27"/>
    </row>
    <row r="46" spans="1:26" ht="13.8">
      <c r="B46" s="38" t="s">
        <v>408</v>
      </c>
      <c r="C46" s="38"/>
      <c r="S46" s="81"/>
    </row>
    <row r="47" spans="1:26" ht="13.8">
      <c r="B47" s="38" t="s">
        <v>425</v>
      </c>
      <c r="C47" s="38"/>
      <c r="D47" s="17" t="s">
        <v>382</v>
      </c>
      <c r="E47" s="17" t="s">
        <v>383</v>
      </c>
      <c r="F47" s="17" t="s">
        <v>384</v>
      </c>
      <c r="S47" s="81"/>
    </row>
    <row r="48" spans="1:26" ht="13.8">
      <c r="B48" s="38" t="s">
        <v>426</v>
      </c>
      <c r="D48" s="17">
        <v>20</v>
      </c>
      <c r="E48" s="17">
        <v>40</v>
      </c>
      <c r="F48" s="17">
        <v>100</v>
      </c>
      <c r="S48" s="81"/>
    </row>
    <row r="49" spans="1:27" ht="13.8">
      <c r="B49" s="38" t="s">
        <v>410</v>
      </c>
      <c r="C49" s="38"/>
      <c r="D49" s="17">
        <v>51</v>
      </c>
      <c r="E49" s="17">
        <v>106</v>
      </c>
      <c r="F49" s="17">
        <v>273</v>
      </c>
      <c r="S49" s="81"/>
    </row>
    <row r="50" spans="1:27" ht="13.8">
      <c r="B50" s="38" t="s">
        <v>535</v>
      </c>
      <c r="D50" s="71">
        <v>8.2000000000000003E-2</v>
      </c>
      <c r="E50" s="71">
        <v>4.5999999999999999E-2</v>
      </c>
      <c r="F50" s="71">
        <v>1.72E-2</v>
      </c>
      <c r="S50" s="81"/>
    </row>
    <row r="51" spans="1:27" ht="53.4">
      <c r="B51" s="20"/>
      <c r="C51" s="20" t="s">
        <v>387</v>
      </c>
      <c r="D51" s="20" t="s">
        <v>411</v>
      </c>
      <c r="E51" s="20" t="s">
        <v>324</v>
      </c>
      <c r="F51" s="20" t="s">
        <v>388</v>
      </c>
      <c r="G51" s="20" t="s">
        <v>389</v>
      </c>
      <c r="H51" s="20" t="s">
        <v>329</v>
      </c>
      <c r="I51" s="20" t="s">
        <v>299</v>
      </c>
      <c r="J51" s="20" t="s">
        <v>296</v>
      </c>
      <c r="K51" s="20" t="s">
        <v>412</v>
      </c>
      <c r="L51" s="20"/>
      <c r="M51" s="39" t="s">
        <v>390</v>
      </c>
      <c r="N51" s="39" t="s">
        <v>391</v>
      </c>
      <c r="O51" s="39" t="s">
        <v>392</v>
      </c>
      <c r="P51" s="40" t="s">
        <v>393</v>
      </c>
      <c r="Q51" s="40" t="s">
        <v>394</v>
      </c>
      <c r="R51" s="56" t="s">
        <v>395</v>
      </c>
      <c r="S51" s="57" t="s">
        <v>396</v>
      </c>
      <c r="T51" s="40" t="s">
        <v>413</v>
      </c>
      <c r="U51" s="40" t="s">
        <v>414</v>
      </c>
      <c r="V51" s="56" t="s">
        <v>415</v>
      </c>
      <c r="W51" s="57" t="s">
        <v>400</v>
      </c>
      <c r="X51" s="40" t="s">
        <v>427</v>
      </c>
      <c r="Y51" s="40" t="s">
        <v>428</v>
      </c>
      <c r="Z51" s="56" t="s">
        <v>429</v>
      </c>
      <c r="AA51" s="57" t="s">
        <v>404</v>
      </c>
    </row>
    <row r="52" spans="1:27" ht="13.8">
      <c r="A52">
        <v>1</v>
      </c>
      <c r="B52" s="37" t="s">
        <v>32</v>
      </c>
      <c r="C52" s="27" t="s">
        <v>422</v>
      </c>
      <c r="D52" s="36" t="s">
        <v>416</v>
      </c>
      <c r="E52" s="37">
        <f>2*8*D49*6*2</f>
        <v>9792</v>
      </c>
      <c r="F52" s="35">
        <f>40*D49*2</f>
        <v>4080</v>
      </c>
      <c r="G52" s="35">
        <f>4*D49*2</f>
        <v>408</v>
      </c>
      <c r="H52" s="35">
        <f>3*4*D49*2*1/8</f>
        <v>153</v>
      </c>
      <c r="I52" s="35">
        <f>1*4*240/2</f>
        <v>480</v>
      </c>
      <c r="J52" s="35">
        <f>12*2*6*51*2</f>
        <v>14688</v>
      </c>
      <c r="K52" s="37">
        <f>12*2*D49*2</f>
        <v>2448</v>
      </c>
      <c r="L52" s="37"/>
      <c r="M52" s="35">
        <f>D49*2*(12*14*4+12*6*2)</f>
        <v>83232</v>
      </c>
      <c r="N52" s="35">
        <f>SUM(E52:J52)</f>
        <v>29601</v>
      </c>
      <c r="O52" s="78">
        <f>100*N52/M52</f>
        <v>35.564446366782008</v>
      </c>
      <c r="P52" s="27">
        <f>12*D49*14*4*2+12*D49*6*2*2+12*2*D49*2</f>
        <v>85680</v>
      </c>
      <c r="Q52" s="27">
        <f t="shared" ref="Q52:Q61" si="30">SUM(E52:K52)</f>
        <v>32049</v>
      </c>
      <c r="R52" s="58">
        <f t="shared" ref="R52:R61" si="31">100*Q52/P52</f>
        <v>37.405462184873947</v>
      </c>
      <c r="S52" s="58">
        <f>(1-R52/100)/(1-O52/100)</f>
        <v>0.97142857142857142</v>
      </c>
      <c r="T52" s="17">
        <f>P52*$E$49/$D$49</f>
        <v>178080</v>
      </c>
      <c r="U52" s="80">
        <f>SUM(E52:G52,K52)*$E$49/$D$49+H52+I52+12*CEILING($E$49*2*$D$48/$E$48,1)*6*2</f>
        <v>50665</v>
      </c>
      <c r="V52" s="76">
        <f>100*U52/T52</f>
        <v>28.450696316262356</v>
      </c>
      <c r="W52" s="58">
        <f>(1-V52/100)/(1-R52/100)*(1-$E$50)/(1-$D$50)</f>
        <v>1.1878857377263148</v>
      </c>
      <c r="X52" s="17">
        <f>P52*$F$49/$D$49</f>
        <v>458640</v>
      </c>
      <c r="Y52" s="80">
        <f>SUM(E52:G52,K52)*$F$49/$D$49+H52+I52+12*CEILING($F$49*2*$D$48/$F$48,1)*6*2</f>
        <v>106017</v>
      </c>
      <c r="Z52" s="76">
        <f>100*Y52/X52</f>
        <v>23.115515436944008</v>
      </c>
      <c r="AA52" s="58">
        <f>(1-Z52/100)/(1-R52/100)*(1-$F$50)/(1-$D$50)</f>
        <v>1.3149969234211558</v>
      </c>
    </row>
    <row r="53" spans="1:27">
      <c r="A53">
        <v>2</v>
      </c>
      <c r="B53" s="27" t="s">
        <v>417</v>
      </c>
      <c r="C53" s="27" t="s">
        <v>405</v>
      </c>
      <c r="D53" s="34" t="s">
        <v>418</v>
      </c>
      <c r="E53" s="27">
        <f>2*12*D49*6*2</f>
        <v>14688</v>
      </c>
      <c r="F53" s="27">
        <f>32*D49*2</f>
        <v>3264</v>
      </c>
      <c r="G53" s="27">
        <f>4*D49*2</f>
        <v>408</v>
      </c>
      <c r="H53" s="27">
        <f>4*3*D49*10/80</f>
        <v>76.5</v>
      </c>
      <c r="I53" s="27">
        <f>4*240*1/2</f>
        <v>480</v>
      </c>
      <c r="J53" s="27">
        <f>2*12*D49*6*2</f>
        <v>14688</v>
      </c>
      <c r="K53" s="27">
        <f>12*D49*2</f>
        <v>1224</v>
      </c>
      <c r="L53" s="27"/>
      <c r="M53" s="27">
        <f>12*D49*14*4*2+12*D49*11*2*2+12*D49*1*2</f>
        <v>96696</v>
      </c>
      <c r="N53" s="27">
        <f>SUM(E53:K53)</f>
        <v>34828.5</v>
      </c>
      <c r="O53" s="76">
        <f>100*N53/M53</f>
        <v>36.01855299081658</v>
      </c>
      <c r="P53" s="27">
        <f>12*D49*14*4*2+12*D49*11*2*2+12*D49*2</f>
        <v>96696</v>
      </c>
      <c r="Q53" s="27">
        <f t="shared" si="30"/>
        <v>34828.5</v>
      </c>
      <c r="R53" s="58">
        <f t="shared" si="31"/>
        <v>36.01855299081658</v>
      </c>
      <c r="S53" s="58">
        <f t="shared" ref="S53:S61" si="32">(1-R53/100)/(1-O53/100)</f>
        <v>1</v>
      </c>
      <c r="T53" s="17">
        <f t="shared" ref="T53:T61" si="33">P53*$E$49/$D$49</f>
        <v>200976</v>
      </c>
      <c r="U53" s="80">
        <f t="shared" ref="U53:U54" si="34">SUM(E53:G53,K53)*$E$49/$D$49+H53+I53+12*CEILING($E$49*2*$D$48/$E$48,1)*6*2</f>
        <v>56524.5</v>
      </c>
      <c r="V53" s="76">
        <f t="shared" ref="V53:V61" si="35">100*U53/T53</f>
        <v>28.125</v>
      </c>
      <c r="W53" s="58">
        <f t="shared" ref="W53:W61" si="36">(1-V53/100)/(1-R53/100)*(1-$E$50)/(1-$D$50)</f>
        <v>1.1674263547096617</v>
      </c>
      <c r="X53" s="17">
        <f t="shared" ref="X53:X61" si="37">P53*$F$49/$D$49</f>
        <v>517608</v>
      </c>
      <c r="Y53" s="80">
        <f t="shared" ref="Y53:Y54" si="38">SUM(E53:G53,K53)*$F$49/$D$49+H53+I53+12*CEILING($F$49*2*$D$48/$F$48,1)*6*2</f>
        <v>121228.5</v>
      </c>
      <c r="Z53" s="76">
        <f t="shared" ref="Z53:Z61" si="39">100*Y53/X53</f>
        <v>23.420909259516854</v>
      </c>
      <c r="AA53" s="58">
        <f t="shared" ref="AA53:AA61" si="40">(1-Z53/100)/(1-R53/100)*(1-$F$50)/(1-$D$50)</f>
        <v>1.2813819856952358</v>
      </c>
    </row>
    <row r="54" spans="1:27">
      <c r="A54">
        <v>3</v>
      </c>
      <c r="B54" s="27" t="s">
        <v>419</v>
      </c>
      <c r="C54" s="27" t="s">
        <v>420</v>
      </c>
      <c r="D54" s="34" t="s">
        <v>418</v>
      </c>
      <c r="E54" s="27">
        <f>2*12*D49*6*2</f>
        <v>14688</v>
      </c>
      <c r="F54" s="27">
        <f>40*D49*2</f>
        <v>4080</v>
      </c>
      <c r="G54" s="27">
        <f>4*D49*2</f>
        <v>408</v>
      </c>
      <c r="H54" s="27">
        <f>4*3*D49*10/80</f>
        <v>76.5</v>
      </c>
      <c r="I54" s="27">
        <f>4*240*1/2</f>
        <v>480</v>
      </c>
      <c r="J54" s="27">
        <f>2*12*D49*6*2</f>
        <v>14688</v>
      </c>
      <c r="K54" s="27">
        <f>12*D49*2</f>
        <v>1224</v>
      </c>
      <c r="L54" s="27"/>
      <c r="M54" s="27">
        <f>12*D49*14*4*2+12*D49*11*2*2+12*D49*1*2</f>
        <v>96696</v>
      </c>
      <c r="N54" s="27">
        <f>SUM(E54:K54)</f>
        <v>35644.5</v>
      </c>
      <c r="O54" s="76">
        <f>100*N54/M54</f>
        <v>36.862434847356667</v>
      </c>
      <c r="P54" s="27">
        <f>12*D49*14*4*2+12*D49*11*2*2+12*D49*2</f>
        <v>96696</v>
      </c>
      <c r="Q54" s="27">
        <f t="shared" si="30"/>
        <v>35644.5</v>
      </c>
      <c r="R54" s="58">
        <f t="shared" si="31"/>
        <v>36.862434847356667</v>
      </c>
      <c r="S54" s="58">
        <f t="shared" si="32"/>
        <v>1</v>
      </c>
      <c r="T54" s="17">
        <f t="shared" si="33"/>
        <v>200976</v>
      </c>
      <c r="U54" s="80">
        <f t="shared" si="34"/>
        <v>58220.5</v>
      </c>
      <c r="V54" s="76">
        <f t="shared" si="35"/>
        <v>28.968881856540083</v>
      </c>
      <c r="W54" s="58">
        <f t="shared" si="36"/>
        <v>1.1691399883704741</v>
      </c>
      <c r="X54" s="17">
        <f t="shared" si="37"/>
        <v>517608</v>
      </c>
      <c r="Y54" s="80">
        <f t="shared" si="38"/>
        <v>125596.5</v>
      </c>
      <c r="Z54" s="76">
        <f t="shared" si="39"/>
        <v>24.264791116056937</v>
      </c>
      <c r="AA54" s="58">
        <f t="shared" si="40"/>
        <v>1.2841994054200143</v>
      </c>
    </row>
    <row r="55" spans="1:27">
      <c r="A55" s="15">
        <v>4</v>
      </c>
      <c r="B55" s="27" t="s">
        <v>5</v>
      </c>
      <c r="C55" s="27" t="s">
        <v>405</v>
      </c>
      <c r="D55" s="27" t="s">
        <v>421</v>
      </c>
      <c r="E55" s="27">
        <v>14922</v>
      </c>
      <c r="F55" s="27">
        <f>32*D49*4</f>
        <v>6528</v>
      </c>
      <c r="G55" s="27">
        <f>4*D49*4</f>
        <v>816</v>
      </c>
      <c r="H55" s="27">
        <f>4*3*MIN(D49,52)*10/20</f>
        <v>306</v>
      </c>
      <c r="I55" s="27">
        <f>1*4*240*1/2</f>
        <v>480</v>
      </c>
      <c r="J55" s="27">
        <f>2*12*D49*8*2</f>
        <v>19584</v>
      </c>
      <c r="K55" s="27">
        <f>2*12*D49*2</f>
        <v>2448</v>
      </c>
      <c r="L55" s="15"/>
      <c r="M55" s="27">
        <f>D49*12*(14*6+10*2+2*2)*2</f>
        <v>132192</v>
      </c>
      <c r="N55" s="27">
        <f>SUM(E55:J55)+K55*2</f>
        <v>47532</v>
      </c>
      <c r="O55" s="76">
        <f t="shared" ref="O55:O57" si="41">100*N55/M55</f>
        <v>35.956790123456791</v>
      </c>
      <c r="P55" s="27">
        <f>D49*12*(14*6+10*2+1*2)*2</f>
        <v>129744</v>
      </c>
      <c r="Q55" s="27">
        <f t="shared" si="30"/>
        <v>45084</v>
      </c>
      <c r="R55" s="76">
        <f t="shared" si="31"/>
        <v>34.748427672955977</v>
      </c>
      <c r="S55" s="58">
        <f t="shared" si="32"/>
        <v>1.0188679245283017</v>
      </c>
      <c r="T55" s="17">
        <f t="shared" si="33"/>
        <v>269664</v>
      </c>
      <c r="U55" s="80">
        <f>SUM(E55:G55,K55)*$E$49/$D$49+H55+I55+12*CEILING($E$49*2*$D$48/$E$48,1)*8*2</f>
        <v>72504.352941176476</v>
      </c>
      <c r="V55" s="76">
        <f t="shared" si="35"/>
        <v>26.886923334659603</v>
      </c>
      <c r="W55" s="58">
        <f t="shared" si="36"/>
        <v>1.1644203110017926</v>
      </c>
      <c r="X55" s="17">
        <f t="shared" si="37"/>
        <v>694512</v>
      </c>
      <c r="Y55" s="80">
        <f>SUM(E55:G55,K55)*$F$49/$D$49+H55+I55+12*CEILING($F$49*2*$D$48/$F$48,1)*8*2</f>
        <v>154198.58823529413</v>
      </c>
      <c r="Z55" s="76">
        <f t="shared" si="39"/>
        <v>22.202436852825311</v>
      </c>
      <c r="AA55" s="58">
        <f t="shared" si="40"/>
        <v>1.276431400341852</v>
      </c>
    </row>
    <row r="56" spans="1:27" s="202" customFormat="1" ht="13.8">
      <c r="A56" s="234">
        <v>5</v>
      </c>
      <c r="B56" s="235" t="s">
        <v>32</v>
      </c>
      <c r="C56" s="223" t="s">
        <v>556</v>
      </c>
      <c r="D56" s="236" t="s">
        <v>423</v>
      </c>
      <c r="E56" s="236">
        <f>2*12*D49*8*2</f>
        <v>19584</v>
      </c>
      <c r="F56" s="237">
        <f>32*D49*2</f>
        <v>3264</v>
      </c>
      <c r="G56" s="237">
        <f>4*D49*2</f>
        <v>408</v>
      </c>
      <c r="H56" s="237">
        <f>3*4*D49*1/8</f>
        <v>76.5</v>
      </c>
      <c r="I56" s="237">
        <f>1*4*240/2</f>
        <v>480</v>
      </c>
      <c r="J56" s="237">
        <f>12*2*8*D49*2</f>
        <v>19584</v>
      </c>
      <c r="K56" s="238">
        <f>12*2*D49*2</f>
        <v>2448</v>
      </c>
      <c r="L56" s="236"/>
      <c r="M56" s="237">
        <f>12*D49*14*6*2+12*D49*10*2*2</f>
        <v>127296</v>
      </c>
      <c r="N56" s="237">
        <f t="shared" ref="N56:N57" si="42">SUM(E56:J56)</f>
        <v>43396.5</v>
      </c>
      <c r="O56" s="239">
        <f t="shared" si="41"/>
        <v>34.091016214177976</v>
      </c>
      <c r="P56" s="223">
        <f>D49*12*(14*6+10*2+1*2)*2</f>
        <v>129744</v>
      </c>
      <c r="Q56" s="223">
        <f t="shared" si="30"/>
        <v>45844.5</v>
      </c>
      <c r="R56" s="240">
        <f t="shared" si="31"/>
        <v>35.334581945985938</v>
      </c>
      <c r="S56" s="241">
        <f t="shared" si="32"/>
        <v>0.98113207547169834</v>
      </c>
      <c r="T56" s="231">
        <f t="shared" si="33"/>
        <v>269664</v>
      </c>
      <c r="U56" s="242">
        <f>SUM(E56:G56,K56)*$E$49/$D$49+H56+I56+12*CEILING($E$49*2*$D$48/$E$48,1)*8*2</f>
        <v>74332.5</v>
      </c>
      <c r="V56" s="240">
        <f t="shared" si="35"/>
        <v>27.564858490566039</v>
      </c>
      <c r="W56" s="241">
        <f t="shared" si="36"/>
        <v>1.1640802388572038</v>
      </c>
      <c r="X56" s="231">
        <f t="shared" si="37"/>
        <v>694512</v>
      </c>
      <c r="Y56" s="242">
        <f t="shared" ref="Y56:Y60" si="43">SUM(E56:G56,K56)*$F$49/$D$49+H56+I56+12*CEILING($F$49*2*$D$48/$F$48,1)*8*2</f>
        <v>159268.5</v>
      </c>
      <c r="Z56" s="240">
        <f t="shared" si="39"/>
        <v>22.93243313290483</v>
      </c>
      <c r="AA56" s="241">
        <f t="shared" si="40"/>
        <v>1.2759158278654819</v>
      </c>
    </row>
    <row r="57" spans="1:27" ht="13.8">
      <c r="A57" s="15">
        <v>6</v>
      </c>
      <c r="B57" s="27" t="s">
        <v>35</v>
      </c>
      <c r="C57" s="223" t="s">
        <v>544</v>
      </c>
      <c r="D57" s="27" t="s">
        <v>421</v>
      </c>
      <c r="E57" s="27">
        <v>15602</v>
      </c>
      <c r="F57" s="27">
        <v>8160</v>
      </c>
      <c r="G57" s="27">
        <v>816</v>
      </c>
      <c r="H57" s="27">
        <v>306</v>
      </c>
      <c r="I57" s="27">
        <v>480</v>
      </c>
      <c r="J57" s="27">
        <v>19584</v>
      </c>
      <c r="K57" s="37">
        <f>12*2*D49*2</f>
        <v>2448</v>
      </c>
      <c r="L57" s="15"/>
      <c r="M57" s="73">
        <f>12*D49*14*6*2+12*D49*10*2*2</f>
        <v>127296</v>
      </c>
      <c r="N57" s="27">
        <f t="shared" si="42"/>
        <v>44948</v>
      </c>
      <c r="O57" s="76">
        <f t="shared" si="41"/>
        <v>35.309829059829063</v>
      </c>
      <c r="P57" s="27">
        <f>D49*12*(14*6+10*2+1*2)*2</f>
        <v>129744</v>
      </c>
      <c r="Q57" s="27">
        <f t="shared" si="30"/>
        <v>47396</v>
      </c>
      <c r="R57" s="76">
        <f t="shared" si="31"/>
        <v>36.530398322851156</v>
      </c>
      <c r="S57" s="58">
        <f t="shared" si="32"/>
        <v>0.98113207547169823</v>
      </c>
      <c r="T57" s="17">
        <f t="shared" si="33"/>
        <v>269664</v>
      </c>
      <c r="U57" s="80">
        <f>SUM(E57:G57,K57)*$E$49/$D$49+H57+I57+12*CEILING($E$49*2*$D$48/$E$48,1)*8*2</f>
        <v>77309.686274509804</v>
      </c>
      <c r="V57" s="76">
        <f t="shared" si="35"/>
        <v>28.668893984554781</v>
      </c>
      <c r="W57" s="58">
        <f t="shared" si="36"/>
        <v>1.1679355523236155</v>
      </c>
      <c r="X57" s="17">
        <f t="shared" si="37"/>
        <v>694512</v>
      </c>
      <c r="Y57" s="80">
        <f t="shared" si="43"/>
        <v>166574.58823529413</v>
      </c>
      <c r="Z57" s="76">
        <f t="shared" si="39"/>
        <v>23.98440750272049</v>
      </c>
      <c r="AA57" s="58">
        <f t="shared" si="40"/>
        <v>1.28221064692453</v>
      </c>
    </row>
    <row r="58" spans="1:27">
      <c r="A58" s="15">
        <v>7</v>
      </c>
      <c r="B58" s="27" t="s">
        <v>5</v>
      </c>
      <c r="C58" s="27" t="s">
        <v>422</v>
      </c>
      <c r="D58" s="27" t="s">
        <v>421</v>
      </c>
      <c r="E58" s="27">
        <v>17039</v>
      </c>
      <c r="F58" s="27">
        <f>40*D49*4</f>
        <v>8160</v>
      </c>
      <c r="G58" s="27">
        <f>4*D49*4</f>
        <v>816</v>
      </c>
      <c r="H58" s="27">
        <f>4*3*MIN(D49,52)*10/20</f>
        <v>306</v>
      </c>
      <c r="I58" s="27">
        <f>1*4*240*1/2</f>
        <v>480</v>
      </c>
      <c r="J58" s="27">
        <f>2*12*D49*8*2</f>
        <v>19584</v>
      </c>
      <c r="K58" s="27">
        <f>1*12*D49*2*2</f>
        <v>2448</v>
      </c>
      <c r="L58" s="15"/>
      <c r="M58" s="27">
        <f>D49*12*(14*6+10*2+2*2)*2</f>
        <v>132192</v>
      </c>
      <c r="N58" s="27">
        <f>SUM(E58:J58)+K58*2</f>
        <v>51281</v>
      </c>
      <c r="O58" s="76">
        <f t="shared" ref="O58:O60" si="44">100*N58/M58</f>
        <v>38.792816509319778</v>
      </c>
      <c r="P58" s="27">
        <f>D49*12*(14*6+10*2+1*2)*2</f>
        <v>129744</v>
      </c>
      <c r="Q58" s="27">
        <f t="shared" si="30"/>
        <v>48833</v>
      </c>
      <c r="R58" s="76">
        <f t="shared" si="31"/>
        <v>37.637963990627696</v>
      </c>
      <c r="S58" s="58">
        <f t="shared" si="32"/>
        <v>1.0188679245283019</v>
      </c>
      <c r="T58" s="17">
        <f t="shared" si="33"/>
        <v>269664</v>
      </c>
      <c r="U58" s="80">
        <f t="shared" ref="U58:U60" si="45">SUM(E58:G58,K58)*$E$49/$D$49+H58+I58+12*CEILING($E$49*2*$D$48/$E$48,1)*8*2</f>
        <v>80296.392156862741</v>
      </c>
      <c r="V58" s="76">
        <f t="shared" si="35"/>
        <v>29.776459652331322</v>
      </c>
      <c r="W58" s="58">
        <f t="shared" si="36"/>
        <v>1.1702216499804554</v>
      </c>
      <c r="X58" s="17">
        <f t="shared" si="37"/>
        <v>694512</v>
      </c>
      <c r="Y58" s="80">
        <f t="shared" si="43"/>
        <v>174266.76470588235</v>
      </c>
      <c r="Z58" s="76">
        <f t="shared" si="39"/>
        <v>25.091973170497031</v>
      </c>
      <c r="AA58" s="58">
        <f t="shared" si="40"/>
        <v>1.2859691149389272</v>
      </c>
    </row>
    <row r="59" spans="1:27">
      <c r="A59" s="15">
        <v>9</v>
      </c>
      <c r="B59" s="27" t="s">
        <v>27</v>
      </c>
      <c r="C59" s="27" t="s">
        <v>405</v>
      </c>
      <c r="D59" s="27" t="s">
        <v>430</v>
      </c>
      <c r="E59" s="27">
        <f>12*D49*8*2</f>
        <v>9792</v>
      </c>
      <c r="F59" s="27">
        <f>40*D49*4</f>
        <v>8160</v>
      </c>
      <c r="G59" s="27">
        <f>4*D49*4</f>
        <v>816</v>
      </c>
      <c r="H59" s="27">
        <f>3*4*D49*10/20</f>
        <v>306</v>
      </c>
      <c r="I59" s="27">
        <f>1*4*240*1/2</f>
        <v>480</v>
      </c>
      <c r="J59" s="27">
        <f>2*12*D49*8*2</f>
        <v>19584</v>
      </c>
      <c r="K59" s="27">
        <f>12*D49*1*2</f>
        <v>1224</v>
      </c>
      <c r="L59" s="15"/>
      <c r="M59" s="27">
        <f>D49*12*(14*6+10*2+2*2)*2</f>
        <v>132192</v>
      </c>
      <c r="N59" s="27">
        <f>SUM(E59:J59)+K59*2</f>
        <v>41586</v>
      </c>
      <c r="O59" s="76">
        <f t="shared" si="44"/>
        <v>31.458787218591141</v>
      </c>
      <c r="P59" s="27">
        <f>D49*12*(14*6+10*2+0.5*2)*2</f>
        <v>128520</v>
      </c>
      <c r="Q59" s="27">
        <f t="shared" si="30"/>
        <v>40362</v>
      </c>
      <c r="R59" s="76">
        <f t="shared" si="31"/>
        <v>31.405228758169933</v>
      </c>
      <c r="S59" s="58">
        <f t="shared" si="32"/>
        <v>1.0007814052049533</v>
      </c>
      <c r="T59" s="17">
        <f t="shared" si="33"/>
        <v>267120</v>
      </c>
      <c r="U59" s="80">
        <f t="shared" si="45"/>
        <v>62690</v>
      </c>
      <c r="V59" s="76">
        <f t="shared" si="35"/>
        <v>23.468852949985024</v>
      </c>
      <c r="W59" s="58">
        <f t="shared" si="36"/>
        <v>1.1594523469225706</v>
      </c>
      <c r="X59" s="17">
        <f t="shared" si="37"/>
        <v>687960</v>
      </c>
      <c r="Y59" s="80">
        <f t="shared" si="43"/>
        <v>128922</v>
      </c>
      <c r="Z59" s="76">
        <f t="shared" si="39"/>
        <v>18.739752311180883</v>
      </c>
      <c r="AA59" s="58">
        <f t="shared" si="40"/>
        <v>1.2682637990880012</v>
      </c>
    </row>
    <row r="60" spans="1:27" ht="26.4">
      <c r="A60" s="15">
        <v>10</v>
      </c>
      <c r="B60" s="27" t="s">
        <v>30</v>
      </c>
      <c r="C60" s="27" t="s">
        <v>422</v>
      </c>
      <c r="D60" s="74" t="s">
        <v>431</v>
      </c>
      <c r="E60" s="27">
        <f>24*D49*8*2</f>
        <v>19584</v>
      </c>
      <c r="F60" s="27">
        <f>40*D49*10/5</f>
        <v>4080</v>
      </c>
      <c r="G60" s="27">
        <f>4*D49*10/5</f>
        <v>408</v>
      </c>
      <c r="H60" s="27">
        <f>3*4*D49*10/20</f>
        <v>306</v>
      </c>
      <c r="I60" s="27">
        <f>4*4*240*1/2</f>
        <v>1920</v>
      </c>
      <c r="J60" s="27">
        <f>2*12*D49*8*2</f>
        <v>19584</v>
      </c>
      <c r="K60" s="27">
        <f>2*12*D49*2</f>
        <v>2448</v>
      </c>
      <c r="L60" s="15"/>
      <c r="M60" s="73">
        <f>12*D49*14*7*2+12*D49*6*1*2</f>
        <v>127296</v>
      </c>
      <c r="N60" s="27">
        <f t="shared" ref="N60:N61" si="46">SUM(E60:J60)</f>
        <v>45882</v>
      </c>
      <c r="O60" s="76">
        <f t="shared" si="44"/>
        <v>36.043552036199095</v>
      </c>
      <c r="P60" s="27">
        <f>D49*12*(14*7+6*1+2)*2</f>
        <v>129744</v>
      </c>
      <c r="Q60" s="27">
        <f t="shared" si="30"/>
        <v>48330</v>
      </c>
      <c r="R60" s="76">
        <f t="shared" si="31"/>
        <v>37.250277469478355</v>
      </c>
      <c r="S60" s="58">
        <f t="shared" si="32"/>
        <v>0.98113207547169812</v>
      </c>
      <c r="T60" s="17">
        <f t="shared" si="33"/>
        <v>269664</v>
      </c>
      <c r="U60" s="80">
        <f t="shared" si="45"/>
        <v>77698</v>
      </c>
      <c r="V60" s="76">
        <f t="shared" si="35"/>
        <v>28.812893081761008</v>
      </c>
      <c r="W60" s="58">
        <f t="shared" si="36"/>
        <v>1.1789495664136389</v>
      </c>
      <c r="X60" s="17">
        <f t="shared" si="37"/>
        <v>694512</v>
      </c>
      <c r="Y60" s="80">
        <f t="shared" si="43"/>
        <v>165306</v>
      </c>
      <c r="Z60" s="76">
        <f t="shared" si="39"/>
        <v>23.801748565899508</v>
      </c>
      <c r="AA60" s="58">
        <f t="shared" si="40"/>
        <v>1.3000368486992411</v>
      </c>
    </row>
    <row r="61" spans="1:27">
      <c r="A61" s="15">
        <v>11</v>
      </c>
      <c r="B61" s="27" t="s">
        <v>43</v>
      </c>
      <c r="C61" s="27" t="s">
        <v>432</v>
      </c>
      <c r="D61" s="27" t="s">
        <v>433</v>
      </c>
      <c r="E61" s="27">
        <v>9180</v>
      </c>
      <c r="F61" s="27">
        <v>4590</v>
      </c>
      <c r="G61" s="27">
        <v>4590</v>
      </c>
      <c r="H61" s="27">
        <v>306</v>
      </c>
      <c r="I61" s="27">
        <v>480</v>
      </c>
      <c r="J61" s="27">
        <v>18360</v>
      </c>
      <c r="K61" s="27">
        <f>12*D49*1*5</f>
        <v>3060</v>
      </c>
      <c r="L61" s="15"/>
      <c r="M61" s="27">
        <f>D49*12*(14*2+10*1)*5</f>
        <v>116280</v>
      </c>
      <c r="N61" s="27">
        <f t="shared" si="46"/>
        <v>37506</v>
      </c>
      <c r="O61" s="76">
        <v>32.254899999999999</v>
      </c>
      <c r="P61" s="27">
        <f>D49*12*(14*2+10*1+1)*5</f>
        <v>119340</v>
      </c>
      <c r="Q61" s="27">
        <f t="shared" si="30"/>
        <v>40566</v>
      </c>
      <c r="R61" s="76">
        <f t="shared" si="31"/>
        <v>33.991955756661639</v>
      </c>
      <c r="S61" s="58">
        <f t="shared" si="32"/>
        <v>0.97435894615755758</v>
      </c>
      <c r="T61" s="17">
        <f t="shared" si="33"/>
        <v>248040</v>
      </c>
      <c r="U61" s="80">
        <f>SUM(E61:G61,K61)*$E$49/$D$49+H61+I61+12*CEILING($E$49*2*$D$48/$E$48,1)*3*5</f>
        <v>64386</v>
      </c>
      <c r="V61" s="76">
        <f t="shared" si="35"/>
        <v>25.957910014513789</v>
      </c>
      <c r="W61" s="58">
        <f t="shared" si="36"/>
        <v>1.1657018813314037</v>
      </c>
      <c r="X61" s="17">
        <f t="shared" si="37"/>
        <v>638820</v>
      </c>
      <c r="Y61" s="80">
        <f>SUM(E61:G61,K61)*$F$49/$D$49+H61+I61+12*CEILING($F$49*2*$D$48/$F$48,1)*3*5</f>
        <v>135246</v>
      </c>
      <c r="Z61" s="76">
        <f t="shared" si="39"/>
        <v>21.17122194045271</v>
      </c>
      <c r="AA61" s="58">
        <f t="shared" si="40"/>
        <v>1.2785284484728465</v>
      </c>
    </row>
    <row r="62" spans="1:27" ht="13.8">
      <c r="A62" s="15"/>
      <c r="B62" s="233"/>
      <c r="C62" s="224"/>
      <c r="D62" s="72"/>
      <c r="E62" s="72"/>
      <c r="F62" s="73"/>
      <c r="G62" s="73"/>
      <c r="H62" s="73"/>
      <c r="I62" s="73"/>
      <c r="J62" s="73"/>
      <c r="K62" s="37"/>
      <c r="L62" s="72"/>
      <c r="M62" s="73"/>
      <c r="N62" s="73"/>
      <c r="O62" s="79"/>
      <c r="P62" s="27"/>
      <c r="Q62" s="27"/>
      <c r="R62" s="76"/>
      <c r="S62" s="58"/>
      <c r="U62" s="80"/>
      <c r="V62" s="76"/>
      <c r="W62" s="58"/>
      <c r="X62" s="17"/>
      <c r="Y62" s="80"/>
      <c r="Z62" s="76"/>
      <c r="AA62" s="58"/>
    </row>
    <row r="63" spans="1:27">
      <c r="D63" s="18"/>
      <c r="E63"/>
      <c r="F63"/>
      <c r="G63"/>
      <c r="H63"/>
      <c r="I63"/>
      <c r="J63"/>
      <c r="K63"/>
      <c r="N63"/>
      <c r="O63"/>
    </row>
    <row r="64" spans="1:27">
      <c r="D64" s="18"/>
      <c r="E64"/>
      <c r="F64"/>
      <c r="G64"/>
      <c r="H64"/>
      <c r="I64"/>
      <c r="J64"/>
      <c r="K64"/>
      <c r="N64"/>
      <c r="O64"/>
    </row>
    <row r="65" spans="1:25">
      <c r="D65" s="18"/>
      <c r="E65"/>
      <c r="F65"/>
      <c r="G65"/>
      <c r="H65"/>
      <c r="I65"/>
      <c r="J65"/>
      <c r="K65"/>
      <c r="N65"/>
      <c r="O65"/>
    </row>
    <row r="66" spans="1:25">
      <c r="D66" s="18"/>
      <c r="E66"/>
      <c r="F66"/>
      <c r="G66"/>
      <c r="H66"/>
      <c r="I66"/>
      <c r="J66"/>
      <c r="K66"/>
      <c r="N66"/>
      <c r="O66"/>
    </row>
    <row r="67" spans="1:25">
      <c r="D67" s="18"/>
      <c r="E67"/>
      <c r="F67"/>
      <c r="G67"/>
      <c r="H67"/>
      <c r="I67"/>
      <c r="J67"/>
      <c r="K67"/>
      <c r="N67"/>
      <c r="O67"/>
    </row>
    <row r="68" spans="1:25" ht="13.8">
      <c r="B68" s="38" t="s">
        <v>434</v>
      </c>
      <c r="C68" s="38"/>
      <c r="D68" s="18"/>
      <c r="E68"/>
      <c r="F68"/>
      <c r="G68"/>
      <c r="H68"/>
      <c r="I68"/>
      <c r="J68"/>
      <c r="K68"/>
      <c r="N68"/>
      <c r="O68"/>
    </row>
    <row r="69" spans="1:25" ht="13.8">
      <c r="B69" s="38" t="s">
        <v>435</v>
      </c>
      <c r="C69" s="38"/>
      <c r="D69" s="17" t="s">
        <v>382</v>
      </c>
      <c r="E69" s="17" t="s">
        <v>383</v>
      </c>
      <c r="G69"/>
      <c r="H69"/>
      <c r="I69"/>
      <c r="J69"/>
      <c r="K69"/>
      <c r="N69"/>
      <c r="O69"/>
    </row>
    <row r="70" spans="1:25" ht="13.8">
      <c r="B70" s="38" t="s">
        <v>426</v>
      </c>
      <c r="D70" s="17">
        <v>100</v>
      </c>
      <c r="E70" s="17">
        <v>200</v>
      </c>
      <c r="F70"/>
      <c r="G70"/>
      <c r="H70"/>
      <c r="I70"/>
      <c r="J70"/>
      <c r="K70"/>
      <c r="N70"/>
      <c r="O70"/>
    </row>
    <row r="71" spans="1:25" ht="13.8">
      <c r="B71" s="38" t="s">
        <v>386</v>
      </c>
      <c r="C71" s="38"/>
      <c r="D71" s="17">
        <v>132</v>
      </c>
      <c r="E71" s="17">
        <v>264</v>
      </c>
      <c r="F71"/>
      <c r="G71"/>
      <c r="H71"/>
      <c r="I71"/>
      <c r="J71"/>
      <c r="K71"/>
      <c r="N71"/>
      <c r="O71"/>
    </row>
    <row r="72" spans="1:25" ht="13.8">
      <c r="B72" s="38" t="s">
        <v>535</v>
      </c>
      <c r="D72" s="71">
        <v>4.9599999999999998E-2</v>
      </c>
      <c r="E72" s="71">
        <v>4.9599999999999998E-2</v>
      </c>
      <c r="F72"/>
      <c r="G72"/>
      <c r="H72"/>
      <c r="I72"/>
      <c r="J72"/>
      <c r="K72"/>
      <c r="N72"/>
      <c r="O72"/>
    </row>
    <row r="73" spans="1:25" ht="51.75" customHeight="1">
      <c r="B73" s="20"/>
      <c r="C73" s="20" t="s">
        <v>436</v>
      </c>
      <c r="D73" s="21" t="s">
        <v>411</v>
      </c>
      <c r="E73" s="20" t="s">
        <v>324</v>
      </c>
      <c r="F73" s="20" t="s">
        <v>388</v>
      </c>
      <c r="G73" s="20" t="s">
        <v>389</v>
      </c>
      <c r="H73" s="20" t="s">
        <v>329</v>
      </c>
      <c r="I73" s="20" t="s">
        <v>299</v>
      </c>
      <c r="J73" s="20" t="s">
        <v>296</v>
      </c>
      <c r="K73" s="20" t="s">
        <v>355</v>
      </c>
      <c r="L73" s="20" t="s">
        <v>437</v>
      </c>
      <c r="M73" s="20" t="s">
        <v>438</v>
      </c>
      <c r="N73" s="20"/>
      <c r="O73" s="39" t="s">
        <v>390</v>
      </c>
      <c r="P73" s="39" t="s">
        <v>391</v>
      </c>
      <c r="Q73" s="39" t="s">
        <v>392</v>
      </c>
      <c r="R73" s="98" t="s">
        <v>393</v>
      </c>
      <c r="S73" s="40" t="s">
        <v>394</v>
      </c>
      <c r="T73" s="56" t="s">
        <v>395</v>
      </c>
      <c r="U73" s="57" t="s">
        <v>396</v>
      </c>
      <c r="V73" s="40" t="s">
        <v>413</v>
      </c>
      <c r="W73" s="40" t="s">
        <v>414</v>
      </c>
      <c r="X73" s="56" t="s">
        <v>415</v>
      </c>
      <c r="Y73" s="57" t="s">
        <v>400</v>
      </c>
    </row>
    <row r="74" spans="1:25">
      <c r="A74">
        <v>1</v>
      </c>
      <c r="B74" s="17" t="s">
        <v>419</v>
      </c>
      <c r="C74" s="17" t="s">
        <v>439</v>
      </c>
      <c r="D74" s="18" t="s">
        <v>418</v>
      </c>
      <c r="E74" s="17">
        <f>12*D71*6*4</f>
        <v>38016</v>
      </c>
      <c r="F74" s="17">
        <f>40*D71*4</f>
        <v>21120</v>
      </c>
      <c r="G74" s="17">
        <f>4*D71*4</f>
        <v>2112</v>
      </c>
      <c r="H74" s="17">
        <f>4*3*D71</f>
        <v>1584</v>
      </c>
      <c r="I74" s="17">
        <f>4*240*8/2</f>
        <v>3840</v>
      </c>
      <c r="J74" s="17">
        <f>2*12*D71*6*4</f>
        <v>76032</v>
      </c>
      <c r="K74" s="17">
        <f>INT(D71/4)*INT((14-2-1)/4)*4*4+INT(D71/4)*INT((11-2-1)/4)*2*4</f>
        <v>1584</v>
      </c>
      <c r="L74" s="17">
        <v>0</v>
      </c>
      <c r="M74" s="17">
        <f>12*D71*4</f>
        <v>6336</v>
      </c>
      <c r="O74" s="17">
        <f>12*D71*14*4*4+12*D71*11*2*4+12*D71*1*4</f>
        <v>500544</v>
      </c>
      <c r="P74" s="17">
        <f>SUM(E74:M74)</f>
        <v>150624</v>
      </c>
      <c r="Q74" s="69">
        <f>100*P74/O74</f>
        <v>30.092059838895281</v>
      </c>
      <c r="R74" s="99">
        <f>12*D71*14*4*4+12*D71*11*2*4+12*D71*4</f>
        <v>500544</v>
      </c>
      <c r="S74" s="17">
        <f>SUM(E74:M74)</f>
        <v>150624</v>
      </c>
      <c r="T74" s="69">
        <f>100*S74/R74</f>
        <v>30.092059838895281</v>
      </c>
      <c r="U74" s="58">
        <f>(1-T74/100)/(1-Q74/100)</f>
        <v>1</v>
      </c>
      <c r="V74" s="17">
        <f>R74*$E$71/$D$71</f>
        <v>1001088</v>
      </c>
      <c r="W74" s="80">
        <f>SUM(E74:G74,K74,M74)*$E$71/$D$71+H74+I74+12*CEILING($E$71*2*$D$70/$E$70,1)*6*4</f>
        <v>219792</v>
      </c>
      <c r="X74" s="76">
        <f t="shared" ref="X74" si="47">100*W74/V74</f>
        <v>21.955312619869581</v>
      </c>
      <c r="Y74" s="58">
        <f>(1-X74/100)/(1-T74/100)*(1-$E$72)/(1-$D$72)</f>
        <v>1.11639231824417</v>
      </c>
    </row>
    <row r="75" spans="1:25" s="15" customFormat="1">
      <c r="A75" s="15">
        <v>3</v>
      </c>
      <c r="B75" s="27" t="s">
        <v>5</v>
      </c>
      <c r="C75" s="27" t="s">
        <v>440</v>
      </c>
      <c r="D75" s="34" t="s">
        <v>421</v>
      </c>
      <c r="E75" s="27">
        <v>18098</v>
      </c>
      <c r="F75" s="27">
        <f>20*D71*2*4</f>
        <v>21120</v>
      </c>
      <c r="G75" s="27">
        <f>4*D71*2*4</f>
        <v>4224</v>
      </c>
      <c r="H75" s="27">
        <f>4*3*52*10/20</f>
        <v>312</v>
      </c>
      <c r="I75" s="27">
        <f>12*4*240*10/20</f>
        <v>5760</v>
      </c>
      <c r="J75" s="27">
        <f>2*12*D71*8*4</f>
        <v>101376</v>
      </c>
      <c r="K75" s="27">
        <f>INT(D71/4)*INT((14-2-1))*2*6*4+INT(D71/4)*INT((10-2-1))*2*2*4</f>
        <v>21120</v>
      </c>
      <c r="L75" s="27">
        <v>0</v>
      </c>
      <c r="M75" s="27">
        <f>12*D71*1*2*4</f>
        <v>12672</v>
      </c>
      <c r="O75" s="27">
        <f>12*D71*(14*6+12*2)*4</f>
        <v>684288</v>
      </c>
      <c r="P75" s="27">
        <f>SUM(E75:K75)+M75*2</f>
        <v>197354</v>
      </c>
      <c r="Q75" s="55">
        <f>100*P75/O75</f>
        <v>28.840780490086047</v>
      </c>
      <c r="R75" s="100">
        <f>12*D71*(14*6+10*2+1*2)*4</f>
        <v>671616</v>
      </c>
      <c r="S75" s="27">
        <f>SUM(E75:M75)</f>
        <v>184682</v>
      </c>
      <c r="T75" s="55">
        <f>100*S75/R75</f>
        <v>27.498153706880121</v>
      </c>
      <c r="U75" s="58">
        <f>(1-T75/100)/(1-Q75/100)</f>
        <v>1.0188679245283021</v>
      </c>
      <c r="V75" s="17">
        <f>R75*$E$71/$D$71</f>
        <v>1343232</v>
      </c>
      <c r="W75" s="80">
        <f>SUM(E75:G75,K75,M75)*$E$71/$D$71+H75+I75+12*CEILING($E$71*2*$D$70/$E$70,1)*8*4</f>
        <v>261916</v>
      </c>
      <c r="X75" s="76">
        <f t="shared" ref="X75" si="48">100*W75/V75</f>
        <v>19.498939870402136</v>
      </c>
      <c r="Y75" s="58">
        <f>(1-X75/100)/(1-T75/100)*(1-$E$72)/(1-$D$72)</f>
        <v>1.1103311742453801</v>
      </c>
    </row>
    <row r="76" spans="1:25">
      <c r="A76">
        <v>4</v>
      </c>
      <c r="B76" s="17"/>
      <c r="C76" s="17"/>
      <c r="E76"/>
      <c r="F76"/>
      <c r="G76"/>
      <c r="H76"/>
      <c r="I76"/>
      <c r="J76"/>
      <c r="K76"/>
      <c r="N76"/>
      <c r="O76"/>
      <c r="R76" s="99"/>
    </row>
    <row r="77" spans="1:25">
      <c r="D77" s="18"/>
      <c r="E77"/>
      <c r="F77"/>
      <c r="G77"/>
      <c r="H77"/>
      <c r="I77"/>
      <c r="J77"/>
      <c r="K77"/>
      <c r="N77"/>
      <c r="O77"/>
      <c r="R77" s="99"/>
    </row>
    <row r="78" spans="1:25">
      <c r="D78" s="18"/>
      <c r="E78"/>
      <c r="F78"/>
      <c r="G78"/>
      <c r="H78"/>
      <c r="I78"/>
      <c r="J78"/>
      <c r="K78"/>
      <c r="N78"/>
      <c r="O78"/>
      <c r="R78" s="99"/>
    </row>
    <row r="79" spans="1:25">
      <c r="D79" s="18"/>
      <c r="E79"/>
      <c r="F79"/>
      <c r="G79"/>
      <c r="H79"/>
      <c r="I79"/>
      <c r="J79"/>
      <c r="K79"/>
      <c r="N79"/>
      <c r="O79"/>
      <c r="R79" s="99"/>
    </row>
    <row r="80" spans="1:25" ht="13.8">
      <c r="B80" s="38" t="s">
        <v>434</v>
      </c>
      <c r="C80" s="38"/>
      <c r="D80" s="18"/>
      <c r="E80"/>
      <c r="F80"/>
      <c r="G80"/>
      <c r="H80"/>
      <c r="I80"/>
      <c r="J80"/>
      <c r="K80"/>
      <c r="N80"/>
      <c r="O80"/>
      <c r="R80" s="99"/>
    </row>
    <row r="81" spans="1:25" ht="13.8">
      <c r="B81" s="38" t="s">
        <v>441</v>
      </c>
      <c r="C81" s="38"/>
      <c r="D81" s="17" t="s">
        <v>382</v>
      </c>
      <c r="E81" s="17" t="s">
        <v>383</v>
      </c>
      <c r="F81"/>
      <c r="G81"/>
      <c r="H81"/>
      <c r="I81"/>
      <c r="J81"/>
      <c r="K81"/>
      <c r="N81"/>
      <c r="O81"/>
      <c r="R81" s="99"/>
    </row>
    <row r="82" spans="1:25" ht="13.8">
      <c r="B82" s="38" t="s">
        <v>426</v>
      </c>
      <c r="D82" s="17">
        <v>80</v>
      </c>
      <c r="E82" s="17">
        <v>200</v>
      </c>
      <c r="F82"/>
      <c r="G82"/>
      <c r="H82"/>
      <c r="I82"/>
      <c r="J82"/>
      <c r="K82"/>
      <c r="N82"/>
      <c r="O82"/>
      <c r="R82" s="99"/>
    </row>
    <row r="83" spans="1:25" ht="13.8">
      <c r="B83" s="38" t="s">
        <v>386</v>
      </c>
      <c r="C83" s="38"/>
      <c r="D83" s="17">
        <v>105</v>
      </c>
      <c r="E83" s="17">
        <v>264</v>
      </c>
      <c r="F83"/>
      <c r="G83"/>
      <c r="H83"/>
      <c r="I83"/>
      <c r="J83"/>
      <c r="K83"/>
      <c r="N83"/>
      <c r="O83"/>
      <c r="R83" s="99"/>
    </row>
    <row r="84" spans="1:25" ht="13.8">
      <c r="B84" s="38" t="s">
        <v>535</v>
      </c>
      <c r="D84" s="71">
        <v>5.5E-2</v>
      </c>
      <c r="E84" s="71">
        <v>4.9599999999999998E-2</v>
      </c>
      <c r="F84"/>
      <c r="G84"/>
      <c r="H84"/>
      <c r="I84"/>
      <c r="J84"/>
      <c r="K84"/>
      <c r="N84"/>
      <c r="O84"/>
      <c r="R84" s="99"/>
    </row>
    <row r="85" spans="1:25" ht="53.25" customHeight="1">
      <c r="B85" s="20"/>
      <c r="C85" s="20"/>
      <c r="D85" s="21" t="s">
        <v>411</v>
      </c>
      <c r="E85" s="20" t="s">
        <v>324</v>
      </c>
      <c r="F85" s="20" t="s">
        <v>388</v>
      </c>
      <c r="G85" s="20" t="s">
        <v>389</v>
      </c>
      <c r="H85" s="20" t="s">
        <v>329</v>
      </c>
      <c r="I85" s="20" t="s">
        <v>299</v>
      </c>
      <c r="J85" s="20" t="s">
        <v>296</v>
      </c>
      <c r="K85" s="20" t="s">
        <v>355</v>
      </c>
      <c r="L85" s="20" t="s">
        <v>437</v>
      </c>
      <c r="M85" s="20" t="s">
        <v>438</v>
      </c>
      <c r="N85" s="20"/>
      <c r="O85" s="39" t="s">
        <v>390</v>
      </c>
      <c r="P85" s="39" t="s">
        <v>391</v>
      </c>
      <c r="Q85" s="39" t="s">
        <v>392</v>
      </c>
      <c r="R85" s="98" t="s">
        <v>393</v>
      </c>
      <c r="S85" s="40" t="s">
        <v>394</v>
      </c>
      <c r="T85" s="56" t="s">
        <v>395</v>
      </c>
      <c r="U85" s="57" t="s">
        <v>396</v>
      </c>
      <c r="V85" s="40" t="s">
        <v>442</v>
      </c>
      <c r="W85" s="40" t="s">
        <v>443</v>
      </c>
      <c r="X85" s="56" t="s">
        <v>444</v>
      </c>
      <c r="Y85" s="57" t="s">
        <v>400</v>
      </c>
    </row>
    <row r="86" spans="1:25" s="15" customFormat="1">
      <c r="A86" s="15">
        <v>1</v>
      </c>
      <c r="B86" s="27" t="s">
        <v>419</v>
      </c>
      <c r="C86" s="27" t="s">
        <v>439</v>
      </c>
      <c r="D86" s="34" t="s">
        <v>418</v>
      </c>
      <c r="E86" s="27">
        <f>12*D83*6*4</f>
        <v>30240</v>
      </c>
      <c r="F86" s="27">
        <f>40*D83*4</f>
        <v>16800</v>
      </c>
      <c r="G86" s="27">
        <f>4*D83*4</f>
        <v>1680</v>
      </c>
      <c r="H86" s="27">
        <f>4*3*D83</f>
        <v>1260</v>
      </c>
      <c r="I86" s="27">
        <f>4*240*8/2</f>
        <v>3840</v>
      </c>
      <c r="J86" s="27">
        <f>2*12*D83*6*4</f>
        <v>60480</v>
      </c>
      <c r="K86" s="27">
        <f>INT(D83/4)*INT((14-2-1)/4)*4*4+INT(D83/4)*INT((11-2-1)/4)*2*4</f>
        <v>1248</v>
      </c>
      <c r="L86" s="17">
        <v>0</v>
      </c>
      <c r="M86" s="27">
        <f>12*D83*4</f>
        <v>5040</v>
      </c>
      <c r="O86" s="27">
        <f>12*D83*14*4*4+12*D83*11*2*4+12*D83*4</f>
        <v>398160</v>
      </c>
      <c r="P86" s="27">
        <f>SUM(E86:M86)</f>
        <v>120588</v>
      </c>
      <c r="Q86" s="55">
        <f>100*P86/O86</f>
        <v>30.286317058468956</v>
      </c>
      <c r="R86" s="100">
        <f>12*D83*14*4*4+12*D83*11*2*4+12*D83*4</f>
        <v>398160</v>
      </c>
      <c r="S86" s="27">
        <f>SUM(E86:M86)</f>
        <v>120588</v>
      </c>
      <c r="T86" s="55">
        <f>100*S86/R86</f>
        <v>30.286317058468956</v>
      </c>
      <c r="U86" s="58">
        <f>(1-T86/100)/(1-Q86/100)</f>
        <v>1</v>
      </c>
      <c r="V86" s="17">
        <f>R86*$E$83/$D$83</f>
        <v>1001088</v>
      </c>
      <c r="W86" s="80">
        <f>SUM(E86:G86,K86,M86)*$E$83/$D$83+H86+I86+12*CEILING($E$83*2*$D$82/$E$82,1)*6*4</f>
        <v>204461.82857142857</v>
      </c>
      <c r="X86" s="76">
        <f t="shared" ref="X86" si="49">100*W86/V86</f>
        <v>20.423961586936272</v>
      </c>
      <c r="Y86" s="58">
        <f>(1-X86/100)/(1-T86/100)*(1-$E$84)/(1-$D$84)</f>
        <v>1.1479921194192089</v>
      </c>
    </row>
    <row r="87" spans="1:25" s="15" customFormat="1">
      <c r="A87" s="15">
        <v>3</v>
      </c>
      <c r="B87" s="27" t="s">
        <v>5</v>
      </c>
      <c r="C87" s="27" t="s">
        <v>440</v>
      </c>
      <c r="D87" s="34" t="s">
        <v>421</v>
      </c>
      <c r="E87" s="27">
        <v>14396</v>
      </c>
      <c r="F87" s="27">
        <f>20*D83*2*4</f>
        <v>16800</v>
      </c>
      <c r="G87" s="27">
        <f>4*D83*2*4</f>
        <v>3360</v>
      </c>
      <c r="H87" s="27">
        <f>4*3*52*10/20</f>
        <v>312</v>
      </c>
      <c r="I87" s="27">
        <f>12*4*240*10/20</f>
        <v>5760</v>
      </c>
      <c r="J87" s="27">
        <f>2*12*D83*8*4</f>
        <v>80640</v>
      </c>
      <c r="K87" s="27">
        <f>INT(D83/4)*INT((14-2-1))*2*6*4+INT(D83/4)*INT((10-2-1))*2*2*4</f>
        <v>16640</v>
      </c>
      <c r="L87" s="27">
        <v>0</v>
      </c>
      <c r="M87" s="27">
        <f>12*D83*1*2*4</f>
        <v>10080</v>
      </c>
      <c r="O87" s="27">
        <f>12*D83*(14*6+12*2)*4</f>
        <v>544320</v>
      </c>
      <c r="P87" s="27">
        <f>SUM(E87:L87)+M87*2</f>
        <v>158068</v>
      </c>
      <c r="Q87" s="55">
        <f>100*P87/O87</f>
        <v>29.039535567313344</v>
      </c>
      <c r="R87" s="100">
        <f>12*D83*(14*6+10*2+1*2)*4</f>
        <v>534240</v>
      </c>
      <c r="S87" s="27">
        <f>SUM(E87:M87)</f>
        <v>147988</v>
      </c>
      <c r="T87" s="55">
        <f>100*S87/R87</f>
        <v>27.700658879904164</v>
      </c>
      <c r="U87" s="58">
        <f>(1-T87/100)/(1-Q87/100)</f>
        <v>1.0188679245283019</v>
      </c>
      <c r="V87" s="17">
        <f>R87*$E$83/$D$83</f>
        <v>1343232</v>
      </c>
      <c r="W87" s="80">
        <f>SUM(E87:G87,K87,M87)*$E$83/$D$83+H87+I87+12*CEILING($E$83*2*$D$82/$E$82,1)*8*4</f>
        <v>241545.37142857144</v>
      </c>
      <c r="X87" s="76">
        <f t="shared" ref="X87" si="50">100*W87/V87</f>
        <v>17.982401508344907</v>
      </c>
      <c r="Y87" s="58">
        <f t="shared" ref="Y87:Y89" si="51">(1-X87/100)/(1-T87/100)*(1-$E$84)/(1-$D$84)</f>
        <v>1.1408993388476214</v>
      </c>
    </row>
    <row r="88" spans="1:25" s="15" customFormat="1">
      <c r="A88" s="15">
        <v>4</v>
      </c>
      <c r="B88" s="27" t="s">
        <v>27</v>
      </c>
      <c r="C88" s="27" t="s">
        <v>440</v>
      </c>
      <c r="D88" s="34" t="s">
        <v>430</v>
      </c>
      <c r="E88" s="83">
        <f>8*D83*8*4</f>
        <v>26880</v>
      </c>
      <c r="F88" s="83">
        <f>20*D83*2*4</f>
        <v>16800</v>
      </c>
      <c r="G88" s="83">
        <f>4*D83*2*4</f>
        <v>3360</v>
      </c>
      <c r="H88" s="83">
        <f>12*52*10/20</f>
        <v>312</v>
      </c>
      <c r="I88" s="83">
        <f>12*4*240*10/20</f>
        <v>5760</v>
      </c>
      <c r="J88" s="83">
        <f>2*12*D83*8*4</f>
        <v>80640</v>
      </c>
      <c r="K88" s="83">
        <f>INT(D83/4)*INT((14-2-1))*2*6*4+INT(D83/4)*INT((10-2-1))*2*2*4</f>
        <v>16640</v>
      </c>
      <c r="L88" s="17">
        <v>0</v>
      </c>
      <c r="M88" s="94">
        <f>12*D83*0.5*2*4</f>
        <v>5040</v>
      </c>
      <c r="N88" s="83"/>
      <c r="O88" s="27">
        <f>12*D83*(14*6+12*2)*4</f>
        <v>544320</v>
      </c>
      <c r="P88" s="27">
        <f>SUM(E88:L88)+M88*2</f>
        <v>160472</v>
      </c>
      <c r="Q88" s="55">
        <f>100*P88/O88</f>
        <v>29.481187536743093</v>
      </c>
      <c r="R88" s="100">
        <f>12*D83*(14*6+10*2+1*2)*4</f>
        <v>534240</v>
      </c>
      <c r="S88" s="83">
        <f>SUM(E88:M88)</f>
        <v>155432</v>
      </c>
      <c r="T88" s="101">
        <f>100*S88/R88</f>
        <v>29.09404013177598</v>
      </c>
      <c r="U88" s="58">
        <f t="shared" ref="U88:U89" si="52">(1-T88/100)/(1-Q88/100)</f>
        <v>1.0054899875854948</v>
      </c>
      <c r="V88" s="17">
        <f t="shared" ref="V88:V89" si="53">R88*$E$83/$D$83</f>
        <v>1343232</v>
      </c>
      <c r="W88" s="80">
        <f t="shared" ref="W88:W89" si="54">SUM(E88:G88,K88,M88)*$E$83/$D$83+H88+I88+12*CEILING($E$83*2*$D$82/$E$82,1)*8*4</f>
        <v>260261.71428571429</v>
      </c>
      <c r="X88" s="76">
        <f t="shared" ref="X88:X89" si="55">100*W88/V88</f>
        <v>19.375782760216723</v>
      </c>
      <c r="Y88" s="58">
        <f t="shared" si="51"/>
        <v>1.1435558760261513</v>
      </c>
    </row>
    <row r="89" spans="1:25" s="15" customFormat="1">
      <c r="A89" s="15">
        <v>5</v>
      </c>
      <c r="B89" s="27" t="s">
        <v>11</v>
      </c>
      <c r="D89" s="84" t="s">
        <v>421</v>
      </c>
      <c r="E89" s="83">
        <f>12*D83*6*4</f>
        <v>30240</v>
      </c>
      <c r="F89" s="83">
        <f>20*D83*2*4</f>
        <v>16800</v>
      </c>
      <c r="G89" s="83">
        <v>0</v>
      </c>
      <c r="H89" s="83">
        <f>4*D83*2/2</f>
        <v>420</v>
      </c>
      <c r="I89" s="83">
        <f>12*4*240*10/20</f>
        <v>5760</v>
      </c>
      <c r="J89" s="83">
        <f>2*12*D83*8*4</f>
        <v>80640</v>
      </c>
      <c r="K89" s="83">
        <f>INT(D83/4)*INT((14-2-1))*2*6*4+INT(D83/4)*INT((10-2-1))*2*2*4</f>
        <v>16640</v>
      </c>
      <c r="L89" s="27">
        <v>0</v>
      </c>
      <c r="M89" s="94">
        <f>12*D83*1*2*4</f>
        <v>10080</v>
      </c>
      <c r="N89" s="94"/>
      <c r="O89" s="27">
        <f>12*D83*(14*6+12*2)*4</f>
        <v>544320</v>
      </c>
      <c r="P89" s="27">
        <f>SUM(E89:L89)+M89*2</f>
        <v>170660</v>
      </c>
      <c r="Q89" s="55">
        <f>100*P89/O89</f>
        <v>31.352880658436213</v>
      </c>
      <c r="R89" s="100">
        <f>12*D83*(14*6+10*2+1*2)*4</f>
        <v>534240</v>
      </c>
      <c r="S89" s="27">
        <f>SUM(E89:M89)</f>
        <v>160580</v>
      </c>
      <c r="T89" s="55">
        <f>100*S89/R89</f>
        <v>30.057651991614257</v>
      </c>
      <c r="U89" s="58">
        <f t="shared" si="52"/>
        <v>1.0188679245283019</v>
      </c>
      <c r="V89" s="17">
        <f t="shared" si="53"/>
        <v>1343232</v>
      </c>
      <c r="W89" s="80">
        <f t="shared" si="54"/>
        <v>273041.71428571432</v>
      </c>
      <c r="X89" s="76">
        <f t="shared" si="55"/>
        <v>20.327219295379678</v>
      </c>
      <c r="Y89" s="58">
        <f t="shared" si="51"/>
        <v>1.1456300227097207</v>
      </c>
    </row>
    <row r="90" spans="1:25">
      <c r="R90" s="99"/>
    </row>
    <row r="91" spans="1:25">
      <c r="R91" s="99"/>
    </row>
    <row r="92" spans="1:25" ht="13.8">
      <c r="B92" s="38" t="s">
        <v>445</v>
      </c>
      <c r="C92" s="38"/>
      <c r="D92" s="18"/>
      <c r="E92"/>
      <c r="F92"/>
      <c r="G92"/>
      <c r="H92"/>
      <c r="I92"/>
      <c r="J92"/>
      <c r="K92"/>
      <c r="N92"/>
      <c r="O92"/>
      <c r="R92" s="99"/>
    </row>
    <row r="93" spans="1:25" ht="13.8">
      <c r="B93" s="38" t="s">
        <v>446</v>
      </c>
      <c r="C93" s="38"/>
      <c r="D93" s="18"/>
      <c r="E93"/>
      <c r="F93"/>
      <c r="G93"/>
      <c r="H93"/>
      <c r="I93"/>
      <c r="J93"/>
      <c r="K93"/>
      <c r="N93"/>
      <c r="O93"/>
      <c r="R93" s="99"/>
    </row>
    <row r="94" spans="1:25">
      <c r="D94" s="18"/>
      <c r="E94"/>
      <c r="F94"/>
      <c r="G94"/>
      <c r="H94"/>
      <c r="I94"/>
      <c r="J94"/>
      <c r="K94"/>
      <c r="N94"/>
      <c r="O94"/>
      <c r="R94" s="99"/>
    </row>
    <row r="95" spans="1:25" ht="13.8">
      <c r="B95" s="38" t="s">
        <v>386</v>
      </c>
      <c r="C95" s="38"/>
      <c r="D95" s="85">
        <v>66</v>
      </c>
      <c r="E95"/>
      <c r="F95"/>
      <c r="G95"/>
      <c r="H95"/>
      <c r="I95"/>
      <c r="J95"/>
      <c r="K95"/>
      <c r="N95"/>
      <c r="O95"/>
      <c r="R95" s="99"/>
    </row>
    <row r="96" spans="1:25">
      <c r="D96" s="18"/>
      <c r="E96"/>
      <c r="F96"/>
      <c r="G96"/>
      <c r="H96"/>
      <c r="I96"/>
      <c r="J96"/>
      <c r="K96"/>
      <c r="N96"/>
      <c r="O96"/>
      <c r="R96" s="99"/>
    </row>
    <row r="97" spans="1:28" ht="40.200000000000003">
      <c r="B97" s="20"/>
      <c r="C97" s="20" t="s">
        <v>436</v>
      </c>
      <c r="D97" s="21"/>
      <c r="E97" s="20" t="s">
        <v>324</v>
      </c>
      <c r="F97" s="20" t="s">
        <v>388</v>
      </c>
      <c r="G97" s="20" t="s">
        <v>389</v>
      </c>
      <c r="H97" s="20" t="s">
        <v>329</v>
      </c>
      <c r="I97" s="20" t="s">
        <v>299</v>
      </c>
      <c r="J97" s="20" t="s">
        <v>296</v>
      </c>
      <c r="K97" s="20" t="s">
        <v>355</v>
      </c>
      <c r="L97" s="20" t="s">
        <v>437</v>
      </c>
      <c r="M97" s="20" t="s">
        <v>340</v>
      </c>
      <c r="N97" s="20"/>
      <c r="O97" s="39" t="s">
        <v>390</v>
      </c>
      <c r="P97" s="39" t="s">
        <v>391</v>
      </c>
      <c r="Q97" s="39" t="s">
        <v>392</v>
      </c>
      <c r="R97" s="98" t="s">
        <v>393</v>
      </c>
      <c r="S97" s="40" t="s">
        <v>394</v>
      </c>
      <c r="T97" s="40" t="s">
        <v>447</v>
      </c>
      <c r="U97" s="57" t="s">
        <v>396</v>
      </c>
    </row>
    <row r="98" spans="1:28" ht="13.8">
      <c r="A98">
        <v>1</v>
      </c>
      <c r="B98" s="66"/>
      <c r="C98" s="66"/>
      <c r="D98" s="67"/>
      <c r="E98" s="66"/>
      <c r="F98" s="66"/>
      <c r="G98" s="66"/>
      <c r="H98" s="66"/>
      <c r="I98" s="66"/>
      <c r="J98" s="66"/>
      <c r="K98" s="66"/>
      <c r="L98" s="66"/>
      <c r="M98" s="66"/>
      <c r="N98" s="66"/>
      <c r="O98" s="66"/>
      <c r="P98" s="66"/>
      <c r="Q98" s="68"/>
      <c r="R98" s="99"/>
    </row>
    <row r="99" spans="1:28">
      <c r="D99" s="18"/>
      <c r="E99"/>
      <c r="F99"/>
      <c r="G99"/>
      <c r="H99"/>
      <c r="I99"/>
      <c r="J99"/>
      <c r="K99"/>
      <c r="N99"/>
      <c r="O99"/>
      <c r="R99" s="99"/>
    </row>
    <row r="100" spans="1:28">
      <c r="D100" s="18"/>
      <c r="E100"/>
      <c r="F100"/>
      <c r="G100"/>
      <c r="H100"/>
      <c r="I100"/>
      <c r="J100"/>
      <c r="K100"/>
      <c r="N100"/>
      <c r="O100"/>
      <c r="R100" s="99"/>
    </row>
    <row r="101" spans="1:28">
      <c r="D101" s="18"/>
      <c r="E101"/>
      <c r="F101"/>
      <c r="G101"/>
      <c r="H101"/>
      <c r="I101"/>
      <c r="J101"/>
      <c r="K101"/>
      <c r="N101"/>
      <c r="O101"/>
      <c r="R101" s="99"/>
    </row>
    <row r="102" spans="1:28">
      <c r="D102" s="18"/>
      <c r="E102"/>
      <c r="F102"/>
      <c r="G102"/>
      <c r="H102"/>
      <c r="I102"/>
      <c r="J102"/>
      <c r="K102"/>
      <c r="N102"/>
      <c r="O102"/>
      <c r="R102" s="99"/>
    </row>
    <row r="103" spans="1:28" ht="13.8">
      <c r="B103" s="38" t="s">
        <v>445</v>
      </c>
      <c r="C103" s="38"/>
      <c r="D103" s="18"/>
      <c r="E103"/>
      <c r="F103"/>
      <c r="G103"/>
      <c r="H103"/>
      <c r="I103"/>
      <c r="J103"/>
      <c r="K103"/>
      <c r="N103"/>
      <c r="O103"/>
      <c r="R103" s="99"/>
    </row>
    <row r="104" spans="1:28" ht="13.8">
      <c r="B104" s="38" t="s">
        <v>448</v>
      </c>
      <c r="C104" s="38"/>
      <c r="D104" s="17" t="s">
        <v>382</v>
      </c>
      <c r="G104"/>
      <c r="H104"/>
      <c r="I104"/>
      <c r="J104"/>
      <c r="K104"/>
      <c r="N104"/>
      <c r="O104"/>
      <c r="R104" s="99"/>
    </row>
    <row r="105" spans="1:28" ht="13.8">
      <c r="B105" s="38" t="s">
        <v>426</v>
      </c>
      <c r="D105" s="17">
        <v>40</v>
      </c>
      <c r="G105"/>
      <c r="H105"/>
      <c r="I105"/>
      <c r="J105"/>
      <c r="K105"/>
      <c r="N105"/>
      <c r="O105"/>
      <c r="R105" s="99"/>
    </row>
    <row r="106" spans="1:28" ht="13.8">
      <c r="B106" s="38" t="s">
        <v>386</v>
      </c>
      <c r="C106" s="38"/>
      <c r="D106" s="85">
        <v>26</v>
      </c>
      <c r="G106"/>
      <c r="H106"/>
      <c r="I106"/>
      <c r="J106"/>
      <c r="K106"/>
      <c r="N106"/>
      <c r="O106"/>
      <c r="R106" s="99"/>
    </row>
    <row r="107" spans="1:28">
      <c r="D107" s="18"/>
      <c r="E107"/>
      <c r="F107"/>
      <c r="G107"/>
      <c r="H107"/>
      <c r="I107"/>
      <c r="J107"/>
      <c r="K107"/>
      <c r="N107"/>
      <c r="O107"/>
      <c r="R107" s="99"/>
    </row>
    <row r="108" spans="1:28" ht="59.25" customHeight="1">
      <c r="B108" s="86"/>
      <c r="C108" s="86" t="s">
        <v>436</v>
      </c>
      <c r="D108" s="87"/>
      <c r="E108" s="86" t="s">
        <v>324</v>
      </c>
      <c r="F108" s="86" t="s">
        <v>388</v>
      </c>
      <c r="G108" s="86" t="s">
        <v>389</v>
      </c>
      <c r="H108" s="86" t="s">
        <v>329</v>
      </c>
      <c r="I108" s="86" t="s">
        <v>299</v>
      </c>
      <c r="J108" s="86" t="s">
        <v>296</v>
      </c>
      <c r="K108" s="86" t="s">
        <v>355</v>
      </c>
      <c r="L108" s="86" t="s">
        <v>437</v>
      </c>
      <c r="M108" s="86" t="s">
        <v>340</v>
      </c>
      <c r="N108" s="86"/>
      <c r="O108" s="95" t="s">
        <v>390</v>
      </c>
      <c r="P108" s="95" t="s">
        <v>391</v>
      </c>
      <c r="Q108" s="95" t="s">
        <v>392</v>
      </c>
      <c r="R108" s="102" t="s">
        <v>393</v>
      </c>
      <c r="S108" s="103" t="s">
        <v>394</v>
      </c>
      <c r="T108" s="104" t="s">
        <v>395</v>
      </c>
      <c r="U108" s="57" t="s">
        <v>396</v>
      </c>
    </row>
    <row r="109" spans="1:28">
      <c r="A109" s="88">
        <v>1</v>
      </c>
      <c r="B109" s="89" t="s">
        <v>21</v>
      </c>
      <c r="C109" s="89" t="s">
        <v>449</v>
      </c>
      <c r="D109" s="90"/>
      <c r="E109" s="91">
        <v>49920</v>
      </c>
      <c r="F109" s="91">
        <v>13312</v>
      </c>
      <c r="G109" s="91">
        <v>0</v>
      </c>
      <c r="H109" s="91">
        <v>156</v>
      </c>
      <c r="I109" s="91">
        <v>5760</v>
      </c>
      <c r="J109" s="210">
        <v>49920</v>
      </c>
      <c r="K109" s="91">
        <v>960</v>
      </c>
      <c r="L109" s="91">
        <v>0</v>
      </c>
      <c r="M109" s="91">
        <v>0</v>
      </c>
      <c r="N109" s="91"/>
      <c r="O109" s="91">
        <v>349440</v>
      </c>
      <c r="P109" s="96">
        <f>SUM(E109:K109)</f>
        <v>120028</v>
      </c>
      <c r="Q109" s="105">
        <f>100*P109/O109</f>
        <v>34.348672161172161</v>
      </c>
      <c r="R109" s="106">
        <v>349440</v>
      </c>
      <c r="S109" s="96">
        <f>P109</f>
        <v>120028</v>
      </c>
      <c r="T109" s="105">
        <f>100*S109/R109</f>
        <v>34.348672161172161</v>
      </c>
      <c r="U109" s="58">
        <f>(1-T109/100)/(1-Q109/100)</f>
        <v>1</v>
      </c>
      <c r="AB109" s="76"/>
    </row>
    <row r="110" spans="1:28">
      <c r="A110" s="88"/>
      <c r="B110" s="88"/>
      <c r="C110" s="88"/>
      <c r="D110" s="92"/>
      <c r="E110" s="92"/>
      <c r="F110" s="92"/>
      <c r="G110" s="92"/>
      <c r="H110" s="92"/>
      <c r="I110" s="92"/>
      <c r="J110" s="92"/>
      <c r="K110" s="92"/>
      <c r="L110" s="88"/>
      <c r="M110" s="92"/>
      <c r="N110" s="92"/>
      <c r="O110" s="97"/>
      <c r="P110" s="92"/>
      <c r="Q110" s="92"/>
      <c r="R110" s="107"/>
      <c r="S110" s="88"/>
    </row>
    <row r="111" spans="1:28">
      <c r="A111" s="88"/>
      <c r="B111" s="88"/>
      <c r="C111" s="88"/>
      <c r="D111" s="92"/>
      <c r="E111" s="92"/>
      <c r="F111" s="92"/>
      <c r="G111" s="92"/>
      <c r="H111" s="92"/>
      <c r="I111" s="92"/>
      <c r="J111" s="92"/>
      <c r="K111" s="92"/>
      <c r="L111" s="88"/>
      <c r="M111" s="92"/>
      <c r="N111" s="92"/>
      <c r="O111" s="97"/>
      <c r="P111" s="92"/>
      <c r="Q111" s="92"/>
      <c r="R111" s="107"/>
      <c r="S111" s="88"/>
    </row>
    <row r="112" spans="1:28">
      <c r="A112" s="88"/>
      <c r="B112" s="88"/>
      <c r="C112" s="88"/>
      <c r="D112" s="92"/>
      <c r="E112" s="92"/>
      <c r="F112" s="92"/>
      <c r="G112" s="93"/>
      <c r="H112" s="92"/>
      <c r="I112" s="92"/>
      <c r="J112" s="92"/>
      <c r="K112" s="92"/>
      <c r="L112" s="88"/>
      <c r="M112" s="92"/>
      <c r="N112" s="92"/>
      <c r="O112" s="97"/>
      <c r="P112" s="92"/>
      <c r="Q112" s="92"/>
      <c r="R112" s="107"/>
      <c r="S112" s="88"/>
    </row>
    <row r="113" spans="2:21" ht="13.8">
      <c r="B113" s="38" t="s">
        <v>445</v>
      </c>
      <c r="C113" s="38"/>
      <c r="D113" s="18"/>
      <c r="E113"/>
      <c r="F113"/>
      <c r="G113"/>
      <c r="H113"/>
      <c r="I113"/>
      <c r="J113"/>
      <c r="K113"/>
      <c r="N113"/>
      <c r="O113"/>
      <c r="R113" s="99"/>
    </row>
    <row r="114" spans="2:21" ht="13.8">
      <c r="B114" s="38" t="s">
        <v>450</v>
      </c>
      <c r="C114" s="38"/>
      <c r="D114" s="18"/>
      <c r="E114"/>
      <c r="F114"/>
      <c r="G114"/>
      <c r="H114"/>
      <c r="I114"/>
      <c r="J114"/>
      <c r="K114"/>
      <c r="N114"/>
      <c r="O114"/>
      <c r="R114" s="99"/>
    </row>
    <row r="115" spans="2:21">
      <c r="D115" s="18"/>
      <c r="E115"/>
      <c r="F115"/>
      <c r="G115"/>
      <c r="H115"/>
      <c r="I115"/>
      <c r="J115"/>
      <c r="K115"/>
      <c r="N115"/>
      <c r="O115"/>
      <c r="R115" s="99"/>
    </row>
    <row r="116" spans="2:21" ht="13.8">
      <c r="B116" s="38" t="s">
        <v>386</v>
      </c>
      <c r="C116" s="38"/>
      <c r="D116" s="85">
        <v>66</v>
      </c>
      <c r="E116"/>
      <c r="F116"/>
      <c r="G116"/>
      <c r="H116"/>
      <c r="I116"/>
      <c r="J116"/>
      <c r="K116"/>
      <c r="N116"/>
      <c r="O116"/>
      <c r="R116" s="99"/>
    </row>
    <row r="117" spans="2:21">
      <c r="D117" s="18"/>
      <c r="E117"/>
      <c r="F117"/>
      <c r="G117"/>
      <c r="H117"/>
      <c r="I117"/>
      <c r="J117"/>
      <c r="K117"/>
      <c r="N117"/>
      <c r="O117"/>
      <c r="R117" s="99"/>
    </row>
    <row r="118" spans="2:21" ht="40.200000000000003">
      <c r="B118" s="20"/>
      <c r="C118" s="20" t="s">
        <v>436</v>
      </c>
      <c r="D118" s="21"/>
      <c r="E118" s="20" t="s">
        <v>324</v>
      </c>
      <c r="F118" s="20" t="s">
        <v>388</v>
      </c>
      <c r="G118" s="20" t="s">
        <v>389</v>
      </c>
      <c r="H118" s="20" t="s">
        <v>329</v>
      </c>
      <c r="I118" s="20" t="s">
        <v>299</v>
      </c>
      <c r="J118" s="20" t="s">
        <v>296</v>
      </c>
      <c r="K118" s="20" t="s">
        <v>355</v>
      </c>
      <c r="L118" s="20" t="s">
        <v>437</v>
      </c>
      <c r="M118" s="20" t="s">
        <v>340</v>
      </c>
      <c r="N118" s="20"/>
      <c r="O118" s="39" t="s">
        <v>390</v>
      </c>
      <c r="P118" s="39" t="s">
        <v>391</v>
      </c>
      <c r="Q118" s="39" t="s">
        <v>392</v>
      </c>
      <c r="R118" s="98" t="s">
        <v>393</v>
      </c>
      <c r="S118" s="40" t="s">
        <v>394</v>
      </c>
      <c r="T118" s="56" t="s">
        <v>395</v>
      </c>
      <c r="U118" s="57" t="s">
        <v>396</v>
      </c>
    </row>
    <row r="119" spans="2:21">
      <c r="B119" s="17"/>
      <c r="C119" s="17"/>
      <c r="D119" s="18"/>
      <c r="L119" s="17"/>
      <c r="O119" s="17"/>
      <c r="Q119" s="69"/>
      <c r="R119" s="99"/>
    </row>
    <row r="120" spans="2:21">
      <c r="D120" s="18"/>
      <c r="E120"/>
      <c r="F120"/>
      <c r="G120"/>
      <c r="H120"/>
      <c r="I120"/>
      <c r="J120"/>
      <c r="K120"/>
      <c r="N120"/>
      <c r="O120"/>
      <c r="R120" s="99"/>
    </row>
    <row r="121" spans="2:21">
      <c r="D121" s="18"/>
      <c r="E121"/>
      <c r="F121"/>
      <c r="G121"/>
      <c r="H121"/>
      <c r="I121"/>
      <c r="J121"/>
      <c r="K121"/>
      <c r="N121"/>
      <c r="O121"/>
      <c r="R121" s="99"/>
    </row>
    <row r="122" spans="2:21">
      <c r="D122" s="18"/>
      <c r="E122"/>
      <c r="F122"/>
      <c r="G122"/>
      <c r="H122"/>
      <c r="I122"/>
      <c r="J122"/>
      <c r="K122"/>
      <c r="N122"/>
      <c r="O122"/>
      <c r="R122" s="99"/>
    </row>
    <row r="123" spans="2:21">
      <c r="D123" s="18"/>
      <c r="E123"/>
      <c r="F123"/>
      <c r="G123"/>
      <c r="H123"/>
      <c r="I123"/>
      <c r="J123"/>
      <c r="K123"/>
      <c r="N123"/>
      <c r="O123"/>
      <c r="R123" s="99"/>
    </row>
    <row r="124" spans="2:21" ht="13.8">
      <c r="B124" s="38" t="s">
        <v>445</v>
      </c>
      <c r="C124" s="38"/>
      <c r="D124" s="18"/>
      <c r="E124"/>
      <c r="F124"/>
      <c r="G124"/>
      <c r="H124"/>
      <c r="I124"/>
      <c r="J124"/>
      <c r="K124"/>
      <c r="N124"/>
      <c r="O124"/>
      <c r="R124" s="99"/>
    </row>
    <row r="125" spans="2:21" ht="13.8">
      <c r="B125" s="38" t="s">
        <v>451</v>
      </c>
      <c r="C125" s="38"/>
      <c r="D125" s="18"/>
      <c r="E125"/>
      <c r="F125"/>
      <c r="G125"/>
      <c r="H125"/>
      <c r="I125"/>
      <c r="J125"/>
      <c r="K125"/>
      <c r="N125"/>
      <c r="O125"/>
      <c r="R125" s="99"/>
    </row>
    <row r="126" spans="2:21">
      <c r="D126" s="18"/>
      <c r="E126"/>
      <c r="F126"/>
      <c r="G126"/>
      <c r="H126"/>
      <c r="I126"/>
      <c r="J126"/>
      <c r="K126"/>
      <c r="N126"/>
      <c r="O126"/>
      <c r="R126" s="99"/>
    </row>
    <row r="127" spans="2:21" ht="13.8">
      <c r="B127" s="38" t="s">
        <v>386</v>
      </c>
      <c r="C127" s="38"/>
      <c r="D127" s="85">
        <v>52</v>
      </c>
      <c r="E127"/>
      <c r="F127"/>
      <c r="G127"/>
      <c r="H127"/>
      <c r="I127"/>
      <c r="J127"/>
      <c r="K127"/>
      <c r="N127"/>
      <c r="O127"/>
      <c r="R127" s="99"/>
    </row>
    <row r="128" spans="2:21">
      <c r="D128" s="18"/>
      <c r="E128"/>
      <c r="F128"/>
      <c r="G128"/>
      <c r="H128"/>
      <c r="I128"/>
      <c r="J128"/>
      <c r="K128"/>
      <c r="N128"/>
      <c r="O128"/>
      <c r="R128" s="99"/>
    </row>
    <row r="129" spans="1:27" ht="40.200000000000003">
      <c r="B129" s="20"/>
      <c r="C129" s="20"/>
      <c r="D129" s="21"/>
      <c r="E129" s="20" t="s">
        <v>324</v>
      </c>
      <c r="F129" s="20" t="s">
        <v>388</v>
      </c>
      <c r="G129" s="20" t="s">
        <v>389</v>
      </c>
      <c r="H129" s="20" t="s">
        <v>329</v>
      </c>
      <c r="I129" s="20" t="s">
        <v>299</v>
      </c>
      <c r="J129" s="20" t="s">
        <v>296</v>
      </c>
      <c r="K129" s="20" t="s">
        <v>355</v>
      </c>
      <c r="L129" s="20" t="s">
        <v>437</v>
      </c>
      <c r="M129" s="20" t="s">
        <v>340</v>
      </c>
      <c r="N129" s="20"/>
      <c r="O129" s="39" t="s">
        <v>390</v>
      </c>
      <c r="P129" s="39" t="s">
        <v>391</v>
      </c>
      <c r="Q129" s="39" t="s">
        <v>392</v>
      </c>
      <c r="R129" s="98" t="s">
        <v>393</v>
      </c>
      <c r="S129" s="40" t="s">
        <v>394</v>
      </c>
      <c r="T129" s="40" t="s">
        <v>447</v>
      </c>
      <c r="U129" s="57" t="s">
        <v>396</v>
      </c>
    </row>
    <row r="130" spans="1:27">
      <c r="D130" s="18"/>
      <c r="N130"/>
      <c r="O130" s="17"/>
      <c r="Q130" s="69"/>
      <c r="R130" s="99"/>
    </row>
    <row r="131" spans="1:27">
      <c r="R131" s="99"/>
    </row>
    <row r="132" spans="1:27">
      <c r="R132" s="99"/>
    </row>
    <row r="133" spans="1:27">
      <c r="R133" s="99"/>
    </row>
    <row r="134" spans="1:27">
      <c r="R134" s="99"/>
    </row>
    <row r="135" spans="1:27">
      <c r="R135" s="99"/>
    </row>
    <row r="136" spans="1:27">
      <c r="R136" s="99"/>
    </row>
    <row r="137" spans="1:27">
      <c r="B137" s="227" t="s">
        <v>554</v>
      </c>
      <c r="C137" s="228"/>
      <c r="D137" s="228"/>
      <c r="T137"/>
    </row>
    <row r="138" spans="1:27" ht="13.8">
      <c r="B138" s="38" t="s">
        <v>380</v>
      </c>
      <c r="C138" s="19"/>
      <c r="T138"/>
    </row>
    <row r="139" spans="1:27" ht="13.8">
      <c r="B139" s="38" t="s">
        <v>381</v>
      </c>
      <c r="C139" s="38"/>
      <c r="D139" s="17" t="s">
        <v>382</v>
      </c>
      <c r="E139" s="17" t="s">
        <v>383</v>
      </c>
      <c r="F139" s="17" t="s">
        <v>384</v>
      </c>
      <c r="T139"/>
    </row>
    <row r="140" spans="1:27" ht="13.8">
      <c r="B140" s="38" t="s">
        <v>426</v>
      </c>
      <c r="D140" s="17">
        <v>10</v>
      </c>
      <c r="E140" s="17">
        <v>20</v>
      </c>
      <c r="F140" s="17">
        <v>40</v>
      </c>
      <c r="T140"/>
    </row>
    <row r="141" spans="1:27" ht="13.8">
      <c r="B141" s="38" t="s">
        <v>386</v>
      </c>
      <c r="C141" s="38"/>
      <c r="D141" s="17">
        <f>52</f>
        <v>52</v>
      </c>
      <c r="E141" s="17">
        <v>106</v>
      </c>
      <c r="F141" s="17">
        <v>216</v>
      </c>
      <c r="T141"/>
    </row>
    <row r="142" spans="1:27" ht="13.8">
      <c r="B142" s="38" t="s">
        <v>555</v>
      </c>
      <c r="D142" s="71">
        <v>6.4000000000000001E-2</v>
      </c>
      <c r="E142" s="71">
        <v>4.5999999999999999E-2</v>
      </c>
      <c r="F142" s="71">
        <v>2.8000000000000001E-2</v>
      </c>
      <c r="T142"/>
    </row>
    <row r="143" spans="1:27" ht="54" thickBot="1">
      <c r="B143" s="20"/>
      <c r="C143" s="20" t="s">
        <v>387</v>
      </c>
      <c r="D143" s="20"/>
      <c r="E143" s="20" t="s">
        <v>324</v>
      </c>
      <c r="F143" s="20" t="s">
        <v>388</v>
      </c>
      <c r="G143" s="20" t="s">
        <v>389</v>
      </c>
      <c r="H143" s="20" t="s">
        <v>329</v>
      </c>
      <c r="I143" s="20" t="s">
        <v>299</v>
      </c>
      <c r="J143" s="20" t="s">
        <v>296</v>
      </c>
      <c r="K143" s="20"/>
      <c r="L143" s="20"/>
      <c r="M143" s="39" t="s">
        <v>390</v>
      </c>
      <c r="N143" s="39" t="s">
        <v>391</v>
      </c>
      <c r="O143" s="39" t="s">
        <v>392</v>
      </c>
      <c r="P143" s="40" t="s">
        <v>393</v>
      </c>
      <c r="Q143" s="40" t="s">
        <v>394</v>
      </c>
      <c r="R143" s="56" t="s">
        <v>395</v>
      </c>
      <c r="S143" s="57" t="s">
        <v>396</v>
      </c>
      <c r="T143" s="40" t="s">
        <v>397</v>
      </c>
      <c r="U143" s="40" t="s">
        <v>398</v>
      </c>
      <c r="V143" s="56" t="s">
        <v>399</v>
      </c>
      <c r="W143" s="57" t="s">
        <v>400</v>
      </c>
      <c r="X143" s="40" t="s">
        <v>401</v>
      </c>
      <c r="Y143" s="40" t="s">
        <v>402</v>
      </c>
      <c r="Z143" s="56" t="s">
        <v>403</v>
      </c>
      <c r="AA143" s="57" t="s">
        <v>404</v>
      </c>
    </row>
    <row r="144" spans="1:27" ht="13.8" thickTop="1">
      <c r="A144">
        <v>1</v>
      </c>
      <c r="B144" s="244" t="s">
        <v>551</v>
      </c>
      <c r="C144" s="228" t="s">
        <v>562</v>
      </c>
      <c r="D144" s="229"/>
      <c r="E144" s="229">
        <f>12*2*D141*10</f>
        <v>12480</v>
      </c>
      <c r="F144" s="229">
        <f>32*D141*2</f>
        <v>3328</v>
      </c>
      <c r="G144" s="229">
        <v>0</v>
      </c>
      <c r="H144" s="229">
        <f>12*52*10/20</f>
        <v>312</v>
      </c>
      <c r="I144" s="229">
        <f>1*4*240*10/20</f>
        <v>480</v>
      </c>
      <c r="J144" s="229">
        <f>2*12*D141*10</f>
        <v>12480</v>
      </c>
      <c r="K144" s="229"/>
      <c r="L144" s="229"/>
      <c r="M144" s="230">
        <f>12*14*D141*10</f>
        <v>87360</v>
      </c>
      <c r="N144" s="29">
        <f t="shared" ref="N144:N145" si="56">SUM(E144:J144)</f>
        <v>29080</v>
      </c>
      <c r="O144" s="45">
        <f>N144/M144*100</f>
        <v>33.287545787545788</v>
      </c>
      <c r="P144" s="230">
        <f>M144</f>
        <v>87360</v>
      </c>
      <c r="Q144" s="29">
        <f>N144</f>
        <v>29080</v>
      </c>
      <c r="R144" s="76">
        <f t="shared" ref="R144" si="57">100*Q144/P144</f>
        <v>33.287545787545788</v>
      </c>
      <c r="S144" s="58">
        <f t="shared" ref="S144:S145" si="58">(1-R144/100)/(1-O144/100)</f>
        <v>1</v>
      </c>
      <c r="T144" s="17">
        <f>P144*$E$141/$D$141</f>
        <v>178080</v>
      </c>
      <c r="U144" s="80">
        <f>SUM(E144:G144)*$E$141/$D$141+H144+I144+12*CEILING($E$141*2*$D$140/$E$140,1)*10</f>
        <v>45736</v>
      </c>
      <c r="V144" s="76">
        <f t="shared" ref="V144" si="59">100*U144/T144</f>
        <v>25.68283917340521</v>
      </c>
      <c r="W144" s="58">
        <f>(1-V144/100)/(1-R144/100)*(1-$E$142)/(1-$D$142)</f>
        <v>1.1354152367879202</v>
      </c>
      <c r="X144" s="17">
        <f>P144*$F$141/$D$141</f>
        <v>362880</v>
      </c>
      <c r="Y144" s="80">
        <f>SUM(E144:G144)*$F$141/$D$141+H144+I144+12*CEILING($F$141*2*$D$140/$F$140,1)*10</f>
        <v>79416</v>
      </c>
      <c r="Z144" s="76">
        <f t="shared" ref="Z144" si="60">100*Y144/X144</f>
        <v>21.884920634920636</v>
      </c>
      <c r="AA144" s="58">
        <f t="shared" ref="AA144" si="61">(1-Z144/100)/(1-R144/100)*(1-$F$6)/(1-$D$6)</f>
        <v>1.2159574468085106</v>
      </c>
    </row>
    <row r="145" spans="1:27" ht="13.8">
      <c r="A145">
        <v>2</v>
      </c>
      <c r="B145" s="245" t="s">
        <v>561</v>
      </c>
      <c r="C145" s="228" t="s">
        <v>562</v>
      </c>
      <c r="E145" s="17">
        <f>12*2*D141*10</f>
        <v>12480</v>
      </c>
      <c r="F145" s="17">
        <f>32*D141</f>
        <v>1664</v>
      </c>
      <c r="G145" s="17">
        <v>0</v>
      </c>
      <c r="H145" s="17">
        <f>6*50*10/20</f>
        <v>150</v>
      </c>
      <c r="I145" s="17">
        <f>8*4*240*10/20</f>
        <v>3840</v>
      </c>
      <c r="J145" s="17">
        <f>2*12*D141*10</f>
        <v>12480</v>
      </c>
      <c r="M145" s="17">
        <f>12*14*D141*10</f>
        <v>87360</v>
      </c>
      <c r="N145" s="29">
        <f t="shared" si="56"/>
        <v>30614</v>
      </c>
      <c r="O145" s="45">
        <f>N145/M145*100</f>
        <v>35.043498168498168</v>
      </c>
      <c r="P145" s="230">
        <f t="shared" ref="P145:P146" si="62">M145</f>
        <v>87360</v>
      </c>
      <c r="Q145" s="29">
        <f t="shared" ref="Q145:Q146" si="63">N145</f>
        <v>30614</v>
      </c>
      <c r="R145" s="76">
        <f t="shared" ref="R145:R147" si="64">100*Q145/P145</f>
        <v>35.043498168498168</v>
      </c>
      <c r="S145" s="58">
        <f t="shared" si="58"/>
        <v>1</v>
      </c>
      <c r="T145" s="17">
        <f>P145*$E$141/$D$141</f>
        <v>178080</v>
      </c>
      <c r="U145" s="80">
        <f>SUM(E145:G145)*$E$141/$D$141+H145+I145+12*CEILING($E$141*2*$D$140/$E$140,1)*10</f>
        <v>45542</v>
      </c>
      <c r="V145" s="76">
        <f t="shared" ref="V145:V147" si="65">100*U145/T145</f>
        <v>25.573899371069182</v>
      </c>
      <c r="W145" s="58">
        <f>(1-V145/100)/(1-R145/100)*(1-$E$142)/(1-$D$142)</f>
        <v>1.1678179959820958</v>
      </c>
      <c r="X145" s="17">
        <f>P145*$F$141/$D$141</f>
        <v>362880</v>
      </c>
      <c r="Y145" s="80">
        <f>SUM(E145:G145)*$F$141/$D$141+H145+I145+12*CEILING($F$141*2*$D$140/$F$140,1)*10</f>
        <v>75702</v>
      </c>
      <c r="Z145" s="76">
        <f t="shared" ref="Z145:Z147" si="66">100*Y145/X145</f>
        <v>20.861441798941797</v>
      </c>
      <c r="AA145" s="58">
        <f t="shared" ref="AA145:AA147" si="67">(1-Z145/100)/(1-R145/100)*(1-$F$6)/(1-$D$6)</f>
        <v>1.2651904980086703</v>
      </c>
    </row>
    <row r="146" spans="1:27">
      <c r="A146">
        <v>3</v>
      </c>
      <c r="B146" s="224" t="s">
        <v>35</v>
      </c>
      <c r="C146" s="228" t="s">
        <v>563</v>
      </c>
      <c r="E146" s="17">
        <f>2*12*D141*10</f>
        <v>12480</v>
      </c>
      <c r="F146" s="17">
        <f>40*D141*2</f>
        <v>4160</v>
      </c>
      <c r="G146" s="17">
        <f>4*D141*2</f>
        <v>416</v>
      </c>
      <c r="H146" s="17">
        <f>4*3*D141*10/20</f>
        <v>312</v>
      </c>
      <c r="I146" s="17">
        <f>1*4*240*10/20</f>
        <v>480</v>
      </c>
      <c r="J146" s="17">
        <f>2*12*D141*10</f>
        <v>12480</v>
      </c>
      <c r="M146" s="230">
        <f>12*14*D141*10</f>
        <v>87360</v>
      </c>
      <c r="N146" s="29">
        <f t="shared" ref="N146" si="68">SUM(E146:J146)</f>
        <v>30328</v>
      </c>
      <c r="O146" s="45">
        <f>N146/M146*100</f>
        <v>34.716117216117212</v>
      </c>
      <c r="P146" s="230">
        <f t="shared" si="62"/>
        <v>87360</v>
      </c>
      <c r="Q146" s="29">
        <f t="shared" si="63"/>
        <v>30328</v>
      </c>
      <c r="R146" s="76">
        <f t="shared" si="64"/>
        <v>34.716117216117219</v>
      </c>
      <c r="S146" s="58">
        <f t="shared" ref="S146:S147" si="69">(1-R146/100)/(1-O146/100)</f>
        <v>0.99999999999999967</v>
      </c>
      <c r="T146" s="17">
        <f>P146*$E$141/$D$141</f>
        <v>178080</v>
      </c>
      <c r="U146" s="80">
        <f>SUM(E146:G146)*$E$141/$D$141+H146+I146+12*CEILING($E$141*2*$D$140/$E$140,1)*10</f>
        <v>48280</v>
      </c>
      <c r="V146" s="76">
        <f t="shared" si="65"/>
        <v>27.11141060197664</v>
      </c>
      <c r="W146" s="58">
        <f>(1-V146/100)/(1-R146/100)*(1-$E$142)/(1-$D$142)</f>
        <v>1.1379576378173659</v>
      </c>
      <c r="X146" s="17">
        <f>P146*$F$141/$D$141</f>
        <v>362880</v>
      </c>
      <c r="Y146" s="80">
        <f>SUM(E146:G146)*$F$141/$D$141+H146+I146+12*CEILING($F$141*2*$D$140/$F$140,1)*10</f>
        <v>84600</v>
      </c>
      <c r="Z146" s="76">
        <f t="shared" si="66"/>
        <v>23.313492063492063</v>
      </c>
      <c r="AA146" s="58">
        <f t="shared" si="67"/>
        <v>1.2198414924954413</v>
      </c>
    </row>
    <row r="147" spans="1:27">
      <c r="A147">
        <v>4</v>
      </c>
      <c r="B147" s="224" t="s">
        <v>591</v>
      </c>
      <c r="C147" s="224" t="s">
        <v>405</v>
      </c>
      <c r="D147" s="27"/>
      <c r="E147" s="17">
        <f>2*12*D141*10</f>
        <v>12480</v>
      </c>
      <c r="F147" s="27">
        <f>32*D141*2</f>
        <v>3328</v>
      </c>
      <c r="G147" s="27">
        <f>4*D141*2</f>
        <v>416</v>
      </c>
      <c r="H147" s="27">
        <f>4*3*D141*10/20</f>
        <v>312</v>
      </c>
      <c r="I147" s="27">
        <f>1*4*240*10/20</f>
        <v>480</v>
      </c>
      <c r="J147" s="27">
        <f>2*12*D141*10</f>
        <v>12480</v>
      </c>
      <c r="K147" s="27"/>
      <c r="L147" s="15"/>
      <c r="M147" s="27">
        <f>12*14*D141*10</f>
        <v>87360</v>
      </c>
      <c r="N147" s="27">
        <f>SUM(E147:J147)</f>
        <v>29496</v>
      </c>
      <c r="O147" s="76">
        <f>100*N147/M147</f>
        <v>33.763736263736263</v>
      </c>
      <c r="P147" s="230">
        <f>M147</f>
        <v>87360</v>
      </c>
      <c r="Q147" s="29">
        <f>N147</f>
        <v>29496</v>
      </c>
      <c r="R147" s="76">
        <f t="shared" si="64"/>
        <v>33.763736263736263</v>
      </c>
      <c r="S147" s="58">
        <f t="shared" si="69"/>
        <v>1</v>
      </c>
      <c r="T147" s="17">
        <f>P147*$E$141/$D$141</f>
        <v>178080</v>
      </c>
      <c r="U147" s="80">
        <f>SUM(E147:G147)*$E$141/$D$141+H147+I147+12*CEILING($E$141*2*$D$140/$E$140,1)*10</f>
        <v>46584</v>
      </c>
      <c r="V147" s="76">
        <f t="shared" si="65"/>
        <v>26.159029649595688</v>
      </c>
      <c r="W147" s="58">
        <f>(1-V147/100)/(1-R147/100)*(1-$E$142)/(1-$D$142)</f>
        <v>1.1362505184570717</v>
      </c>
      <c r="X147" s="17">
        <f>P147*$F$141/$D$141</f>
        <v>362880</v>
      </c>
      <c r="Y147" s="80">
        <f>SUM(E147:G147)*$F$141/$D$141+H147+I147+12*CEILING($F$141*2*$D$140/$F$140,1)*10</f>
        <v>81144</v>
      </c>
      <c r="Z147" s="76">
        <f t="shared" si="66"/>
        <v>22.361111111111111</v>
      </c>
      <c r="AA147" s="58">
        <f t="shared" si="67"/>
        <v>1.217233513065118</v>
      </c>
    </row>
    <row r="155" spans="1:27" ht="13.8">
      <c r="B155" s="38" t="s">
        <v>408</v>
      </c>
      <c r="C155" s="38"/>
      <c r="S155" s="81"/>
    </row>
    <row r="156" spans="1:27" ht="13.8">
      <c r="B156" s="38" t="s">
        <v>409</v>
      </c>
      <c r="C156" s="38"/>
      <c r="D156" s="17" t="s">
        <v>382</v>
      </c>
      <c r="E156" s="17" t="s">
        <v>383</v>
      </c>
      <c r="F156" s="17" t="s">
        <v>384</v>
      </c>
      <c r="S156" s="81"/>
    </row>
    <row r="157" spans="1:27" ht="13.8">
      <c r="B157" s="38" t="s">
        <v>385</v>
      </c>
      <c r="D157" s="17">
        <v>20</v>
      </c>
      <c r="E157" s="17">
        <v>40</v>
      </c>
      <c r="F157" s="17">
        <v>100</v>
      </c>
      <c r="S157" s="81"/>
    </row>
    <row r="158" spans="1:27" ht="13.8">
      <c r="B158" s="38" t="s">
        <v>410</v>
      </c>
      <c r="C158" s="38"/>
      <c r="D158" s="17">
        <v>106</v>
      </c>
      <c r="E158" s="17">
        <v>216</v>
      </c>
      <c r="F158" s="17" t="s">
        <v>170</v>
      </c>
      <c r="S158" s="81"/>
    </row>
    <row r="159" spans="1:27" ht="13.8">
      <c r="B159" s="38" t="s">
        <v>535</v>
      </c>
      <c r="D159" s="71">
        <v>4.5999999999999999E-2</v>
      </c>
      <c r="E159" s="71">
        <v>2.8000000000000001E-2</v>
      </c>
      <c r="F159" s="17" t="s">
        <v>170</v>
      </c>
      <c r="S159" s="81"/>
    </row>
    <row r="160" spans="1:27" ht="58.5" customHeight="1" thickBot="1">
      <c r="B160" s="20"/>
      <c r="C160" s="20" t="s">
        <v>387</v>
      </c>
      <c r="D160" s="20" t="s">
        <v>411</v>
      </c>
      <c r="E160" s="20" t="s">
        <v>324</v>
      </c>
      <c r="F160" s="20" t="s">
        <v>388</v>
      </c>
      <c r="G160" s="20" t="s">
        <v>389</v>
      </c>
      <c r="H160" s="20" t="s">
        <v>329</v>
      </c>
      <c r="I160" s="20" t="s">
        <v>299</v>
      </c>
      <c r="J160" s="20" t="s">
        <v>296</v>
      </c>
      <c r="K160" s="20" t="s">
        <v>412</v>
      </c>
      <c r="L160" s="20"/>
      <c r="M160" s="39" t="s">
        <v>390</v>
      </c>
      <c r="N160" s="39" t="s">
        <v>391</v>
      </c>
      <c r="O160" s="39" t="s">
        <v>392</v>
      </c>
      <c r="P160" s="40" t="s">
        <v>393</v>
      </c>
      <c r="Q160" s="40" t="s">
        <v>394</v>
      </c>
      <c r="R160" s="56" t="s">
        <v>395</v>
      </c>
      <c r="S160" s="57" t="s">
        <v>396</v>
      </c>
      <c r="T160" s="40" t="s">
        <v>413</v>
      </c>
      <c r="U160" s="40" t="s">
        <v>414</v>
      </c>
      <c r="V160" s="56" t="s">
        <v>415</v>
      </c>
      <c r="W160" s="57" t="s">
        <v>400</v>
      </c>
      <c r="X160" s="17"/>
      <c r="Y160" s="80"/>
      <c r="Z160" s="76"/>
    </row>
    <row r="161" spans="1:27" ht="13.8" thickTop="1">
      <c r="A161">
        <v>1</v>
      </c>
      <c r="B161" s="244" t="s">
        <v>551</v>
      </c>
      <c r="C161" s="228" t="s">
        <v>562</v>
      </c>
      <c r="D161" s="27" t="s">
        <v>421</v>
      </c>
      <c r="E161" s="229">
        <f>12*2*D158*8</f>
        <v>20352</v>
      </c>
      <c r="F161" s="229">
        <f>32*D158*2</f>
        <v>6784</v>
      </c>
      <c r="G161" s="229">
        <v>0</v>
      </c>
      <c r="H161" s="229">
        <f>12*52*10/20</f>
        <v>312</v>
      </c>
      <c r="I161" s="229">
        <f>1*4*240*10/20</f>
        <v>480</v>
      </c>
      <c r="J161" s="229">
        <f>2*12*D158*8</f>
        <v>20352</v>
      </c>
      <c r="K161" s="229">
        <f>2*12*D158</f>
        <v>2544</v>
      </c>
      <c r="L161" s="229"/>
      <c r="M161" s="230">
        <f>12*(14*D158*6+10*D158*2+2*D158)</f>
        <v>134832</v>
      </c>
      <c r="N161" s="29">
        <f>SUM(E161:K161)</f>
        <v>50824</v>
      </c>
      <c r="O161" s="45">
        <f>N161/M161*100</f>
        <v>37.694315889403107</v>
      </c>
      <c r="P161" s="230">
        <f>M161</f>
        <v>134832</v>
      </c>
      <c r="Q161" s="29">
        <f>N161</f>
        <v>50824</v>
      </c>
      <c r="R161" s="76">
        <f t="shared" ref="R161" si="70">100*Q161/P161</f>
        <v>37.694315889403107</v>
      </c>
      <c r="S161" s="58">
        <f t="shared" ref="S161" si="71">(1-R161/100)/(1-O161/100)</f>
        <v>1</v>
      </c>
      <c r="T161" s="17">
        <f>P161*$E$158/$D$158</f>
        <v>274752</v>
      </c>
      <c r="U161" s="80">
        <f>SUM(E161:G161,K161)*$E$158/$D$158+H161+I161+12*CEILING($E$158*2*$D$157/$E$157,1)*8</f>
        <v>82008</v>
      </c>
      <c r="V161" s="76">
        <f t="shared" ref="V161" si="72">100*U161/T161</f>
        <v>29.848008385744233</v>
      </c>
      <c r="W161" s="58">
        <f>(1-V161/100)/(1-R161/100)*(1-$E$159)/(1-$D$159)</f>
        <v>1.1471764593848204</v>
      </c>
      <c r="X161" s="17"/>
      <c r="Y161" s="80"/>
      <c r="Z161" s="76"/>
      <c r="AA161" s="58"/>
    </row>
    <row r="172" spans="1:27" ht="13.8">
      <c r="B172" s="38" t="s">
        <v>408</v>
      </c>
      <c r="C172" s="38"/>
      <c r="S172" s="81"/>
    </row>
    <row r="173" spans="1:27" ht="13.8">
      <c r="B173" s="38" t="s">
        <v>425</v>
      </c>
      <c r="C173" s="38"/>
      <c r="D173" s="17" t="s">
        <v>382</v>
      </c>
      <c r="E173" s="17" t="s">
        <v>383</v>
      </c>
      <c r="F173" s="17" t="s">
        <v>384</v>
      </c>
      <c r="S173" s="81"/>
    </row>
    <row r="174" spans="1:27" ht="13.8">
      <c r="B174" s="38" t="s">
        <v>426</v>
      </c>
      <c r="D174" s="17">
        <v>20</v>
      </c>
      <c r="E174" s="17">
        <v>40</v>
      </c>
      <c r="F174" s="17">
        <v>100</v>
      </c>
      <c r="S174" s="81"/>
    </row>
    <row r="175" spans="1:27" ht="13.8">
      <c r="B175" s="38" t="s">
        <v>410</v>
      </c>
      <c r="C175" s="38"/>
      <c r="D175" s="17">
        <v>51</v>
      </c>
      <c r="E175" s="17">
        <v>106</v>
      </c>
      <c r="F175" s="17">
        <v>273</v>
      </c>
      <c r="S175" s="81"/>
    </row>
    <row r="176" spans="1:27" ht="13.8">
      <c r="B176" s="38" t="s">
        <v>535</v>
      </c>
      <c r="D176" s="71">
        <v>8.2000000000000003E-2</v>
      </c>
      <c r="E176" s="71">
        <v>4.5999999999999999E-2</v>
      </c>
      <c r="F176" s="71">
        <v>1.72E-2</v>
      </c>
      <c r="S176" s="81"/>
    </row>
    <row r="177" spans="1:27" ht="54" thickBot="1">
      <c r="B177" s="20"/>
      <c r="C177" s="20" t="s">
        <v>387</v>
      </c>
      <c r="D177" s="20" t="s">
        <v>411</v>
      </c>
      <c r="E177" s="20" t="s">
        <v>324</v>
      </c>
      <c r="F177" s="20" t="s">
        <v>388</v>
      </c>
      <c r="G177" s="20" t="s">
        <v>389</v>
      </c>
      <c r="H177" s="20" t="s">
        <v>329</v>
      </c>
      <c r="I177" s="20" t="s">
        <v>299</v>
      </c>
      <c r="J177" s="20" t="s">
        <v>296</v>
      </c>
      <c r="K177" s="20" t="s">
        <v>412</v>
      </c>
      <c r="L177" s="20"/>
      <c r="M177" s="39" t="s">
        <v>390</v>
      </c>
      <c r="N177" s="39" t="s">
        <v>391</v>
      </c>
      <c r="O177" s="39" t="s">
        <v>392</v>
      </c>
      <c r="P177" s="40" t="s">
        <v>393</v>
      </c>
      <c r="Q177" s="40" t="s">
        <v>394</v>
      </c>
      <c r="R177" s="56" t="s">
        <v>395</v>
      </c>
      <c r="S177" s="57" t="s">
        <v>396</v>
      </c>
      <c r="T177" s="40" t="s">
        <v>413</v>
      </c>
      <c r="U177" s="40" t="s">
        <v>414</v>
      </c>
      <c r="V177" s="56" t="s">
        <v>415</v>
      </c>
      <c r="W177" s="57" t="s">
        <v>400</v>
      </c>
      <c r="X177" s="40" t="s">
        <v>427</v>
      </c>
      <c r="Y177" s="40" t="s">
        <v>428</v>
      </c>
      <c r="Z177" s="56" t="s">
        <v>429</v>
      </c>
      <c r="AA177" s="57" t="s">
        <v>404</v>
      </c>
    </row>
    <row r="178" spans="1:27" ht="14.4" thickTop="1">
      <c r="A178" s="15">
        <v>1</v>
      </c>
      <c r="B178" s="233" t="s">
        <v>32</v>
      </c>
      <c r="C178" s="224" t="s">
        <v>557</v>
      </c>
      <c r="D178" s="72" t="s">
        <v>423</v>
      </c>
      <c r="E178" s="72">
        <f>2*12*D175*8*2</f>
        <v>19584</v>
      </c>
      <c r="F178" s="73">
        <f>32*D175*2</f>
        <v>3264</v>
      </c>
      <c r="G178" s="73">
        <v>0</v>
      </c>
      <c r="H178" s="73">
        <f>6*50*10/20</f>
        <v>150</v>
      </c>
      <c r="I178" s="73">
        <f>8*4*240/2</f>
        <v>3840</v>
      </c>
      <c r="J178" s="73">
        <f>12*2*8*D175*2</f>
        <v>19584</v>
      </c>
      <c r="K178" s="37">
        <f>12*2*D175*2</f>
        <v>2448</v>
      </c>
      <c r="L178" s="72"/>
      <c r="M178" s="73">
        <f>12*D175*14*6*2+12*D175*10*2*2</f>
        <v>127296</v>
      </c>
      <c r="N178" s="73">
        <f t="shared" ref="N178" si="73">SUM(E178:J178)</f>
        <v>46422</v>
      </c>
      <c r="O178" s="79">
        <f t="shared" ref="O178" si="74">100*N178/M178</f>
        <v>36.467760180995477</v>
      </c>
      <c r="P178" s="27">
        <f>D175*12*(14*6+10*2+1*2)*2</f>
        <v>129744</v>
      </c>
      <c r="Q178" s="27">
        <f>SUM(E178:K178)</f>
        <v>48870</v>
      </c>
      <c r="R178" s="76">
        <f>100*Q178/P178</f>
        <v>37.666481687014425</v>
      </c>
      <c r="S178" s="58">
        <f>(1-R178/100)/(1-O178/100)</f>
        <v>0.98113207547169812</v>
      </c>
      <c r="T178" s="17">
        <f>P178*$E$175/$D$175</f>
        <v>269664</v>
      </c>
      <c r="U178" s="80">
        <f>SUM(E178:G178,K178)*$E$175/$D$175+H178+I178+12*CEILING($E$175*2*$D$174/$E$174,1)*8*2</f>
        <v>76918</v>
      </c>
      <c r="V178" s="76">
        <f>100*U178/T178</f>
        <v>28.523644238756379</v>
      </c>
      <c r="W178" s="58">
        <f>(1-V178/100)/(1-R178/100)*(1-$E$176)/(1-$D$176)</f>
        <v>1.191643791577021</v>
      </c>
      <c r="X178" s="17">
        <f>P178*$F$175/$D$175</f>
        <v>694512</v>
      </c>
      <c r="Y178" s="80">
        <f>SUM(E178:G178,K178)*$F$175/$D$175+H178+I178+12*CEILING($F$175*2*$D$174/$F$174,1)*8*2</f>
        <v>160518</v>
      </c>
      <c r="Z178" s="76">
        <f>100*Y178/X178</f>
        <v>23.112343631211555</v>
      </c>
      <c r="AA178" s="58">
        <f>(1-Z178/100)/(1-R178/100)*(1-$F$176)/(1-$D$176)</f>
        <v>1.3205579048890868</v>
      </c>
    </row>
    <row r="179" spans="1:27" ht="26.4">
      <c r="A179" s="15">
        <v>2</v>
      </c>
      <c r="B179" s="233" t="s">
        <v>32</v>
      </c>
      <c r="C179" s="224" t="s">
        <v>565</v>
      </c>
      <c r="D179" s="246" t="s">
        <v>564</v>
      </c>
      <c r="E179" s="72">
        <f>2*12*D175*7*2</f>
        <v>17136</v>
      </c>
      <c r="F179" s="73">
        <f>32*D175*2</f>
        <v>3264</v>
      </c>
      <c r="G179" s="73">
        <v>0</v>
      </c>
      <c r="H179" s="73">
        <f>6*50*10/20</f>
        <v>150</v>
      </c>
      <c r="I179" s="73">
        <f>8*4*240/2</f>
        <v>3840</v>
      </c>
      <c r="J179" s="73">
        <f>12*2*7*D175*2</f>
        <v>17136</v>
      </c>
      <c r="K179" s="37">
        <f>12*2*D175*2</f>
        <v>2448</v>
      </c>
      <c r="L179" s="72"/>
      <c r="M179" s="73">
        <f>12*D175*14*5*2+12*D175*10*2*2</f>
        <v>110160</v>
      </c>
      <c r="N179" s="73">
        <f t="shared" ref="N179" si="75">SUM(E179:J179)</f>
        <v>41526</v>
      </c>
      <c r="O179" s="79">
        <f t="shared" ref="O179" si="76">100*N179/M179</f>
        <v>37.696078431372548</v>
      </c>
      <c r="P179" s="27">
        <f>D175*12*(14*5+10*2+1*2)*2</f>
        <v>112608</v>
      </c>
      <c r="Q179" s="27">
        <f>SUM(E179:K179)</f>
        <v>43974</v>
      </c>
      <c r="R179" s="76">
        <f>100*Q179/P179</f>
        <v>39.050511508951409</v>
      </c>
      <c r="S179" s="58">
        <f>(1-R179/100)/(1-O179/100)</f>
        <v>0.97826086956521741</v>
      </c>
      <c r="T179" s="17">
        <f>P179*$E$175/$D$175</f>
        <v>234048</v>
      </c>
      <c r="U179" s="80">
        <f>SUM(E179:G179,K179)*$E$175/$D$175+H179+I179+12*CEILING($E$175*2*$D$174/$E$174,1)*7*2</f>
        <v>69286</v>
      </c>
      <c r="V179" s="76">
        <f>100*U179/T179</f>
        <v>29.603329231610608</v>
      </c>
      <c r="W179" s="58">
        <f>(1-V179/100)/(1-R179/100)*(1-$E$176)/(1-$D$176)</f>
        <v>1.2002943147711045</v>
      </c>
      <c r="X179" s="17">
        <f>P179*$F$175/$D$175</f>
        <v>602784</v>
      </c>
      <c r="Y179" s="80">
        <f>SUM(E179:G179,K179)*$F$175/$D$175+H179+I179+12*CEILING($F$175*2*$D$174/$F$174,1)*7*2</f>
        <v>144774</v>
      </c>
      <c r="Z179" s="76">
        <f>100*Y179/X179</f>
        <v>24.017558528428093</v>
      </c>
      <c r="AA179" s="58">
        <f>(1-Z179/100)/(1-R179/100)*(1-$F$176)/(1-$D$176)</f>
        <v>1.3346446367689482</v>
      </c>
    </row>
    <row r="180" spans="1:27" ht="26.4">
      <c r="A180" s="15">
        <v>3</v>
      </c>
      <c r="B180" s="233" t="s">
        <v>32</v>
      </c>
      <c r="C180" s="224" t="s">
        <v>565</v>
      </c>
      <c r="D180" s="249" t="s">
        <v>577</v>
      </c>
      <c r="E180" s="72">
        <f>2*12*D175*8*2</f>
        <v>19584</v>
      </c>
      <c r="F180" s="73">
        <f>32*D175*2</f>
        <v>3264</v>
      </c>
      <c r="G180" s="73">
        <v>0</v>
      </c>
      <c r="H180" s="73">
        <f>6*50*10/20</f>
        <v>150</v>
      </c>
      <c r="I180" s="73">
        <f>8*4*240/2</f>
        <v>3840</v>
      </c>
      <c r="J180" s="73">
        <f>12*2*8*D175*2</f>
        <v>19584</v>
      </c>
      <c r="K180" s="37">
        <f>12*2*D175*2</f>
        <v>2448</v>
      </c>
      <c r="L180" s="72"/>
      <c r="M180" s="73">
        <f>12*D175*14*7*2+12*D175*6*1*2</f>
        <v>127296</v>
      </c>
      <c r="N180" s="73">
        <f t="shared" ref="N180" si="77">SUM(E180:J180)</f>
        <v>46422</v>
      </c>
      <c r="O180" s="79">
        <f t="shared" ref="O180" si="78">100*N180/M180</f>
        <v>36.467760180995477</v>
      </c>
      <c r="P180" s="27">
        <f>D175*12*(14*7+6*1+2*1)*2</f>
        <v>129744</v>
      </c>
      <c r="Q180" s="27">
        <f>SUM(E180:K180)</f>
        <v>48870</v>
      </c>
      <c r="R180" s="76">
        <f>100*Q180/P180</f>
        <v>37.666481687014425</v>
      </c>
      <c r="S180" s="58">
        <f>(1-R180/100)/(1-O180/100)</f>
        <v>0.98113207547169812</v>
      </c>
      <c r="T180" s="17">
        <f>P180*$E$175/$D$175</f>
        <v>269664</v>
      </c>
      <c r="U180" s="80">
        <f>SUM(E180:G180,K180)*$E$175/$D$175+H180+I180+12*CEILING($E$175*2*$D$174/$E$174,1)*8*2</f>
        <v>76918</v>
      </c>
      <c r="V180" s="76">
        <f>100*U180/T180</f>
        <v>28.523644238756379</v>
      </c>
      <c r="W180" s="58">
        <f>(1-V180/100)/(1-R180/100)*(1-$E$176)/(1-$D$176)</f>
        <v>1.191643791577021</v>
      </c>
      <c r="X180" s="17">
        <f>P180*$F$175/$D$175</f>
        <v>694512</v>
      </c>
      <c r="Y180" s="80">
        <f>SUM(E180:G180,K180)*$F$175/$D$175+H180+I180+12*CEILING($F$175*2*$D$174/$F$174,1)*8*2</f>
        <v>160518</v>
      </c>
      <c r="Z180" s="76">
        <f>100*Y180/X180</f>
        <v>23.112343631211555</v>
      </c>
      <c r="AA180" s="58">
        <f>(1-Z180/100)/(1-R180/100)*(1-$F$176)/(1-$D$176)</f>
        <v>1.3205579048890868</v>
      </c>
    </row>
    <row r="191" spans="1:27" ht="13.8">
      <c r="B191" s="38" t="s">
        <v>434</v>
      </c>
      <c r="C191" s="38"/>
      <c r="D191" s="220"/>
      <c r="E191"/>
      <c r="F191"/>
      <c r="G191"/>
      <c r="H191"/>
      <c r="I191"/>
      <c r="J191"/>
      <c r="K191"/>
      <c r="N191"/>
      <c r="O191"/>
    </row>
    <row r="192" spans="1:27" ht="13.8">
      <c r="B192" s="38" t="s">
        <v>435</v>
      </c>
      <c r="C192" s="38"/>
      <c r="D192" s="17" t="s">
        <v>382</v>
      </c>
      <c r="E192" s="17" t="s">
        <v>383</v>
      </c>
      <c r="G192"/>
      <c r="H192"/>
      <c r="I192"/>
      <c r="J192"/>
      <c r="K192"/>
      <c r="N192"/>
      <c r="O192"/>
    </row>
    <row r="193" spans="2:25" ht="13.8">
      <c r="B193" s="38" t="s">
        <v>426</v>
      </c>
      <c r="D193" s="17">
        <v>100</v>
      </c>
      <c r="E193" s="17">
        <v>200</v>
      </c>
      <c r="F193"/>
      <c r="G193"/>
      <c r="H193"/>
      <c r="I193"/>
      <c r="J193"/>
      <c r="K193"/>
      <c r="N193"/>
      <c r="O193"/>
    </row>
    <row r="194" spans="2:25" ht="13.8">
      <c r="B194" s="38" t="s">
        <v>386</v>
      </c>
      <c r="C194" s="38"/>
      <c r="D194" s="17">
        <v>132</v>
      </c>
      <c r="E194" s="17">
        <v>264</v>
      </c>
      <c r="F194"/>
      <c r="G194"/>
      <c r="H194"/>
      <c r="I194"/>
      <c r="J194"/>
      <c r="K194"/>
      <c r="N194"/>
      <c r="O194"/>
    </row>
    <row r="195" spans="2:25" ht="13.8">
      <c r="B195" s="38" t="s">
        <v>535</v>
      </c>
      <c r="D195" s="71">
        <v>4.9599999999999998E-2</v>
      </c>
      <c r="E195" s="71">
        <v>4.9599999999999998E-2</v>
      </c>
      <c r="F195"/>
      <c r="G195"/>
      <c r="H195"/>
      <c r="I195"/>
      <c r="J195"/>
      <c r="K195"/>
      <c r="N195"/>
      <c r="O195"/>
    </row>
    <row r="196" spans="2:25" ht="51.75" customHeight="1" thickBot="1">
      <c r="B196" s="20"/>
      <c r="C196" s="20" t="s">
        <v>436</v>
      </c>
      <c r="D196" s="21" t="s">
        <v>411</v>
      </c>
      <c r="E196" s="20" t="s">
        <v>324</v>
      </c>
      <c r="F196" s="20" t="s">
        <v>388</v>
      </c>
      <c r="G196" s="20" t="s">
        <v>389</v>
      </c>
      <c r="H196" s="20" t="s">
        <v>329</v>
      </c>
      <c r="I196" s="20" t="s">
        <v>299</v>
      </c>
      <c r="J196" s="20" t="s">
        <v>296</v>
      </c>
      <c r="K196" s="20" t="s">
        <v>355</v>
      </c>
      <c r="L196" s="20" t="s">
        <v>437</v>
      </c>
      <c r="M196" s="20" t="s">
        <v>438</v>
      </c>
      <c r="N196" s="20"/>
      <c r="O196" s="39" t="s">
        <v>390</v>
      </c>
      <c r="P196" s="39" t="s">
        <v>391</v>
      </c>
      <c r="Q196" s="39" t="s">
        <v>392</v>
      </c>
      <c r="R196" s="98" t="s">
        <v>393</v>
      </c>
      <c r="S196" s="40" t="s">
        <v>394</v>
      </c>
      <c r="T196" s="56" t="s">
        <v>395</v>
      </c>
      <c r="U196" s="57" t="s">
        <v>396</v>
      </c>
      <c r="V196" s="40" t="s">
        <v>413</v>
      </c>
      <c r="W196" s="40" t="s">
        <v>414</v>
      </c>
      <c r="X196" s="56" t="s">
        <v>415</v>
      </c>
      <c r="Y196" s="57" t="s">
        <v>400</v>
      </c>
    </row>
    <row r="197" spans="2:25" ht="13.8" thickTop="1">
      <c r="B197" s="17"/>
      <c r="C197" s="17"/>
      <c r="D197" s="220"/>
      <c r="L197" s="17"/>
      <c r="O197" s="17"/>
      <c r="Q197" s="69"/>
      <c r="R197" s="99"/>
      <c r="S197" s="17"/>
      <c r="T197" s="69"/>
      <c r="U197" s="58"/>
      <c r="V197" s="17"/>
      <c r="W197" s="80"/>
      <c r="X197" s="76"/>
      <c r="Y197" s="58"/>
    </row>
    <row r="198" spans="2:25">
      <c r="B198" s="17"/>
      <c r="C198" s="17"/>
      <c r="E198"/>
      <c r="F198"/>
      <c r="G198"/>
      <c r="H198"/>
      <c r="I198"/>
      <c r="J198"/>
      <c r="K198"/>
      <c r="N198"/>
      <c r="O198"/>
      <c r="R198" s="99"/>
    </row>
    <row r="199" spans="2:25">
      <c r="D199" s="220"/>
      <c r="E199"/>
      <c r="F199"/>
      <c r="G199"/>
      <c r="H199"/>
      <c r="I199"/>
      <c r="J199"/>
      <c r="K199"/>
      <c r="N199"/>
      <c r="O199"/>
      <c r="R199" s="99"/>
    </row>
    <row r="200" spans="2:25">
      <c r="D200" s="220"/>
      <c r="E200"/>
      <c r="F200"/>
      <c r="G200"/>
      <c r="H200"/>
      <c r="I200"/>
      <c r="J200"/>
      <c r="K200"/>
      <c r="N200"/>
      <c r="O200"/>
      <c r="R200" s="99"/>
    </row>
    <row r="201" spans="2:25">
      <c r="D201" s="220"/>
      <c r="E201"/>
      <c r="F201"/>
      <c r="G201"/>
      <c r="H201"/>
      <c r="I201"/>
      <c r="J201"/>
      <c r="K201"/>
      <c r="N201"/>
      <c r="O201"/>
      <c r="R201" s="99"/>
    </row>
    <row r="202" spans="2:25" ht="13.8">
      <c r="B202" s="38" t="s">
        <v>434</v>
      </c>
      <c r="C202" s="38"/>
      <c r="D202" s="220"/>
      <c r="E202"/>
      <c r="F202"/>
      <c r="G202"/>
      <c r="H202"/>
      <c r="I202"/>
      <c r="J202"/>
      <c r="K202"/>
      <c r="N202"/>
      <c r="O202"/>
      <c r="R202" s="99"/>
    </row>
    <row r="203" spans="2:25" ht="13.8">
      <c r="B203" s="38" t="s">
        <v>441</v>
      </c>
      <c r="C203" s="38"/>
      <c r="D203" s="17" t="s">
        <v>382</v>
      </c>
      <c r="E203" s="17" t="s">
        <v>383</v>
      </c>
      <c r="G203"/>
      <c r="H203"/>
      <c r="I203"/>
      <c r="J203"/>
      <c r="K203"/>
      <c r="N203"/>
      <c r="O203"/>
      <c r="R203" s="99"/>
    </row>
    <row r="204" spans="2:25" ht="13.8">
      <c r="B204" s="38" t="s">
        <v>426</v>
      </c>
      <c r="D204" s="17">
        <v>80</v>
      </c>
      <c r="E204" s="17">
        <v>200</v>
      </c>
      <c r="G204"/>
      <c r="H204"/>
      <c r="I204"/>
      <c r="J204"/>
      <c r="K204"/>
      <c r="N204"/>
      <c r="O204"/>
      <c r="R204" s="99"/>
    </row>
    <row r="205" spans="2:25" ht="13.8">
      <c r="B205" s="38" t="s">
        <v>386</v>
      </c>
      <c r="C205" s="38"/>
      <c r="D205" s="17">
        <v>105</v>
      </c>
      <c r="E205" s="17">
        <v>264</v>
      </c>
      <c r="G205"/>
      <c r="H205"/>
      <c r="I205"/>
      <c r="J205"/>
      <c r="K205"/>
      <c r="N205"/>
      <c r="O205"/>
      <c r="R205" s="99"/>
    </row>
    <row r="206" spans="2:25" ht="13.8">
      <c r="B206" s="38" t="s">
        <v>535</v>
      </c>
      <c r="D206" s="71">
        <v>5.5E-2</v>
      </c>
      <c r="E206" s="71">
        <v>4.9599999999999998E-2</v>
      </c>
      <c r="F206" s="71"/>
      <c r="G206"/>
      <c r="H206"/>
      <c r="I206"/>
      <c r="J206"/>
      <c r="K206"/>
      <c r="N206"/>
      <c r="O206"/>
      <c r="R206" s="99"/>
    </row>
    <row r="207" spans="2:25" ht="53.25" customHeight="1" thickBot="1">
      <c r="B207" s="20"/>
      <c r="C207" s="20"/>
      <c r="D207" s="21" t="s">
        <v>411</v>
      </c>
      <c r="E207" s="20" t="s">
        <v>324</v>
      </c>
      <c r="F207" s="20" t="s">
        <v>388</v>
      </c>
      <c r="G207" s="20" t="s">
        <v>389</v>
      </c>
      <c r="H207" s="20" t="s">
        <v>329</v>
      </c>
      <c r="I207" s="20" t="s">
        <v>299</v>
      </c>
      <c r="J207" s="20" t="s">
        <v>296</v>
      </c>
      <c r="K207" s="20" t="s">
        <v>355</v>
      </c>
      <c r="L207" s="20" t="s">
        <v>437</v>
      </c>
      <c r="M207" s="20" t="s">
        <v>438</v>
      </c>
      <c r="N207" s="20"/>
      <c r="O207" s="39" t="s">
        <v>390</v>
      </c>
      <c r="P207" s="39" t="s">
        <v>391</v>
      </c>
      <c r="Q207" s="39" t="s">
        <v>392</v>
      </c>
      <c r="R207" s="98" t="s">
        <v>393</v>
      </c>
      <c r="S207" s="40" t="s">
        <v>394</v>
      </c>
      <c r="T207" s="56" t="s">
        <v>395</v>
      </c>
      <c r="U207" s="57" t="s">
        <v>396</v>
      </c>
      <c r="V207" s="40" t="s">
        <v>442</v>
      </c>
      <c r="W207" s="40" t="s">
        <v>443</v>
      </c>
      <c r="X207" s="56" t="s">
        <v>444</v>
      </c>
      <c r="Y207" s="57" t="s">
        <v>400</v>
      </c>
    </row>
    <row r="208" spans="2:25" s="15" customFormat="1" ht="13.8" thickTop="1">
      <c r="B208" s="27"/>
      <c r="C208" s="27"/>
      <c r="D208" s="34"/>
      <c r="E208" s="27"/>
      <c r="F208" s="27"/>
      <c r="G208" s="27"/>
      <c r="H208" s="27"/>
      <c r="I208" s="27"/>
      <c r="J208" s="27"/>
      <c r="K208" s="27"/>
      <c r="L208" s="17"/>
      <c r="M208" s="27"/>
      <c r="O208" s="27"/>
      <c r="P208" s="27"/>
      <c r="Q208" s="55"/>
      <c r="R208" s="100"/>
      <c r="S208" s="27"/>
      <c r="T208" s="55"/>
      <c r="U208" s="58"/>
      <c r="V208" s="17"/>
      <c r="W208" s="80"/>
      <c r="X208" s="76"/>
      <c r="Y208" s="58"/>
    </row>
    <row r="209" spans="1:29" s="15" customFormat="1">
      <c r="B209" s="27"/>
      <c r="C209" s="27"/>
      <c r="D209" s="34"/>
      <c r="E209" s="83"/>
      <c r="F209" s="83"/>
      <c r="G209" s="83"/>
      <c r="H209" s="83"/>
      <c r="I209" s="83"/>
      <c r="J209" s="83"/>
      <c r="K209" s="83"/>
      <c r="L209" s="17"/>
      <c r="M209" s="94"/>
      <c r="N209" s="83"/>
      <c r="O209" s="27"/>
      <c r="P209" s="27"/>
      <c r="Q209" s="55"/>
      <c r="R209" s="100"/>
      <c r="S209" s="83"/>
      <c r="T209" s="101"/>
      <c r="U209" s="58"/>
      <c r="V209" s="17"/>
      <c r="W209" s="80"/>
      <c r="X209" s="76"/>
      <c r="Y209" s="58"/>
    </row>
    <row r="210" spans="1:29" s="15" customFormat="1">
      <c r="B210" s="27"/>
      <c r="D210" s="84"/>
      <c r="E210" s="83"/>
      <c r="F210" s="83"/>
      <c r="G210" s="83"/>
      <c r="H210" s="83"/>
      <c r="I210" s="83"/>
      <c r="J210" s="83"/>
      <c r="K210" s="83"/>
      <c r="L210" s="27"/>
      <c r="M210" s="94"/>
      <c r="N210" s="94"/>
      <c r="O210" s="27"/>
      <c r="P210" s="27"/>
      <c r="Q210" s="55"/>
      <c r="R210" s="100"/>
      <c r="S210" s="27"/>
      <c r="T210" s="55"/>
      <c r="U210" s="58"/>
      <c r="V210" s="17"/>
      <c r="W210" s="80"/>
      <c r="X210" s="76"/>
      <c r="Y210" s="58"/>
    </row>
    <row r="211" spans="1:29">
      <c r="R211" s="99"/>
    </row>
    <row r="212" spans="1:29">
      <c r="R212" s="99"/>
    </row>
    <row r="213" spans="1:29" ht="13.8">
      <c r="B213" s="38" t="s">
        <v>1020</v>
      </c>
      <c r="C213" s="38"/>
      <c r="G213"/>
      <c r="H213"/>
      <c r="I213"/>
      <c r="J213"/>
      <c r="K213"/>
      <c r="N213"/>
      <c r="O213"/>
      <c r="R213" s="99"/>
    </row>
    <row r="214" spans="1:29" ht="13.8">
      <c r="B214" s="38" t="s">
        <v>1017</v>
      </c>
      <c r="C214" s="38"/>
      <c r="D214" s="17" t="s">
        <v>382</v>
      </c>
      <c r="E214" s="17" t="s">
        <v>383</v>
      </c>
      <c r="F214" s="17" t="s">
        <v>384</v>
      </c>
      <c r="G214"/>
      <c r="H214"/>
      <c r="I214"/>
      <c r="J214"/>
      <c r="K214"/>
      <c r="N214"/>
      <c r="O214"/>
      <c r="R214" s="99"/>
    </row>
    <row r="215" spans="1:29">
      <c r="D215" s="17">
        <v>80</v>
      </c>
      <c r="E215" s="17">
        <v>200</v>
      </c>
      <c r="F215" s="17">
        <v>400</v>
      </c>
      <c r="G215"/>
      <c r="H215"/>
      <c r="I215"/>
      <c r="J215"/>
      <c r="K215"/>
      <c r="N215"/>
      <c r="O215"/>
      <c r="R215" s="99"/>
    </row>
    <row r="216" spans="1:29" ht="13.8">
      <c r="B216" s="38" t="s">
        <v>386</v>
      </c>
      <c r="C216" s="38"/>
      <c r="D216" s="17">
        <v>53</v>
      </c>
      <c r="E216" s="17">
        <v>132</v>
      </c>
      <c r="F216" s="17">
        <v>264</v>
      </c>
      <c r="G216"/>
      <c r="H216"/>
      <c r="I216"/>
      <c r="J216"/>
      <c r="K216"/>
      <c r="N216"/>
      <c r="O216"/>
      <c r="R216" s="99"/>
    </row>
    <row r="217" spans="1:29" ht="13.8">
      <c r="B217" s="38" t="s">
        <v>1018</v>
      </c>
      <c r="D217" s="381">
        <v>5.5E-2</v>
      </c>
      <c r="E217" s="71">
        <v>4.9599999999999998E-2</v>
      </c>
      <c r="F217" s="71">
        <v>4.9599999999999998E-2</v>
      </c>
      <c r="G217"/>
      <c r="H217"/>
      <c r="I217"/>
      <c r="J217"/>
      <c r="K217"/>
      <c r="N217"/>
      <c r="O217"/>
      <c r="R217" s="99"/>
    </row>
    <row r="218" spans="1:29" ht="54" thickBot="1">
      <c r="B218" s="20"/>
      <c r="C218" s="20" t="s">
        <v>436</v>
      </c>
      <c r="D218" s="21"/>
      <c r="E218" s="20" t="s">
        <v>324</v>
      </c>
      <c r="F218" s="20" t="s">
        <v>388</v>
      </c>
      <c r="G218" s="20" t="s">
        <v>389</v>
      </c>
      <c r="H218" s="20" t="s">
        <v>329</v>
      </c>
      <c r="I218" s="20" t="s">
        <v>299</v>
      </c>
      <c r="J218" s="20" t="s">
        <v>296</v>
      </c>
      <c r="K218" s="20" t="s">
        <v>355</v>
      </c>
      <c r="L218" s="20" t="s">
        <v>437</v>
      </c>
      <c r="M218" s="20" t="s">
        <v>340</v>
      </c>
      <c r="N218" s="20"/>
      <c r="O218" s="39" t="s">
        <v>390</v>
      </c>
      <c r="P218" s="39" t="s">
        <v>391</v>
      </c>
      <c r="Q218" s="39" t="s">
        <v>392</v>
      </c>
      <c r="R218" s="98" t="s">
        <v>393</v>
      </c>
      <c r="S218" s="40" t="s">
        <v>394</v>
      </c>
      <c r="T218" s="40" t="s">
        <v>447</v>
      </c>
      <c r="U218" s="57" t="s">
        <v>396</v>
      </c>
      <c r="V218" s="40" t="s">
        <v>442</v>
      </c>
      <c r="W218" s="40" t="s">
        <v>443</v>
      </c>
      <c r="X218" s="56" t="s">
        <v>444</v>
      </c>
      <c r="Y218" s="57" t="s">
        <v>400</v>
      </c>
      <c r="Z218" s="40" t="s">
        <v>1014</v>
      </c>
      <c r="AA218" s="40" t="s">
        <v>1015</v>
      </c>
      <c r="AB218" s="56" t="s">
        <v>1016</v>
      </c>
      <c r="AC218" s="57" t="s">
        <v>404</v>
      </c>
    </row>
    <row r="219" spans="1:29" s="15" customFormat="1" ht="13.8" thickTop="1">
      <c r="A219" s="15">
        <v>1</v>
      </c>
      <c r="B219" s="332" t="s">
        <v>1021</v>
      </c>
      <c r="C219" s="27" t="s">
        <v>406</v>
      </c>
      <c r="D219" s="382" t="s">
        <v>1022</v>
      </c>
      <c r="E219" s="27">
        <f>1*12*D216*6*8</f>
        <v>30528</v>
      </c>
      <c r="F219" s="27">
        <f>32*D216*2</f>
        <v>3392</v>
      </c>
      <c r="G219" s="27">
        <v>0</v>
      </c>
      <c r="H219" s="27">
        <f>4*3*50*10/20</f>
        <v>300</v>
      </c>
      <c r="I219" s="27">
        <f>24*4*240*10/20</f>
        <v>11520</v>
      </c>
      <c r="J219" s="27">
        <f>2*12*D216*6*8</f>
        <v>61056</v>
      </c>
      <c r="K219" s="27">
        <f>INT(D216/4)*INT((14-2-2)/4)*2*4*8+INT(D216/4)*INT((11-2-2)/4)*2*2*8</f>
        <v>2080</v>
      </c>
      <c r="L219" s="27">
        <v>0</v>
      </c>
      <c r="M219" s="27">
        <f>12*D216*1*1*8</f>
        <v>5088</v>
      </c>
      <c r="O219" s="27">
        <f>12*D216*(14*4+11*2+1*1)*8</f>
        <v>401952</v>
      </c>
      <c r="P219" s="27">
        <f>SUM(E219:M219)</f>
        <v>113964</v>
      </c>
      <c r="Q219" s="55">
        <f t="shared" ref="Q219:Q223" si="79">100*P219/O219</f>
        <v>28.352639121089084</v>
      </c>
      <c r="R219" s="383">
        <f>12*D216*(14*4+11*2+1*1)*8</f>
        <v>401952</v>
      </c>
      <c r="S219" s="27">
        <f>SUM(E219:M219)</f>
        <v>113964</v>
      </c>
      <c r="T219" s="55">
        <f t="shared" ref="T219:T223" si="80">100*S219/R219</f>
        <v>28.352639121089084</v>
      </c>
      <c r="U219" s="58">
        <f t="shared" ref="U219:U223" si="81">(1-T219/100)/(1-Q219/100)</f>
        <v>1</v>
      </c>
      <c r="V219" s="17">
        <f>R219*$E$216/$D$216</f>
        <v>1001088</v>
      </c>
      <c r="W219" s="80">
        <f>SUM(E219:G219,K219,M219)*$E$216/$D$216+H219+I219+12*CEILING($E$216*2*$D$215/$E$215,1)*6*8</f>
        <v>175208.37735849057</v>
      </c>
      <c r="X219" s="76">
        <f t="shared" ref="X219" si="82">100*W219/V219</f>
        <v>17.501795782038197</v>
      </c>
      <c r="Y219" s="58">
        <f>(1-X219/100)/(1-T219/100)*(1-$E$217)/(1-$D$217)</f>
        <v>1.1580276162300414</v>
      </c>
      <c r="Z219" s="17">
        <f>R219*$F$216/$D$216</f>
        <v>2002176</v>
      </c>
      <c r="AA219" s="80">
        <f>SUM(E219:G219,K219,M219)*$F$216/$D$216+H219+I219+12*CEILING($F$216*2*$D$215/$F$215,1)*6*8</f>
        <v>277540.75471698114</v>
      </c>
      <c r="AB219" s="76">
        <f>100*AA219/Z219</f>
        <v>13.86195592779961</v>
      </c>
      <c r="AC219" s="58">
        <f>(1-AB219/100)/(1-T219/100)*(1-$F$217)/(1-$D$217)</f>
        <v>1.2091200625422887</v>
      </c>
    </row>
    <row r="220" spans="1:29" s="15" customFormat="1">
      <c r="A220" s="15">
        <v>2</v>
      </c>
      <c r="B220" s="332" t="s">
        <v>1023</v>
      </c>
      <c r="C220" s="27" t="s">
        <v>406</v>
      </c>
      <c r="D220" s="382" t="s">
        <v>1024</v>
      </c>
      <c r="E220" s="27">
        <f>1*12*D216*8*8</f>
        <v>40704</v>
      </c>
      <c r="F220" s="27">
        <f>32*D216*2</f>
        <v>3392</v>
      </c>
      <c r="G220" s="27">
        <v>0</v>
      </c>
      <c r="H220" s="27">
        <f>4*3*50*10/20</f>
        <v>300</v>
      </c>
      <c r="I220" s="27">
        <f>24*4*240*10/20</f>
        <v>11520</v>
      </c>
      <c r="J220" s="27">
        <f>2*12*D216*8*8</f>
        <v>81408</v>
      </c>
      <c r="K220" s="27">
        <f>INT(D216/4)*INT((14-2-2)/4)*2*6*8+INT(D216/4)*INT((10-2-2)/4)*2*2*8</f>
        <v>2912</v>
      </c>
      <c r="L220" s="27">
        <v>0</v>
      </c>
      <c r="M220" s="27">
        <f>12*D216*1*2*8</f>
        <v>10176</v>
      </c>
      <c r="O220" s="27">
        <f>12*D216*(14*6+10*2+1*2)*8</f>
        <v>539328</v>
      </c>
      <c r="P220" s="27">
        <f>SUM(E220:M220)</f>
        <v>150412</v>
      </c>
      <c r="Q220" s="55">
        <f t="shared" si="79"/>
        <v>27.888780111546222</v>
      </c>
      <c r="R220" s="383">
        <f>12*D216*(14*6+10*2+1*2)*8</f>
        <v>539328</v>
      </c>
      <c r="S220" s="27">
        <f>SUM(E220:M220)</f>
        <v>150412</v>
      </c>
      <c r="T220" s="55">
        <f t="shared" si="80"/>
        <v>27.888780111546222</v>
      </c>
      <c r="U220" s="58">
        <f t="shared" si="81"/>
        <v>1</v>
      </c>
      <c r="V220" s="17">
        <f>R220*$E$216/$D$216</f>
        <v>1343232</v>
      </c>
      <c r="W220" s="80">
        <f>SUM(E220:G220,K220,M220)*$E$216/$D$216+H220+I220+12*CEILING($E$216*2*$D$215/$E$215,1)*8*8</f>
        <v>235648.52830188681</v>
      </c>
      <c r="X220" s="76">
        <f t="shared" ref="X220" si="83">100*W220/V220</f>
        <v>17.543397440046604</v>
      </c>
      <c r="Y220" s="58">
        <f>(1-X220/100)/(1-T220/100)*(1-$E$217)/(1-$D$217)</f>
        <v>1.149998339707583</v>
      </c>
      <c r="Z220" s="17">
        <f>R220*$F$216/$D$216</f>
        <v>2686464</v>
      </c>
      <c r="AA220" s="80">
        <f>SUM(E220:G220,K220,M220)*$F$216/$D$216+H220+I220+12*CEILING($F$216*2*$D$215/$F$215,1)*8*8</f>
        <v>378069.05660377361</v>
      </c>
      <c r="AB220" s="76">
        <f>100*AA220/Z220</f>
        <v>14.073110847708126</v>
      </c>
      <c r="AC220" s="58">
        <f>(1-AB220/100)/(1-T220/100)*(1-$F$217)/(1-$D$217)</f>
        <v>1.198397421110398</v>
      </c>
    </row>
    <row r="221" spans="1:29">
      <c r="A221">
        <v>3</v>
      </c>
      <c r="B221" s="228" t="s">
        <v>1025</v>
      </c>
      <c r="C221" s="231" t="s">
        <v>1026</v>
      </c>
      <c r="D221" s="27" t="s">
        <v>421</v>
      </c>
      <c r="E221" s="17">
        <f>1*12*D216*8*8</f>
        <v>40704</v>
      </c>
      <c r="F221" s="17">
        <f>32*D216*2*8</f>
        <v>27136</v>
      </c>
      <c r="G221" s="17">
        <f>4*D216*2*8</f>
        <v>3392</v>
      </c>
      <c r="H221" s="17">
        <f>4*3*52*10/20</f>
        <v>312</v>
      </c>
      <c r="I221" s="17">
        <f>4*240*8*10/20</f>
        <v>3840</v>
      </c>
      <c r="J221" s="17">
        <f>2*12*D216*8*8</f>
        <v>81408</v>
      </c>
      <c r="K221" s="17">
        <f>INT(D216/4)*INT((14-2-1))*2*6*8+INT(D216/4)*INT((10-2-1))*2*2*8</f>
        <v>16640</v>
      </c>
      <c r="L221" s="17">
        <v>0</v>
      </c>
      <c r="M221" s="17">
        <f>12*D216*1*2*8</f>
        <v>10176</v>
      </c>
      <c r="O221" s="27">
        <f>12*D216*(14*6+10*2+1*2)*8</f>
        <v>539328</v>
      </c>
      <c r="P221" s="27">
        <f>SUM(E221:M221)</f>
        <v>183608</v>
      </c>
      <c r="Q221" s="55">
        <f t="shared" si="79"/>
        <v>34.043847157944704</v>
      </c>
      <c r="R221" s="384">
        <f>12*D216*(14*6+10*2+1*2)*8</f>
        <v>539328</v>
      </c>
      <c r="S221" s="27">
        <f>SUM(E221:M221)</f>
        <v>183608</v>
      </c>
      <c r="T221" s="55">
        <f t="shared" si="80"/>
        <v>34.043847157944704</v>
      </c>
      <c r="U221" s="58">
        <f t="shared" si="81"/>
        <v>1</v>
      </c>
      <c r="V221" s="17">
        <f>R221*$E$216/$D$216</f>
        <v>1343232</v>
      </c>
      <c r="W221" s="80">
        <f>SUM(E221:G221,K221,M221)*$E$216/$D$216+H221+I221+12*CEILING($E$216*2*$D$215/$E$215,1)*8*8</f>
        <v>329755.01886792452</v>
      </c>
      <c r="X221" s="76">
        <f t="shared" ref="X221:X223" si="84">100*W221/V221</f>
        <v>24.549371878270062</v>
      </c>
      <c r="Y221" s="58">
        <f>(1-X221/100)/(1-T221/100)*(1-$E$217)/(1-$D$217)</f>
        <v>1.1504881849287563</v>
      </c>
      <c r="Z221" s="17">
        <f>R221*$F$216/$D$216</f>
        <v>2686464</v>
      </c>
      <c r="AA221" s="80">
        <f>SUM(E221:G221,K221,M221)*$F$216/$D$216+H221+I221+12*CEILING($F$216*2*$D$215/$F$215,1)*8*8</f>
        <v>573950.03773584904</v>
      </c>
      <c r="AB221" s="76">
        <f>100*AA221/Z221</f>
        <v>21.364516246480466</v>
      </c>
      <c r="AC221" s="58">
        <f>(1-AB221/100)/(1-T221/100)*(1-$F$217)/(1-$D$217)</f>
        <v>1.1990515815006992</v>
      </c>
    </row>
    <row r="222" spans="1:29" ht="13.8">
      <c r="A222">
        <v>4</v>
      </c>
      <c r="B222" s="375" t="s">
        <v>1013</v>
      </c>
      <c r="C222" s="385" t="s">
        <v>1019</v>
      </c>
      <c r="D222" s="29" t="s">
        <v>421</v>
      </c>
      <c r="E222" s="17">
        <f>1*12*D216*8*8</f>
        <v>40704</v>
      </c>
      <c r="F222" s="17">
        <f>32*D216*2*8</f>
        <v>27136</v>
      </c>
      <c r="G222" s="17">
        <v>0</v>
      </c>
      <c r="H222" s="17">
        <f>4*3*52*10/20</f>
        <v>312</v>
      </c>
      <c r="I222" s="17">
        <f>4*240*8*10/20</f>
        <v>3840</v>
      </c>
      <c r="J222" s="17">
        <f>2*12*D216*8*8</f>
        <v>81408</v>
      </c>
      <c r="K222" s="17">
        <f>INT(D216/4)*INT((14-2-1))*2*6*8+INT(D216/4)*INT((10-2-1))*2*2*8</f>
        <v>16640</v>
      </c>
      <c r="L222" s="17">
        <v>0</v>
      </c>
      <c r="M222" s="17">
        <f>12*D216*1*2*8</f>
        <v>10176</v>
      </c>
      <c r="N222"/>
      <c r="O222" s="17">
        <f>12*D216*(14*6+10*2+1*2)*8</f>
        <v>539328</v>
      </c>
      <c r="P222" s="27">
        <f>SUM(E222:M222)</f>
        <v>180216</v>
      </c>
      <c r="Q222" s="55">
        <f t="shared" si="79"/>
        <v>33.414916340334642</v>
      </c>
      <c r="R222" s="384">
        <f>12*D216*(14*6+10*2+1*2)*8</f>
        <v>539328</v>
      </c>
      <c r="S222" s="27">
        <f>SUM(E222:M222)</f>
        <v>180216</v>
      </c>
      <c r="T222" s="55">
        <f t="shared" si="80"/>
        <v>33.414916340334642</v>
      </c>
      <c r="U222" s="58">
        <f t="shared" si="81"/>
        <v>1</v>
      </c>
      <c r="V222" s="17">
        <f>R222*$E$216/$D$216</f>
        <v>1343232</v>
      </c>
      <c r="W222" s="80">
        <f>SUM(E222:G222,K222,M222)*$E$216/$D$216+H222+I222+12*CEILING($E$216*2*$D$215/$E$215,1)*8*8</f>
        <v>321307.01886792452</v>
      </c>
      <c r="X222" s="76">
        <f t="shared" si="84"/>
        <v>23.92044106066</v>
      </c>
      <c r="Y222" s="58">
        <f>(1-X222/100)/(1-T222/100)*(1-$E$217)/(1-$D$217)</f>
        <v>1.1491207199982179</v>
      </c>
      <c r="Z222" s="17">
        <f>R222*$F$216/$D$216</f>
        <v>2686464</v>
      </c>
      <c r="AA222" s="80">
        <f>SUM(E222:G222,K222,M222)*$F$216/$D$216+H222+I222+12*CEILING($F$216*2*$D$215/$F$215,1)*8*8</f>
        <v>557054.03773584904</v>
      </c>
      <c r="AB222" s="76">
        <f>100*AA222/Z222</f>
        <v>20.735585428870404</v>
      </c>
      <c r="AC222" s="58">
        <f>(1-AB222/100)/(1-T222/100)*(1-$F$217)/(1-$D$217)</f>
        <v>1.1972254099795367</v>
      </c>
    </row>
    <row r="223" spans="1:29" ht="13.8">
      <c r="A223">
        <v>5</v>
      </c>
      <c r="B223" s="375" t="s">
        <v>1027</v>
      </c>
      <c r="C223" s="385" t="s">
        <v>1028</v>
      </c>
      <c r="D223" s="223" t="s">
        <v>1029</v>
      </c>
      <c r="E223" s="27">
        <f>1*12*D216*6*10</f>
        <v>38160</v>
      </c>
      <c r="F223" s="27">
        <f>8*D216*2*10</f>
        <v>8480</v>
      </c>
      <c r="G223" s="17">
        <v>0</v>
      </c>
      <c r="H223" s="17">
        <f>4*3*52*10/20</f>
        <v>312</v>
      </c>
      <c r="I223" s="27">
        <f>4*240*8*10/20</f>
        <v>3840</v>
      </c>
      <c r="J223" s="27">
        <f>2*12*D216*6*10</f>
        <v>76320</v>
      </c>
      <c r="K223" s="17">
        <f>INT(D216/4)*INT((14-2-1))*2*4*10+INT(D216/4)*INT((10-2-1))*2*2*10</f>
        <v>15080</v>
      </c>
      <c r="L223" s="17">
        <v>0</v>
      </c>
      <c r="M223" s="27">
        <f>12*D216*1*2*10</f>
        <v>12720</v>
      </c>
      <c r="O223" s="384">
        <f>12*D216*(14*4+10*2+1*2)*10</f>
        <v>496080</v>
      </c>
      <c r="P223" s="27">
        <f>SUM(E223:M223)</f>
        <v>154912</v>
      </c>
      <c r="Q223" s="55">
        <f t="shared" si="79"/>
        <v>31.227221415900662</v>
      </c>
      <c r="R223" s="384">
        <f>O223</f>
        <v>496080</v>
      </c>
      <c r="S223" s="27">
        <f>SUM(E223:M223)</f>
        <v>154912</v>
      </c>
      <c r="T223" s="55">
        <f t="shared" si="80"/>
        <v>31.227221415900662</v>
      </c>
      <c r="U223" s="58">
        <f t="shared" si="81"/>
        <v>1</v>
      </c>
      <c r="V223" s="17">
        <f>R223*$E$216/$D$216</f>
        <v>1235520</v>
      </c>
      <c r="W223" s="80">
        <f>SUM(E223:G223,K223,M223)*$E$216/$D$216+H223+I223+12*CEILING($E$216*2*$D$215/$E$215,1)*6*10</f>
        <v>265869.73584905663</v>
      </c>
      <c r="X223" s="76">
        <f t="shared" si="84"/>
        <v>21.518853264136283</v>
      </c>
      <c r="Y223" s="58">
        <f>(1-X223/100)/(1-T223/100)*(1-$E$217)/(1-$D$217)</f>
        <v>1.1476868036526622</v>
      </c>
      <c r="Z223" s="17">
        <f>R223*$F$216/$D$216</f>
        <v>2471040</v>
      </c>
      <c r="AA223" s="80">
        <f>SUM(E223:G223,K223,M223)*$F$216/$D$216+H223+I223+12*CEILING($F$216*2*$D$215/$F$215,1)*6*10</f>
        <v>451267.47169811319</v>
      </c>
      <c r="AB223" s="76">
        <f>100*AA223/Z223</f>
        <v>18.262248757531776</v>
      </c>
      <c r="AC223" s="58">
        <f>(1-AB223/100)/(1-T223/100)*(1-$F$217)/(1-$D$217)</f>
        <v>1.1953104963788266</v>
      </c>
    </row>
    <row r="226" spans="2:20" ht="13.8">
      <c r="B226" s="38" t="s">
        <v>610</v>
      </c>
      <c r="C226" s="38"/>
    </row>
    <row r="227" spans="2:20" ht="13.8">
      <c r="B227" s="38" t="s">
        <v>381</v>
      </c>
      <c r="C227" s="38"/>
      <c r="D227" s="17" t="s">
        <v>382</v>
      </c>
    </row>
    <row r="228" spans="2:20" ht="13.8">
      <c r="B228" s="38" t="s">
        <v>385</v>
      </c>
      <c r="D228" s="17">
        <v>10</v>
      </c>
    </row>
    <row r="229" spans="2:20" ht="13.8">
      <c r="B229" s="38" t="s">
        <v>386</v>
      </c>
      <c r="C229" s="38"/>
      <c r="D229" s="17">
        <v>50</v>
      </c>
    </row>
    <row r="230" spans="2:20" ht="13.8">
      <c r="B230" s="38" t="s">
        <v>535</v>
      </c>
      <c r="D230" s="71">
        <v>0.1</v>
      </c>
      <c r="E230" s="71"/>
      <c r="F230" s="71"/>
    </row>
    <row r="231" spans="2:20" ht="64.5" customHeight="1" thickBot="1">
      <c r="B231" s="20"/>
      <c r="C231" s="20" t="s">
        <v>387</v>
      </c>
      <c r="D231" s="20"/>
      <c r="E231" s="20" t="s">
        <v>324</v>
      </c>
      <c r="F231" s="20" t="s">
        <v>388</v>
      </c>
      <c r="G231" s="20" t="s">
        <v>389</v>
      </c>
      <c r="H231" s="20" t="s">
        <v>611</v>
      </c>
      <c r="I231" s="20" t="s">
        <v>612</v>
      </c>
      <c r="J231" s="20" t="s">
        <v>296</v>
      </c>
      <c r="K231" s="20" t="s">
        <v>613</v>
      </c>
      <c r="L231" s="20"/>
      <c r="M231" s="39" t="s">
        <v>390</v>
      </c>
      <c r="N231" s="39" t="s">
        <v>391</v>
      </c>
      <c r="O231" s="39" t="s">
        <v>392</v>
      </c>
      <c r="P231" s="40" t="s">
        <v>393</v>
      </c>
      <c r="Q231" s="40" t="s">
        <v>394</v>
      </c>
      <c r="R231" s="56" t="s">
        <v>395</v>
      </c>
      <c r="S231" s="57" t="s">
        <v>396</v>
      </c>
      <c r="T231"/>
    </row>
    <row r="232" spans="2:20" ht="14.4" thickTop="1">
      <c r="B232" s="245" t="s">
        <v>653</v>
      </c>
      <c r="C232" s="17" t="s">
        <v>654</v>
      </c>
      <c r="E232" s="17">
        <f>12*D229*10</f>
        <v>6000</v>
      </c>
      <c r="F232" s="22">
        <f>32*D229</f>
        <v>1600</v>
      </c>
      <c r="G232" s="22">
        <v>0</v>
      </c>
      <c r="H232" s="22">
        <v>288</v>
      </c>
      <c r="I232" s="22">
        <v>240</v>
      </c>
      <c r="J232" s="22">
        <f>12*D229*2*10</f>
        <v>12000</v>
      </c>
      <c r="K232" s="22">
        <f>16*D229*(10-6)</f>
        <v>3200</v>
      </c>
      <c r="M232" s="27">
        <f>12*D229*14*10</f>
        <v>84000</v>
      </c>
      <c r="N232" s="27">
        <f>SUM(E232:K232)</f>
        <v>23328</v>
      </c>
      <c r="O232" s="76">
        <f t="shared" ref="O232" si="85">100*N232/M232</f>
        <v>27.771428571428572</v>
      </c>
      <c r="P232" s="27">
        <f>M232</f>
        <v>84000</v>
      </c>
      <c r="Q232" s="27">
        <f>SUM(D232:K232)</f>
        <v>23328</v>
      </c>
      <c r="R232" s="76">
        <f t="shared" ref="R232" si="86">100*Q232/P232</f>
        <v>27.771428571428572</v>
      </c>
      <c r="S232" s="58">
        <f t="shared" ref="S232" si="87">(1-R232/100)/(1-O232/100)</f>
        <v>1</v>
      </c>
    </row>
    <row r="241" spans="1:26" ht="13.8">
      <c r="B241" s="38" t="s">
        <v>614</v>
      </c>
      <c r="C241" s="38"/>
      <c r="S241" s="81"/>
    </row>
    <row r="242" spans="1:26" ht="13.8">
      <c r="B242" s="38" t="s">
        <v>409</v>
      </c>
      <c r="C242" s="38"/>
      <c r="D242" s="17" t="s">
        <v>382</v>
      </c>
      <c r="S242" s="81"/>
    </row>
    <row r="243" spans="1:26" ht="13.8">
      <c r="B243" s="38" t="s">
        <v>385</v>
      </c>
      <c r="D243" s="17">
        <v>20</v>
      </c>
      <c r="S243" s="81"/>
    </row>
    <row r="244" spans="1:26" ht="13.8">
      <c r="B244" s="38" t="s">
        <v>410</v>
      </c>
      <c r="C244" s="38"/>
      <c r="D244" s="17">
        <v>100</v>
      </c>
      <c r="S244" s="81"/>
    </row>
    <row r="245" spans="1:26" ht="13.8">
      <c r="B245" s="38" t="s">
        <v>535</v>
      </c>
      <c r="D245" s="71">
        <v>0.1</v>
      </c>
      <c r="E245" s="71"/>
      <c r="S245" s="81"/>
    </row>
    <row r="246" spans="1:26" ht="58.5" customHeight="1" thickBot="1">
      <c r="B246" s="20"/>
      <c r="C246" s="20" t="s">
        <v>387</v>
      </c>
      <c r="D246" s="20" t="s">
        <v>411</v>
      </c>
      <c r="E246" s="20" t="s">
        <v>324</v>
      </c>
      <c r="F246" s="20" t="s">
        <v>388</v>
      </c>
      <c r="G246" s="20" t="s">
        <v>389</v>
      </c>
      <c r="H246" s="20" t="s">
        <v>611</v>
      </c>
      <c r="I246" s="20" t="s">
        <v>612</v>
      </c>
      <c r="J246" s="20" t="s">
        <v>296</v>
      </c>
      <c r="K246" s="20" t="s">
        <v>613</v>
      </c>
      <c r="L246" s="20" t="s">
        <v>617</v>
      </c>
      <c r="N246" s="39" t="s">
        <v>390</v>
      </c>
      <c r="O246" s="39" t="s">
        <v>391</v>
      </c>
      <c r="P246" s="39" t="s">
        <v>392</v>
      </c>
      <c r="Q246" s="40" t="s">
        <v>393</v>
      </c>
      <c r="R246" s="40" t="s">
        <v>394</v>
      </c>
      <c r="S246" s="56" t="s">
        <v>395</v>
      </c>
      <c r="T246" s="57" t="s">
        <v>396</v>
      </c>
      <c r="X246" s="17"/>
      <c r="Y246" s="80"/>
      <c r="Z246" s="76"/>
    </row>
    <row r="247" spans="1:26" ht="14.4" thickTop="1">
      <c r="A247">
        <v>1</v>
      </c>
      <c r="B247" s="259" t="s">
        <v>521</v>
      </c>
      <c r="C247" s="231" t="s">
        <v>615</v>
      </c>
      <c r="D247" s="258" t="s">
        <v>616</v>
      </c>
      <c r="E247" s="17">
        <f>12*D244*8</f>
        <v>9600</v>
      </c>
      <c r="F247" s="22">
        <f>40*D244*2</f>
        <v>8000</v>
      </c>
      <c r="G247" s="22">
        <f>4*D244*2</f>
        <v>800</v>
      </c>
      <c r="H247" s="22">
        <v>288</v>
      </c>
      <c r="I247" s="22">
        <v>240</v>
      </c>
      <c r="J247" s="22">
        <f>12*D244*2*8</f>
        <v>19200</v>
      </c>
      <c r="K247" s="22">
        <f>12*D244*(8-4)-4*D244*2</f>
        <v>4000</v>
      </c>
      <c r="L247" s="22">
        <f>12*D244*2</f>
        <v>2400</v>
      </c>
      <c r="M247" s="22"/>
      <c r="N247" s="27">
        <f>12*D244*14*6+12*D244*10*2+12*D244*2</f>
        <v>127200</v>
      </c>
      <c r="O247" s="27">
        <f>SUM(E247:L247)</f>
        <v>44528</v>
      </c>
      <c r="P247" s="76">
        <f t="shared" ref="P247:P248" si="88">100*O247/N247</f>
        <v>35.0062893081761</v>
      </c>
      <c r="Q247" s="27">
        <f>N247</f>
        <v>127200</v>
      </c>
      <c r="R247" s="27">
        <f>SUM(E247:L247)</f>
        <v>44528</v>
      </c>
      <c r="S247" s="76">
        <f t="shared" ref="S247:S248" si="89">100*R247/Q247</f>
        <v>35.0062893081761</v>
      </c>
      <c r="T247" s="58">
        <f t="shared" ref="T247:T248" si="90">(1-S247/100)/(1-P247/100)</f>
        <v>1</v>
      </c>
    </row>
    <row r="248" spans="1:26" ht="13.8">
      <c r="A248">
        <v>2</v>
      </c>
      <c r="B248" s="259" t="s">
        <v>693</v>
      </c>
      <c r="C248" s="231" t="s">
        <v>695</v>
      </c>
      <c r="D248" s="47" t="s">
        <v>655</v>
      </c>
      <c r="E248" s="17">
        <f>12*D244*6</f>
        <v>7200</v>
      </c>
      <c r="F248" s="22">
        <f>32*D244</f>
        <v>3200</v>
      </c>
      <c r="G248" s="22">
        <v>0</v>
      </c>
      <c r="H248" s="22">
        <v>288</v>
      </c>
      <c r="I248" s="22">
        <v>240</v>
      </c>
      <c r="J248" s="22">
        <f>12*D244*2*6</f>
        <v>14400</v>
      </c>
      <c r="K248" s="22">
        <f>16*D244*(6-2)-4*D244*2</f>
        <v>5600</v>
      </c>
      <c r="L248" s="22">
        <f>12*D244*1</f>
        <v>1200</v>
      </c>
      <c r="M248" s="22"/>
      <c r="N248" s="27">
        <f>12*D244*14*4+12*D244*11*2+12*D244*1</f>
        <v>94800</v>
      </c>
      <c r="O248" s="27">
        <f>SUM(E248:L248)</f>
        <v>32128</v>
      </c>
      <c r="P248" s="76">
        <f t="shared" si="88"/>
        <v>33.890295358649787</v>
      </c>
      <c r="Q248" s="27">
        <f>N248</f>
        <v>94800</v>
      </c>
      <c r="R248" s="27">
        <f>SUM(E248:L248)</f>
        <v>32128</v>
      </c>
      <c r="S248" s="76">
        <f t="shared" si="89"/>
        <v>33.890295358649787</v>
      </c>
      <c r="T248" s="58">
        <f t="shared" si="90"/>
        <v>1</v>
      </c>
    </row>
    <row r="249" spans="1:26" ht="13.8">
      <c r="A249">
        <v>3</v>
      </c>
      <c r="B249" s="259" t="s">
        <v>694</v>
      </c>
      <c r="C249" s="231" t="s">
        <v>696</v>
      </c>
      <c r="D249" s="47" t="s">
        <v>655</v>
      </c>
      <c r="E249" s="17">
        <f>12*D244*6</f>
        <v>7200</v>
      </c>
      <c r="F249" s="22">
        <f>40*D244</f>
        <v>4000</v>
      </c>
      <c r="G249" s="22">
        <v>0</v>
      </c>
      <c r="H249" s="22">
        <v>288</v>
      </c>
      <c r="I249" s="22">
        <v>240</v>
      </c>
      <c r="J249" s="22">
        <f>12*D244*2*6</f>
        <v>14400</v>
      </c>
      <c r="K249" s="22">
        <f>16*D244*(6-2)-4*D244*2</f>
        <v>5600</v>
      </c>
      <c r="L249" s="22">
        <f>12*D244*1</f>
        <v>1200</v>
      </c>
      <c r="M249" s="22"/>
      <c r="N249" s="27">
        <f>12*D244*14*4+12*D244*11*2+12*D244*1</f>
        <v>94800</v>
      </c>
      <c r="O249" s="27">
        <f>SUM(E249:L249)</f>
        <v>32928</v>
      </c>
      <c r="P249" s="76">
        <f t="shared" ref="P249:P250" si="91">100*O249/N249</f>
        <v>34.734177215189874</v>
      </c>
      <c r="Q249" s="27">
        <f>N249</f>
        <v>94800</v>
      </c>
      <c r="R249" s="27">
        <f>SUM(E249:L249)</f>
        <v>32928</v>
      </c>
      <c r="S249" s="76">
        <f t="shared" ref="S249:S250" si="92">100*R249/Q249</f>
        <v>34.734177215189874</v>
      </c>
      <c r="T249" s="58">
        <f t="shared" ref="T249:T250" si="93">(1-S249/100)/(1-P249/100)</f>
        <v>1</v>
      </c>
    </row>
    <row r="250" spans="1:26" ht="13.8">
      <c r="A250">
        <v>4</v>
      </c>
      <c r="B250" s="259" t="s">
        <v>777</v>
      </c>
      <c r="C250" s="231" t="s">
        <v>778</v>
      </c>
      <c r="D250" s="231" t="s">
        <v>779</v>
      </c>
      <c r="E250" s="17">
        <f>12*D244*6</f>
        <v>7200</v>
      </c>
      <c r="F250" s="17">
        <f>32*D244</f>
        <v>3200</v>
      </c>
      <c r="G250" s="17">
        <v>0</v>
      </c>
      <c r="H250" s="22">
        <v>288</v>
      </c>
      <c r="I250" s="22">
        <v>240</v>
      </c>
      <c r="J250" s="22">
        <f>12*D244*2*6</f>
        <v>14400</v>
      </c>
      <c r="K250" s="17">
        <f>16*D244*(6)-8*D244*2</f>
        <v>8000</v>
      </c>
      <c r="L250" s="17">
        <f>12*D244*2</f>
        <v>2400</v>
      </c>
      <c r="N250" s="17">
        <f>12*D244*14*4+12*D244*6*2</f>
        <v>81600</v>
      </c>
      <c r="O250" s="27">
        <f>SUM(E250:K250)</f>
        <v>33328</v>
      </c>
      <c r="P250" s="76">
        <f t="shared" si="91"/>
        <v>40.843137254901961</v>
      </c>
      <c r="Q250" s="17">
        <f>12*D244*14*4+12*D244*6*2+12*D244*2</f>
        <v>84000</v>
      </c>
      <c r="R250" s="27">
        <f>SUM(E250:L250)</f>
        <v>35728</v>
      </c>
      <c r="S250" s="76">
        <f t="shared" si="92"/>
        <v>42.533333333333331</v>
      </c>
      <c r="T250" s="58">
        <f t="shared" si="93"/>
        <v>0.97142857142857142</v>
      </c>
    </row>
  </sheetData>
  <customSheetViews>
    <customSheetView guid="{35BB8162-AD08-4F19-B47C-5A1FD7B0567B}" scale="70" topLeftCell="A223">
      <selection activeCell="F254" sqref="F254"/>
      <pageMargins left="0.69930555555555596" right="0.69930555555555596" top="0.75" bottom="0.75" header="0.3" footer="0.3"/>
      <pageSetup orientation="portrait"/>
    </customSheetView>
    <customSheetView guid="{0F2BBD7E-9334-44AA-B170-23CF20E0BAAC}" scale="70" topLeftCell="A217">
      <selection activeCell="G251" sqref="G251"/>
      <pageMargins left="0.69930555555555596" right="0.69930555555555596" top="0.75" bottom="0.75" header="0.3" footer="0.3"/>
      <pageSetup orientation="portrait"/>
    </customSheetView>
    <customSheetView guid="{02347D80-63DB-496D-935F-2CF95DC088FE}" scale="85" topLeftCell="A74">
      <selection activeCell="F79" sqref="F79"/>
      <pageMargins left="0.69930555555555596" right="0.69930555555555596" top="0.75" bottom="0.75" header="0.3" footer="0.3"/>
      <pageSetup orientation="portrait"/>
    </customSheetView>
    <customSheetView guid="{0EBD1C52-A862-496E-88D9-4B6EAB1093EB}" scale="70" topLeftCell="A214">
      <selection activeCell="F256" sqref="F256"/>
      <pageMargins left="0.69930555555555596" right="0.69930555555555596" top="0.75" bottom="0.75" header="0.3" footer="0.3"/>
      <pageSetup orientation="portrait"/>
    </customSheetView>
    <customSheetView guid="{279B0F34-BE9C-4778-A036-3ED8EAAF78FA}" scale="70" topLeftCell="A61">
      <selection activeCell="B86" sqref="B86"/>
      <pageMargins left="0.69930555555555596" right="0.69930555555555596" top="0.75" bottom="0.75" header="0.3" footer="0.3"/>
      <pageSetup orientation="portrait"/>
    </customSheetView>
    <customSheetView guid="{FE13EA77-3511-4AB1-99FB-5446425992B9}" scale="70" topLeftCell="A61">
      <selection activeCell="B86" sqref="B86"/>
      <pageMargins left="0.69930555555555596" right="0.69930555555555596" top="0.75" bottom="0.75" header="0.3" footer="0.3"/>
      <pageSetup orientation="portrait"/>
    </customSheetView>
    <customSheetView guid="{15D5C299-761A-4CBF-AA27-B17032FC4CEB}" scale="70" topLeftCell="A223">
      <selection activeCell="F254" sqref="F254"/>
      <pageMargins left="0.69930555555555596" right="0.69930555555555596" top="0.75" bottom="0.75" header="0.3" footer="0.3"/>
      <pageSetup orientation="portrait"/>
    </customSheetView>
  </customSheetViews>
  <mergeCells count="1">
    <mergeCell ref="B1:J1"/>
  </mergeCells>
  <phoneticPr fontId="15" type="noConversion"/>
  <pageMargins left="0.69930555555555596" right="0.69930555555555596"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196"/>
  <sheetViews>
    <sheetView topLeftCell="A64" zoomScale="85" zoomScaleNormal="85" workbookViewId="0">
      <selection activeCell="B80" sqref="B80"/>
    </sheetView>
  </sheetViews>
  <sheetFormatPr defaultColWidth="8.88671875" defaultRowHeight="13.2"/>
  <cols>
    <col min="1" max="1" width="10.44140625" customWidth="1"/>
    <col min="2" max="2" width="47.109375" style="17" customWidth="1"/>
    <col min="3" max="3" width="20.109375" style="18" customWidth="1"/>
    <col min="4" max="4" width="10.109375" style="17" customWidth="1"/>
    <col min="5" max="6" width="8.88671875" style="17"/>
    <col min="7" max="7" width="10.109375" customWidth="1"/>
    <col min="8" max="8" width="11.109375" customWidth="1"/>
    <col min="9" max="9" width="10.109375" customWidth="1"/>
    <col min="12" max="13" width="11.109375" style="17" customWidth="1"/>
    <col min="14" max="14" width="11.5546875" style="17" customWidth="1"/>
    <col min="18" max="18" width="15.109375" customWidth="1"/>
  </cols>
  <sheetData>
    <row r="1" spans="1:18">
      <c r="B1" s="425" t="s">
        <v>538</v>
      </c>
      <c r="C1" s="426"/>
      <c r="D1" s="426"/>
      <c r="E1" s="426"/>
      <c r="F1" s="426"/>
      <c r="G1" s="426"/>
      <c r="H1" s="426"/>
      <c r="I1" s="426"/>
      <c r="J1" s="426"/>
    </row>
    <row r="2" spans="1:18" ht="13.8">
      <c r="B2" s="19" t="s">
        <v>380</v>
      </c>
    </row>
    <row r="3" spans="1:18" ht="13.8">
      <c r="B3" s="19" t="s">
        <v>452</v>
      </c>
    </row>
    <row r="5" spans="1:18" ht="13.8">
      <c r="B5" s="19" t="s">
        <v>386</v>
      </c>
      <c r="C5" s="18">
        <v>52</v>
      </c>
    </row>
    <row r="7" spans="1:18" ht="45.75" customHeight="1">
      <c r="B7" s="20"/>
      <c r="C7" s="21"/>
      <c r="D7" s="20" t="s">
        <v>324</v>
      </c>
      <c r="E7" s="20" t="s">
        <v>343</v>
      </c>
      <c r="F7" s="20" t="s">
        <v>360</v>
      </c>
      <c r="G7" s="20"/>
      <c r="H7" s="20"/>
      <c r="I7" s="39"/>
      <c r="J7" s="20"/>
      <c r="K7" s="20"/>
      <c r="L7" s="39" t="s">
        <v>390</v>
      </c>
      <c r="M7" s="39" t="s">
        <v>391</v>
      </c>
      <c r="N7" s="39" t="s">
        <v>392</v>
      </c>
      <c r="O7" s="40" t="s">
        <v>393</v>
      </c>
      <c r="P7" s="40" t="s">
        <v>394</v>
      </c>
      <c r="Q7" s="56" t="s">
        <v>395</v>
      </c>
      <c r="R7" s="57" t="s">
        <v>396</v>
      </c>
    </row>
    <row r="8" spans="1:18" ht="13.8">
      <c r="A8">
        <v>1</v>
      </c>
      <c r="B8" s="22" t="s">
        <v>8</v>
      </c>
      <c r="C8" s="23"/>
      <c r="D8" s="22">
        <f>24*C5*10</f>
        <v>12480</v>
      </c>
      <c r="E8" s="22">
        <f>12*C5</f>
        <v>624</v>
      </c>
      <c r="F8" s="22">
        <f>8*12*2*5</f>
        <v>960</v>
      </c>
      <c r="G8" s="22"/>
      <c r="H8" s="22"/>
      <c r="I8" s="22"/>
      <c r="J8" s="22"/>
      <c r="K8" s="22"/>
      <c r="L8" s="41">
        <f>C5*12*10*14</f>
        <v>87360</v>
      </c>
      <c r="M8" s="41">
        <f>SUM(D8:H8)</f>
        <v>14064</v>
      </c>
      <c r="N8" s="42">
        <f t="shared" ref="N8:N14" si="0">100*M8/L8</f>
        <v>16.098901098901099</v>
      </c>
      <c r="O8" s="31">
        <f>L8</f>
        <v>87360</v>
      </c>
      <c r="P8" s="31">
        <f>M8-(F8-F10)</f>
        <v>13824</v>
      </c>
      <c r="Q8" s="42">
        <f t="shared" ref="Q8:Q9" si="1">100*P8/O8</f>
        <v>15.824175824175825</v>
      </c>
      <c r="R8" s="58">
        <f>(1-Q8/100)/(1-N8/100)</f>
        <v>1.0032743942370661</v>
      </c>
    </row>
    <row r="9" spans="1:18" ht="13.8">
      <c r="A9">
        <v>2</v>
      </c>
      <c r="B9" s="24" t="s">
        <v>11</v>
      </c>
      <c r="C9" s="25"/>
      <c r="D9" s="24">
        <f>24*C5*10</f>
        <v>12480</v>
      </c>
      <c r="E9" s="24">
        <f>12*C5</f>
        <v>624</v>
      </c>
      <c r="F9" s="24">
        <f>2*12*14*10</f>
        <v>3360</v>
      </c>
      <c r="G9" s="24"/>
      <c r="H9" s="24"/>
      <c r="I9" s="24"/>
      <c r="J9" s="24"/>
      <c r="K9" s="27"/>
      <c r="L9" s="29">
        <f>C5*12*10*14</f>
        <v>87360</v>
      </c>
      <c r="M9" s="29">
        <f>SUM(D9:H9)</f>
        <v>16464</v>
      </c>
      <c r="N9" s="43">
        <f t="shared" si="0"/>
        <v>18.846153846153847</v>
      </c>
      <c r="O9" s="31">
        <f>L9</f>
        <v>87360</v>
      </c>
      <c r="P9" s="31">
        <f>D9+E9+12*3*14*2+12*1*2*8</f>
        <v>14304</v>
      </c>
      <c r="Q9" s="42">
        <f t="shared" si="1"/>
        <v>16.373626373626372</v>
      </c>
      <c r="R9" s="58">
        <f t="shared" ref="R9:R16" si="2">(1-Q9/100)/(1-N9/100)</f>
        <v>1.0304671631685849</v>
      </c>
    </row>
    <row r="10" spans="1:18">
      <c r="A10">
        <v>3</v>
      </c>
      <c r="B10" s="24" t="s">
        <v>16</v>
      </c>
      <c r="C10" s="25"/>
      <c r="D10" s="24">
        <f>24*(C5-3)*1+24*C5*9</f>
        <v>12408</v>
      </c>
      <c r="E10" s="24">
        <f>2*12*C5</f>
        <v>1248</v>
      </c>
      <c r="F10" s="24">
        <f>12*14*3*1+12*2*1*9</f>
        <v>720</v>
      </c>
      <c r="G10" s="24"/>
      <c r="H10" s="24"/>
      <c r="I10" s="24"/>
      <c r="J10" s="24"/>
      <c r="K10" s="27"/>
      <c r="L10" s="29">
        <f>12*C5*14*10</f>
        <v>87360</v>
      </c>
      <c r="M10" s="29">
        <f>SUM(D10:F10)</f>
        <v>14376</v>
      </c>
      <c r="N10" s="44">
        <f t="shared" si="0"/>
        <v>16.456043956043956</v>
      </c>
      <c r="O10" s="31">
        <v>87360</v>
      </c>
      <c r="P10" s="31">
        <v>14376</v>
      </c>
      <c r="Q10" s="59">
        <v>16.456043956043999</v>
      </c>
      <c r="R10" s="58">
        <f t="shared" si="2"/>
        <v>0.99999999999999944</v>
      </c>
    </row>
    <row r="11" spans="1:18" s="15" customFormat="1">
      <c r="A11">
        <v>4</v>
      </c>
      <c r="B11" s="24" t="s">
        <v>5</v>
      </c>
      <c r="C11" s="25"/>
      <c r="D11" s="24">
        <f>8*(C5-2)*10</f>
        <v>4000</v>
      </c>
      <c r="E11" s="24">
        <f>2*12*C5*2</f>
        <v>2496</v>
      </c>
      <c r="F11" s="24">
        <f>2*12*(14*8+12*2)</f>
        <v>3264</v>
      </c>
      <c r="G11" s="26"/>
      <c r="H11" s="26"/>
      <c r="I11" s="24"/>
      <c r="J11" s="26"/>
      <c r="L11" s="29">
        <f>12*C5*14*10</f>
        <v>87360</v>
      </c>
      <c r="M11" s="29">
        <f>SUM(D11:F11)</f>
        <v>9760</v>
      </c>
      <c r="N11" s="44">
        <f t="shared" si="0"/>
        <v>11.172161172161172</v>
      </c>
      <c r="O11" s="31">
        <f t="shared" ref="O11:O16" si="3">L11</f>
        <v>87360</v>
      </c>
      <c r="P11" s="31">
        <f>D11+E11+12*3*14*2+12*1*2*8</f>
        <v>7696</v>
      </c>
      <c r="Q11" s="213">
        <f t="shared" ref="Q11:Q16" si="4">100*P11/O11</f>
        <v>8.8095238095238102</v>
      </c>
      <c r="R11" s="58">
        <f t="shared" si="2"/>
        <v>1.02659793814433</v>
      </c>
    </row>
    <row r="12" spans="1:18" ht="13.8">
      <c r="A12">
        <v>5</v>
      </c>
      <c r="B12" s="24" t="s">
        <v>23</v>
      </c>
      <c r="C12" s="25"/>
      <c r="D12" s="24">
        <f>2*12*C5*10</f>
        <v>12480</v>
      </c>
      <c r="E12" s="24">
        <f>2*12*C5</f>
        <v>1248</v>
      </c>
      <c r="F12" s="24">
        <f>2*12*14*10</f>
        <v>3360</v>
      </c>
      <c r="G12" s="26"/>
      <c r="H12" s="26"/>
      <c r="I12" s="24"/>
      <c r="J12" s="26"/>
      <c r="K12" s="15"/>
      <c r="L12" s="29">
        <f>12*C5*14*10</f>
        <v>87360</v>
      </c>
      <c r="M12" s="29">
        <f>SUM(D12:H12)</f>
        <v>17088</v>
      </c>
      <c r="N12" s="45">
        <f t="shared" si="0"/>
        <v>19.560439560439562</v>
      </c>
      <c r="O12" s="31">
        <f t="shared" si="3"/>
        <v>87360</v>
      </c>
      <c r="P12" s="31">
        <f>D12+E12+12*3*14*2+12*1*2*8</f>
        <v>14928</v>
      </c>
      <c r="Q12" s="42">
        <f t="shared" si="4"/>
        <v>17.087912087912088</v>
      </c>
      <c r="R12" s="58">
        <f t="shared" si="2"/>
        <v>1.0307377049180326</v>
      </c>
    </row>
    <row r="13" spans="1:18" ht="13.8">
      <c r="A13">
        <v>6</v>
      </c>
      <c r="B13" s="24" t="s">
        <v>218</v>
      </c>
      <c r="C13" s="25"/>
      <c r="D13" s="24">
        <f>2*12*C5*10</f>
        <v>12480</v>
      </c>
      <c r="E13" s="24">
        <f>12*C5</f>
        <v>624</v>
      </c>
      <c r="F13" s="24">
        <f>2*12*14*10</f>
        <v>3360</v>
      </c>
      <c r="G13" s="26"/>
      <c r="H13" s="26"/>
      <c r="I13" s="24"/>
      <c r="J13" s="26"/>
      <c r="K13" s="15"/>
      <c r="L13" s="29">
        <f>12*C5*14*10</f>
        <v>87360</v>
      </c>
      <c r="M13" s="29">
        <f>SUM(D13:H13)</f>
        <v>16464</v>
      </c>
      <c r="N13" s="45">
        <f t="shared" si="0"/>
        <v>18.846153846153847</v>
      </c>
      <c r="O13" s="31">
        <f t="shared" si="3"/>
        <v>87360</v>
      </c>
      <c r="P13" s="31">
        <f>D13+E13+12*3*14*2+12*1*2*8</f>
        <v>14304</v>
      </c>
      <c r="Q13" s="42">
        <f t="shared" si="4"/>
        <v>16.373626373626372</v>
      </c>
      <c r="R13" s="58">
        <f t="shared" si="2"/>
        <v>1.0304671631685849</v>
      </c>
    </row>
    <row r="14" spans="1:18" ht="13.8">
      <c r="A14">
        <v>7</v>
      </c>
      <c r="B14" s="24" t="s">
        <v>26</v>
      </c>
      <c r="C14" s="25"/>
      <c r="D14" s="27">
        <f>2*12*C5*10</f>
        <v>12480</v>
      </c>
      <c r="E14" s="27">
        <f>2*12*C5*2</f>
        <v>2496</v>
      </c>
      <c r="F14" s="27">
        <f>2*12*(14*8+12*2)</f>
        <v>3264</v>
      </c>
      <c r="G14" s="15"/>
      <c r="H14" s="15"/>
      <c r="I14" s="24"/>
      <c r="J14" s="15"/>
      <c r="K14" s="15"/>
      <c r="L14" s="29">
        <f>12*C5*14*10</f>
        <v>87360</v>
      </c>
      <c r="M14" s="29">
        <f>SUM(D14:F14)</f>
        <v>18240</v>
      </c>
      <c r="N14" s="44">
        <f t="shared" si="0"/>
        <v>20.87912087912088</v>
      </c>
      <c r="O14" s="31">
        <f t="shared" si="3"/>
        <v>87360</v>
      </c>
      <c r="P14" s="31">
        <f>D14+E14+12*3*14*2+12*1*2*8</f>
        <v>16176</v>
      </c>
      <c r="Q14" s="42">
        <f t="shared" si="4"/>
        <v>18.516483516483518</v>
      </c>
      <c r="R14" s="58">
        <f t="shared" si="2"/>
        <v>1.0298611111111111</v>
      </c>
    </row>
    <row r="15" spans="1:18" ht="13.8">
      <c r="A15">
        <v>8</v>
      </c>
      <c r="B15" s="24" t="s">
        <v>39</v>
      </c>
      <c r="C15" s="25"/>
      <c r="D15" s="24">
        <f>2*12*$C$5*10</f>
        <v>12480</v>
      </c>
      <c r="E15" s="24"/>
      <c r="F15" s="24">
        <v>0</v>
      </c>
      <c r="G15" s="26"/>
      <c r="H15" s="26"/>
      <c r="I15" s="24"/>
      <c r="J15" s="26"/>
      <c r="K15" s="15"/>
      <c r="L15" s="29">
        <f>14*12*$C$5*10</f>
        <v>87360</v>
      </c>
      <c r="M15" s="29">
        <f>SUM(D15:H15)</f>
        <v>12480</v>
      </c>
      <c r="N15" s="45">
        <f t="shared" ref="N15:N17" si="5">100*M15/L15</f>
        <v>14.285714285714286</v>
      </c>
      <c r="O15" s="31">
        <f t="shared" si="3"/>
        <v>87360</v>
      </c>
      <c r="P15" s="31">
        <f>D15+E15+12*3*14*1+12*1*2*9</f>
        <v>13200</v>
      </c>
      <c r="Q15" s="42">
        <f t="shared" si="4"/>
        <v>15.109890109890109</v>
      </c>
      <c r="R15" s="58">
        <f t="shared" si="2"/>
        <v>0.99038461538461542</v>
      </c>
    </row>
    <row r="16" spans="1:18" ht="13.8">
      <c r="A16" s="28">
        <v>9</v>
      </c>
      <c r="B16" s="29" t="s">
        <v>21</v>
      </c>
      <c r="C16" s="30"/>
      <c r="D16" s="29">
        <v>6240</v>
      </c>
      <c r="E16" s="29">
        <v>2496</v>
      </c>
      <c r="F16" s="29">
        <v>3360</v>
      </c>
      <c r="G16" s="31"/>
      <c r="H16" s="31"/>
      <c r="I16" s="46"/>
      <c r="J16" s="31"/>
      <c r="K16" s="31"/>
      <c r="L16" s="29">
        <v>87360</v>
      </c>
      <c r="M16" s="29">
        <f>SUM(D16:H16)</f>
        <v>12096</v>
      </c>
      <c r="N16" s="45">
        <f t="shared" si="5"/>
        <v>13.846153846153847</v>
      </c>
      <c r="O16" s="31">
        <f t="shared" si="3"/>
        <v>87360</v>
      </c>
      <c r="P16" s="31">
        <f>D16+E16+12*3*14*2+12*1*2*8</f>
        <v>9936</v>
      </c>
      <c r="Q16" s="42">
        <f t="shared" si="4"/>
        <v>11.373626373626374</v>
      </c>
      <c r="R16" s="58">
        <f t="shared" si="2"/>
        <v>1.0286989795918366</v>
      </c>
    </row>
    <row r="17" spans="1:22" ht="13.8">
      <c r="A17">
        <v>10</v>
      </c>
      <c r="B17" s="255" t="s">
        <v>789</v>
      </c>
      <c r="C17" s="318"/>
      <c r="D17" s="255">
        <f>2*12*(C5-2)*10</f>
        <v>12000</v>
      </c>
      <c r="E17" s="255">
        <f>2*12*C5*2</f>
        <v>2496</v>
      </c>
      <c r="F17" s="224">
        <f>12*(2*12*2+2*14*8)</f>
        <v>3264</v>
      </c>
      <c r="G17" s="291"/>
      <c r="H17" s="291"/>
      <c r="I17" s="255"/>
      <c r="J17" s="291"/>
      <c r="K17" s="291"/>
      <c r="L17" s="224">
        <f>12*C5*14*10</f>
        <v>87360</v>
      </c>
      <c r="M17" s="224">
        <f>SUM(D17:F17)</f>
        <v>17760</v>
      </c>
      <c r="N17" s="319">
        <f t="shared" si="5"/>
        <v>20.329670329670328</v>
      </c>
      <c r="O17" s="291">
        <f t="shared" ref="O17" si="6">L17</f>
        <v>87360</v>
      </c>
      <c r="P17" s="291">
        <f>D17+E17+12*3*14*2+12*1*2*8</f>
        <v>15696</v>
      </c>
      <c r="Q17" s="320">
        <f t="shared" ref="Q17" si="7">100*P17/O17</f>
        <v>17.967032967032967</v>
      </c>
      <c r="R17" s="317">
        <f t="shared" ref="R17" si="8">(1-Q17/100)/(1-N17/100)</f>
        <v>1.029655172413793</v>
      </c>
    </row>
    <row r="18" spans="1:22">
      <c r="L18" s="47"/>
      <c r="M18" s="47"/>
      <c r="N18" s="47"/>
      <c r="O18" s="48"/>
      <c r="P18" s="48"/>
      <c r="Q18" s="48"/>
    </row>
    <row r="19" spans="1:22">
      <c r="L19" s="47"/>
      <c r="M19" s="47"/>
      <c r="N19" s="47"/>
      <c r="O19" s="48"/>
      <c r="P19" s="48"/>
      <c r="Q19" s="48"/>
    </row>
    <row r="20" spans="1:22" ht="13.8">
      <c r="B20" s="19" t="s">
        <v>408</v>
      </c>
      <c r="L20" s="47"/>
      <c r="M20" s="47"/>
      <c r="N20" s="47"/>
      <c r="O20" s="48"/>
      <c r="P20" s="48"/>
      <c r="Q20" s="48"/>
    </row>
    <row r="21" spans="1:22" ht="13.8">
      <c r="B21" s="19" t="s">
        <v>409</v>
      </c>
      <c r="L21" s="47"/>
      <c r="M21" s="47"/>
      <c r="N21" s="47"/>
      <c r="O21" s="48"/>
      <c r="P21" s="48"/>
      <c r="Q21" s="48"/>
    </row>
    <row r="22" spans="1:22">
      <c r="L22" s="47"/>
      <c r="M22" s="47"/>
      <c r="N22" s="47"/>
      <c r="O22" s="48"/>
      <c r="P22" s="48"/>
      <c r="Q22" s="48"/>
    </row>
    <row r="23" spans="1:22" ht="13.8">
      <c r="B23" s="19" t="s">
        <v>386</v>
      </c>
      <c r="C23" s="18">
        <v>106</v>
      </c>
      <c r="L23" s="47"/>
      <c r="M23" s="47"/>
      <c r="N23" s="47"/>
      <c r="O23" s="48"/>
      <c r="P23" s="48"/>
      <c r="Q23" s="48"/>
    </row>
    <row r="24" spans="1:22">
      <c r="L24" s="47"/>
      <c r="M24" s="47"/>
      <c r="N24" s="47"/>
      <c r="O24" s="48"/>
      <c r="P24" s="48"/>
      <c r="Q24" s="48"/>
    </row>
    <row r="25" spans="1:22" ht="41.4">
      <c r="B25" s="20"/>
      <c r="C25" s="21" t="s">
        <v>411</v>
      </c>
      <c r="D25" s="20" t="s">
        <v>324</v>
      </c>
      <c r="E25" s="20" t="s">
        <v>343</v>
      </c>
      <c r="F25" s="20" t="s">
        <v>360</v>
      </c>
      <c r="G25" s="20" t="s">
        <v>412</v>
      </c>
      <c r="H25" s="20"/>
      <c r="I25" s="39"/>
      <c r="J25" s="20"/>
      <c r="K25" s="20"/>
      <c r="L25" s="49" t="s">
        <v>390</v>
      </c>
      <c r="M25" s="49" t="s">
        <v>391</v>
      </c>
      <c r="N25" s="49" t="s">
        <v>392</v>
      </c>
      <c r="O25" s="50" t="s">
        <v>393</v>
      </c>
      <c r="P25" s="50" t="s">
        <v>394</v>
      </c>
      <c r="Q25" s="60" t="s">
        <v>395</v>
      </c>
      <c r="R25" s="57" t="s">
        <v>396</v>
      </c>
    </row>
    <row r="26" spans="1:22" ht="13.8">
      <c r="A26">
        <v>1</v>
      </c>
      <c r="B26" s="32" t="s">
        <v>8</v>
      </c>
      <c r="C26" s="33" t="s">
        <v>416</v>
      </c>
      <c r="D26" s="22">
        <f>24*C23*6</f>
        <v>15264</v>
      </c>
      <c r="E26" s="22">
        <f>12*C23</f>
        <v>1272</v>
      </c>
      <c r="F26" s="22">
        <f>8*12*2*3</f>
        <v>576</v>
      </c>
      <c r="G26" s="27">
        <f>2*12*C23</f>
        <v>2544</v>
      </c>
      <c r="H26" s="22"/>
      <c r="I26" s="22"/>
      <c r="J26" s="22"/>
      <c r="K26" s="22"/>
      <c r="L26" s="41">
        <f>C23*(12*14*4+12*6*2)</f>
        <v>86496</v>
      </c>
      <c r="M26" s="41">
        <f>SUM(D26:F26)</f>
        <v>17112</v>
      </c>
      <c r="N26" s="42">
        <f>100*M26/L26</f>
        <v>19.783573806881243</v>
      </c>
      <c r="O26" s="31">
        <f>L26+G26</f>
        <v>89040</v>
      </c>
      <c r="P26" s="31">
        <f>D26+E26+12*14*3*1+12*2*1*3+G26</f>
        <v>19656</v>
      </c>
      <c r="Q26" s="61">
        <f>100*P26/O26</f>
        <v>22.075471698113208</v>
      </c>
      <c r="R26" s="58">
        <f>(1-Q26/100)/(1-N26/100)</f>
        <v>0.97142857142857142</v>
      </c>
    </row>
    <row r="27" spans="1:22">
      <c r="A27">
        <v>2</v>
      </c>
      <c r="B27" s="27" t="s">
        <v>16</v>
      </c>
      <c r="C27" s="34" t="s">
        <v>418</v>
      </c>
      <c r="D27" s="27">
        <f>24*(C23-3)*1+24*C23*3</f>
        <v>10104</v>
      </c>
      <c r="E27" s="27">
        <f>2*12*C23</f>
        <v>2544</v>
      </c>
      <c r="F27" s="27">
        <f>12*14*3*1+12*2*1*3</f>
        <v>576</v>
      </c>
      <c r="G27" s="27">
        <f>12*C23</f>
        <v>1272</v>
      </c>
      <c r="H27" s="27"/>
      <c r="I27" s="24"/>
      <c r="J27" s="27"/>
      <c r="K27" s="27"/>
      <c r="L27" s="29">
        <v>77592</v>
      </c>
      <c r="M27" s="29">
        <v>14496</v>
      </c>
      <c r="N27" s="44">
        <v>18.682338385400602</v>
      </c>
      <c r="O27" s="31">
        <f>12*14*C23*4+12*2*C23*2+12*C23</f>
        <v>77592</v>
      </c>
      <c r="P27" s="31">
        <f>SUM(D27:G27)</f>
        <v>14496</v>
      </c>
      <c r="Q27" s="61">
        <f>100*P27/O27</f>
        <v>18.682338385400556</v>
      </c>
      <c r="R27" s="58">
        <f t="shared" ref="R27:R29" si="9">(1-Q27/100)/(1-N27/100)</f>
        <v>1.0000000000000004</v>
      </c>
    </row>
    <row r="28" spans="1:22">
      <c r="A28">
        <v>3</v>
      </c>
      <c r="B28" s="27" t="s">
        <v>5</v>
      </c>
      <c r="C28" s="27" t="s">
        <v>421</v>
      </c>
      <c r="D28" s="27">
        <f>8*(C23-4)*2</f>
        <v>1632</v>
      </c>
      <c r="E28" s="27">
        <f>2*12*C23*2</f>
        <v>5088</v>
      </c>
      <c r="F28" s="27">
        <f>4*12*14*2</f>
        <v>1344</v>
      </c>
      <c r="G28" s="27">
        <f>2*12*C23</f>
        <v>2544</v>
      </c>
      <c r="H28" s="15"/>
      <c r="I28" s="24"/>
      <c r="J28" s="15"/>
      <c r="K28" s="15"/>
      <c r="L28" s="29">
        <f>C23*12*(14+2)*2</f>
        <v>40704</v>
      </c>
      <c r="M28" s="29">
        <f>SUM(D28:F28)</f>
        <v>8064</v>
      </c>
      <c r="N28" s="44">
        <f>100*M28/L28</f>
        <v>19.811320754716981</v>
      </c>
      <c r="O28" s="31">
        <f>L28+G28</f>
        <v>43248</v>
      </c>
      <c r="P28" s="31">
        <f>SUM(D28,E28,G28)+12*14*3*2</f>
        <v>10272</v>
      </c>
      <c r="Q28" s="61">
        <f>100*P28/O28</f>
        <v>23.751387347391788</v>
      </c>
      <c r="R28" s="58">
        <f t="shared" si="9"/>
        <v>0.95086505190311421</v>
      </c>
    </row>
    <row r="29" spans="1:22">
      <c r="A29">
        <v>4</v>
      </c>
      <c r="B29" s="27" t="s">
        <v>424</v>
      </c>
      <c r="C29" s="27" t="s">
        <v>225</v>
      </c>
      <c r="D29" s="27"/>
      <c r="E29" s="27"/>
      <c r="F29" s="27"/>
      <c r="G29" s="15"/>
      <c r="H29" s="15"/>
      <c r="I29" s="15"/>
      <c r="J29" s="15"/>
      <c r="K29" s="15"/>
      <c r="L29" s="29">
        <f>100*12*14*10</f>
        <v>168000</v>
      </c>
      <c r="M29" s="29">
        <f>100*30*10</f>
        <v>30000</v>
      </c>
      <c r="N29" s="51">
        <f>100*M29/L29</f>
        <v>17.857142857142858</v>
      </c>
      <c r="O29" s="52">
        <f>100*12*14*10</f>
        <v>168000</v>
      </c>
      <c r="P29" s="52">
        <f>100*30*10</f>
        <v>30000</v>
      </c>
      <c r="Q29" s="62">
        <f>100*P29/O29</f>
        <v>17.857142857142858</v>
      </c>
      <c r="R29" s="58">
        <f t="shared" si="9"/>
        <v>1</v>
      </c>
    </row>
    <row r="30" spans="1:22">
      <c r="A30">
        <v>5</v>
      </c>
      <c r="B30" s="27" t="s">
        <v>424</v>
      </c>
      <c r="C30" s="27" t="s">
        <v>421</v>
      </c>
      <c r="D30" s="27"/>
      <c r="E30" s="27"/>
      <c r="F30" s="27"/>
      <c r="G30" s="27">
        <f>2*12*100</f>
        <v>2400</v>
      </c>
      <c r="H30" s="15"/>
      <c r="I30" s="15"/>
      <c r="J30" s="15"/>
      <c r="K30" s="15"/>
      <c r="L30" s="29">
        <f>100*12*(14+2)*2</f>
        <v>38400</v>
      </c>
      <c r="M30" s="29">
        <f>100*30*2</f>
        <v>6000</v>
      </c>
      <c r="N30" s="51">
        <f>100*M30/L30</f>
        <v>15.625</v>
      </c>
      <c r="O30" s="212">
        <f>100*12*(14+2)*2+G30</f>
        <v>40800</v>
      </c>
      <c r="P30" s="52">
        <f>100*30*2+G30</f>
        <v>8400</v>
      </c>
      <c r="Q30" s="62">
        <f>100*P30/O30</f>
        <v>20.588235294117649</v>
      </c>
      <c r="R30" s="58">
        <f t="shared" ref="R30:R32" si="10">(1-Q30/100)/(1-N30/100)</f>
        <v>0.94117647058823528</v>
      </c>
    </row>
    <row r="31" spans="1:22" s="296" customFormat="1" ht="15.6">
      <c r="A31" s="283">
        <v>6</v>
      </c>
      <c r="B31" s="284" t="s">
        <v>714</v>
      </c>
      <c r="C31" s="285" t="s">
        <v>718</v>
      </c>
      <c r="D31" s="284">
        <f>12*($C$23-2)*4</f>
        <v>4992</v>
      </c>
      <c r="E31" s="285">
        <f>2*12*($C$23-2)*2</f>
        <v>4992</v>
      </c>
      <c r="F31" s="285">
        <f>2*12*14*4</f>
        <v>1344</v>
      </c>
      <c r="G31" s="285">
        <f>12*$C$23</f>
        <v>1272</v>
      </c>
      <c r="H31" s="285"/>
      <c r="I31" s="284"/>
      <c r="J31" s="288"/>
      <c r="K31" s="283"/>
      <c r="L31" s="285">
        <f>12*$C$23*4*14</f>
        <v>71232</v>
      </c>
      <c r="M31" s="285">
        <f>SUM(D31:G31)</f>
        <v>12600</v>
      </c>
      <c r="N31" s="292">
        <f t="shared" ref="N31:N33" si="11">100*M31/L31</f>
        <v>17.688679245283019</v>
      </c>
      <c r="O31" s="293">
        <f>12*$C$23*4*14</f>
        <v>71232</v>
      </c>
      <c r="P31" s="294">
        <f>SUM(D31:G31)</f>
        <v>12600</v>
      </c>
      <c r="Q31" s="295">
        <f t="shared" ref="Q31:Q32" si="12">100*P31/O31</f>
        <v>17.688679245283019</v>
      </c>
      <c r="R31" s="289">
        <f t="shared" si="10"/>
        <v>1</v>
      </c>
    </row>
    <row r="32" spans="1:22" s="300" customFormat="1" ht="15.6">
      <c r="A32" s="283">
        <v>7</v>
      </c>
      <c r="B32" s="284" t="s">
        <v>714</v>
      </c>
      <c r="C32" s="285" t="s">
        <v>736</v>
      </c>
      <c r="D32" s="284">
        <f>12*($C$23-2)*2</f>
        <v>2496</v>
      </c>
      <c r="E32" s="285">
        <f>2*12*($C$23-2)*2</f>
        <v>4992</v>
      </c>
      <c r="F32" s="285">
        <f>2*12*14*2</f>
        <v>672</v>
      </c>
      <c r="G32" s="285">
        <f>2*12*$C$23</f>
        <v>2544</v>
      </c>
      <c r="H32" s="285"/>
      <c r="I32" s="284"/>
      <c r="J32" s="288"/>
      <c r="K32" s="283"/>
      <c r="L32" s="285">
        <f>12*$C$23*2*14</f>
        <v>35616</v>
      </c>
      <c r="M32" s="285">
        <f>SUM(D32:G32)</f>
        <v>10704</v>
      </c>
      <c r="N32" s="292">
        <f t="shared" si="11"/>
        <v>30.053908355795148</v>
      </c>
      <c r="O32" s="293">
        <f>12*$C$23*2*14</f>
        <v>35616</v>
      </c>
      <c r="P32" s="294">
        <f>SUM(D32:G32)</f>
        <v>10704</v>
      </c>
      <c r="Q32" s="295">
        <f t="shared" si="12"/>
        <v>30.053908355795148</v>
      </c>
      <c r="R32" s="289">
        <f t="shared" si="10"/>
        <v>1</v>
      </c>
      <c r="S32" s="297"/>
      <c r="T32" s="298"/>
      <c r="U32" s="299"/>
      <c r="V32" s="297"/>
    </row>
    <row r="33" spans="1:22" s="300" customFormat="1" ht="15.6">
      <c r="A33" s="283">
        <v>8</v>
      </c>
      <c r="B33" s="284" t="s">
        <v>735</v>
      </c>
      <c r="C33" s="285" t="s">
        <v>737</v>
      </c>
      <c r="D33" s="284">
        <f>24*(C23-2)*2</f>
        <v>4992</v>
      </c>
      <c r="E33" s="285">
        <f>2*12*C23*2</f>
        <v>5088</v>
      </c>
      <c r="F33" s="285">
        <f>2*12*14*2</f>
        <v>672</v>
      </c>
      <c r="G33" s="224">
        <f>2*12*C23</f>
        <v>2544</v>
      </c>
      <c r="H33" s="285"/>
      <c r="I33" s="284"/>
      <c r="J33" s="288"/>
      <c r="K33" s="283"/>
      <c r="L33" s="285">
        <f>C23*12*(14+2)*2</f>
        <v>40704</v>
      </c>
      <c r="M33" s="285">
        <f>SUM(D33:F33)</f>
        <v>10752</v>
      </c>
      <c r="N33" s="292">
        <f t="shared" si="11"/>
        <v>26.415094339622641</v>
      </c>
      <c r="O33" s="291">
        <f>L33+G33</f>
        <v>43248</v>
      </c>
      <c r="P33" s="291">
        <f>SUM(D33,E33,G33)+12*14*3*2</f>
        <v>13632</v>
      </c>
      <c r="Q33" s="295">
        <f t="shared" ref="Q33" si="13">100*P33/O33</f>
        <v>31.520532741398448</v>
      </c>
      <c r="R33" s="289">
        <f t="shared" ref="R33" si="14">(1-Q33/100)/(1-N33/100)</f>
        <v>0.9306184012066363</v>
      </c>
      <c r="S33" s="297"/>
      <c r="T33" s="298"/>
      <c r="U33" s="299"/>
      <c r="V33" s="297"/>
    </row>
    <row r="34" spans="1:22" ht="13.8">
      <c r="B34" s="19" t="s">
        <v>408</v>
      </c>
    </row>
    <row r="35" spans="1:22" ht="13.8">
      <c r="B35" s="19" t="s">
        <v>425</v>
      </c>
    </row>
    <row r="37" spans="1:22" ht="13.8">
      <c r="B37" s="19" t="s">
        <v>386</v>
      </c>
      <c r="C37" s="18">
        <v>51</v>
      </c>
    </row>
    <row r="39" spans="1:22" ht="40.200000000000003">
      <c r="B39" s="20"/>
      <c r="C39" s="21" t="s">
        <v>411</v>
      </c>
      <c r="D39" s="20" t="s">
        <v>324</v>
      </c>
      <c r="E39" s="20" t="s">
        <v>343</v>
      </c>
      <c r="F39" s="20" t="s">
        <v>360</v>
      </c>
      <c r="G39" s="20" t="s">
        <v>412</v>
      </c>
      <c r="H39" s="20"/>
      <c r="I39" s="20"/>
      <c r="J39" s="20"/>
      <c r="K39" s="20"/>
      <c r="L39" s="39" t="s">
        <v>390</v>
      </c>
      <c r="M39" s="39" t="s">
        <v>391</v>
      </c>
      <c r="N39" s="39" t="s">
        <v>392</v>
      </c>
      <c r="O39" s="40" t="s">
        <v>393</v>
      </c>
      <c r="P39" s="40" t="s">
        <v>394</v>
      </c>
      <c r="Q39" s="56" t="s">
        <v>395</v>
      </c>
      <c r="R39" s="57" t="s">
        <v>396</v>
      </c>
    </row>
    <row r="40" spans="1:22" ht="13.8">
      <c r="A40">
        <v>1</v>
      </c>
      <c r="B40" s="35" t="s">
        <v>32</v>
      </c>
      <c r="C40" s="36" t="s">
        <v>416</v>
      </c>
      <c r="D40" s="37">
        <f>4*2*(C37-4)*6*2</f>
        <v>4512</v>
      </c>
      <c r="E40" s="37">
        <f>12*2*(C37-4)*2</f>
        <v>2256</v>
      </c>
      <c r="F40" s="37">
        <f>(4*12*14*4)*2+(4*12*6*2)*2</f>
        <v>6528</v>
      </c>
      <c r="G40" s="27">
        <f>12*C37*2*2</f>
        <v>2448</v>
      </c>
      <c r="H40" s="37"/>
      <c r="I40" s="37"/>
      <c r="J40" s="37"/>
      <c r="K40" s="37"/>
      <c r="L40" s="37">
        <f>C37*2*(12*14*4+12*6*2)</f>
        <v>83232</v>
      </c>
      <c r="M40" s="53">
        <f>SUM(D40:F40)</f>
        <v>13296</v>
      </c>
      <c r="N40" s="54">
        <f t="shared" ref="N40" si="15">100*M40/L40</f>
        <v>15.974625144175317</v>
      </c>
      <c r="O40" s="15">
        <f>L40+G40</f>
        <v>85680</v>
      </c>
      <c r="P40" s="15">
        <f>SUM(D40,E40,G40)+(12*14*3*1+12*2*1*3)*2</f>
        <v>10368</v>
      </c>
      <c r="Q40" s="63">
        <f>100*P40/O40</f>
        <v>12.100840336134453</v>
      </c>
      <c r="R40" s="58">
        <f>(1-Q40/100)/(1-N40/100)</f>
        <v>1.0461025590744191</v>
      </c>
    </row>
    <row r="41" spans="1:22">
      <c r="A41">
        <v>2</v>
      </c>
      <c r="B41" s="27" t="s">
        <v>16</v>
      </c>
      <c r="C41" s="34" t="s">
        <v>418</v>
      </c>
      <c r="D41" s="27">
        <f>(24*(C37-3)*1+24*C37*3)*2</f>
        <v>9648</v>
      </c>
      <c r="E41" s="27">
        <f>2*12*C37*2</f>
        <v>2448</v>
      </c>
      <c r="F41" s="27">
        <f>(12*14*3*1+12*2*1*3)*2</f>
        <v>1152</v>
      </c>
      <c r="G41" s="27">
        <f>12*C37*2</f>
        <v>1224</v>
      </c>
      <c r="H41" s="27"/>
      <c r="I41" s="37"/>
      <c r="J41" s="27"/>
      <c r="K41" s="27"/>
      <c r="L41" s="27">
        <v>74664</v>
      </c>
      <c r="M41" s="27">
        <v>14472</v>
      </c>
      <c r="N41" s="55">
        <v>19.382835101253601</v>
      </c>
      <c r="O41" s="15">
        <f>12*14*C37*4*2+12*2*C37*2*2+12*C37*2</f>
        <v>74664</v>
      </c>
      <c r="P41" s="15">
        <f>SUM(D41:G41)</f>
        <v>14472</v>
      </c>
      <c r="Q41" s="64">
        <f>100*P41/O41</f>
        <v>19.382835101253615</v>
      </c>
      <c r="R41" s="58">
        <f t="shared" ref="R41:R44" si="16">(1-Q41/100)/(1-N41/100)</f>
        <v>0.99999999999999989</v>
      </c>
    </row>
    <row r="42" spans="1:22">
      <c r="A42">
        <v>3</v>
      </c>
      <c r="B42" s="27" t="s">
        <v>5</v>
      </c>
      <c r="C42" s="27" t="s">
        <v>421</v>
      </c>
      <c r="D42" s="27">
        <f>8*(C37-2)*2*2</f>
        <v>1568</v>
      </c>
      <c r="E42" s="27">
        <f>2*12*C37*2*2</f>
        <v>4896</v>
      </c>
      <c r="F42" s="27">
        <f>2*12*14*4</f>
        <v>1344</v>
      </c>
      <c r="G42" s="27">
        <f>12*C37*2*2</f>
        <v>2448</v>
      </c>
      <c r="H42" s="15"/>
      <c r="I42" s="24"/>
      <c r="J42" s="15"/>
      <c r="K42" s="15"/>
      <c r="L42" s="27">
        <f>C37*12*(14+2)*4</f>
        <v>39168</v>
      </c>
      <c r="M42" s="27">
        <f>SUM(D42:F42)</f>
        <v>7808</v>
      </c>
      <c r="N42" s="55">
        <f>100*M42/L42</f>
        <v>19.934640522875817</v>
      </c>
      <c r="O42" s="15">
        <f>L42+G42</f>
        <v>41616</v>
      </c>
      <c r="P42" s="15">
        <f>SUM(D42,E42,G42)+(12*14*3*2)*2</f>
        <v>10928</v>
      </c>
      <c r="Q42" s="63">
        <f>100*P42/O42</f>
        <v>26.259131103421762</v>
      </c>
      <c r="R42" s="58">
        <f t="shared" si="16"/>
        <v>0.92100840336134449</v>
      </c>
    </row>
    <row r="43" spans="1:22">
      <c r="A43">
        <v>4</v>
      </c>
      <c r="B43" s="27" t="s">
        <v>32</v>
      </c>
      <c r="C43" s="37" t="s">
        <v>423</v>
      </c>
      <c r="D43" s="37">
        <f>4*2*(C37-4)*4*2</f>
        <v>3008</v>
      </c>
      <c r="E43" s="37">
        <f>12*(C37-4)*2*2</f>
        <v>2256</v>
      </c>
      <c r="F43" s="37">
        <f>(4*12*14*2)*2+(4*12*2*2)*2</f>
        <v>3072</v>
      </c>
      <c r="G43" s="27">
        <f>12*C37*2*2</f>
        <v>2448</v>
      </c>
      <c r="H43" s="37"/>
      <c r="I43" s="37"/>
      <c r="J43" s="37"/>
      <c r="K43" s="37"/>
      <c r="L43" s="37">
        <f>C37*2*(12*14*2+12*2*2)</f>
        <v>39168</v>
      </c>
      <c r="M43" s="37">
        <f>SUM(D43:F43)</f>
        <v>8336</v>
      </c>
      <c r="N43" s="37">
        <f t="shared" ref="N43" si="17">100*M43/L43</f>
        <v>21.282679738562091</v>
      </c>
      <c r="O43" s="15">
        <f>L43+G43</f>
        <v>41616</v>
      </c>
      <c r="P43" s="15">
        <f>SUM(D43,E43,G43)+(12*14*3*1+12*2)*2</f>
        <v>8768</v>
      </c>
      <c r="Q43" s="63">
        <f>100*P43/O43</f>
        <v>21.068819684736638</v>
      </c>
      <c r="R43" s="58">
        <f t="shared" si="16"/>
        <v>1.0027168106474558</v>
      </c>
    </row>
    <row r="44" spans="1:22">
      <c r="A44">
        <v>5</v>
      </c>
      <c r="B44" s="27" t="s">
        <v>43</v>
      </c>
      <c r="C44" s="34" t="s">
        <v>453</v>
      </c>
      <c r="D44" s="27">
        <v>6120</v>
      </c>
      <c r="E44" s="27">
        <v>6120</v>
      </c>
      <c r="F44" s="27">
        <v>6120</v>
      </c>
      <c r="G44" s="27">
        <f>12*C37*5</f>
        <v>3060</v>
      </c>
      <c r="H44" s="15"/>
      <c r="I44" s="37"/>
      <c r="J44" s="15"/>
      <c r="K44" s="15"/>
      <c r="L44" s="27">
        <v>48960</v>
      </c>
      <c r="M44" s="27">
        <v>18360</v>
      </c>
      <c r="N44" s="27">
        <v>37.5</v>
      </c>
      <c r="O44" s="15">
        <f>L44+G44</f>
        <v>52020</v>
      </c>
      <c r="P44" s="15">
        <v>20880</v>
      </c>
      <c r="Q44" s="63">
        <f>100*P44/O44</f>
        <v>40.13840830449827</v>
      </c>
      <c r="R44" s="58">
        <f t="shared" si="16"/>
        <v>0.95778546712802781</v>
      </c>
    </row>
    <row r="46" spans="1:22">
      <c r="B46"/>
      <c r="D46"/>
      <c r="E46"/>
      <c r="F46"/>
      <c r="L46"/>
      <c r="M46"/>
      <c r="N46"/>
    </row>
    <row r="47" spans="1:22" ht="13.8">
      <c r="B47" s="38" t="s">
        <v>434</v>
      </c>
      <c r="D47"/>
      <c r="E47"/>
      <c r="F47"/>
      <c r="L47"/>
      <c r="M47"/>
      <c r="N47"/>
    </row>
    <row r="48" spans="1:22" ht="13.8">
      <c r="B48" s="38" t="s">
        <v>435</v>
      </c>
      <c r="D48"/>
      <c r="E48"/>
      <c r="F48"/>
      <c r="L48"/>
      <c r="M48"/>
      <c r="N48"/>
    </row>
    <row r="49" spans="1:18">
      <c r="B49"/>
      <c r="D49"/>
      <c r="E49"/>
      <c r="F49"/>
      <c r="L49"/>
      <c r="M49"/>
      <c r="N49"/>
    </row>
    <row r="50" spans="1:18" ht="13.8">
      <c r="B50" s="38" t="s">
        <v>386</v>
      </c>
      <c r="C50" s="18">
        <v>132</v>
      </c>
      <c r="D50"/>
      <c r="E50"/>
      <c r="F50"/>
      <c r="L50"/>
      <c r="M50"/>
      <c r="N50"/>
    </row>
    <row r="51" spans="1:18">
      <c r="B51"/>
      <c r="D51"/>
      <c r="E51"/>
      <c r="F51"/>
      <c r="L51"/>
      <c r="M51"/>
      <c r="N51"/>
    </row>
    <row r="52" spans="1:18" ht="40.200000000000003">
      <c r="B52" s="20"/>
      <c r="C52" s="21" t="s">
        <v>411</v>
      </c>
      <c r="D52" s="20" t="s">
        <v>324</v>
      </c>
      <c r="E52" s="20" t="s">
        <v>343</v>
      </c>
      <c r="F52" s="20" t="s">
        <v>360</v>
      </c>
      <c r="G52" s="20" t="s">
        <v>355</v>
      </c>
      <c r="H52" s="20" t="s">
        <v>438</v>
      </c>
      <c r="I52" s="20"/>
      <c r="J52" s="20"/>
      <c r="K52" s="20"/>
      <c r="L52" s="39" t="s">
        <v>390</v>
      </c>
      <c r="M52" s="39" t="s">
        <v>391</v>
      </c>
      <c r="N52" s="39" t="s">
        <v>392</v>
      </c>
      <c r="O52" s="40" t="s">
        <v>393</v>
      </c>
      <c r="P52" s="40" t="s">
        <v>394</v>
      </c>
      <c r="Q52" s="56" t="s">
        <v>395</v>
      </c>
      <c r="R52" s="57" t="s">
        <v>396</v>
      </c>
    </row>
    <row r="53" spans="1:18">
      <c r="A53">
        <v>1</v>
      </c>
      <c r="B53" s="27" t="s">
        <v>16</v>
      </c>
      <c r="C53" s="34" t="s">
        <v>418</v>
      </c>
      <c r="D53" s="27">
        <f>(24*(C50-3)*1+24*C50*3)*4</f>
        <v>50400</v>
      </c>
      <c r="E53" s="27">
        <f>2*12*C50*4</f>
        <v>12672</v>
      </c>
      <c r="F53" s="27">
        <f>(12*14*3*1+12*2*1*3)*4</f>
        <v>2304</v>
      </c>
      <c r="G53" s="27">
        <f>INT(C50/4)*INT((14-2)/4)*4*2*4</f>
        <v>3168</v>
      </c>
      <c r="H53" s="27">
        <f>12*C50*4</f>
        <v>6336</v>
      </c>
      <c r="I53" s="15"/>
      <c r="J53" s="15"/>
      <c r="K53" s="15"/>
      <c r="L53" s="27">
        <v>386496</v>
      </c>
      <c r="M53" s="27">
        <v>74880</v>
      </c>
      <c r="N53" s="55">
        <v>19.374068554396398</v>
      </c>
      <c r="O53" s="15">
        <v>386496</v>
      </c>
      <c r="P53" s="15">
        <v>74880</v>
      </c>
      <c r="Q53" s="64">
        <v>19.374068554396398</v>
      </c>
      <c r="R53" s="58">
        <f>(1-Q53/100)/(1-N53/100)</f>
        <v>1</v>
      </c>
    </row>
    <row r="54" spans="1:18">
      <c r="A54">
        <v>2</v>
      </c>
      <c r="B54" s="27" t="s">
        <v>5</v>
      </c>
      <c r="C54" s="34" t="s">
        <v>421</v>
      </c>
      <c r="D54" s="27">
        <f>16*(C50-4)*2*4</f>
        <v>16384</v>
      </c>
      <c r="E54" s="27">
        <f>2*12*C50*2*4</f>
        <v>25344</v>
      </c>
      <c r="F54" s="27">
        <f>4*12*14*2*4</f>
        <v>5376</v>
      </c>
      <c r="G54" s="27">
        <f>INT(C50/4)*INT((14-2))*2*2*4</f>
        <v>6336</v>
      </c>
      <c r="H54" s="27">
        <f>2*12*C50*4</f>
        <v>12672</v>
      </c>
      <c r="I54" s="15"/>
      <c r="J54" s="15"/>
      <c r="K54" s="15"/>
      <c r="L54" s="27">
        <f>12*C50*16*2*4</f>
        <v>202752</v>
      </c>
      <c r="M54" s="27">
        <f>SUM(D54:G54)</f>
        <v>53440</v>
      </c>
      <c r="N54" s="55">
        <f>100*M54/L54</f>
        <v>26.357323232323232</v>
      </c>
      <c r="O54" s="15">
        <f>L54+H54</f>
        <v>215424</v>
      </c>
      <c r="P54" s="15">
        <f>SUM(D54,E54,G54,H54)+(12*14*3*2)*4</f>
        <v>64768</v>
      </c>
      <c r="Q54" s="63">
        <f>100*P54/O54</f>
        <v>30.065359477124183</v>
      </c>
      <c r="R54" s="58">
        <f t="shared" ref="R54" si="18">(1-Q54/100)/(1-N54/100)</f>
        <v>0.94964826908045674</v>
      </c>
    </row>
    <row r="55" spans="1:18">
      <c r="B55"/>
      <c r="D55"/>
      <c r="E55"/>
      <c r="F55"/>
      <c r="L55"/>
      <c r="M55"/>
      <c r="N55"/>
    </row>
    <row r="56" spans="1:18">
      <c r="B56"/>
      <c r="D56"/>
      <c r="E56"/>
      <c r="F56"/>
      <c r="L56"/>
      <c r="M56"/>
      <c r="N56"/>
    </row>
    <row r="57" spans="1:18">
      <c r="B57"/>
      <c r="D57"/>
      <c r="E57"/>
      <c r="F57"/>
      <c r="L57"/>
      <c r="M57"/>
      <c r="N57"/>
    </row>
    <row r="58" spans="1:18">
      <c r="B58"/>
      <c r="D58"/>
      <c r="E58"/>
      <c r="F58"/>
      <c r="L58"/>
      <c r="M58"/>
      <c r="N58"/>
    </row>
    <row r="59" spans="1:18">
      <c r="B59"/>
      <c r="D59"/>
      <c r="E59"/>
      <c r="F59"/>
      <c r="L59"/>
      <c r="M59"/>
      <c r="N59"/>
    </row>
    <row r="60" spans="1:18">
      <c r="B60"/>
      <c r="D60"/>
      <c r="E60"/>
      <c r="F60"/>
      <c r="L60"/>
      <c r="M60"/>
      <c r="N60"/>
    </row>
    <row r="61" spans="1:18" ht="13.8">
      <c r="B61" s="38" t="s">
        <v>434</v>
      </c>
      <c r="D61" t="s">
        <v>454</v>
      </c>
      <c r="E61"/>
      <c r="F61"/>
      <c r="L61"/>
      <c r="M61"/>
      <c r="N61"/>
    </row>
    <row r="62" spans="1:18" ht="13.8">
      <c r="B62" s="38" t="s">
        <v>441</v>
      </c>
      <c r="D62"/>
      <c r="E62"/>
      <c r="F62"/>
      <c r="L62"/>
      <c r="M62"/>
      <c r="N62"/>
    </row>
    <row r="63" spans="1:18">
      <c r="B63"/>
      <c r="D63"/>
      <c r="E63"/>
      <c r="F63"/>
      <c r="L63"/>
      <c r="M63"/>
      <c r="N63"/>
    </row>
    <row r="64" spans="1:18" ht="13.8">
      <c r="B64" s="38" t="s">
        <v>386</v>
      </c>
      <c r="C64" s="18">
        <v>105</v>
      </c>
      <c r="D64"/>
      <c r="E64"/>
      <c r="F64"/>
      <c r="L64"/>
      <c r="M64"/>
      <c r="N64"/>
    </row>
    <row r="65" spans="1:18">
      <c r="B65"/>
      <c r="D65"/>
      <c r="E65"/>
      <c r="F65"/>
      <c r="L65"/>
      <c r="M65"/>
      <c r="N65"/>
    </row>
    <row r="66" spans="1:18" ht="40.200000000000003">
      <c r="B66" s="20"/>
      <c r="C66" s="21" t="s">
        <v>411</v>
      </c>
      <c r="D66" s="20" t="s">
        <v>324</v>
      </c>
      <c r="E66" s="20" t="s">
        <v>343</v>
      </c>
      <c r="F66" s="20" t="s">
        <v>360</v>
      </c>
      <c r="G66" s="20" t="s">
        <v>355</v>
      </c>
      <c r="H66" s="20" t="s">
        <v>438</v>
      </c>
      <c r="I66" s="20"/>
      <c r="J66" s="20"/>
      <c r="K66" s="20"/>
      <c r="L66" s="39" t="s">
        <v>390</v>
      </c>
      <c r="M66" s="39" t="s">
        <v>391</v>
      </c>
      <c r="N66" s="39" t="s">
        <v>392</v>
      </c>
      <c r="O66" s="40" t="s">
        <v>393</v>
      </c>
      <c r="P66" s="40" t="s">
        <v>394</v>
      </c>
      <c r="Q66" s="56" t="s">
        <v>395</v>
      </c>
      <c r="R66" s="57" t="s">
        <v>396</v>
      </c>
    </row>
    <row r="67" spans="1:18">
      <c r="A67">
        <v>1</v>
      </c>
      <c r="B67" s="27" t="s">
        <v>16</v>
      </c>
      <c r="C67" s="34" t="s">
        <v>418</v>
      </c>
      <c r="D67" s="27">
        <f>(24*(C64-3)*1+24*C64*3)*4</f>
        <v>40032</v>
      </c>
      <c r="E67" s="27">
        <f>2*12*C64*4</f>
        <v>10080</v>
      </c>
      <c r="F67" s="27">
        <f>(12*14*3*1+12*2*1*3)*4</f>
        <v>2304</v>
      </c>
      <c r="G67" s="27">
        <f>INT(C64/4)*INT((14-2)/4)*4*2*4</f>
        <v>2496</v>
      </c>
      <c r="H67" s="27">
        <f>12*C64*4</f>
        <v>5040</v>
      </c>
      <c r="I67" s="15"/>
      <c r="J67" s="15"/>
      <c r="K67" s="15"/>
      <c r="L67" s="27">
        <v>307440</v>
      </c>
      <c r="M67" s="27">
        <v>59952</v>
      </c>
      <c r="N67" s="55">
        <v>19.5003903200625</v>
      </c>
      <c r="O67" s="15">
        <f>12*14*C64*4*4+12*2*C64*2*4+12*C64*4</f>
        <v>307440</v>
      </c>
      <c r="P67" s="15">
        <f>SUM(D67:H67)</f>
        <v>59952</v>
      </c>
      <c r="Q67" s="64">
        <f>100*P67/O67</f>
        <v>19.500390320062451</v>
      </c>
      <c r="R67" s="58">
        <f>(1-Q67/100)/(1-N67/100)</f>
        <v>1.0000000000000004</v>
      </c>
    </row>
    <row r="68" spans="1:18">
      <c r="A68">
        <v>2</v>
      </c>
      <c r="B68" s="27" t="s">
        <v>5</v>
      </c>
      <c r="C68" s="34" t="s">
        <v>421</v>
      </c>
      <c r="D68" s="27">
        <f>16*(C64-4)*2*4</f>
        <v>12928</v>
      </c>
      <c r="E68" s="27">
        <f>2*12*C64*2*4</f>
        <v>20160</v>
      </c>
      <c r="F68" s="27">
        <f>4*12*14*2*4</f>
        <v>5376</v>
      </c>
      <c r="G68" s="27">
        <f>INT(C64/4)*INT((14-2))*2*2*4</f>
        <v>4992</v>
      </c>
      <c r="H68" s="27">
        <f>2*12*C64*4</f>
        <v>10080</v>
      </c>
      <c r="I68" s="15"/>
      <c r="J68" s="15"/>
      <c r="K68" s="15"/>
      <c r="L68" s="27">
        <f>12*C64*16*2*4</f>
        <v>161280</v>
      </c>
      <c r="M68" s="27">
        <f>SUM(D68:G68)</f>
        <v>43456</v>
      </c>
      <c r="N68" s="55">
        <f>100*M68/L68</f>
        <v>26.944444444444443</v>
      </c>
      <c r="O68" s="15">
        <f>L68+H68</f>
        <v>171360</v>
      </c>
      <c r="P68" s="15">
        <f>SUM(D68,E68,G68,H68)+(12*14*3*2)*4</f>
        <v>52192</v>
      </c>
      <c r="Q68" s="63">
        <f>100*P68/O68</f>
        <v>30.457516339869279</v>
      </c>
      <c r="R68" s="58">
        <f>(1-Q68/100)/(1-N68/100)</f>
        <v>0.9519123238649071</v>
      </c>
    </row>
    <row r="72" spans="1:18" ht="13.8">
      <c r="B72" s="38" t="s">
        <v>445</v>
      </c>
      <c r="D72"/>
      <c r="E72"/>
      <c r="F72"/>
      <c r="L72"/>
      <c r="M72"/>
      <c r="N72"/>
    </row>
    <row r="73" spans="1:18" ht="13.8">
      <c r="B73" s="38" t="s">
        <v>446</v>
      </c>
      <c r="D73"/>
      <c r="E73"/>
      <c r="F73"/>
      <c r="L73"/>
      <c r="M73"/>
      <c r="N73"/>
    </row>
    <row r="74" spans="1:18">
      <c r="B74"/>
      <c r="D74"/>
      <c r="E74"/>
      <c r="F74"/>
      <c r="L74"/>
      <c r="M74"/>
      <c r="N74"/>
    </row>
    <row r="75" spans="1:18" ht="13.8">
      <c r="B75" s="38" t="s">
        <v>386</v>
      </c>
      <c r="C75" s="373">
        <v>53</v>
      </c>
      <c r="D75"/>
      <c r="E75"/>
      <c r="F75"/>
      <c r="L75"/>
      <c r="M75"/>
      <c r="N75"/>
    </row>
    <row r="76" spans="1:18">
      <c r="B76"/>
      <c r="D76"/>
      <c r="E76"/>
      <c r="F76"/>
      <c r="L76"/>
      <c r="M76"/>
      <c r="N76"/>
    </row>
    <row r="77" spans="1:18" ht="40.799999999999997" thickBot="1">
      <c r="B77" s="20"/>
      <c r="C77" s="21"/>
      <c r="D77" s="20" t="s">
        <v>324</v>
      </c>
      <c r="E77" s="20" t="s">
        <v>343</v>
      </c>
      <c r="F77" s="20" t="s">
        <v>360</v>
      </c>
      <c r="G77" s="20" t="s">
        <v>355</v>
      </c>
      <c r="H77" s="20" t="s">
        <v>438</v>
      </c>
      <c r="I77" s="20"/>
      <c r="J77" s="20"/>
      <c r="K77" s="20"/>
      <c r="L77" s="39" t="s">
        <v>390</v>
      </c>
      <c r="M77" s="39" t="s">
        <v>391</v>
      </c>
      <c r="N77" s="39" t="s">
        <v>392</v>
      </c>
      <c r="O77" s="40" t="s">
        <v>393</v>
      </c>
      <c r="P77" s="40" t="s">
        <v>394</v>
      </c>
      <c r="Q77" s="56" t="s">
        <v>395</v>
      </c>
      <c r="R77" s="57" t="s">
        <v>396</v>
      </c>
    </row>
    <row r="78" spans="1:18" ht="14.4" thickTop="1">
      <c r="A78">
        <v>1</v>
      </c>
      <c r="B78" s="375" t="s">
        <v>1012</v>
      </c>
      <c r="C78" s="34" t="s">
        <v>418</v>
      </c>
      <c r="D78" s="17">
        <f>12*(C75-2)*2*2*8</f>
        <v>19584</v>
      </c>
      <c r="E78" s="17">
        <f>12*C75*2*8</f>
        <v>10176</v>
      </c>
      <c r="F78" s="17">
        <f>2*12*14*2*2*8</f>
        <v>10752</v>
      </c>
      <c r="G78" s="17">
        <f>INT(C75/4)*INT((14-1)/4)*2*4*8</f>
        <v>2496</v>
      </c>
      <c r="H78" s="17">
        <f>12*1*C75*8</f>
        <v>5088</v>
      </c>
      <c r="I78" s="376"/>
      <c r="J78" s="376"/>
      <c r="K78" s="376"/>
      <c r="L78" s="377">
        <f>12*C75*(14*4+2*2+1)*8-H78</f>
        <v>305280</v>
      </c>
      <c r="M78" s="46">
        <f>SUM(D78:H78)-H78</f>
        <v>43008</v>
      </c>
      <c r="N78" s="378">
        <f>100*M78/L78</f>
        <v>14.088050314465409</v>
      </c>
      <c r="O78" s="28">
        <f>L78+H78</f>
        <v>310368</v>
      </c>
      <c r="P78" s="28">
        <f>SUM(D78,E78,G78,H78)+(12*14*3)*2+(12*2*3)*2*8</f>
        <v>39504</v>
      </c>
      <c r="Q78" s="379">
        <f>100*P78/O78</f>
        <v>12.728116300649551</v>
      </c>
      <c r="R78" s="380">
        <f t="shared" ref="R78:R80" si="19">(1-Q78/100)/(1-N78/100)</f>
        <v>1.0158293929865827</v>
      </c>
    </row>
    <row r="79" spans="1:18" s="48" customFormat="1" ht="13.8">
      <c r="A79" s="48">
        <v>2</v>
      </c>
      <c r="B79" s="375" t="s">
        <v>1012</v>
      </c>
      <c r="C79" s="30" t="s">
        <v>421</v>
      </c>
      <c r="D79" s="29">
        <f>12*(C75-2)*2*8</f>
        <v>9792</v>
      </c>
      <c r="E79" s="29">
        <f>12*C75*2*8</f>
        <v>10176</v>
      </c>
      <c r="F79" s="29">
        <f>2*12*14*2*8</f>
        <v>5376</v>
      </c>
      <c r="G79" s="29">
        <f>INT(C75/4)*INT((14-2)/4)*2*2*8</f>
        <v>1248</v>
      </c>
      <c r="H79" s="29">
        <f>12*2*C75*8</f>
        <v>10176</v>
      </c>
      <c r="I79" s="28"/>
      <c r="J79" s="28"/>
      <c r="K79" s="28"/>
      <c r="L79" s="377">
        <f>12*C75*(14*2+2*2+2)*8-H79</f>
        <v>162816</v>
      </c>
      <c r="M79" s="46">
        <f>SUM(D79:H79)-H79</f>
        <v>26592</v>
      </c>
      <c r="N79" s="378">
        <f>100*M79/L79</f>
        <v>16.33254716981132</v>
      </c>
      <c r="O79" s="28">
        <f>L79+H79</f>
        <v>172992</v>
      </c>
      <c r="P79" s="28">
        <f>SUM(D79,E79,G79,H79)+(12*14*3)*2+(12*2*3)*2*8</f>
        <v>33552</v>
      </c>
      <c r="Q79" s="379">
        <f>100*P79/O79</f>
        <v>19.395116537180911</v>
      </c>
      <c r="R79" s="380">
        <f t="shared" si="19"/>
        <v>0.96339592919620276</v>
      </c>
    </row>
    <row r="80" spans="1:18" ht="13.8">
      <c r="A80">
        <v>3</v>
      </c>
      <c r="B80" s="375" t="s">
        <v>1013</v>
      </c>
      <c r="C80" s="30" t="s">
        <v>421</v>
      </c>
      <c r="D80" s="17">
        <f>12*(C75)*2*8</f>
        <v>10176</v>
      </c>
      <c r="E80" s="17">
        <f>12*C75*1*8</f>
        <v>5088</v>
      </c>
      <c r="F80" s="17">
        <f>1*C75*14*2*8</f>
        <v>11872</v>
      </c>
      <c r="G80" s="17">
        <f>INT(C75/4)*INT((14-2))*2*2*8</f>
        <v>4992</v>
      </c>
      <c r="H80" s="17">
        <f>12*2*C75*8</f>
        <v>10176</v>
      </c>
      <c r="L80" s="377">
        <f>12*C75*(14*2+2*2+2)*8-H80</f>
        <v>162816</v>
      </c>
      <c r="M80" s="46">
        <f>SUM(D80:H80)-H80</f>
        <v>32128</v>
      </c>
      <c r="N80" s="378">
        <f>100*M80/L80</f>
        <v>19.732704402515722</v>
      </c>
      <c r="O80" s="28">
        <f>L80+H80</f>
        <v>172992</v>
      </c>
      <c r="P80" s="28">
        <f>SUM(D80,E80,G80,H80)+(12*14*3)*8+(12*2*3)*2*8</f>
        <v>35616</v>
      </c>
      <c r="Q80" s="379">
        <f>100*P80/O80</f>
        <v>20.588235294117649</v>
      </c>
      <c r="R80" s="380">
        <f t="shared" si="19"/>
        <v>0.98934147606153133</v>
      </c>
    </row>
    <row r="81" spans="1:18">
      <c r="B81"/>
      <c r="D81"/>
      <c r="E81"/>
      <c r="F81"/>
      <c r="L81"/>
      <c r="M81"/>
      <c r="N81"/>
    </row>
    <row r="82" spans="1:18">
      <c r="B82"/>
      <c r="D82"/>
      <c r="E82"/>
      <c r="F82"/>
      <c r="L82"/>
      <c r="M82"/>
      <c r="N82"/>
    </row>
    <row r="83" spans="1:18">
      <c r="B83"/>
      <c r="D83"/>
      <c r="E83"/>
      <c r="F83"/>
      <c r="L83"/>
      <c r="M83"/>
      <c r="N83"/>
    </row>
    <row r="84" spans="1:18">
      <c r="B84"/>
      <c r="D84"/>
      <c r="E84"/>
      <c r="F84"/>
      <c r="L84"/>
      <c r="M84"/>
      <c r="N84"/>
    </row>
    <row r="85" spans="1:18" ht="13.8">
      <c r="B85" s="38" t="s">
        <v>445</v>
      </c>
      <c r="D85" t="s">
        <v>454</v>
      </c>
      <c r="E85"/>
      <c r="F85"/>
      <c r="L85"/>
      <c r="M85"/>
      <c r="N85"/>
    </row>
    <row r="86" spans="1:18" ht="13.8">
      <c r="B86" s="38" t="s">
        <v>455</v>
      </c>
      <c r="D86"/>
      <c r="E86"/>
      <c r="F86"/>
      <c r="L86"/>
      <c r="M86"/>
      <c r="N86"/>
    </row>
    <row r="87" spans="1:18">
      <c r="B87"/>
      <c r="D87"/>
      <c r="E87"/>
      <c r="F87"/>
      <c r="L87"/>
      <c r="M87"/>
      <c r="N87"/>
    </row>
    <row r="88" spans="1:18" ht="13.8">
      <c r="B88" s="38" t="s">
        <v>386</v>
      </c>
      <c r="C88" s="65">
        <v>26</v>
      </c>
      <c r="D88"/>
      <c r="E88"/>
      <c r="F88"/>
      <c r="L88"/>
      <c r="M88"/>
      <c r="N88"/>
    </row>
    <row r="89" spans="1:18">
      <c r="B89"/>
      <c r="D89"/>
      <c r="E89"/>
      <c r="F89"/>
      <c r="L89"/>
      <c r="M89"/>
      <c r="N89"/>
    </row>
    <row r="90" spans="1:18" ht="40.200000000000003">
      <c r="B90" s="20"/>
      <c r="C90" s="21"/>
      <c r="D90" s="20" t="s">
        <v>324</v>
      </c>
      <c r="E90" s="20" t="s">
        <v>343</v>
      </c>
      <c r="F90" s="20" t="s">
        <v>360</v>
      </c>
      <c r="G90" s="20" t="s">
        <v>355</v>
      </c>
      <c r="H90" s="20"/>
      <c r="I90" s="20"/>
      <c r="J90" s="20"/>
      <c r="K90" s="20"/>
      <c r="L90" s="39" t="s">
        <v>390</v>
      </c>
      <c r="M90" s="39" t="s">
        <v>391</v>
      </c>
      <c r="N90" s="39" t="s">
        <v>392</v>
      </c>
      <c r="O90" s="40" t="s">
        <v>393</v>
      </c>
      <c r="P90" s="40" t="s">
        <v>394</v>
      </c>
      <c r="Q90" s="56" t="s">
        <v>395</v>
      </c>
      <c r="R90" s="57" t="s">
        <v>396</v>
      </c>
    </row>
    <row r="91" spans="1:18" s="16" customFormat="1" ht="13.8">
      <c r="A91" s="16">
        <v>1</v>
      </c>
      <c r="B91" s="37" t="s">
        <v>21</v>
      </c>
      <c r="C91" s="36"/>
      <c r="D91" s="29">
        <v>24960</v>
      </c>
      <c r="E91" s="29">
        <v>9984</v>
      </c>
      <c r="F91" s="29">
        <v>26880</v>
      </c>
      <c r="G91" s="29">
        <v>960</v>
      </c>
      <c r="H91" s="31"/>
      <c r="I91" s="31"/>
      <c r="J91" s="31"/>
      <c r="K91" s="31"/>
      <c r="L91" s="29">
        <v>349440</v>
      </c>
      <c r="M91" s="27">
        <f>SUM(D91:G91)</f>
        <v>62784</v>
      </c>
      <c r="N91" s="55">
        <f>100*M91/L91</f>
        <v>17.967032967032967</v>
      </c>
      <c r="O91" s="15">
        <f>L91</f>
        <v>349440</v>
      </c>
      <c r="P91" s="15">
        <f>D91+E91+G91+12*3*14*2+12*1*2*8</f>
        <v>37104</v>
      </c>
      <c r="Q91" s="70">
        <f t="shared" ref="Q91" si="20">100*P91/O91</f>
        <v>10.618131868131869</v>
      </c>
      <c r="R91" s="58">
        <f>(1-Q91/100)/(1-N91/100)</f>
        <v>1.0895847287340923</v>
      </c>
    </row>
    <row r="92" spans="1:18">
      <c r="B92"/>
      <c r="D92"/>
      <c r="E92"/>
      <c r="F92"/>
      <c r="L92"/>
      <c r="M92"/>
      <c r="N92"/>
    </row>
    <row r="93" spans="1:18">
      <c r="B93"/>
      <c r="D93"/>
      <c r="E93"/>
      <c r="F93"/>
      <c r="L93"/>
      <c r="M93"/>
      <c r="N93"/>
    </row>
    <row r="94" spans="1:18">
      <c r="B94"/>
      <c r="D94"/>
      <c r="E94"/>
      <c r="F94"/>
      <c r="L94"/>
      <c r="M94"/>
      <c r="N94"/>
    </row>
    <row r="95" spans="1:18" ht="13.8">
      <c r="B95" s="38" t="s">
        <v>445</v>
      </c>
      <c r="D95"/>
      <c r="E95"/>
      <c r="F95"/>
      <c r="L95"/>
      <c r="M95"/>
      <c r="N95"/>
    </row>
    <row r="96" spans="1:18" ht="13.8">
      <c r="B96" s="38" t="s">
        <v>435</v>
      </c>
      <c r="D96"/>
      <c r="E96"/>
      <c r="F96"/>
      <c r="L96"/>
      <c r="M96"/>
      <c r="N96"/>
    </row>
    <row r="97" spans="1:18">
      <c r="B97"/>
      <c r="D97"/>
      <c r="E97"/>
      <c r="F97"/>
      <c r="L97"/>
      <c r="M97"/>
      <c r="N97"/>
    </row>
    <row r="98" spans="1:18" ht="13.8">
      <c r="B98" s="38" t="s">
        <v>386</v>
      </c>
      <c r="C98" s="65">
        <v>66</v>
      </c>
      <c r="D98"/>
      <c r="E98"/>
      <c r="F98"/>
      <c r="L98"/>
      <c r="M98"/>
      <c r="N98"/>
    </row>
    <row r="99" spans="1:18">
      <c r="B99"/>
      <c r="D99"/>
      <c r="E99"/>
      <c r="F99"/>
      <c r="L99"/>
      <c r="M99"/>
      <c r="N99"/>
    </row>
    <row r="100" spans="1:18" ht="40.799999999999997" thickBot="1">
      <c r="B100" s="20"/>
      <c r="C100" s="21"/>
      <c r="D100" s="20" t="s">
        <v>324</v>
      </c>
      <c r="E100" s="20" t="s">
        <v>343</v>
      </c>
      <c r="F100" s="20" t="s">
        <v>360</v>
      </c>
      <c r="G100" s="20" t="s">
        <v>355</v>
      </c>
      <c r="H100" s="20"/>
      <c r="I100" s="20"/>
      <c r="J100" s="20"/>
      <c r="K100" s="20"/>
      <c r="L100" s="39" t="s">
        <v>390</v>
      </c>
      <c r="M100" s="39" t="s">
        <v>391</v>
      </c>
      <c r="N100" s="39" t="s">
        <v>392</v>
      </c>
      <c r="O100" s="40" t="s">
        <v>393</v>
      </c>
      <c r="P100" s="40" t="s">
        <v>394</v>
      </c>
      <c r="Q100" s="56" t="s">
        <v>395</v>
      </c>
      <c r="R100" s="57" t="s">
        <v>396</v>
      </c>
    </row>
    <row r="101" spans="1:18">
      <c r="A101">
        <v>1</v>
      </c>
      <c r="G101" s="17"/>
      <c r="N101" s="69"/>
    </row>
    <row r="102" spans="1:18">
      <c r="B102"/>
      <c r="D102"/>
      <c r="E102"/>
      <c r="F102"/>
      <c r="L102"/>
      <c r="M102"/>
      <c r="N102"/>
    </row>
    <row r="103" spans="1:18">
      <c r="B103"/>
      <c r="D103"/>
      <c r="E103"/>
      <c r="F103"/>
      <c r="L103"/>
      <c r="M103"/>
      <c r="N103"/>
    </row>
    <row r="104" spans="1:18">
      <c r="B104"/>
      <c r="D104"/>
      <c r="E104"/>
      <c r="F104"/>
      <c r="L104"/>
      <c r="M104"/>
      <c r="N104"/>
    </row>
    <row r="105" spans="1:18">
      <c r="B105"/>
      <c r="D105"/>
      <c r="E105"/>
      <c r="F105"/>
      <c r="L105"/>
      <c r="M105"/>
      <c r="N105"/>
    </row>
    <row r="106" spans="1:18">
      <c r="B106"/>
      <c r="D106"/>
      <c r="E106"/>
      <c r="F106"/>
      <c r="L106"/>
      <c r="M106"/>
      <c r="N106"/>
    </row>
    <row r="107" spans="1:18">
      <c r="B107"/>
      <c r="D107"/>
      <c r="E107"/>
      <c r="F107"/>
      <c r="L107"/>
      <c r="M107"/>
      <c r="N107"/>
    </row>
    <row r="108" spans="1:18" ht="13.8">
      <c r="B108" s="38" t="s">
        <v>445</v>
      </c>
      <c r="D108" t="s">
        <v>454</v>
      </c>
      <c r="E108"/>
      <c r="F108"/>
      <c r="L108"/>
      <c r="M108"/>
      <c r="N108"/>
    </row>
    <row r="109" spans="1:18" ht="13.8">
      <c r="B109" s="38" t="s">
        <v>441</v>
      </c>
      <c r="D109"/>
      <c r="E109"/>
      <c r="F109"/>
      <c r="L109"/>
      <c r="M109"/>
      <c r="N109"/>
    </row>
    <row r="110" spans="1:18">
      <c r="B110"/>
      <c r="D110"/>
      <c r="E110"/>
      <c r="F110"/>
      <c r="L110"/>
      <c r="M110"/>
      <c r="N110"/>
    </row>
    <row r="111" spans="1:18" ht="13.8">
      <c r="B111" s="38" t="s">
        <v>386</v>
      </c>
      <c r="C111" s="65">
        <v>52</v>
      </c>
      <c r="D111"/>
      <c r="E111"/>
      <c r="F111"/>
      <c r="L111"/>
      <c r="M111"/>
      <c r="N111"/>
    </row>
    <row r="112" spans="1:18">
      <c r="B112"/>
      <c r="D112"/>
      <c r="E112"/>
      <c r="F112"/>
      <c r="L112"/>
      <c r="M112"/>
      <c r="N112"/>
    </row>
    <row r="113" spans="1:18" ht="40.200000000000003">
      <c r="B113" s="20"/>
      <c r="C113" s="21"/>
      <c r="D113" s="20" t="s">
        <v>324</v>
      </c>
      <c r="E113" s="20" t="s">
        <v>343</v>
      </c>
      <c r="F113" s="20" t="s">
        <v>360</v>
      </c>
      <c r="G113" s="20" t="s">
        <v>355</v>
      </c>
      <c r="H113" s="20"/>
      <c r="I113" s="20"/>
      <c r="J113" s="20"/>
      <c r="K113" s="20"/>
      <c r="L113" s="39" t="s">
        <v>390</v>
      </c>
      <c r="M113" s="39" t="s">
        <v>391</v>
      </c>
      <c r="N113" s="39" t="s">
        <v>392</v>
      </c>
      <c r="O113" s="40" t="s">
        <v>393</v>
      </c>
      <c r="P113" s="40" t="s">
        <v>394</v>
      </c>
      <c r="Q113" s="56" t="s">
        <v>395</v>
      </c>
      <c r="R113" s="57" t="s">
        <v>396</v>
      </c>
    </row>
    <row r="114" spans="1:18" ht="13.8">
      <c r="A114">
        <v>1</v>
      </c>
      <c r="B114" s="24" t="s">
        <v>11</v>
      </c>
      <c r="C114" s="25"/>
      <c r="D114" s="24">
        <f>(24*C111*10)*60/15</f>
        <v>49920</v>
      </c>
      <c r="E114" s="24">
        <f>12*C111*60/15</f>
        <v>2496</v>
      </c>
      <c r="F114" s="24">
        <f>(2*12*14*10)*60/15</f>
        <v>13440</v>
      </c>
      <c r="G114" s="24">
        <v>0</v>
      </c>
      <c r="H114" s="24"/>
      <c r="I114" s="24"/>
      <c r="J114" s="24"/>
      <c r="K114" s="27"/>
      <c r="L114" s="29">
        <f>(C111*12*10*14)*60/15</f>
        <v>349440</v>
      </c>
      <c r="M114" s="29">
        <f>SUM(D114:H114)</f>
        <v>65856</v>
      </c>
      <c r="N114" s="43">
        <f t="shared" ref="N114" si="21">100*M114/L114</f>
        <v>18.846153846153847</v>
      </c>
      <c r="O114" s="31">
        <f>L114</f>
        <v>349440</v>
      </c>
      <c r="P114" s="31">
        <f>D114+E114+(12*3*14*2+12*1*2*8)*60/15</f>
        <v>57216</v>
      </c>
      <c r="Q114" s="42">
        <f t="shared" ref="Q114" si="22">100*P114/O114</f>
        <v>16.373626373626372</v>
      </c>
      <c r="R114" s="58">
        <f t="shared" ref="R114" si="23">(1-Q114/100)/(1-N114/100)</f>
        <v>1.0304671631685849</v>
      </c>
    </row>
    <row r="120" spans="1:18">
      <c r="B120" s="227" t="s">
        <v>575</v>
      </c>
    </row>
    <row r="121" spans="1:18" ht="13.8">
      <c r="B121" s="248" t="s">
        <v>380</v>
      </c>
      <c r="C121" s="220"/>
    </row>
    <row r="122" spans="1:18" ht="13.8">
      <c r="B122" s="19" t="s">
        <v>452</v>
      </c>
      <c r="C122" s="220"/>
    </row>
    <row r="123" spans="1:18">
      <c r="C123" s="220"/>
    </row>
    <row r="124" spans="1:18" ht="13.8">
      <c r="B124" s="19" t="s">
        <v>386</v>
      </c>
      <c r="C124" s="220">
        <v>52</v>
      </c>
    </row>
    <row r="125" spans="1:18">
      <c r="C125" s="220"/>
    </row>
    <row r="126" spans="1:18" ht="45.75" customHeight="1" thickBot="1">
      <c r="B126" s="20"/>
      <c r="C126" s="21"/>
      <c r="D126" s="20" t="s">
        <v>324</v>
      </c>
      <c r="E126" s="20" t="s">
        <v>343</v>
      </c>
      <c r="F126" s="20" t="s">
        <v>360</v>
      </c>
      <c r="G126" s="20"/>
      <c r="H126" s="20"/>
      <c r="I126" s="39"/>
      <c r="J126" s="20"/>
      <c r="K126" s="20"/>
      <c r="L126" s="39" t="s">
        <v>390</v>
      </c>
      <c r="M126" s="39" t="s">
        <v>391</v>
      </c>
      <c r="N126" s="39" t="s">
        <v>392</v>
      </c>
      <c r="O126" s="40" t="s">
        <v>393</v>
      </c>
      <c r="P126" s="40" t="s">
        <v>394</v>
      </c>
      <c r="Q126" s="56" t="s">
        <v>395</v>
      </c>
      <c r="R126" s="57" t="s">
        <v>396</v>
      </c>
    </row>
    <row r="127" spans="1:18" ht="13.8" thickTop="1">
      <c r="A127">
        <v>1</v>
      </c>
      <c r="B127" s="255" t="s">
        <v>591</v>
      </c>
      <c r="C127" s="25"/>
      <c r="D127" s="24">
        <f>4*(C124-2)*10</f>
        <v>2000</v>
      </c>
      <c r="E127" s="24">
        <f>2*12*C124*2</f>
        <v>2496</v>
      </c>
      <c r="F127" s="24">
        <f>12*14*2*10</f>
        <v>3360</v>
      </c>
      <c r="G127" s="24"/>
      <c r="H127" s="24"/>
      <c r="I127" s="24"/>
      <c r="J127" s="24"/>
      <c r="K127" s="27"/>
      <c r="L127" s="29">
        <f>12*C124*14*10</f>
        <v>87360</v>
      </c>
      <c r="M127" s="29">
        <f>SUM(D127:F127)</f>
        <v>7856</v>
      </c>
      <c r="N127" s="44">
        <f t="shared" ref="N127" si="24">100*M127/L127</f>
        <v>8.9926739926739927</v>
      </c>
      <c r="O127" s="31">
        <v>87360</v>
      </c>
      <c r="P127" s="31">
        <f>D127+E127+12*3*14*2+12*1*2*8</f>
        <v>5696</v>
      </c>
      <c r="Q127" s="44">
        <f t="shared" ref="Q127" si="25">100*P127/O127</f>
        <v>6.5201465201465201</v>
      </c>
      <c r="R127" s="58">
        <f t="shared" ref="R127" si="26">(1-Q127/100)/(1-N127/100)</f>
        <v>1.0271684443550011</v>
      </c>
    </row>
    <row r="128" spans="1:18" ht="13.8">
      <c r="B128" s="24"/>
      <c r="C128" s="25"/>
      <c r="D128" s="24"/>
      <c r="E128" s="24"/>
      <c r="F128" s="24"/>
      <c r="G128" s="24"/>
      <c r="H128" s="24"/>
      <c r="I128" s="24"/>
      <c r="J128" s="24"/>
      <c r="K128" s="27"/>
      <c r="L128" s="29"/>
      <c r="M128" s="29"/>
      <c r="N128" s="43"/>
      <c r="O128" s="31"/>
      <c r="P128" s="31"/>
      <c r="Q128" s="42"/>
      <c r="R128" s="58"/>
    </row>
    <row r="129" spans="1:18">
      <c r="B129" s="24"/>
      <c r="C129" s="25"/>
      <c r="D129" s="24"/>
      <c r="E129" s="24"/>
      <c r="F129" s="24"/>
      <c r="G129" s="24"/>
      <c r="H129" s="24"/>
      <c r="I129" s="24"/>
      <c r="J129" s="24"/>
      <c r="K129" s="27"/>
      <c r="L129" s="29"/>
      <c r="M129" s="29"/>
      <c r="N129" s="44"/>
      <c r="O129" s="31"/>
      <c r="P129" s="31"/>
      <c r="Q129" s="59"/>
      <c r="R129" s="58"/>
    </row>
    <row r="130" spans="1:18" s="15" customFormat="1">
      <c r="A130"/>
      <c r="B130" s="24"/>
      <c r="C130" s="25"/>
      <c r="D130" s="24"/>
      <c r="E130" s="24"/>
      <c r="F130" s="24"/>
      <c r="G130" s="26"/>
      <c r="H130" s="26"/>
      <c r="I130" s="24"/>
      <c r="J130" s="26"/>
      <c r="L130" s="29"/>
      <c r="M130" s="29"/>
      <c r="N130" s="44"/>
      <c r="O130" s="31"/>
      <c r="P130" s="31"/>
      <c r="Q130" s="213"/>
      <c r="R130" s="58"/>
    </row>
    <row r="131" spans="1:18" ht="13.8">
      <c r="B131" s="24"/>
      <c r="C131" s="25"/>
      <c r="D131" s="24"/>
      <c r="E131" s="24"/>
      <c r="F131" s="24"/>
      <c r="G131" s="26"/>
      <c r="H131" s="26"/>
      <c r="I131" s="24"/>
      <c r="J131" s="26"/>
      <c r="K131" s="15"/>
      <c r="L131" s="29"/>
      <c r="M131" s="29"/>
      <c r="N131" s="45"/>
      <c r="O131" s="31"/>
      <c r="P131" s="31"/>
      <c r="Q131" s="42"/>
      <c r="R131" s="58"/>
    </row>
    <row r="132" spans="1:18" ht="13.8">
      <c r="A132" s="28"/>
      <c r="B132" s="29"/>
      <c r="C132" s="30"/>
      <c r="D132" s="29"/>
      <c r="E132" s="29"/>
      <c r="F132" s="29"/>
      <c r="G132" s="31"/>
      <c r="H132" s="31"/>
      <c r="I132" s="46"/>
      <c r="J132" s="31"/>
      <c r="K132" s="31"/>
      <c r="L132" s="29"/>
      <c r="M132" s="29"/>
      <c r="N132" s="45"/>
      <c r="O132" s="31"/>
      <c r="P132" s="31"/>
      <c r="Q132" s="42"/>
      <c r="R132" s="58"/>
    </row>
    <row r="133" spans="1:18">
      <c r="C133" s="220"/>
      <c r="L133" s="47"/>
      <c r="M133" s="47"/>
      <c r="N133" s="47"/>
      <c r="O133" s="48"/>
      <c r="P133" s="48"/>
      <c r="Q133" s="48"/>
    </row>
    <row r="134" spans="1:18">
      <c r="C134" s="220"/>
      <c r="L134" s="47"/>
      <c r="M134" s="47"/>
      <c r="N134" s="47"/>
      <c r="O134" s="48"/>
      <c r="P134" s="48"/>
      <c r="Q134" s="48"/>
    </row>
    <row r="135" spans="1:18">
      <c r="C135" s="220"/>
      <c r="L135" s="47"/>
      <c r="M135" s="47"/>
      <c r="N135" s="47"/>
      <c r="O135" s="48"/>
      <c r="P135" s="48"/>
      <c r="Q135" s="48"/>
    </row>
    <row r="136" spans="1:18" ht="13.8">
      <c r="B136" s="19" t="s">
        <v>408</v>
      </c>
      <c r="C136" s="220"/>
      <c r="L136" s="47"/>
      <c r="M136" s="47"/>
      <c r="N136" s="47"/>
      <c r="O136" s="48"/>
      <c r="P136" s="48"/>
      <c r="Q136" s="48"/>
    </row>
    <row r="137" spans="1:18" ht="13.8">
      <c r="B137" s="19" t="s">
        <v>409</v>
      </c>
      <c r="C137" s="220"/>
      <c r="L137" s="47"/>
      <c r="M137" s="47"/>
      <c r="N137" s="47"/>
      <c r="O137" s="48"/>
      <c r="P137" s="48"/>
      <c r="Q137" s="48"/>
    </row>
    <row r="138" spans="1:18">
      <c r="C138" s="220"/>
      <c r="L138" s="47"/>
      <c r="M138" s="47"/>
      <c r="N138" s="47"/>
      <c r="O138" s="48"/>
      <c r="P138" s="48"/>
      <c r="Q138" s="48"/>
    </row>
    <row r="139" spans="1:18" ht="13.8">
      <c r="B139" s="19" t="s">
        <v>386</v>
      </c>
      <c r="C139" s="220">
        <v>106</v>
      </c>
      <c r="L139" s="47"/>
      <c r="M139" s="47"/>
      <c r="N139" s="47"/>
      <c r="O139" s="48"/>
      <c r="P139" s="48"/>
      <c r="Q139" s="48"/>
    </row>
    <row r="140" spans="1:18">
      <c r="C140" s="220"/>
      <c r="L140" s="47"/>
      <c r="M140" s="47"/>
      <c r="N140" s="47"/>
      <c r="O140" s="48"/>
      <c r="P140" s="48"/>
      <c r="Q140" s="48"/>
    </row>
    <row r="141" spans="1:18" ht="42" thickBot="1">
      <c r="B141" s="20"/>
      <c r="C141" s="21" t="s">
        <v>411</v>
      </c>
      <c r="D141" s="20" t="s">
        <v>324</v>
      </c>
      <c r="E141" s="20" t="s">
        <v>343</v>
      </c>
      <c r="F141" s="20" t="s">
        <v>360</v>
      </c>
      <c r="G141" s="20" t="s">
        <v>412</v>
      </c>
      <c r="H141" s="20"/>
      <c r="I141" s="39"/>
      <c r="J141" s="20"/>
      <c r="K141" s="20"/>
      <c r="L141" s="49" t="s">
        <v>390</v>
      </c>
      <c r="M141" s="49" t="s">
        <v>391</v>
      </c>
      <c r="N141" s="49" t="s">
        <v>392</v>
      </c>
      <c r="O141" s="50" t="s">
        <v>393</v>
      </c>
      <c r="P141" s="50" t="s">
        <v>394</v>
      </c>
      <c r="Q141" s="60" t="s">
        <v>395</v>
      </c>
      <c r="R141" s="57" t="s">
        <v>396</v>
      </c>
    </row>
    <row r="142" spans="1:18" ht="14.4" thickTop="1">
      <c r="B142" s="32"/>
      <c r="C142" s="33"/>
      <c r="D142" s="22"/>
      <c r="E142" s="22"/>
      <c r="F142" s="22"/>
      <c r="G142" s="27"/>
      <c r="H142" s="22"/>
      <c r="I142" s="22"/>
      <c r="J142" s="22"/>
      <c r="K142" s="22"/>
      <c r="L142" s="41"/>
      <c r="M142" s="41"/>
      <c r="N142" s="42"/>
      <c r="O142" s="31"/>
      <c r="P142" s="31"/>
      <c r="Q142" s="61"/>
      <c r="R142" s="58"/>
    </row>
    <row r="143" spans="1:18">
      <c r="B143" s="27"/>
      <c r="C143" s="34"/>
      <c r="D143" s="27"/>
      <c r="E143" s="27"/>
      <c r="F143" s="27"/>
      <c r="G143" s="27"/>
      <c r="H143" s="27"/>
      <c r="I143" s="24"/>
      <c r="J143" s="27"/>
      <c r="K143" s="27"/>
      <c r="L143" s="29"/>
      <c r="M143" s="29"/>
      <c r="N143" s="44"/>
      <c r="O143" s="31"/>
      <c r="P143" s="31"/>
      <c r="Q143" s="61"/>
      <c r="R143" s="58"/>
    </row>
    <row r="144" spans="1:18">
      <c r="B144" s="27"/>
      <c r="C144" s="27"/>
      <c r="D144" s="27"/>
      <c r="E144" s="27"/>
      <c r="F144" s="27"/>
      <c r="G144" s="27"/>
      <c r="H144" s="15"/>
      <c r="I144" s="24"/>
      <c r="J144" s="15"/>
      <c r="K144" s="15"/>
      <c r="L144" s="29"/>
      <c r="M144" s="29"/>
      <c r="N144" s="44"/>
      <c r="O144" s="31"/>
      <c r="P144" s="31"/>
      <c r="Q144" s="61"/>
      <c r="R144" s="58"/>
    </row>
    <row r="145" spans="1:18">
      <c r="B145" s="27"/>
      <c r="C145" s="27"/>
      <c r="D145" s="27"/>
      <c r="E145" s="27"/>
      <c r="F145" s="27"/>
      <c r="G145" s="15"/>
      <c r="H145" s="15"/>
      <c r="I145" s="15"/>
      <c r="J145" s="15"/>
      <c r="K145" s="15"/>
      <c r="L145" s="29"/>
      <c r="M145" s="29"/>
      <c r="N145" s="51"/>
      <c r="O145" s="52"/>
      <c r="P145" s="52"/>
      <c r="Q145" s="62"/>
      <c r="R145" s="58"/>
    </row>
    <row r="146" spans="1:18">
      <c r="B146" s="27"/>
      <c r="C146" s="27"/>
      <c r="D146" s="27"/>
      <c r="E146" s="27"/>
      <c r="F146" s="27"/>
      <c r="G146" s="15"/>
      <c r="H146" s="15"/>
      <c r="I146" s="15"/>
      <c r="J146" s="15"/>
      <c r="K146" s="15"/>
      <c r="L146" s="29"/>
      <c r="M146" s="29"/>
      <c r="N146" s="51"/>
      <c r="O146" s="52"/>
      <c r="P146" s="52"/>
      <c r="Q146" s="62"/>
      <c r="R146" s="58"/>
    </row>
    <row r="147" spans="1:18">
      <c r="B147" s="27"/>
      <c r="C147" s="27"/>
      <c r="D147" s="27"/>
      <c r="E147" s="27"/>
      <c r="F147" s="27"/>
      <c r="G147" s="27"/>
      <c r="H147" s="15"/>
      <c r="I147" s="15"/>
      <c r="J147" s="15"/>
      <c r="K147" s="15"/>
      <c r="L147" s="29"/>
      <c r="M147" s="29"/>
      <c r="N147" s="51"/>
      <c r="O147" s="212"/>
      <c r="P147" s="52"/>
      <c r="Q147" s="62"/>
      <c r="R147" s="58"/>
    </row>
    <row r="148" spans="1:18">
      <c r="B148" s="27"/>
      <c r="C148" s="27"/>
      <c r="D148" s="27"/>
      <c r="E148" s="27"/>
      <c r="F148" s="27"/>
      <c r="G148" s="27"/>
      <c r="H148" s="15"/>
      <c r="I148" s="15"/>
      <c r="J148" s="15"/>
      <c r="K148" s="15"/>
      <c r="L148" s="29"/>
      <c r="M148" s="29"/>
      <c r="N148" s="51"/>
      <c r="O148" s="212"/>
      <c r="P148" s="52"/>
      <c r="Q148" s="62"/>
      <c r="R148" s="58"/>
    </row>
    <row r="149" spans="1:18">
      <c r="B149" s="27"/>
      <c r="C149" s="27"/>
      <c r="D149" s="27"/>
      <c r="E149" s="27"/>
      <c r="F149" s="27"/>
      <c r="G149" s="27"/>
      <c r="H149" s="15"/>
      <c r="I149" s="15"/>
      <c r="J149" s="15"/>
      <c r="K149" s="15"/>
      <c r="L149" s="29"/>
      <c r="M149" s="29"/>
      <c r="N149" s="51"/>
      <c r="O149" s="212"/>
      <c r="P149" s="52"/>
      <c r="Q149" s="62"/>
      <c r="R149" s="58"/>
    </row>
    <row r="150" spans="1:18" ht="13.8">
      <c r="B150" s="19" t="s">
        <v>408</v>
      </c>
      <c r="C150" s="220"/>
    </row>
    <row r="151" spans="1:18" ht="13.8">
      <c r="B151" s="19" t="s">
        <v>425</v>
      </c>
      <c r="C151" s="220"/>
    </row>
    <row r="152" spans="1:18">
      <c r="C152" s="220"/>
    </row>
    <row r="153" spans="1:18" ht="13.8">
      <c r="B153" s="19" t="s">
        <v>386</v>
      </c>
      <c r="C153" s="220">
        <v>51</v>
      </c>
    </row>
    <row r="154" spans="1:18">
      <c r="C154" s="220"/>
    </row>
    <row r="155" spans="1:18" ht="40.799999999999997" thickBot="1">
      <c r="B155" s="20"/>
      <c r="C155" s="21" t="s">
        <v>411</v>
      </c>
      <c r="D155" s="20" t="s">
        <v>324</v>
      </c>
      <c r="E155" s="20" t="s">
        <v>343</v>
      </c>
      <c r="F155" s="20" t="s">
        <v>360</v>
      </c>
      <c r="G155" s="20" t="s">
        <v>412</v>
      </c>
      <c r="H155" s="20"/>
      <c r="I155" s="20"/>
      <c r="J155" s="20"/>
      <c r="K155" s="20"/>
      <c r="L155" s="39" t="s">
        <v>390</v>
      </c>
      <c r="M155" s="39" t="s">
        <v>391</v>
      </c>
      <c r="N155" s="39" t="s">
        <v>392</v>
      </c>
      <c r="O155" s="40" t="s">
        <v>393</v>
      </c>
      <c r="P155" s="40" t="s">
        <v>394</v>
      </c>
      <c r="Q155" s="56" t="s">
        <v>395</v>
      </c>
      <c r="R155" s="57" t="s">
        <v>396</v>
      </c>
    </row>
    <row r="156" spans="1:18" s="48" customFormat="1" ht="27" thickTop="1">
      <c r="A156" s="48">
        <v>1</v>
      </c>
      <c r="B156" s="250" t="s">
        <v>578</v>
      </c>
      <c r="C156" s="249" t="s">
        <v>576</v>
      </c>
      <c r="D156" s="29">
        <f>(4*(C153-3)+4*C153*2)*2</f>
        <v>1200</v>
      </c>
      <c r="E156" s="29">
        <f>2*12*C153*2</f>
        <v>2448</v>
      </c>
      <c r="F156" s="29">
        <f>(12*14*3*1+12*7*3*1+12*2*1*2)*2</f>
        <v>1608</v>
      </c>
      <c r="G156" s="29">
        <f>12*C153*2</f>
        <v>1224</v>
      </c>
      <c r="H156" s="29"/>
      <c r="I156" s="31"/>
      <c r="J156" s="31"/>
      <c r="K156" s="31"/>
      <c r="L156" s="251">
        <f>C153*2*(12*14*3+12*2*2+12*2*2)</f>
        <v>61200</v>
      </c>
      <c r="M156" s="252">
        <f>SUM(D156:G156)</f>
        <v>6480</v>
      </c>
      <c r="N156" s="253">
        <f t="shared" ref="N156:N157" si="27">100*M156/L156</f>
        <v>10.588235294117647</v>
      </c>
      <c r="O156" s="234">
        <f>L156</f>
        <v>61200</v>
      </c>
      <c r="P156" s="234">
        <f>SUM(D156,E156,G156)+(12*14*3*1+12*2*1*2)*2</f>
        <v>5976</v>
      </c>
      <c r="Q156" s="254">
        <f>100*P156/O156</f>
        <v>9.764705882352942</v>
      </c>
      <c r="R156" s="241">
        <f>(1-Q156/100)/(1-N156/100)</f>
        <v>1.0092105263157893</v>
      </c>
    </row>
    <row r="157" spans="1:18" s="48" customFormat="1" ht="26.4">
      <c r="A157" s="48">
        <v>1</v>
      </c>
      <c r="B157" s="250" t="s">
        <v>579</v>
      </c>
      <c r="C157" s="249" t="s">
        <v>577</v>
      </c>
      <c r="D157" s="29">
        <f>(4*(C153-3)*1+4*C153*1)*2</f>
        <v>792</v>
      </c>
      <c r="E157" s="29">
        <f>2*12*C153*2</f>
        <v>2448</v>
      </c>
      <c r="F157" s="29">
        <f>(12*14*3*1+12*7*1)*2</f>
        <v>1176</v>
      </c>
      <c r="G157" s="29">
        <f>12*C153*2</f>
        <v>1224</v>
      </c>
      <c r="H157" s="29"/>
      <c r="I157" s="31"/>
      <c r="J157" s="31"/>
      <c r="K157" s="31"/>
      <c r="L157" s="251">
        <f>C153*2*(12*14*2+12*4*1+12*2*1)</f>
        <v>41616</v>
      </c>
      <c r="M157" s="252">
        <f>SUM(D157:G157)</f>
        <v>5640</v>
      </c>
      <c r="N157" s="253">
        <f t="shared" si="27"/>
        <v>13.552479815455595</v>
      </c>
      <c r="O157" s="234">
        <f>L157</f>
        <v>41616</v>
      </c>
      <c r="P157" s="234">
        <f>SUM(D157,E157,G157)+(12*14*3*1+12*2*1*1)*2</f>
        <v>5520</v>
      </c>
      <c r="Q157" s="254">
        <f>100*P157/O157</f>
        <v>13.264129181084199</v>
      </c>
      <c r="R157" s="241">
        <f>(1-Q157/100)/(1-N157/100)</f>
        <v>1.0033355570380253</v>
      </c>
    </row>
    <row r="174" spans="2:17" ht="13.8">
      <c r="B174" s="19" t="s">
        <v>610</v>
      </c>
      <c r="C174" s="220"/>
      <c r="L174" s="47"/>
      <c r="M174" s="47"/>
      <c r="N174" s="47"/>
      <c r="O174" s="48"/>
      <c r="P174" s="48"/>
      <c r="Q174" s="48"/>
    </row>
    <row r="175" spans="2:17" ht="13.8">
      <c r="B175" s="19" t="s">
        <v>409</v>
      </c>
      <c r="C175" s="220"/>
      <c r="L175" s="47"/>
      <c r="M175" s="47"/>
      <c r="N175" s="47"/>
      <c r="O175" s="48"/>
      <c r="P175" s="48"/>
      <c r="Q175" s="48"/>
    </row>
    <row r="176" spans="2:17">
      <c r="C176" s="220"/>
      <c r="L176" s="47"/>
      <c r="M176" s="47"/>
      <c r="N176" s="47"/>
      <c r="O176" s="48"/>
      <c r="P176" s="48"/>
      <c r="Q176" s="48"/>
    </row>
    <row r="177" spans="1:18" ht="13.8">
      <c r="B177" s="19" t="s">
        <v>386</v>
      </c>
      <c r="C177" s="220">
        <v>50</v>
      </c>
      <c r="L177" s="47"/>
      <c r="M177" s="47"/>
      <c r="N177" s="47"/>
      <c r="O177" s="48"/>
      <c r="P177" s="48"/>
      <c r="Q177" s="48"/>
    </row>
    <row r="178" spans="1:18">
      <c r="C178" s="220"/>
      <c r="L178" s="47"/>
      <c r="M178" s="47"/>
      <c r="N178" s="47"/>
      <c r="O178" s="48"/>
      <c r="P178" s="48"/>
      <c r="Q178" s="48"/>
    </row>
    <row r="179" spans="1:18" ht="28.2" thickBot="1">
      <c r="B179" s="20"/>
      <c r="C179" s="21" t="s">
        <v>411</v>
      </c>
      <c r="D179" s="20" t="s">
        <v>324</v>
      </c>
      <c r="E179" s="20" t="s">
        <v>343</v>
      </c>
      <c r="F179" s="20" t="s">
        <v>360</v>
      </c>
      <c r="G179" s="20" t="s">
        <v>412</v>
      </c>
      <c r="H179" s="20"/>
      <c r="I179" s="39"/>
      <c r="J179" s="20"/>
      <c r="K179" s="20"/>
      <c r="L179" s="49" t="s">
        <v>390</v>
      </c>
      <c r="M179" s="49" t="s">
        <v>391</v>
      </c>
      <c r="N179" s="49" t="s">
        <v>392</v>
      </c>
      <c r="O179" s="48"/>
      <c r="P179" s="48"/>
      <c r="Q179" s="48"/>
      <c r="R179" s="48"/>
    </row>
    <row r="180" spans="1:18" ht="13.8" thickTop="1">
      <c r="A180">
        <v>1</v>
      </c>
      <c r="B180" s="228" t="s">
        <v>656</v>
      </c>
      <c r="C180" s="47"/>
      <c r="D180" s="17">
        <f>24*(C177-2)*9+24*(C177-4)</f>
        <v>11472</v>
      </c>
      <c r="E180" s="17">
        <f>1*12*(C177-2)*2</f>
        <v>1152</v>
      </c>
      <c r="F180" s="17">
        <f>12*14*2*9+12*14*4*1</f>
        <v>3696</v>
      </c>
      <c r="G180" s="17"/>
      <c r="L180" s="29">
        <f>C177*12*14*10</f>
        <v>84000</v>
      </c>
      <c r="M180" s="29">
        <f>SUM(D180:F180)</f>
        <v>16320</v>
      </c>
      <c r="N180" s="44">
        <f>100*M180/L180</f>
        <v>19.428571428571427</v>
      </c>
      <c r="Q180" s="44"/>
      <c r="R180" s="58"/>
    </row>
    <row r="181" spans="1:18">
      <c r="O181" s="48"/>
      <c r="P181" s="48"/>
      <c r="Q181" s="48"/>
      <c r="R181" s="48"/>
    </row>
    <row r="182" spans="1:18">
      <c r="O182" s="48"/>
      <c r="P182" s="48"/>
      <c r="Q182" s="48"/>
      <c r="R182" s="48"/>
    </row>
    <row r="183" spans="1:18">
      <c r="O183" s="48"/>
      <c r="P183" s="48"/>
      <c r="Q183" s="48"/>
      <c r="R183" s="48"/>
    </row>
    <row r="184" spans="1:18">
      <c r="O184" s="48"/>
      <c r="P184" s="48"/>
      <c r="Q184" s="48"/>
      <c r="R184" s="48"/>
    </row>
    <row r="185" spans="1:18">
      <c r="O185" s="48"/>
      <c r="P185" s="48"/>
      <c r="Q185" s="48"/>
      <c r="R185" s="48"/>
    </row>
    <row r="186" spans="1:18">
      <c r="O186" s="48"/>
      <c r="P186" s="48"/>
      <c r="Q186" s="48"/>
      <c r="R186" s="48"/>
    </row>
    <row r="187" spans="1:18" ht="13.8">
      <c r="B187" s="19" t="s">
        <v>614</v>
      </c>
      <c r="C187" s="220"/>
      <c r="L187" s="47"/>
      <c r="M187" s="47"/>
      <c r="N187" s="47"/>
      <c r="O187" s="48"/>
      <c r="P187" s="48"/>
      <c r="Q187" s="48"/>
      <c r="R187" s="48"/>
    </row>
    <row r="188" spans="1:18" ht="13.8">
      <c r="B188" s="19" t="s">
        <v>409</v>
      </c>
      <c r="C188" s="220"/>
      <c r="L188" s="47"/>
      <c r="M188" s="47"/>
      <c r="N188" s="47"/>
      <c r="O188" s="48"/>
      <c r="P188" s="48"/>
      <c r="Q188" s="48"/>
      <c r="R188" s="48"/>
    </row>
    <row r="189" spans="1:18">
      <c r="C189" s="220"/>
      <c r="L189" s="47"/>
      <c r="M189" s="47"/>
      <c r="N189" s="47"/>
      <c r="O189" s="48"/>
      <c r="P189" s="48"/>
      <c r="Q189" s="48"/>
      <c r="R189" s="48"/>
    </row>
    <row r="190" spans="1:18" ht="13.8">
      <c r="B190" s="19" t="s">
        <v>386</v>
      </c>
      <c r="C190" s="220">
        <v>100</v>
      </c>
      <c r="L190" s="47"/>
      <c r="M190" s="47"/>
      <c r="N190" s="47"/>
      <c r="O190" s="48"/>
      <c r="P190" s="48"/>
      <c r="Q190" s="48"/>
      <c r="R190" s="48"/>
    </row>
    <row r="191" spans="1:18">
      <c r="C191" s="220"/>
      <c r="L191" s="47"/>
      <c r="M191" s="47"/>
      <c r="N191" s="47"/>
      <c r="O191" s="48"/>
      <c r="P191" s="48"/>
      <c r="Q191" s="48"/>
      <c r="R191" s="48"/>
    </row>
    <row r="192" spans="1:18" ht="40.799999999999997" thickBot="1">
      <c r="B192" s="20"/>
      <c r="C192" s="21" t="s">
        <v>411</v>
      </c>
      <c r="D192" s="20" t="s">
        <v>324</v>
      </c>
      <c r="E192" s="20" t="s">
        <v>343</v>
      </c>
      <c r="F192" s="20" t="s">
        <v>360</v>
      </c>
      <c r="G192" s="20" t="s">
        <v>412</v>
      </c>
      <c r="H192" s="20"/>
      <c r="I192" s="39"/>
      <c r="J192" s="20"/>
      <c r="K192" s="20"/>
      <c r="L192" s="49" t="s">
        <v>390</v>
      </c>
      <c r="M192" s="49" t="s">
        <v>391</v>
      </c>
      <c r="N192" s="49" t="s">
        <v>392</v>
      </c>
      <c r="O192" s="40" t="s">
        <v>393</v>
      </c>
      <c r="P192" s="40" t="s">
        <v>394</v>
      </c>
      <c r="Q192" s="56" t="s">
        <v>395</v>
      </c>
      <c r="R192" s="57" t="s">
        <v>396</v>
      </c>
    </row>
    <row r="193" spans="1:18" ht="13.8" thickTop="1">
      <c r="A193">
        <v>1</v>
      </c>
      <c r="B193" s="228" t="s">
        <v>618</v>
      </c>
      <c r="C193" s="258" t="s">
        <v>616</v>
      </c>
      <c r="D193" s="17">
        <f>24*(C190-4)*2</f>
        <v>4608</v>
      </c>
      <c r="E193" s="17">
        <f>2*12*C190*2</f>
        <v>4800</v>
      </c>
      <c r="F193" s="17">
        <f>4*12*14*2</f>
        <v>1344</v>
      </c>
      <c r="G193" s="17">
        <f>2*12*C190</f>
        <v>2400</v>
      </c>
      <c r="L193" s="29">
        <f>C190*12*(14+2)*2</f>
        <v>38400</v>
      </c>
      <c r="M193" s="29">
        <f>SUM(D193:G193)</f>
        <v>13152</v>
      </c>
      <c r="N193" s="44">
        <f>100*M193/L193</f>
        <v>34.25</v>
      </c>
      <c r="O193">
        <f>L193</f>
        <v>38400</v>
      </c>
      <c r="P193">
        <f>M193</f>
        <v>13152</v>
      </c>
      <c r="Q193" s="44">
        <f>100*P193/O193</f>
        <v>34.25</v>
      </c>
      <c r="R193" s="58">
        <f t="shared" ref="R193:R195" si="28">(1-Q193/100)/(1-N193/100)</f>
        <v>1</v>
      </c>
    </row>
    <row r="194" spans="1:18" s="48" customFormat="1">
      <c r="A194" s="48">
        <v>2</v>
      </c>
      <c r="B194" s="228" t="s">
        <v>656</v>
      </c>
      <c r="C194" s="47" t="s">
        <v>657</v>
      </c>
      <c r="D194" s="47">
        <f>24*(C190-2)*3+24*(C190-4)</f>
        <v>9360</v>
      </c>
      <c r="E194" s="47">
        <f>12*2*C190*2</f>
        <v>4800</v>
      </c>
      <c r="F194" s="47">
        <f>12*14*2*3+12*14*4*1</f>
        <v>1680</v>
      </c>
      <c r="G194" s="47">
        <f>1*12*C190</f>
        <v>1200</v>
      </c>
      <c r="L194" s="47">
        <f>C190*12*(14*2+2+0.5)*2</f>
        <v>73200</v>
      </c>
      <c r="M194" s="29">
        <f>SUM(D194:G194)</f>
        <v>17040</v>
      </c>
      <c r="N194" s="44">
        <f>100*M194/L194</f>
        <v>23.278688524590162</v>
      </c>
      <c r="O194">
        <f>L194</f>
        <v>73200</v>
      </c>
      <c r="P194">
        <f>M194</f>
        <v>17040</v>
      </c>
      <c r="Q194" s="44">
        <f>100*P194/O194</f>
        <v>23.278688524590162</v>
      </c>
      <c r="R194" s="58">
        <f t="shared" si="28"/>
        <v>1</v>
      </c>
    </row>
    <row r="195" spans="1:18" s="48" customFormat="1">
      <c r="A195" s="48">
        <v>3</v>
      </c>
      <c r="B195" s="228" t="s">
        <v>780</v>
      </c>
      <c r="C195" s="231" t="s">
        <v>781</v>
      </c>
      <c r="D195" s="47">
        <f>24*(C190-3)*2+24*(C190-2)*2</f>
        <v>9360</v>
      </c>
      <c r="E195" s="47">
        <f>12*2*C190</f>
        <v>2400</v>
      </c>
      <c r="F195" s="47">
        <f>12*14*3*2+12*7*3*1+12*14*1</f>
        <v>1428</v>
      </c>
      <c r="G195" s="47">
        <f>2*12*C190</f>
        <v>2400</v>
      </c>
      <c r="L195" s="47">
        <f>C190*12*(14*2+6)*2</f>
        <v>81600</v>
      </c>
      <c r="M195" s="29">
        <f>SUM(D195:F195)</f>
        <v>13188</v>
      </c>
      <c r="N195" s="44">
        <f>100*M195/L195</f>
        <v>16.161764705882351</v>
      </c>
      <c r="O195" s="48">
        <f>L195+G195</f>
        <v>84000</v>
      </c>
      <c r="P195">
        <f>SUM(D195:G195)</f>
        <v>15588</v>
      </c>
      <c r="Q195" s="44">
        <f>100*P195/O195</f>
        <v>18.557142857142857</v>
      </c>
      <c r="R195" s="58">
        <f t="shared" si="28"/>
        <v>0.97142857142857142</v>
      </c>
    </row>
    <row r="196" spans="1:18">
      <c r="B196" s="27"/>
      <c r="C196" s="27"/>
      <c r="D196" s="27"/>
      <c r="E196" s="27"/>
      <c r="F196" s="27"/>
      <c r="G196" s="27"/>
      <c r="H196" s="15"/>
      <c r="I196" s="24"/>
      <c r="J196" s="15"/>
      <c r="K196" s="15"/>
      <c r="L196" s="29"/>
      <c r="M196" s="29"/>
      <c r="N196" s="44"/>
      <c r="O196" s="31"/>
      <c r="P196" s="31"/>
      <c r="Q196" s="61"/>
      <c r="R196" s="58"/>
    </row>
  </sheetData>
  <customSheetViews>
    <customSheetView guid="{35BB8162-AD08-4F19-B47C-5A1FD7B0567B}" scale="85" topLeftCell="A165">
      <selection activeCell="D191" sqref="D191"/>
      <pageMargins left="0.69930555555555596" right="0.69930555555555596" top="0.75" bottom="0.75" header="0.3" footer="0.3"/>
      <pageSetup orientation="portrait"/>
    </customSheetView>
    <customSheetView guid="{0F2BBD7E-9334-44AA-B170-23CF20E0BAAC}" scale="85" topLeftCell="A168">
      <selection activeCell="B177" sqref="B177:F177"/>
      <pageMargins left="0.69930555555555596" right="0.69930555555555596" top="0.75" bottom="0.75" header="0.3" footer="0.3"/>
      <pageSetup orientation="portrait"/>
    </customSheetView>
    <customSheetView guid="{02347D80-63DB-496D-935F-2CF95DC088FE}" topLeftCell="B1">
      <selection activeCell="G3" sqref="G3"/>
      <pageMargins left="0.69930555555555596" right="0.69930555555555596" top="0.75" bottom="0.75" header="0.3" footer="0.3"/>
      <pageSetup orientation="portrait"/>
    </customSheetView>
    <customSheetView guid="{0EBD1C52-A862-496E-88D9-4B6EAB1093EB}" scale="85" topLeftCell="A160">
      <selection activeCell="J177" sqref="J177"/>
      <pageMargins left="0.69930555555555596" right="0.69930555555555596" top="0.75" bottom="0.75" header="0.3" footer="0.3"/>
      <pageSetup orientation="portrait"/>
    </customSheetView>
    <customSheetView guid="{279B0F34-BE9C-4778-A036-3ED8EAAF78FA}" scale="85" topLeftCell="A90">
      <selection activeCell="J118" sqref="J118"/>
      <pageMargins left="0.69930555555555596" right="0.69930555555555596" top="0.75" bottom="0.75" header="0.3" footer="0.3"/>
      <pageSetup orientation="portrait"/>
    </customSheetView>
    <customSheetView guid="{FE13EA77-3511-4AB1-99FB-5446425992B9}" scale="85" topLeftCell="A90">
      <selection activeCell="J118" sqref="J118"/>
      <pageMargins left="0.69930555555555596" right="0.69930555555555596" top="0.75" bottom="0.75" header="0.3" footer="0.3"/>
      <pageSetup orientation="portrait"/>
    </customSheetView>
    <customSheetView guid="{15D5C299-761A-4CBF-AA27-B17032FC4CEB}" scale="85" topLeftCell="A165">
      <selection activeCell="D191" sqref="D191"/>
      <pageMargins left="0.69930555555555596" right="0.69930555555555596" top="0.75" bottom="0.75" header="0.3" footer="0.3"/>
      <pageSetup orientation="portrait"/>
    </customSheetView>
  </customSheetViews>
  <mergeCells count="1">
    <mergeCell ref="B1:J1"/>
  </mergeCells>
  <phoneticPr fontId="15" type="noConversion"/>
  <pageMargins left="0.69930555555555596" right="0.69930555555555596"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档" ma:contentTypeID="0x010100AF9254F916046D47805269FA44C28805" ma:contentTypeVersion="11" ma:contentTypeDescription="新建文档。" ma:contentTypeScope="" ma:versionID="8e552e9faad47e1ac1cd93d3d0d27245">
  <xsd:schema xmlns:xsd="http://www.w3.org/2001/XMLSchema" xmlns:xs="http://www.w3.org/2001/XMLSchema" xmlns:p="http://schemas.microsoft.com/office/2006/metadata/properties" xmlns:ns2="25a9b192-4ffd-45fe-9f9b-78d47ef7d08b" xmlns:ns3="887e1eb4-d705-45f4-998c-aa955aed8a7f" targetNamespace="http://schemas.microsoft.com/office/2006/metadata/properties" ma:root="true" ma:fieldsID="7ea357d1f358b868c7854abeba98cd03" ns2:_="" ns3:_="">
    <xsd:import namespace="25a9b192-4ffd-45fe-9f9b-78d47ef7d08b"/>
    <xsd:import namespace="887e1eb4-d705-45f4-998c-aa955aed8a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9b192-4ffd-45fe-9f9b-78d47ef7d08b" elementFormDefault="qualified">
    <xsd:import namespace="http://schemas.microsoft.com/office/2006/documentManagement/types"/>
    <xsd:import namespace="http://schemas.microsoft.com/office/infopath/2007/PartnerControls"/>
    <xsd:element name="SharedWithUsers" ma:index="8" nillable="true" ma:displayName="共享对象:"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享对象详细信息" ma:description="" ma:internalName="SharedWithDetails" ma:readOnly="true">
      <xsd:simpleType>
        <xsd:restriction base="dms:Note">
          <xsd:maxLength value="255"/>
        </xsd:restriction>
      </xsd:simpleType>
    </xsd:element>
    <xsd:element name="LastSharedByUser" ma:index="10" nillable="true" ma:displayName="上次共享用户" ma:description="" ma:internalName="LastSharedByUser" ma:readOnly="true">
      <xsd:simpleType>
        <xsd:restriction base="dms:Note">
          <xsd:maxLength value="255"/>
        </xsd:restriction>
      </xsd:simpleType>
    </xsd:element>
    <xsd:element name="LastSharedByTime" ma:index="11" nillable="true" ma:displayName="上次共享时间"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87e1eb4-d705-45f4-998c-aa955aed8a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9601AB05-C92B-430F-8185-B6D95B62B89A}">
  <ds:schemaRefs/>
</ds:datastoreItem>
</file>

<file path=customXml/itemProps2.xml><?xml version="1.0" encoding="utf-8"?>
<ds:datastoreItem xmlns:ds="http://schemas.openxmlformats.org/officeDocument/2006/customXml" ds:itemID="{8AC80BEB-915D-43B1-9CAD-DCD3B95AF534}">
  <ds:schemaRefs/>
</ds:datastoreItem>
</file>

<file path=customXml/itemProps3.xml><?xml version="1.0" encoding="utf-8"?>
<ds:datastoreItem xmlns:ds="http://schemas.openxmlformats.org/officeDocument/2006/customXml" ds:itemID="{25789EEF-91FB-42B3-A3F2-5A53C39B2814}">
  <ds:schemaRef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887e1eb4-d705-45f4-998c-aa955aed8a7f"/>
    <ds:schemaRef ds:uri="25a9b192-4ffd-45fe-9f9b-78d47ef7d08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Revision comments</vt:lpstr>
      <vt:lpstr>DL_Para_4GHz</vt:lpstr>
      <vt:lpstr>UL_Para_4GHz</vt:lpstr>
      <vt:lpstr>DL_Para_30GHz</vt:lpstr>
      <vt:lpstr>UL_Para_30GHz</vt:lpstr>
      <vt:lpstr>DL_OH_Para</vt:lpstr>
      <vt:lpstr>UL_OH_Para</vt:lpstr>
      <vt:lpstr>DL_OH</vt:lpstr>
      <vt:lpstr>UL_OH</vt:lpstr>
      <vt:lpstr>Results_4GHz</vt:lpstr>
      <vt:lpstr>Results_30GHz</vt:lpstr>
      <vt:lpstr>Results_4GHz_LargerBW</vt:lpstr>
      <vt:lpstr>Results_30GHz_largerBW</vt:lpstr>
    </vt:vector>
  </TitlesOfParts>
  <Company>Ericsson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erafura</dc:creator>
  <cp:keywords>CTPClassification=CTP_IC:VisualMarkings=, CTPClassification=CTP_IC</cp:keywords>
  <cp:lastModifiedBy>Nakamura, Takaharu</cp:lastModifiedBy>
  <cp:lastPrinted>2011-08-15T04:23:00Z</cp:lastPrinted>
  <dcterms:created xsi:type="dcterms:W3CDTF">2009-04-02T17:18:00Z</dcterms:created>
  <dcterms:modified xsi:type="dcterms:W3CDTF">2019-11-27T07:55:07Z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level">
    <vt:lpwstr>5</vt:lpwstr>
  </property>
  <property fmtid="{D5CDD505-2E9C-101B-9397-08002B2CF9AE}" pid="3" name="slevelui">
    <vt:lpwstr>0</vt:lpwstr>
  </property>
  <property fmtid="{D5CDD505-2E9C-101B-9397-08002B2CF9AE}" pid="4" name="_NewReviewCycle">
    <vt:lpwstr/>
  </property>
  <property fmtid="{D5CDD505-2E9C-101B-9397-08002B2CF9AE}" pid="5" name="_ms_pID_725343">
    <vt:lpwstr>(3)ndg2hq9+vee9ZpH7NtmS+49bamYLNL7V3rHDIFvLz86GXp9LbdREafClwTNEMYP9z6o6SuU5_x000d_
riAauRvj5BB9BN2g+p0ZN+25KvgVK+sXmXpBkjC1K3xtKZ9dSdV4ubarm8JqGT3dAX33yrma_x000d_
00jB7Khe02XbVBs727JBFgoewPnCMADQuo86JbUuiKIrD96xvq4orXBS6TnzMH56sb+x9RdI_x000d_
s+XWGprl4Z/cH+R0+X</vt:lpwstr>
  </property>
  <property fmtid="{D5CDD505-2E9C-101B-9397-08002B2CF9AE}" pid="6" name="_ms_pID_7253432">
    <vt:lpwstr>5OJGb3f+mH1KzqZbnkYTVAeOjlSdIMeSlRi0_x000d_
T/acmNf7nIMFpuxj6DgIG5q3cKVhyUYcFSQiHVBrrxtrBHIJzns=</vt:lpwstr>
  </property>
  <property fmtid="{D5CDD505-2E9C-101B-9397-08002B2CF9AE}" pid="7" name="_ms_pID_7253431">
    <vt:lpwstr>JlkahCVCgBiAbbK2PRtN4TNI4Cf96TF9zAJtItSRPLOCiVFqgnXNQl_x000d_
0LnhEEKhALHOvwNRoXcsM2ckJ5D13XOkM8P1fLpGrFHRc0CQx1iCAp7/gi5Uz8nOixsjcCfI_x000d_
uoV6NsXdKtrq3EmqW2TT9jfetetwFR0R37eToZoHAhf5dSGLO3tteRe3/x8jUcBIZeKv29k5_x000d_
fPIkAJSS+OMNqGrmUpx/H+JDu4MZHHxAAMkB</vt:lpwstr>
  </property>
  <property fmtid="{D5CDD505-2E9C-101B-9397-08002B2CF9AE}" pid="8" name="_2015_ms_pID_725343">
    <vt:lpwstr>(3)STeEqvtk1JmGVLEbRtH46GtSKLoqG2keelfhFvhKHN0hEPGFiedwQhkMEVoCgG2Kmh92IhL2
DENUxUmTlrUbulMG1GlcMU9m0NpUzEgyrvu0DWv+fQegP3VCmoC4ae+FlhevckzhlzQlnTK9
1ydXRFJFuOy+MgH6EJemJ2AHpPWsosq6sqJ1YjrfaqFOWQFkxOF9kflAT6z1tQoQlZshab/q
/smTvtdljGlRYsIBqK</vt:lpwstr>
  </property>
  <property fmtid="{D5CDD505-2E9C-101B-9397-08002B2CF9AE}" pid="9" name="_2015_ms_pID_7253431">
    <vt:lpwstr>uvPl4JNShdcz3M2R60F1lKjyEqnYn6BO7/YViwk9CeAZdNQMp7y3zy
yw7svC3g6XoMFwqSRExnK5LucFK8yk/G2WrZH/Gfnd1iOFgoKn+njgOnnlNBkrQ30vUUSuFr
6tCmAfgLGf3IgkWAfQO7bBHAzqbFXSfCo9H1+AWbKOrPNZjlgkvsZXQbRJ5mWvXOCkGbFZQu
HTa9ck2FlVMg4+CFo5gJbHkYBjzOXDuuWu1r</vt:lpwstr>
  </property>
  <property fmtid="{D5CDD505-2E9C-101B-9397-08002B2CF9AE}" pid="10" name="_2015_ms_pID_7253432">
    <vt:lpwstr>NuDqAgZbfAjoeE/CgZo9B91bGE0l3P/PhhCp
ZnoBqADGehyg7esPmglvQI/cYSPn6oBRgp1Kepm9NaAHzeoimXk=</vt:lpwstr>
  </property>
  <property fmtid="{D5CDD505-2E9C-101B-9397-08002B2CF9AE}" pid="11" name="ContentTypeId">
    <vt:lpwstr>0x010100AF9254F916046D47805269FA44C28805</vt:lpwstr>
  </property>
  <property fmtid="{D5CDD505-2E9C-101B-9397-08002B2CF9AE}" pid="12" name="TitusGUID">
    <vt:lpwstr>fbf37dd8-1465-489a-801f-3cf9f9496f01</vt:lpwstr>
  </property>
  <property fmtid="{D5CDD505-2E9C-101B-9397-08002B2CF9AE}" pid="13" name="CTP_BU">
    <vt:lpwstr>NEXT GEN AND STANDARDS GROUP</vt:lpwstr>
  </property>
  <property fmtid="{D5CDD505-2E9C-101B-9397-08002B2CF9AE}" pid="14" name="CTP_TimeStamp">
    <vt:lpwstr>2018-02-05 18:52:22Z</vt:lpwstr>
  </property>
  <property fmtid="{D5CDD505-2E9C-101B-9397-08002B2CF9AE}" pid="15" name="CTPClassification">
    <vt:lpwstr>CTP_IC</vt:lpwstr>
  </property>
  <property fmtid="{D5CDD505-2E9C-101B-9397-08002B2CF9AE}" pid="16" name="KSOProductBuildVer">
    <vt:lpwstr>2052-10.8.0.6206</vt:lpwstr>
  </property>
  <property fmtid="{D5CDD505-2E9C-101B-9397-08002B2CF9AE}" pid="17" name="NSCPROP_SA">
    <vt:lpwstr>C:\Users\Samsung\Desktop\새 폴더\SpectralEfficiency - 02 DenseUrban-eMBB_v47_r7_CATT_DCM_ITRI.xlsx</vt:lpwstr>
  </property>
  <property fmtid="{D5CDD505-2E9C-101B-9397-08002B2CF9AE}" pid="18" name="_readonly">
    <vt:lpwstr/>
  </property>
  <property fmtid="{D5CDD505-2E9C-101B-9397-08002B2CF9AE}" pid="19" name="_change">
    <vt:lpwstr/>
  </property>
  <property fmtid="{D5CDD505-2E9C-101B-9397-08002B2CF9AE}" pid="20" name="_full-control">
    <vt:lpwstr/>
  </property>
  <property fmtid="{D5CDD505-2E9C-101B-9397-08002B2CF9AE}" pid="21" name="sflag">
    <vt:lpwstr>1558400932</vt:lpwstr>
  </property>
</Properties>
</file>