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Mydocuments\3GPP\ARIB\20B-AH\IMT2020_IEG\EvalRep(5GMF-IEG)\37910-g00\B.4.1_eMBB_SE\"/>
    </mc:Choice>
  </mc:AlternateContent>
  <bookViews>
    <workbookView xWindow="0" yWindow="0" windowWidth="28800" windowHeight="12048" tabRatio="875" activeTab="14"/>
  </bookViews>
  <sheets>
    <sheet name="Revision comments" sheetId="1" r:id="rId1"/>
    <sheet name="DL_Para_4GHz" sheetId="2" r:id="rId2"/>
    <sheet name="UL_Para_4GHz" sheetId="3" r:id="rId3"/>
    <sheet name="DL_Para_30GHz" sheetId="4" r:id="rId4"/>
    <sheet name="UL_Para_30GHz" sheetId="5" r:id="rId5"/>
    <sheet name="DL_Para_70GHz" sheetId="18" r:id="rId6"/>
    <sheet name="UL_Para_70GHz" sheetId="19" r:id="rId7"/>
    <sheet name="DL_OH_Para" sheetId="6" r:id="rId8"/>
    <sheet name="UL_OH_Para" sheetId="7" r:id="rId9"/>
    <sheet name="DL_OH" sheetId="8" r:id="rId10"/>
    <sheet name="UL_OH" sheetId="9" r:id="rId11"/>
    <sheet name="Results_4GHz_12TRxP" sheetId="10" r:id="rId12"/>
    <sheet name="Results_4GHz_36TRxP" sheetId="11" r:id="rId13"/>
    <sheet name="Results_30GHz_12TRxP" sheetId="12" r:id="rId14"/>
    <sheet name="Results_4GHz_LargerBW_12TRxP" sheetId="14" r:id="rId15"/>
    <sheet name="Results_4GHz_LargerBW_36TRxP" sheetId="15" r:id="rId16"/>
    <sheet name="Results_30GHz_LargerBW_12TRxP" sheetId="16" r:id="rId17"/>
  </sheets>
  <definedNames>
    <definedName name="OLE_LINK27" localSheetId="8">UL_OH_Para!$G$4</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82" i="15" l="1"/>
  <c r="A155" i="14"/>
  <c r="A84" i="12"/>
  <c r="A52" i="11"/>
  <c r="A109" i="10"/>
  <c r="N27" i="16" l="1"/>
  <c r="N26" i="16"/>
  <c r="N25" i="16"/>
  <c r="N24" i="16"/>
  <c r="M102" i="16"/>
  <c r="M101" i="16"/>
  <c r="M98" i="16"/>
  <c r="M97" i="16"/>
  <c r="M89" i="16"/>
  <c r="M88" i="16"/>
  <c r="M62" i="16"/>
  <c r="M61" i="16"/>
  <c r="M60" i="16"/>
  <c r="M59" i="16"/>
  <c r="M27" i="16"/>
  <c r="M26" i="16"/>
  <c r="M25" i="16"/>
  <c r="M24" i="16"/>
  <c r="M23" i="16"/>
  <c r="M22" i="16"/>
  <c r="M21" i="16"/>
  <c r="M20" i="16"/>
  <c r="M19" i="16"/>
  <c r="M18" i="16"/>
  <c r="M12" i="16"/>
  <c r="M11" i="16"/>
  <c r="O106" i="16"/>
  <c r="O105" i="16"/>
  <c r="O104" i="16"/>
  <c r="O103" i="16"/>
  <c r="O102" i="16"/>
  <c r="O101" i="16"/>
  <c r="O100" i="16"/>
  <c r="O99" i="16"/>
  <c r="O98" i="16"/>
  <c r="O97" i="16"/>
  <c r="O96" i="16"/>
  <c r="O95" i="16"/>
  <c r="O93" i="16"/>
  <c r="O92" i="16"/>
  <c r="O89" i="16"/>
  <c r="O88" i="16"/>
  <c r="O85" i="16"/>
  <c r="O84" i="16"/>
  <c r="O83" i="16"/>
  <c r="O82" i="16"/>
  <c r="O80" i="16"/>
  <c r="O79" i="16"/>
  <c r="O74" i="16"/>
  <c r="O73" i="16"/>
  <c r="O72" i="16"/>
  <c r="O71" i="16"/>
  <c r="O70" i="16"/>
  <c r="O69" i="16"/>
  <c r="O68" i="16"/>
  <c r="O67" i="16"/>
  <c r="O66" i="16"/>
  <c r="O65" i="16"/>
  <c r="O64" i="16"/>
  <c r="O63" i="16"/>
  <c r="O62" i="16"/>
  <c r="O61" i="16"/>
  <c r="O60" i="16"/>
  <c r="O59" i="16"/>
  <c r="O58" i="16"/>
  <c r="O57" i="16"/>
  <c r="O56" i="16"/>
  <c r="O55" i="16"/>
  <c r="O54" i="16"/>
  <c r="O53" i="16"/>
  <c r="O51" i="16"/>
  <c r="O50" i="16"/>
  <c r="O49" i="16"/>
  <c r="O48" i="16"/>
  <c r="O46" i="16"/>
  <c r="O45" i="16"/>
  <c r="O44" i="16"/>
  <c r="O43" i="16"/>
  <c r="O42" i="16"/>
  <c r="O41" i="16"/>
  <c r="O39" i="16"/>
  <c r="O38" i="16"/>
  <c r="O37" i="16"/>
  <c r="O36" i="16"/>
  <c r="O34" i="16"/>
  <c r="O33" i="16"/>
  <c r="O32" i="16"/>
  <c r="O31" i="16"/>
  <c r="O30" i="16"/>
  <c r="O29" i="16"/>
  <c r="O27" i="16"/>
  <c r="O26" i="16"/>
  <c r="O25" i="16"/>
  <c r="O24" i="16"/>
  <c r="O23" i="16"/>
  <c r="O22" i="16"/>
  <c r="O21" i="16"/>
  <c r="O20" i="16"/>
  <c r="O19" i="16"/>
  <c r="O18" i="16"/>
  <c r="O15" i="16"/>
  <c r="O14" i="16"/>
  <c r="O12" i="16"/>
  <c r="O11" i="16"/>
  <c r="O10" i="16"/>
  <c r="O9" i="16"/>
  <c r="O7" i="16"/>
  <c r="O6" i="16"/>
  <c r="O4" i="16"/>
  <c r="O3" i="16"/>
  <c r="U35" i="15"/>
  <c r="U34" i="15"/>
  <c r="U33" i="15"/>
  <c r="U32" i="15"/>
  <c r="U30" i="15"/>
  <c r="U29" i="15"/>
  <c r="U28" i="15"/>
  <c r="U27" i="15"/>
  <c r="U26" i="15"/>
  <c r="U25" i="15"/>
  <c r="U8" i="15"/>
  <c r="U7" i="15"/>
  <c r="U6" i="15"/>
  <c r="U5" i="15"/>
  <c r="U4" i="15"/>
  <c r="U3" i="15"/>
  <c r="W80" i="15"/>
  <c r="W79" i="15"/>
  <c r="W77" i="15"/>
  <c r="W76" i="15"/>
  <c r="W74" i="15"/>
  <c r="W73" i="15"/>
  <c r="W70" i="15"/>
  <c r="W69" i="15"/>
  <c r="W67" i="15"/>
  <c r="W66" i="15"/>
  <c r="W64" i="15"/>
  <c r="W63" i="15"/>
  <c r="W59" i="15"/>
  <c r="W58" i="15"/>
  <c r="W57" i="15"/>
  <c r="W56" i="15"/>
  <c r="W55" i="15"/>
  <c r="W54" i="15"/>
  <c r="W52" i="15"/>
  <c r="W51" i="15"/>
  <c r="W50" i="15"/>
  <c r="W49" i="15"/>
  <c r="W48" i="15"/>
  <c r="W47" i="15"/>
  <c r="W45" i="15"/>
  <c r="W44" i="15"/>
  <c r="W43" i="15"/>
  <c r="W42" i="15"/>
  <c r="W40" i="15"/>
  <c r="W39" i="15"/>
  <c r="W38" i="15"/>
  <c r="W37" i="15"/>
  <c r="W35" i="15"/>
  <c r="W34" i="15"/>
  <c r="W33" i="15"/>
  <c r="W32" i="15"/>
  <c r="W30" i="15"/>
  <c r="W29" i="15"/>
  <c r="W28" i="15"/>
  <c r="W27" i="15"/>
  <c r="W26" i="15"/>
  <c r="W25" i="15"/>
  <c r="W22" i="15"/>
  <c r="W21" i="15"/>
  <c r="W20" i="15"/>
  <c r="W19" i="15"/>
  <c r="W18" i="15"/>
  <c r="W17" i="15"/>
  <c r="W15" i="15"/>
  <c r="W14" i="15"/>
  <c r="W13" i="15"/>
  <c r="W12" i="15"/>
  <c r="W11" i="15"/>
  <c r="W10" i="15"/>
  <c r="W8" i="15"/>
  <c r="W7" i="15"/>
  <c r="W6" i="15"/>
  <c r="W5" i="15"/>
  <c r="W4" i="15"/>
  <c r="W3" i="15"/>
  <c r="L35" i="15"/>
  <c r="L34" i="15"/>
  <c r="L33" i="15"/>
  <c r="L32" i="15"/>
  <c r="L30" i="15"/>
  <c r="L29" i="15"/>
  <c r="L28" i="15"/>
  <c r="L27" i="15"/>
  <c r="L26" i="15"/>
  <c r="L25" i="15"/>
  <c r="L8" i="15"/>
  <c r="L7" i="15"/>
  <c r="L6" i="15"/>
  <c r="L5" i="15"/>
  <c r="L4" i="15"/>
  <c r="L3" i="15"/>
  <c r="N80" i="15"/>
  <c r="N79" i="15"/>
  <c r="N77" i="15"/>
  <c r="N76" i="15"/>
  <c r="N74" i="15"/>
  <c r="N73" i="15"/>
  <c r="N70" i="15"/>
  <c r="N69" i="15"/>
  <c r="N67" i="15"/>
  <c r="N66" i="15"/>
  <c r="N64" i="15"/>
  <c r="N63" i="15"/>
  <c r="N59" i="15"/>
  <c r="N58" i="15"/>
  <c r="N57" i="15"/>
  <c r="N56" i="15"/>
  <c r="N55" i="15"/>
  <c r="N54" i="15"/>
  <c r="N52" i="15"/>
  <c r="N51" i="15"/>
  <c r="N50" i="15"/>
  <c r="N49" i="15"/>
  <c r="N48" i="15"/>
  <c r="N47" i="15"/>
  <c r="N45" i="15"/>
  <c r="N44" i="15"/>
  <c r="N43" i="15"/>
  <c r="N42" i="15"/>
  <c r="N40" i="15"/>
  <c r="N39" i="15"/>
  <c r="N38" i="15"/>
  <c r="N37" i="15"/>
  <c r="N35" i="15"/>
  <c r="N34" i="15"/>
  <c r="N33" i="15"/>
  <c r="N32" i="15"/>
  <c r="N30" i="15"/>
  <c r="N29" i="15"/>
  <c r="N28" i="15"/>
  <c r="N27" i="15"/>
  <c r="N26" i="15"/>
  <c r="N25" i="15"/>
  <c r="N22" i="15"/>
  <c r="N21" i="15"/>
  <c r="N20" i="15"/>
  <c r="N19" i="15"/>
  <c r="N18" i="15"/>
  <c r="N17" i="15"/>
  <c r="N15" i="15"/>
  <c r="N14" i="15"/>
  <c r="N13" i="15"/>
  <c r="N12" i="15"/>
  <c r="N11" i="15"/>
  <c r="N10" i="15"/>
  <c r="N8" i="15"/>
  <c r="N7" i="15"/>
  <c r="N6" i="15"/>
  <c r="N5" i="15"/>
  <c r="N4" i="15"/>
  <c r="N3" i="15"/>
  <c r="Y44" i="14"/>
  <c r="Y43" i="14"/>
  <c r="Y42" i="14"/>
  <c r="Y41" i="14"/>
  <c r="Y39" i="14"/>
  <c r="Y38" i="14"/>
  <c r="Y37" i="14"/>
  <c r="Y36" i="14"/>
  <c r="Y35" i="14"/>
  <c r="Y34" i="14"/>
  <c r="Y8" i="14"/>
  <c r="Y7" i="14"/>
  <c r="Y6" i="14"/>
  <c r="Y5" i="14"/>
  <c r="Y4" i="14"/>
  <c r="Y3" i="14"/>
  <c r="X149" i="14"/>
  <c r="X148" i="14"/>
  <c r="X129" i="14"/>
  <c r="X128" i="14"/>
  <c r="X123" i="14"/>
  <c r="X122" i="14"/>
  <c r="X120" i="14"/>
  <c r="X119" i="14"/>
  <c r="X117" i="14"/>
  <c r="X116" i="14"/>
  <c r="X114" i="14"/>
  <c r="X113" i="14"/>
  <c r="X108" i="14"/>
  <c r="X107" i="14"/>
  <c r="X102" i="14"/>
  <c r="X101" i="14"/>
  <c r="X92" i="14"/>
  <c r="X91" i="14"/>
  <c r="X66" i="14"/>
  <c r="X65" i="14"/>
  <c r="X64" i="14"/>
  <c r="X63" i="14"/>
  <c r="X44" i="14"/>
  <c r="X43" i="14"/>
  <c r="X42" i="14"/>
  <c r="X41" i="14"/>
  <c r="X39" i="14"/>
  <c r="X38" i="14"/>
  <c r="X37" i="14"/>
  <c r="X36" i="14"/>
  <c r="X35" i="14"/>
  <c r="X34" i="14"/>
  <c r="X8" i="14"/>
  <c r="X7" i="14"/>
  <c r="X6" i="14"/>
  <c r="X5" i="14"/>
  <c r="X4" i="14"/>
  <c r="X3" i="14"/>
  <c r="Z153" i="14"/>
  <c r="Z152" i="14"/>
  <c r="Z151" i="14"/>
  <c r="Z150" i="14"/>
  <c r="Z149" i="14"/>
  <c r="Z148" i="14"/>
  <c r="Z147" i="14"/>
  <c r="Z146" i="14"/>
  <c r="Z145" i="14"/>
  <c r="Z144" i="14"/>
  <c r="Z143" i="14"/>
  <c r="Z142" i="14"/>
  <c r="Z141" i="14"/>
  <c r="Z140" i="14"/>
  <c r="Z138" i="14"/>
  <c r="Z137" i="14"/>
  <c r="Z135" i="14"/>
  <c r="Z134" i="14"/>
  <c r="Z132" i="14"/>
  <c r="Z131" i="14"/>
  <c r="Z129" i="14"/>
  <c r="Z128" i="14"/>
  <c r="Z126" i="14"/>
  <c r="Z125" i="14"/>
  <c r="Z123" i="14"/>
  <c r="Z122" i="14"/>
  <c r="Z120" i="14"/>
  <c r="Z119" i="14"/>
  <c r="Z117" i="14"/>
  <c r="Z116" i="14"/>
  <c r="Z114" i="14"/>
  <c r="Z113" i="14"/>
  <c r="Z110" i="14"/>
  <c r="Z109" i="14"/>
  <c r="Z108" i="14"/>
  <c r="Z107" i="14"/>
  <c r="Z105" i="14"/>
  <c r="Z104" i="14"/>
  <c r="Z102" i="14"/>
  <c r="Z101" i="14"/>
  <c r="Z98" i="14"/>
  <c r="Z97" i="14"/>
  <c r="Z96" i="14"/>
  <c r="Z95" i="14"/>
  <c r="Z94" i="14"/>
  <c r="Z93" i="14"/>
  <c r="Z92" i="14"/>
  <c r="Z91" i="14"/>
  <c r="Z90" i="14"/>
  <c r="Z89" i="14"/>
  <c r="Z88" i="14"/>
  <c r="Z87" i="14"/>
  <c r="Z86" i="14"/>
  <c r="Z85" i="14"/>
  <c r="Z84" i="14"/>
  <c r="Z83" i="14"/>
  <c r="Z82" i="14"/>
  <c r="Z81" i="14"/>
  <c r="Z80" i="14"/>
  <c r="Z79" i="14"/>
  <c r="Z78" i="14"/>
  <c r="Z77" i="14"/>
  <c r="Z76" i="14"/>
  <c r="Z75" i="14"/>
  <c r="Z73" i="14"/>
  <c r="Z72" i="14"/>
  <c r="Z71" i="14"/>
  <c r="Z70" i="14"/>
  <c r="Z69" i="14"/>
  <c r="Z68" i="14"/>
  <c r="Z66" i="14"/>
  <c r="Z65" i="14"/>
  <c r="Z64" i="14"/>
  <c r="Z63" i="14"/>
  <c r="Z61" i="14"/>
  <c r="Z60" i="14"/>
  <c r="Z59" i="14"/>
  <c r="Z58" i="14"/>
  <c r="Z57" i="14"/>
  <c r="Z56" i="14"/>
  <c r="Z54" i="14"/>
  <c r="Z53" i="14"/>
  <c r="Z52" i="14"/>
  <c r="Z51" i="14"/>
  <c r="Z49" i="14"/>
  <c r="Z48" i="14"/>
  <c r="Z47" i="14"/>
  <c r="Z46" i="14"/>
  <c r="Z44" i="14"/>
  <c r="Z43" i="14"/>
  <c r="Z42" i="14"/>
  <c r="Z41" i="14"/>
  <c r="Z39" i="14"/>
  <c r="Z38" i="14"/>
  <c r="Z37" i="14"/>
  <c r="Z36" i="14"/>
  <c r="Z35" i="14"/>
  <c r="Z34" i="14"/>
  <c r="Z31" i="14"/>
  <c r="Z30" i="14"/>
  <c r="Z29" i="14"/>
  <c r="Z28" i="14"/>
  <c r="Z27" i="14"/>
  <c r="Z26" i="14"/>
  <c r="Z25" i="14"/>
  <c r="Z24" i="14"/>
  <c r="Z22" i="14"/>
  <c r="Z21" i="14"/>
  <c r="Z20" i="14"/>
  <c r="Z19" i="14"/>
  <c r="Z18" i="14"/>
  <c r="Z17" i="14"/>
  <c r="Z15" i="14"/>
  <c r="Z14" i="14"/>
  <c r="Z13" i="14"/>
  <c r="Z12" i="14"/>
  <c r="Z11" i="14"/>
  <c r="Z10" i="14"/>
  <c r="Z8" i="14"/>
  <c r="Z7" i="14"/>
  <c r="Z6" i="14"/>
  <c r="Z5" i="14"/>
  <c r="Z4" i="14"/>
  <c r="Z3" i="14"/>
  <c r="M149" i="14"/>
  <c r="M148" i="14"/>
  <c r="M123" i="14"/>
  <c r="M122" i="14"/>
  <c r="M120" i="14"/>
  <c r="M119" i="14"/>
  <c r="M117" i="14"/>
  <c r="M116" i="14"/>
  <c r="M114" i="14"/>
  <c r="M113" i="14"/>
  <c r="M108" i="14"/>
  <c r="M107" i="14"/>
  <c r="M102" i="14"/>
  <c r="M101" i="14"/>
  <c r="M92" i="14"/>
  <c r="M91" i="14"/>
  <c r="M66" i="14"/>
  <c r="M65" i="14"/>
  <c r="M64" i="14"/>
  <c r="M63" i="14"/>
  <c r="M44" i="14"/>
  <c r="M43" i="14"/>
  <c r="M42" i="14"/>
  <c r="M41" i="14"/>
  <c r="M39" i="14"/>
  <c r="M38" i="14"/>
  <c r="M37" i="14"/>
  <c r="M36" i="14"/>
  <c r="M35" i="14"/>
  <c r="M34" i="14"/>
  <c r="M15" i="14"/>
  <c r="M14" i="14"/>
  <c r="M13" i="14"/>
  <c r="M12" i="14"/>
  <c r="M11" i="14"/>
  <c r="M10" i="14"/>
  <c r="M8" i="14"/>
  <c r="M7" i="14"/>
  <c r="M6" i="14"/>
  <c r="M5" i="14"/>
  <c r="M4" i="14"/>
  <c r="M3" i="14"/>
  <c r="O153" i="14"/>
  <c r="O152" i="14"/>
  <c r="O151" i="14"/>
  <c r="O150" i="14"/>
  <c r="O149" i="14"/>
  <c r="O148" i="14"/>
  <c r="O147" i="14"/>
  <c r="O146" i="14"/>
  <c r="O145" i="14"/>
  <c r="O144" i="14"/>
  <c r="O143" i="14"/>
  <c r="O142" i="14"/>
  <c r="O141" i="14"/>
  <c r="O140" i="14"/>
  <c r="O138" i="14"/>
  <c r="O137" i="14"/>
  <c r="O135" i="14"/>
  <c r="O134" i="14"/>
  <c r="O132" i="14"/>
  <c r="O131" i="14"/>
  <c r="O129" i="14"/>
  <c r="O128" i="14"/>
  <c r="O126" i="14"/>
  <c r="O125" i="14"/>
  <c r="O123" i="14"/>
  <c r="O122" i="14"/>
  <c r="O120" i="14"/>
  <c r="O119" i="14"/>
  <c r="O117" i="14"/>
  <c r="O116" i="14"/>
  <c r="O114" i="14"/>
  <c r="O113" i="14"/>
  <c r="O110" i="14"/>
  <c r="O109" i="14"/>
  <c r="O108" i="14"/>
  <c r="O107" i="14"/>
  <c r="O105" i="14"/>
  <c r="O104" i="14"/>
  <c r="O102" i="14"/>
  <c r="O101" i="14"/>
  <c r="O98" i="14"/>
  <c r="O97" i="14"/>
  <c r="O96" i="14"/>
  <c r="O95" i="14"/>
  <c r="O94" i="14"/>
  <c r="O93" i="14"/>
  <c r="O92" i="14"/>
  <c r="O91" i="14"/>
  <c r="O90" i="14"/>
  <c r="O89" i="14"/>
  <c r="O88" i="14"/>
  <c r="O87" i="14"/>
  <c r="O86" i="14"/>
  <c r="O85" i="14"/>
  <c r="O84" i="14"/>
  <c r="O83" i="14"/>
  <c r="O82" i="14"/>
  <c r="O81" i="14"/>
  <c r="O80" i="14"/>
  <c r="O79" i="14"/>
  <c r="O78" i="14"/>
  <c r="O77" i="14"/>
  <c r="O76" i="14"/>
  <c r="O75" i="14"/>
  <c r="O73" i="14"/>
  <c r="O72" i="14"/>
  <c r="O71" i="14"/>
  <c r="O70" i="14"/>
  <c r="O69" i="14"/>
  <c r="O68" i="14"/>
  <c r="O66" i="14"/>
  <c r="O65" i="14"/>
  <c r="O64" i="14"/>
  <c r="O63" i="14"/>
  <c r="O61" i="14"/>
  <c r="O60" i="14"/>
  <c r="O59" i="14"/>
  <c r="O58" i="14"/>
  <c r="O57" i="14"/>
  <c r="O56" i="14"/>
  <c r="O54" i="14"/>
  <c r="O53" i="14"/>
  <c r="O52" i="14"/>
  <c r="O51" i="14"/>
  <c r="O49" i="14"/>
  <c r="O48" i="14"/>
  <c r="O47" i="14"/>
  <c r="O46" i="14"/>
  <c r="O44" i="14"/>
  <c r="O43" i="14"/>
  <c r="O42" i="14"/>
  <c r="O41" i="14"/>
  <c r="O39" i="14"/>
  <c r="O38" i="14"/>
  <c r="O37" i="14"/>
  <c r="O36" i="14"/>
  <c r="O35" i="14"/>
  <c r="O34" i="14"/>
  <c r="O31" i="14"/>
  <c r="O30" i="14"/>
  <c r="O29" i="14"/>
  <c r="O28" i="14"/>
  <c r="O27" i="14"/>
  <c r="O26" i="14"/>
  <c r="O25" i="14"/>
  <c r="O24" i="14"/>
  <c r="O22" i="14"/>
  <c r="O21" i="14"/>
  <c r="O20" i="14"/>
  <c r="O19" i="14"/>
  <c r="O18" i="14"/>
  <c r="O17" i="14"/>
  <c r="O15" i="14"/>
  <c r="O14" i="14"/>
  <c r="O13" i="14"/>
  <c r="O12" i="14"/>
  <c r="O11" i="14"/>
  <c r="O10" i="14"/>
  <c r="O8" i="14"/>
  <c r="O7" i="14"/>
  <c r="O6" i="14"/>
  <c r="O5" i="14"/>
  <c r="O4" i="14"/>
  <c r="O3" i="14"/>
  <c r="M24" i="12"/>
  <c r="M23" i="12"/>
  <c r="L74" i="12"/>
  <c r="L73" i="12"/>
  <c r="L70" i="12"/>
  <c r="L69" i="12"/>
  <c r="L61" i="12"/>
  <c r="L60" i="12"/>
  <c r="L41" i="12"/>
  <c r="L40" i="12"/>
  <c r="L24" i="12"/>
  <c r="L23" i="12"/>
  <c r="L21" i="12"/>
  <c r="L20" i="12"/>
  <c r="L14" i="12"/>
  <c r="L13" i="12"/>
  <c r="N78" i="12"/>
  <c r="N77" i="12"/>
  <c r="N76" i="12"/>
  <c r="N75" i="12"/>
  <c r="N74" i="12"/>
  <c r="N73" i="12"/>
  <c r="N72" i="12"/>
  <c r="N71" i="12"/>
  <c r="N70" i="12"/>
  <c r="N69" i="12"/>
  <c r="N68" i="12"/>
  <c r="N67" i="12"/>
  <c r="N65" i="12"/>
  <c r="N64" i="12"/>
  <c r="N61" i="12"/>
  <c r="N60" i="12"/>
  <c r="N57" i="12"/>
  <c r="N56" i="12"/>
  <c r="N54" i="12"/>
  <c r="N53" i="12"/>
  <c r="N51" i="12"/>
  <c r="N50" i="12"/>
  <c r="N46" i="12"/>
  <c r="N45" i="12"/>
  <c r="N43" i="12"/>
  <c r="N42" i="12"/>
  <c r="N41" i="12"/>
  <c r="N40" i="12"/>
  <c r="N39" i="12"/>
  <c r="N38" i="12"/>
  <c r="N36" i="12"/>
  <c r="N35" i="12"/>
  <c r="N33" i="12"/>
  <c r="N32" i="12"/>
  <c r="N30" i="12"/>
  <c r="N29" i="12"/>
  <c r="N27" i="12"/>
  <c r="N26" i="12"/>
  <c r="N24" i="12"/>
  <c r="N23" i="12"/>
  <c r="N21" i="12"/>
  <c r="N20" i="12"/>
  <c r="N17" i="12"/>
  <c r="N16" i="12"/>
  <c r="N14" i="12"/>
  <c r="N13" i="12"/>
  <c r="N11" i="12"/>
  <c r="N10" i="12"/>
  <c r="N8" i="12"/>
  <c r="N7" i="12"/>
  <c r="N4" i="12"/>
  <c r="N3" i="12"/>
  <c r="T17" i="11"/>
  <c r="T16" i="11"/>
  <c r="T14" i="11"/>
  <c r="T13" i="11"/>
  <c r="T4" i="11"/>
  <c r="T3" i="11"/>
  <c r="V50" i="11"/>
  <c r="V49" i="11"/>
  <c r="V47" i="11"/>
  <c r="V46" i="11"/>
  <c r="V44" i="11"/>
  <c r="V43" i="11"/>
  <c r="V40" i="11"/>
  <c r="V39" i="11"/>
  <c r="V37" i="11"/>
  <c r="V36" i="11"/>
  <c r="V34" i="11"/>
  <c r="V33" i="11"/>
  <c r="V29" i="11"/>
  <c r="V28" i="11"/>
  <c r="V26" i="11"/>
  <c r="V25" i="11"/>
  <c r="V23" i="11"/>
  <c r="V22" i="11"/>
  <c r="V20" i="11"/>
  <c r="V19" i="11"/>
  <c r="V17" i="11"/>
  <c r="V16" i="11"/>
  <c r="V14" i="11"/>
  <c r="V13" i="11"/>
  <c r="V10" i="11"/>
  <c r="V9" i="11"/>
  <c r="V7" i="11"/>
  <c r="V6" i="11"/>
  <c r="V4" i="11"/>
  <c r="V3" i="11"/>
  <c r="K17" i="11"/>
  <c r="K16" i="11"/>
  <c r="K14" i="11"/>
  <c r="K13" i="11"/>
  <c r="K4" i="11"/>
  <c r="K3" i="11"/>
  <c r="M50" i="11"/>
  <c r="M49" i="11"/>
  <c r="M47" i="11"/>
  <c r="M46" i="11"/>
  <c r="M44" i="11"/>
  <c r="M43" i="11"/>
  <c r="M40" i="11"/>
  <c r="M39" i="11"/>
  <c r="M37" i="11"/>
  <c r="M36" i="11"/>
  <c r="M34" i="11"/>
  <c r="M33" i="11"/>
  <c r="M29" i="11"/>
  <c r="M28" i="11"/>
  <c r="M26" i="11"/>
  <c r="M25" i="11"/>
  <c r="M23" i="11"/>
  <c r="M22" i="11"/>
  <c r="M20" i="11"/>
  <c r="M19" i="11"/>
  <c r="M17" i="11"/>
  <c r="M16" i="11"/>
  <c r="M14" i="11"/>
  <c r="M13" i="11"/>
  <c r="M10" i="11"/>
  <c r="M9" i="11"/>
  <c r="M7" i="11"/>
  <c r="M6" i="11"/>
  <c r="M4" i="11"/>
  <c r="M3" i="11"/>
  <c r="X22" i="10"/>
  <c r="X21" i="10"/>
  <c r="X19" i="10"/>
  <c r="X18" i="10"/>
  <c r="X4" i="10"/>
  <c r="X3" i="10"/>
  <c r="W103" i="10"/>
  <c r="W102" i="10"/>
  <c r="W83" i="10"/>
  <c r="W82" i="10"/>
  <c r="W77" i="10"/>
  <c r="W76" i="10"/>
  <c r="W74" i="10"/>
  <c r="W73" i="10"/>
  <c r="W71" i="10"/>
  <c r="W70" i="10"/>
  <c r="W68" i="10"/>
  <c r="W67" i="10"/>
  <c r="W62" i="10"/>
  <c r="W61" i="10"/>
  <c r="W56" i="10"/>
  <c r="W55" i="10"/>
  <c r="W46" i="10"/>
  <c r="W45" i="10"/>
  <c r="W34" i="10"/>
  <c r="W33" i="10"/>
  <c r="W22" i="10"/>
  <c r="W21" i="10"/>
  <c r="W19" i="10"/>
  <c r="W18" i="10"/>
  <c r="W4" i="10"/>
  <c r="W3" i="10"/>
  <c r="Y107" i="10"/>
  <c r="Y106" i="10"/>
  <c r="Y105" i="10"/>
  <c r="Y104" i="10"/>
  <c r="Y103" i="10"/>
  <c r="Y102" i="10"/>
  <c r="Y101" i="10"/>
  <c r="Y100" i="10"/>
  <c r="Y99" i="10"/>
  <c r="Y98" i="10"/>
  <c r="Y97" i="10"/>
  <c r="Y96" i="10"/>
  <c r="Y95" i="10"/>
  <c r="Y94" i="10"/>
  <c r="Y92" i="10"/>
  <c r="Y91" i="10"/>
  <c r="Y89" i="10"/>
  <c r="Y88" i="10"/>
  <c r="Y86" i="10"/>
  <c r="Y85" i="10"/>
  <c r="Y83" i="10"/>
  <c r="Y82" i="10"/>
  <c r="Y80" i="10"/>
  <c r="Y79" i="10"/>
  <c r="Y77" i="10"/>
  <c r="Y76" i="10"/>
  <c r="Y74" i="10"/>
  <c r="Y73" i="10"/>
  <c r="Y71" i="10"/>
  <c r="Y70" i="10"/>
  <c r="Y68" i="10"/>
  <c r="Y67" i="10"/>
  <c r="Y64" i="10"/>
  <c r="Y63" i="10"/>
  <c r="Y62" i="10"/>
  <c r="Y61" i="10"/>
  <c r="Y59" i="10"/>
  <c r="Y58" i="10"/>
  <c r="Y56" i="10"/>
  <c r="Y55" i="10"/>
  <c r="Y52" i="10"/>
  <c r="Y51" i="10"/>
  <c r="Y50" i="10"/>
  <c r="Y49" i="10"/>
  <c r="Y48" i="10"/>
  <c r="Y47" i="10"/>
  <c r="Y46" i="10"/>
  <c r="Y45" i="10"/>
  <c r="Y44" i="10"/>
  <c r="Y43" i="10"/>
  <c r="Y42" i="10"/>
  <c r="Y41" i="10"/>
  <c r="Y40" i="10"/>
  <c r="Y39" i="10"/>
  <c r="Y37" i="10"/>
  <c r="Y36" i="10"/>
  <c r="Y34" i="10"/>
  <c r="Y33" i="10"/>
  <c r="Y31" i="10"/>
  <c r="Y30" i="10"/>
  <c r="Y28" i="10"/>
  <c r="Y27" i="10"/>
  <c r="Y25" i="10"/>
  <c r="Y24" i="10"/>
  <c r="Y22" i="10"/>
  <c r="Y21" i="10"/>
  <c r="Y19" i="10"/>
  <c r="Y18" i="10"/>
  <c r="Y15" i="10"/>
  <c r="Y14" i="10"/>
  <c r="Y13" i="10"/>
  <c r="Y12" i="10"/>
  <c r="Y10" i="10"/>
  <c r="Y9" i="10"/>
  <c r="Y7" i="10"/>
  <c r="Y6" i="10"/>
  <c r="Y4" i="10"/>
  <c r="Y3" i="10"/>
  <c r="L103" i="10"/>
  <c r="L102" i="10"/>
  <c r="L77" i="10"/>
  <c r="L76" i="10"/>
  <c r="L74" i="10"/>
  <c r="L73" i="10"/>
  <c r="L71" i="10"/>
  <c r="L70" i="10"/>
  <c r="L68" i="10"/>
  <c r="L67" i="10"/>
  <c r="L62" i="10"/>
  <c r="L61" i="10"/>
  <c r="L56" i="10"/>
  <c r="L55" i="10"/>
  <c r="L46" i="10"/>
  <c r="L45" i="10"/>
  <c r="L34" i="10"/>
  <c r="L33" i="10"/>
  <c r="L22" i="10"/>
  <c r="L21" i="10"/>
  <c r="L19" i="10"/>
  <c r="L18" i="10"/>
  <c r="L7" i="10"/>
  <c r="L6" i="10"/>
  <c r="L4" i="10"/>
  <c r="L3" i="10"/>
  <c r="N107" i="10"/>
  <c r="N106" i="10"/>
  <c r="N105" i="10"/>
  <c r="N104" i="10"/>
  <c r="N103" i="10"/>
  <c r="N102" i="10"/>
  <c r="N101" i="10"/>
  <c r="N100" i="10"/>
  <c r="N99" i="10"/>
  <c r="N98" i="10"/>
  <c r="N97" i="10"/>
  <c r="N96" i="10"/>
  <c r="N95" i="10"/>
  <c r="N94" i="10"/>
  <c r="N92" i="10"/>
  <c r="N91" i="10"/>
  <c r="N89" i="10"/>
  <c r="N88" i="10"/>
  <c r="N86" i="10"/>
  <c r="N85" i="10"/>
  <c r="N83" i="10"/>
  <c r="N82" i="10"/>
  <c r="N80" i="10"/>
  <c r="N79" i="10"/>
  <c r="N77" i="10"/>
  <c r="N76" i="10"/>
  <c r="N74" i="10"/>
  <c r="N73" i="10"/>
  <c r="N71" i="10"/>
  <c r="N70" i="10"/>
  <c r="N68" i="10"/>
  <c r="N67" i="10"/>
  <c r="N64" i="10"/>
  <c r="N63" i="10"/>
  <c r="N62" i="10"/>
  <c r="N61" i="10"/>
  <c r="N59" i="10"/>
  <c r="N58" i="10"/>
  <c r="N56" i="10"/>
  <c r="N55" i="10"/>
  <c r="N52" i="10"/>
  <c r="N51" i="10"/>
  <c r="N50" i="10"/>
  <c r="N49" i="10"/>
  <c r="N48" i="10"/>
  <c r="N47" i="10"/>
  <c r="N46" i="10"/>
  <c r="N45" i="10"/>
  <c r="N44" i="10"/>
  <c r="N43" i="10"/>
  <c r="N42" i="10"/>
  <c r="N41" i="10"/>
  <c r="N40" i="10"/>
  <c r="N39" i="10"/>
  <c r="N37" i="10"/>
  <c r="N36" i="10"/>
  <c r="N34" i="10"/>
  <c r="N33" i="10"/>
  <c r="N31" i="10"/>
  <c r="N30" i="10"/>
  <c r="N28" i="10"/>
  <c r="N27" i="10"/>
  <c r="N25" i="10"/>
  <c r="N24" i="10"/>
  <c r="N22" i="10"/>
  <c r="N21" i="10"/>
  <c r="N19" i="10"/>
  <c r="N18" i="10"/>
  <c r="N15" i="10"/>
  <c r="N14" i="10"/>
  <c r="N13" i="10"/>
  <c r="N12" i="10"/>
  <c r="N10" i="10"/>
  <c r="N9" i="10"/>
  <c r="N7" i="10"/>
  <c r="N6" i="10"/>
  <c r="N4" i="10"/>
  <c r="N3" i="10"/>
  <c r="P203" i="8" l="1"/>
  <c r="T203" i="8" s="1"/>
  <c r="X203" i="8"/>
  <c r="E203" i="8"/>
  <c r="M203" i="8"/>
  <c r="K203" i="8"/>
  <c r="J203" i="8"/>
  <c r="G203" i="8"/>
  <c r="F203" i="8"/>
  <c r="I203" i="8"/>
  <c r="H203" i="8"/>
  <c r="U203" i="8" s="1"/>
  <c r="P184" i="8"/>
  <c r="T184" i="8" s="1"/>
  <c r="M184" i="8"/>
  <c r="K184" i="8"/>
  <c r="J184" i="8"/>
  <c r="I184" i="8"/>
  <c r="H184" i="8"/>
  <c r="G184" i="8"/>
  <c r="F184" i="8"/>
  <c r="I166" i="8"/>
  <c r="Y203" i="8" l="1"/>
  <c r="Z203" i="8" s="1"/>
  <c r="V203" i="8"/>
  <c r="N203" i="8"/>
  <c r="O203" i="8" s="1"/>
  <c r="Q203" i="8"/>
  <c r="R203" i="8" s="1"/>
  <c r="AA203" i="8" l="1"/>
  <c r="S203" i="8"/>
  <c r="W203" i="8"/>
  <c r="K276" i="8" l="1"/>
  <c r="D245" i="9" l="1"/>
  <c r="P245" i="9" s="1"/>
  <c r="L244" i="9"/>
  <c r="L245" i="9"/>
  <c r="O245" i="9" s="1"/>
  <c r="G245" i="9"/>
  <c r="F245" i="9"/>
  <c r="E244" i="9"/>
  <c r="E245" i="9"/>
  <c r="E276" i="8"/>
  <c r="O276" i="8"/>
  <c r="P276" i="8" s="1"/>
  <c r="Q276" i="8"/>
  <c r="N276" i="8"/>
  <c r="L276" i="8"/>
  <c r="K275" i="8"/>
  <c r="J276" i="8"/>
  <c r="F276" i="8"/>
  <c r="Q245" i="9" l="1"/>
  <c r="M245" i="9"/>
  <c r="N245" i="9" s="1"/>
  <c r="R276" i="8"/>
  <c r="S276" i="8" s="1"/>
  <c r="T276" i="8" s="1"/>
  <c r="O236" i="8"/>
  <c r="M236" i="8"/>
  <c r="R245" i="9" l="1"/>
  <c r="R218" i="8" l="1"/>
  <c r="O218" i="8"/>
  <c r="M218" i="8"/>
  <c r="K218" i="8"/>
  <c r="J218" i="8"/>
  <c r="I218" i="8"/>
  <c r="H218" i="8"/>
  <c r="G218" i="8"/>
  <c r="F218" i="8"/>
  <c r="E218" i="8"/>
  <c r="S218" i="8" s="1"/>
  <c r="R219" i="8"/>
  <c r="G219" i="8"/>
  <c r="F219" i="8"/>
  <c r="O219" i="8"/>
  <c r="M219" i="8"/>
  <c r="K236" i="8"/>
  <c r="AA236" i="8" s="1"/>
  <c r="K219" i="8"/>
  <c r="J219" i="8"/>
  <c r="I219" i="8"/>
  <c r="H219" i="8"/>
  <c r="E219" i="8"/>
  <c r="S219" i="8" s="1"/>
  <c r="R236" i="8"/>
  <c r="Z236" i="8" s="1"/>
  <c r="J236" i="8"/>
  <c r="I236" i="8"/>
  <c r="H236" i="8"/>
  <c r="G236" i="8"/>
  <c r="F236" i="8"/>
  <c r="E236" i="8"/>
  <c r="AB236" i="8" l="1"/>
  <c r="V236" i="8"/>
  <c r="P218" i="8"/>
  <c r="Q218" i="8" s="1"/>
  <c r="P219" i="8"/>
  <c r="Q219" i="8" s="1"/>
  <c r="W236" i="8"/>
  <c r="X236" i="8" s="1"/>
  <c r="S236" i="8"/>
  <c r="T236" i="8" s="1"/>
  <c r="AC236" i="8" s="1"/>
  <c r="P236" i="8"/>
  <c r="Q236" i="8" s="1"/>
  <c r="I74" i="8"/>
  <c r="H74" i="8"/>
  <c r="U236" i="8" l="1"/>
  <c r="Y236" i="8"/>
  <c r="I60" i="8" l="1"/>
  <c r="F60" i="8"/>
  <c r="G154" i="9" l="1"/>
  <c r="E154" i="9"/>
  <c r="L154" i="9"/>
  <c r="D154" i="9"/>
  <c r="F154" i="9"/>
  <c r="M154" i="9" l="1"/>
  <c r="N154" i="9" s="1"/>
  <c r="P41" i="8" l="1"/>
  <c r="T41" i="8" s="1"/>
  <c r="M41" i="8"/>
  <c r="K41" i="8"/>
  <c r="J41" i="8"/>
  <c r="I41" i="8"/>
  <c r="H41" i="8"/>
  <c r="F41" i="8"/>
  <c r="E41" i="8"/>
  <c r="N41" i="8" l="1"/>
  <c r="O41" i="8" s="1"/>
  <c r="Q41" i="8"/>
  <c r="R41" i="8" s="1"/>
  <c r="S41" i="8" s="1"/>
  <c r="U41" i="8"/>
  <c r="V41" i="8" s="1"/>
  <c r="W41" i="8" s="1"/>
  <c r="F275" i="8"/>
  <c r="G98" i="9" l="1"/>
  <c r="O244" i="9"/>
  <c r="G244" i="9"/>
  <c r="F244" i="9"/>
  <c r="D244" i="9"/>
  <c r="L243" i="9"/>
  <c r="O243" i="9" s="1"/>
  <c r="G243" i="9"/>
  <c r="F243" i="9"/>
  <c r="E243" i="9"/>
  <c r="D243" i="9"/>
  <c r="L230" i="9"/>
  <c r="F230" i="9"/>
  <c r="E230" i="9"/>
  <c r="D230" i="9"/>
  <c r="L205" i="9"/>
  <c r="O205" i="9" s="1"/>
  <c r="H205" i="9"/>
  <c r="G205" i="9"/>
  <c r="F205" i="9"/>
  <c r="E205" i="9"/>
  <c r="D205" i="9"/>
  <c r="P205" i="9" s="1"/>
  <c r="L189" i="9"/>
  <c r="O189" i="9" s="1"/>
  <c r="H189" i="9"/>
  <c r="G189" i="9"/>
  <c r="F189" i="9"/>
  <c r="E189" i="9"/>
  <c r="D189" i="9"/>
  <c r="L170" i="9"/>
  <c r="O170" i="9" s="1"/>
  <c r="G170" i="9"/>
  <c r="F170" i="9"/>
  <c r="E170" i="9"/>
  <c r="D170" i="9"/>
  <c r="L169" i="9"/>
  <c r="O169" i="9" s="1"/>
  <c r="G169" i="9"/>
  <c r="F169" i="9"/>
  <c r="E169" i="9"/>
  <c r="D169" i="9"/>
  <c r="L140" i="9"/>
  <c r="F140" i="9"/>
  <c r="E140" i="9"/>
  <c r="D140" i="9"/>
  <c r="L129" i="9"/>
  <c r="G129" i="9"/>
  <c r="F129" i="9"/>
  <c r="E129" i="9"/>
  <c r="D129" i="9"/>
  <c r="P119" i="9"/>
  <c r="O119" i="9"/>
  <c r="M119" i="9"/>
  <c r="N119" i="9" s="1"/>
  <c r="P118" i="9"/>
  <c r="O118" i="9"/>
  <c r="M118" i="9"/>
  <c r="N118" i="9" s="1"/>
  <c r="L98" i="9"/>
  <c r="H98" i="9"/>
  <c r="F98" i="9"/>
  <c r="E98" i="9"/>
  <c r="D98" i="9"/>
  <c r="M97" i="9"/>
  <c r="L97" i="9"/>
  <c r="H97" i="9"/>
  <c r="M96" i="9"/>
  <c r="L96" i="9"/>
  <c r="L95" i="9"/>
  <c r="H95" i="9"/>
  <c r="F95" i="9"/>
  <c r="E95" i="9"/>
  <c r="D95" i="9"/>
  <c r="L94" i="9"/>
  <c r="H94" i="9"/>
  <c r="G94" i="9"/>
  <c r="F94" i="9"/>
  <c r="E94" i="9"/>
  <c r="D94" i="9"/>
  <c r="O93" i="9"/>
  <c r="H93" i="9"/>
  <c r="G93" i="9"/>
  <c r="F93" i="9"/>
  <c r="E93" i="9"/>
  <c r="D93" i="9"/>
  <c r="R82" i="9"/>
  <c r="L73" i="9"/>
  <c r="H73" i="9"/>
  <c r="G73" i="9"/>
  <c r="F73" i="9"/>
  <c r="E73" i="9"/>
  <c r="D73" i="9"/>
  <c r="O72" i="9"/>
  <c r="H72" i="9"/>
  <c r="G72" i="9"/>
  <c r="F72" i="9"/>
  <c r="E72" i="9"/>
  <c r="D72" i="9"/>
  <c r="L50" i="9"/>
  <c r="H50" i="9"/>
  <c r="G50" i="9"/>
  <c r="F50" i="9"/>
  <c r="E50" i="9"/>
  <c r="D50" i="9"/>
  <c r="P40" i="9"/>
  <c r="M40" i="9"/>
  <c r="L40" i="9"/>
  <c r="O40" i="9" s="1"/>
  <c r="L39" i="9"/>
  <c r="G39" i="9"/>
  <c r="F39" i="9"/>
  <c r="E39" i="9"/>
  <c r="D39" i="9"/>
  <c r="L38" i="9"/>
  <c r="G38" i="9"/>
  <c r="F38" i="9"/>
  <c r="E38" i="9"/>
  <c r="D38" i="9"/>
  <c r="O37" i="9"/>
  <c r="L37" i="9"/>
  <c r="G37" i="9"/>
  <c r="F37" i="9"/>
  <c r="E37" i="9"/>
  <c r="D37" i="9"/>
  <c r="L36" i="9"/>
  <c r="G36" i="9"/>
  <c r="F36" i="9"/>
  <c r="E36" i="9"/>
  <c r="D36" i="9"/>
  <c r="L28" i="9"/>
  <c r="G28" i="9"/>
  <c r="F28" i="9"/>
  <c r="E28" i="9"/>
  <c r="D28" i="9"/>
  <c r="O27" i="9"/>
  <c r="G27" i="9"/>
  <c r="F27" i="9"/>
  <c r="E27" i="9"/>
  <c r="D27" i="9"/>
  <c r="L26" i="9"/>
  <c r="G26" i="9"/>
  <c r="F26" i="9"/>
  <c r="E26" i="9"/>
  <c r="D26" i="9"/>
  <c r="P16" i="9"/>
  <c r="M16" i="9"/>
  <c r="L16" i="9"/>
  <c r="O16" i="9" s="1"/>
  <c r="L15" i="9"/>
  <c r="O15" i="9" s="1"/>
  <c r="D15" i="9"/>
  <c r="M15" i="9" s="1"/>
  <c r="P14" i="9"/>
  <c r="O14" i="9"/>
  <c r="M14" i="9"/>
  <c r="N14" i="9" s="1"/>
  <c r="L13" i="9"/>
  <c r="O13" i="9" s="1"/>
  <c r="F13" i="9"/>
  <c r="E13" i="9"/>
  <c r="D13" i="9"/>
  <c r="L12" i="9"/>
  <c r="O12" i="9" s="1"/>
  <c r="F12" i="9"/>
  <c r="E12" i="9"/>
  <c r="D12" i="9"/>
  <c r="L11" i="9"/>
  <c r="O11" i="9" s="1"/>
  <c r="F11" i="9"/>
  <c r="E11" i="9"/>
  <c r="D11" i="9"/>
  <c r="L10" i="9"/>
  <c r="F10" i="9"/>
  <c r="E10" i="9"/>
  <c r="D10" i="9"/>
  <c r="L9" i="9"/>
  <c r="O9" i="9" s="1"/>
  <c r="F9" i="9"/>
  <c r="E9" i="9"/>
  <c r="D9" i="9"/>
  <c r="L8" i="9"/>
  <c r="O8" i="9" s="1"/>
  <c r="F8" i="9"/>
  <c r="E8" i="9"/>
  <c r="D8" i="9"/>
  <c r="N275" i="8"/>
  <c r="Q275" i="8" s="1"/>
  <c r="L275" i="8"/>
  <c r="J275" i="8"/>
  <c r="E275" i="8"/>
  <c r="N274" i="8"/>
  <c r="Q274" i="8" s="1"/>
  <c r="L274" i="8"/>
  <c r="K274" i="8"/>
  <c r="J274" i="8"/>
  <c r="G274" i="8"/>
  <c r="F274" i="8"/>
  <c r="E274" i="8"/>
  <c r="M259" i="8"/>
  <c r="P259" i="8" s="1"/>
  <c r="K259" i="8"/>
  <c r="J259" i="8"/>
  <c r="F259" i="8"/>
  <c r="E259" i="8"/>
  <c r="R235" i="8"/>
  <c r="Z235" i="8" s="1"/>
  <c r="O235" i="8"/>
  <c r="M235" i="8"/>
  <c r="K235" i="8"/>
  <c r="J235" i="8"/>
  <c r="I235" i="8"/>
  <c r="H235" i="8"/>
  <c r="G235" i="8"/>
  <c r="F235" i="8"/>
  <c r="E235" i="8"/>
  <c r="W219" i="8"/>
  <c r="V218" i="8"/>
  <c r="R217" i="8"/>
  <c r="V217" i="8" s="1"/>
  <c r="O217" i="8"/>
  <c r="M217" i="8"/>
  <c r="K217" i="8"/>
  <c r="J217" i="8"/>
  <c r="I217" i="8"/>
  <c r="H217" i="8"/>
  <c r="G217" i="8"/>
  <c r="F217" i="8"/>
  <c r="P202" i="8"/>
  <c r="X202" i="8" s="1"/>
  <c r="M202" i="8"/>
  <c r="K202" i="8"/>
  <c r="J202" i="8"/>
  <c r="I202" i="8"/>
  <c r="H202" i="8"/>
  <c r="F202" i="8"/>
  <c r="E202" i="8"/>
  <c r="P201" i="8"/>
  <c r="X201" i="8" s="1"/>
  <c r="M201" i="8"/>
  <c r="K201" i="8"/>
  <c r="J201" i="8"/>
  <c r="I201" i="8"/>
  <c r="H201" i="8"/>
  <c r="F201" i="8"/>
  <c r="E201" i="8"/>
  <c r="I165" i="8"/>
  <c r="D162" i="8"/>
  <c r="P149" i="8"/>
  <c r="S149" i="8" s="1"/>
  <c r="T149" i="8" s="1"/>
  <c r="J148" i="8"/>
  <c r="P148" i="8" s="1"/>
  <c r="J147" i="8"/>
  <c r="P147" i="8" s="1"/>
  <c r="R125" i="8"/>
  <c r="Q125" i="8"/>
  <c r="U125" i="8" s="1"/>
  <c r="R119" i="8"/>
  <c r="V119" i="8" s="1"/>
  <c r="O119" i="8"/>
  <c r="M119" i="8"/>
  <c r="K119" i="8"/>
  <c r="J119" i="8"/>
  <c r="I119" i="8"/>
  <c r="H119" i="8"/>
  <c r="G119" i="8"/>
  <c r="F119" i="8"/>
  <c r="E119" i="8"/>
  <c r="R118" i="8"/>
  <c r="O118" i="8"/>
  <c r="M118" i="8"/>
  <c r="K118" i="8"/>
  <c r="J118" i="8"/>
  <c r="I118" i="8"/>
  <c r="H118" i="8"/>
  <c r="G118" i="8"/>
  <c r="F118" i="8"/>
  <c r="F113" i="8" s="1"/>
  <c r="P117" i="8"/>
  <c r="O117" i="8"/>
  <c r="M117" i="8"/>
  <c r="S116" i="8"/>
  <c r="W116" i="8" s="1"/>
  <c r="R116" i="8"/>
  <c r="V116" i="8" s="1"/>
  <c r="P116" i="8"/>
  <c r="O116" i="8"/>
  <c r="O115" i="8"/>
  <c r="R115" i="8" s="1"/>
  <c r="V115" i="8" s="1"/>
  <c r="K115" i="8"/>
  <c r="J115" i="8"/>
  <c r="H115" i="8"/>
  <c r="F115" i="8"/>
  <c r="E115" i="8"/>
  <c r="R114" i="8"/>
  <c r="V114" i="8" s="1"/>
  <c r="O114" i="8"/>
  <c r="M114" i="8"/>
  <c r="K114" i="8"/>
  <c r="J114" i="8"/>
  <c r="I114" i="8"/>
  <c r="H114" i="8"/>
  <c r="G114" i="8"/>
  <c r="F114" i="8"/>
  <c r="E114" i="8"/>
  <c r="R113" i="8"/>
  <c r="V118" i="8" s="1"/>
  <c r="O113" i="8"/>
  <c r="M113" i="8"/>
  <c r="K113" i="8"/>
  <c r="J113" i="8"/>
  <c r="I113" i="8"/>
  <c r="H113" i="8"/>
  <c r="G113" i="8"/>
  <c r="R112" i="8"/>
  <c r="V112" i="8" s="1"/>
  <c r="M112" i="8"/>
  <c r="K112" i="8"/>
  <c r="J112" i="8"/>
  <c r="I112" i="8"/>
  <c r="H112" i="8"/>
  <c r="G112" i="8"/>
  <c r="F112" i="8"/>
  <c r="E112" i="8"/>
  <c r="R111" i="8"/>
  <c r="V111" i="8" s="1"/>
  <c r="M111" i="8"/>
  <c r="K111" i="8"/>
  <c r="J111" i="8"/>
  <c r="I111" i="8"/>
  <c r="H111" i="8"/>
  <c r="G111" i="8"/>
  <c r="F111" i="8"/>
  <c r="E111" i="8"/>
  <c r="R100" i="8"/>
  <c r="V100" i="8" s="1"/>
  <c r="O100" i="8"/>
  <c r="M100" i="8"/>
  <c r="K100" i="8"/>
  <c r="J100" i="8"/>
  <c r="I100" i="8"/>
  <c r="H100" i="8"/>
  <c r="G100" i="8"/>
  <c r="F100" i="8"/>
  <c r="R99" i="8"/>
  <c r="V99" i="8" s="1"/>
  <c r="M99" i="8"/>
  <c r="K99" i="8"/>
  <c r="J99" i="8"/>
  <c r="I99" i="8"/>
  <c r="H99" i="8"/>
  <c r="G99" i="8"/>
  <c r="F99" i="8"/>
  <c r="E99" i="8"/>
  <c r="R98" i="8"/>
  <c r="V98" i="8" s="1"/>
  <c r="M98" i="8"/>
  <c r="K98" i="8"/>
  <c r="J98" i="8"/>
  <c r="I98" i="8"/>
  <c r="H98" i="8"/>
  <c r="G98" i="8"/>
  <c r="F98" i="8"/>
  <c r="E98" i="8"/>
  <c r="I86" i="8"/>
  <c r="I85" i="8"/>
  <c r="D82" i="8"/>
  <c r="M85" i="8" s="1"/>
  <c r="I73" i="8"/>
  <c r="I72" i="8"/>
  <c r="J71" i="8"/>
  <c r="I71" i="8"/>
  <c r="D68" i="8"/>
  <c r="E73" i="8" s="1"/>
  <c r="Y61" i="8"/>
  <c r="U61" i="8"/>
  <c r="Q61" i="8"/>
  <c r="P61" i="8"/>
  <c r="N61" i="8"/>
  <c r="O61" i="8" s="1"/>
  <c r="P60" i="8"/>
  <c r="X60" i="8" s="1"/>
  <c r="M60" i="8"/>
  <c r="K60" i="8"/>
  <c r="J60" i="8"/>
  <c r="H60" i="8"/>
  <c r="P59" i="8"/>
  <c r="X59" i="8" s="1"/>
  <c r="N59" i="8"/>
  <c r="M59" i="8"/>
  <c r="K59" i="8"/>
  <c r="P58" i="8"/>
  <c r="T58" i="8" s="1"/>
  <c r="N58" i="8"/>
  <c r="M58" i="8"/>
  <c r="K58" i="8"/>
  <c r="P57" i="8"/>
  <c r="X57" i="8" s="1"/>
  <c r="N57" i="8"/>
  <c r="M57" i="8"/>
  <c r="K57" i="8"/>
  <c r="P56" i="8"/>
  <c r="T56" i="8" s="1"/>
  <c r="N56" i="8"/>
  <c r="M56" i="8"/>
  <c r="K56" i="8"/>
  <c r="P55" i="8"/>
  <c r="X55" i="8" s="1"/>
  <c r="M55" i="8"/>
  <c r="K55" i="8"/>
  <c r="J55" i="8"/>
  <c r="I55" i="8"/>
  <c r="H55" i="8"/>
  <c r="G55" i="8"/>
  <c r="F55" i="8"/>
  <c r="E55" i="8"/>
  <c r="P54" i="8"/>
  <c r="X54" i="8" s="1"/>
  <c r="M54" i="8"/>
  <c r="K54" i="8"/>
  <c r="J54" i="8"/>
  <c r="I54" i="8"/>
  <c r="H54" i="8"/>
  <c r="G54" i="8"/>
  <c r="F54" i="8"/>
  <c r="P53" i="8"/>
  <c r="X53" i="8" s="1"/>
  <c r="M53" i="8"/>
  <c r="K53" i="8"/>
  <c r="J53" i="8"/>
  <c r="I53" i="8"/>
  <c r="H53" i="8"/>
  <c r="G53" i="8"/>
  <c r="F53" i="8"/>
  <c r="P52" i="8"/>
  <c r="X52" i="8" s="1"/>
  <c r="K52" i="8"/>
  <c r="J52" i="8"/>
  <c r="I52" i="8"/>
  <c r="H52" i="8"/>
  <c r="G52" i="8"/>
  <c r="F52" i="8"/>
  <c r="E52" i="8"/>
  <c r="P51" i="8"/>
  <c r="X51" i="8" s="1"/>
  <c r="K51" i="8"/>
  <c r="J51" i="8"/>
  <c r="I51" i="8"/>
  <c r="H51" i="8"/>
  <c r="G51" i="8"/>
  <c r="F51" i="8"/>
  <c r="E51" i="8"/>
  <c r="P50" i="8"/>
  <c r="X50" i="8" s="1"/>
  <c r="M50" i="8"/>
  <c r="K50" i="8"/>
  <c r="J50" i="8"/>
  <c r="I50" i="8"/>
  <c r="H50" i="8"/>
  <c r="G50" i="8"/>
  <c r="F50" i="8"/>
  <c r="E50" i="8"/>
  <c r="P40" i="8"/>
  <c r="T40" i="8" s="1"/>
  <c r="M40" i="8"/>
  <c r="K40" i="8"/>
  <c r="J40" i="8"/>
  <c r="E40" i="8"/>
  <c r="N40" i="8" s="1"/>
  <c r="P39" i="8"/>
  <c r="T39" i="8" s="1"/>
  <c r="M39" i="8"/>
  <c r="K39" i="8"/>
  <c r="J39" i="8"/>
  <c r="I39" i="8"/>
  <c r="H39" i="8"/>
  <c r="G39" i="8"/>
  <c r="F39" i="8"/>
  <c r="E39" i="8"/>
  <c r="P38" i="8"/>
  <c r="T38" i="8" s="1"/>
  <c r="M38" i="8"/>
  <c r="K38" i="8"/>
  <c r="J38" i="8"/>
  <c r="I38" i="8"/>
  <c r="H38" i="8"/>
  <c r="G38" i="8"/>
  <c r="F38" i="8"/>
  <c r="P37" i="8"/>
  <c r="T37" i="8" s="1"/>
  <c r="M37" i="8"/>
  <c r="K37" i="8"/>
  <c r="J37" i="8"/>
  <c r="I37" i="8"/>
  <c r="H37" i="8"/>
  <c r="G37" i="8"/>
  <c r="F37" i="8"/>
  <c r="P36" i="8"/>
  <c r="T36" i="8" s="1"/>
  <c r="M36" i="8"/>
  <c r="K36" i="8"/>
  <c r="J36" i="8"/>
  <c r="I36" i="8"/>
  <c r="H36" i="8"/>
  <c r="G36" i="8"/>
  <c r="F36" i="8"/>
  <c r="E36" i="8"/>
  <c r="P35" i="8"/>
  <c r="T35" i="8" s="1"/>
  <c r="M35" i="8"/>
  <c r="K35" i="8"/>
  <c r="J35" i="8"/>
  <c r="I35" i="8"/>
  <c r="H35" i="8"/>
  <c r="G35" i="8"/>
  <c r="F35" i="8"/>
  <c r="E35" i="8"/>
  <c r="P34" i="8"/>
  <c r="T34" i="8" s="1"/>
  <c r="M34" i="8"/>
  <c r="K34" i="8"/>
  <c r="J34" i="8"/>
  <c r="I34" i="8"/>
  <c r="H34" i="8"/>
  <c r="G34" i="8"/>
  <c r="F34" i="8"/>
  <c r="E34" i="8"/>
  <c r="P33" i="8"/>
  <c r="T33" i="8" s="1"/>
  <c r="M33" i="8"/>
  <c r="K33" i="8"/>
  <c r="J33" i="8"/>
  <c r="I33" i="8"/>
  <c r="H33" i="8"/>
  <c r="G33" i="8"/>
  <c r="F33" i="8"/>
  <c r="E33" i="8"/>
  <c r="P32" i="8"/>
  <c r="T32" i="8" s="1"/>
  <c r="M32" i="8"/>
  <c r="K32" i="8"/>
  <c r="J32" i="8"/>
  <c r="I32" i="8"/>
  <c r="H32" i="8"/>
  <c r="G32" i="8"/>
  <c r="F32" i="8"/>
  <c r="E32" i="8"/>
  <c r="P31" i="8"/>
  <c r="T31" i="8" s="1"/>
  <c r="M31" i="8"/>
  <c r="K31" i="8"/>
  <c r="J31" i="8"/>
  <c r="I31" i="8"/>
  <c r="H31" i="8"/>
  <c r="G31" i="8"/>
  <c r="F31" i="8"/>
  <c r="E31" i="8"/>
  <c r="P22" i="8"/>
  <c r="N22" i="8"/>
  <c r="O22" i="8" s="1"/>
  <c r="P21" i="8"/>
  <c r="X21" i="8" s="1"/>
  <c r="N21" i="8"/>
  <c r="Q21" i="8" s="1"/>
  <c r="I20" i="8"/>
  <c r="H20" i="8"/>
  <c r="N18" i="8"/>
  <c r="Q18" i="8" s="1"/>
  <c r="I17" i="8"/>
  <c r="I16" i="8"/>
  <c r="J15" i="8"/>
  <c r="I15" i="8"/>
  <c r="I14" i="8"/>
  <c r="I13" i="8"/>
  <c r="I12" i="8"/>
  <c r="I11" i="8"/>
  <c r="J10" i="8"/>
  <c r="I10" i="8"/>
  <c r="J9" i="8"/>
  <c r="I9" i="8"/>
  <c r="J8" i="8"/>
  <c r="I8" i="8"/>
  <c r="D5" i="8"/>
  <c r="M20" i="8" s="1"/>
  <c r="P20" i="8" s="1"/>
  <c r="R61" i="8" l="1"/>
  <c r="S117" i="8"/>
  <c r="H165" i="8"/>
  <c r="M166" i="8"/>
  <c r="P166" i="8" s="1"/>
  <c r="H166" i="8"/>
  <c r="Y166" i="8" s="1"/>
  <c r="J166" i="8"/>
  <c r="E184" i="8"/>
  <c r="G166" i="8"/>
  <c r="F166" i="8"/>
  <c r="E166" i="8"/>
  <c r="AA235" i="8"/>
  <c r="Q22" i="8"/>
  <c r="P129" i="9"/>
  <c r="F13" i="8"/>
  <c r="R72" i="8"/>
  <c r="R74" i="8"/>
  <c r="M74" i="8"/>
  <c r="O74" i="8"/>
  <c r="K74" i="8"/>
  <c r="AA74" i="8" s="1"/>
  <c r="E74" i="8"/>
  <c r="F74" i="8"/>
  <c r="J74" i="8"/>
  <c r="E20" i="8"/>
  <c r="W119" i="8"/>
  <c r="X119" i="8" s="1"/>
  <c r="Q53" i="8"/>
  <c r="R53" i="8" s="1"/>
  <c r="Q54" i="8"/>
  <c r="R54" i="8" s="1"/>
  <c r="N55" i="8"/>
  <c r="O55" i="8" s="1"/>
  <c r="Q149" i="8"/>
  <c r="O39" i="9"/>
  <c r="S217" i="8"/>
  <c r="T217" i="8" s="1"/>
  <c r="X116" i="8"/>
  <c r="G15" i="8"/>
  <c r="W112" i="8"/>
  <c r="X112" i="8" s="1"/>
  <c r="R22" i="8"/>
  <c r="S22" i="8" s="1"/>
  <c r="O40" i="8"/>
  <c r="S235" i="8"/>
  <c r="T235" i="8" s="1"/>
  <c r="X58" i="8"/>
  <c r="S111" i="8"/>
  <c r="T111" i="8" s="1"/>
  <c r="U111" i="8" s="1"/>
  <c r="Q38" i="8"/>
  <c r="R38" i="8" s="1"/>
  <c r="S98" i="8"/>
  <c r="T98" i="8" s="1"/>
  <c r="U98" i="8" s="1"/>
  <c r="S100" i="8"/>
  <c r="T100" i="8" s="1"/>
  <c r="J11" i="8"/>
  <c r="F16" i="8"/>
  <c r="Q35" i="8"/>
  <c r="R35" i="8" s="1"/>
  <c r="O57" i="8"/>
  <c r="O58" i="8"/>
  <c r="Q116" i="8"/>
  <c r="O275" i="8"/>
  <c r="P275" i="8" s="1"/>
  <c r="O98" i="9"/>
  <c r="N40" i="9"/>
  <c r="Q40" i="9"/>
  <c r="N15" i="9"/>
  <c r="P36" i="9"/>
  <c r="P97" i="9"/>
  <c r="Q119" i="9"/>
  <c r="R119" i="9" s="1"/>
  <c r="P9" i="9"/>
  <c r="Q9" i="9" s="1"/>
  <c r="M10" i="9"/>
  <c r="N10" i="9" s="1"/>
  <c r="R10" i="9" s="1"/>
  <c r="P12" i="9"/>
  <c r="Q12" i="9" s="1"/>
  <c r="P13" i="9"/>
  <c r="Q13" i="9" s="1"/>
  <c r="Q118" i="9"/>
  <c r="R118" i="9" s="1"/>
  <c r="Q14" i="9"/>
  <c r="R14" i="9" s="1"/>
  <c r="O28" i="9"/>
  <c r="Q16" i="9"/>
  <c r="P140" i="9"/>
  <c r="Q140" i="9" s="1"/>
  <c r="P15" i="9"/>
  <c r="Q15" i="9" s="1"/>
  <c r="P26" i="9"/>
  <c r="O26" i="9"/>
  <c r="P38" i="9"/>
  <c r="P95" i="9"/>
  <c r="M39" i="9"/>
  <c r="N39" i="9" s="1"/>
  <c r="O50" i="9"/>
  <c r="N96" i="9"/>
  <c r="R96" i="9" s="1"/>
  <c r="O129" i="9"/>
  <c r="N16" i="9"/>
  <c r="M37" i="9"/>
  <c r="N37" i="9" s="1"/>
  <c r="Q148" i="8"/>
  <c r="S148" i="8"/>
  <c r="T148" i="8" s="1"/>
  <c r="F12" i="8"/>
  <c r="O21" i="8"/>
  <c r="Y22" i="8"/>
  <c r="U34" i="8"/>
  <c r="V34" i="8" s="1"/>
  <c r="Q36" i="8"/>
  <c r="R36" i="8" s="1"/>
  <c r="S36" i="8" s="1"/>
  <c r="U37" i="8"/>
  <c r="V37" i="8" s="1"/>
  <c r="U38" i="8"/>
  <c r="V38" i="8" s="1"/>
  <c r="W38" i="8" s="1"/>
  <c r="Q50" i="8"/>
  <c r="R50" i="8" s="1"/>
  <c r="X56" i="8"/>
  <c r="O59" i="8"/>
  <c r="H85" i="8"/>
  <c r="P100" i="8"/>
  <c r="Q100" i="8" s="1"/>
  <c r="U100" i="8" s="1"/>
  <c r="S112" i="8"/>
  <c r="T112" i="8" s="1"/>
  <c r="U112" i="8" s="1"/>
  <c r="W118" i="8"/>
  <c r="X118" i="8" s="1"/>
  <c r="V235" i="8"/>
  <c r="O274" i="8"/>
  <c r="P274" i="8" s="1"/>
  <c r="P11" i="9"/>
  <c r="Q11" i="9" s="1"/>
  <c r="P27" i="9"/>
  <c r="Q27" i="9" s="1"/>
  <c r="R27" i="9" s="1"/>
  <c r="P28" i="9"/>
  <c r="P37" i="9"/>
  <c r="Q37" i="9" s="1"/>
  <c r="R37" i="9" s="1"/>
  <c r="P39" i="9"/>
  <c r="M73" i="9"/>
  <c r="N73" i="9" s="1"/>
  <c r="O94" i="9"/>
  <c r="P170" i="9"/>
  <c r="Q170" i="9" s="1"/>
  <c r="M230" i="9"/>
  <c r="N230" i="9" s="1"/>
  <c r="H86" i="8"/>
  <c r="E11" i="8"/>
  <c r="Y51" i="8"/>
  <c r="Z51" i="8" s="1"/>
  <c r="Q55" i="8"/>
  <c r="R55" i="8" s="1"/>
  <c r="S55" i="8" s="1"/>
  <c r="W114" i="8"/>
  <c r="M8" i="9"/>
  <c r="P8" i="9" s="1"/>
  <c r="Q8" i="9" s="1"/>
  <c r="M8" i="8"/>
  <c r="P8" i="8" s="1"/>
  <c r="X8" i="8" s="1"/>
  <c r="M9" i="8"/>
  <c r="P9" i="8" s="1"/>
  <c r="G14" i="8"/>
  <c r="M16" i="8"/>
  <c r="P16" i="8" s="1"/>
  <c r="X16" i="8" s="1"/>
  <c r="T21" i="8"/>
  <c r="N34" i="8"/>
  <c r="O34" i="8" s="1"/>
  <c r="U35" i="8"/>
  <c r="V35" i="8" s="1"/>
  <c r="U40" i="8"/>
  <c r="V40" i="8" s="1"/>
  <c r="Y54" i="8"/>
  <c r="Z54" i="8" s="1"/>
  <c r="Y60" i="8"/>
  <c r="Z60" i="8" s="1"/>
  <c r="R71" i="8"/>
  <c r="Z71" i="8" s="1"/>
  <c r="R73" i="8"/>
  <c r="M86" i="8"/>
  <c r="W98" i="8"/>
  <c r="X98" i="8" s="1"/>
  <c r="W100" i="8"/>
  <c r="P114" i="8"/>
  <c r="Q114" i="8" s="1"/>
  <c r="P119" i="8"/>
  <c r="U201" i="8"/>
  <c r="G8" i="8"/>
  <c r="F9" i="8"/>
  <c r="F10" i="8"/>
  <c r="M12" i="8"/>
  <c r="P12" i="8" s="1"/>
  <c r="T12" i="8" s="1"/>
  <c r="M15" i="8"/>
  <c r="P15" i="8" s="1"/>
  <c r="X15" i="8" s="1"/>
  <c r="F17" i="8"/>
  <c r="J19" i="8"/>
  <c r="Q31" i="8"/>
  <c r="R31" i="8" s="1"/>
  <c r="N32" i="8"/>
  <c r="O32" i="8" s="1"/>
  <c r="U32" i="8"/>
  <c r="V32" i="8" s="1"/>
  <c r="Q39" i="8"/>
  <c r="R39" i="8" s="1"/>
  <c r="Q52" i="8"/>
  <c r="R52" i="8" s="1"/>
  <c r="S52" i="8" s="1"/>
  <c r="T52" i="8"/>
  <c r="N54" i="8"/>
  <c r="O54" i="8" s="1"/>
  <c r="O56" i="8"/>
  <c r="Q60" i="8"/>
  <c r="R60" i="8" s="1"/>
  <c r="H71" i="8"/>
  <c r="W99" i="8"/>
  <c r="X99" i="8" s="1"/>
  <c r="T116" i="8"/>
  <c r="Y116" i="8" s="1"/>
  <c r="V219" i="8"/>
  <c r="X219" i="8" s="1"/>
  <c r="N259" i="8"/>
  <c r="O259" i="8" s="1"/>
  <c r="O36" i="9"/>
  <c r="O38" i="9"/>
  <c r="P73" i="9"/>
  <c r="O73" i="9"/>
  <c r="P93" i="9"/>
  <c r="Q93" i="9" s="1"/>
  <c r="R93" i="9" s="1"/>
  <c r="M95" i="9"/>
  <c r="N95" i="9" s="1"/>
  <c r="O95" i="9"/>
  <c r="M140" i="9"/>
  <c r="N140" i="9" s="1"/>
  <c r="Z72" i="8"/>
  <c r="V72" i="8"/>
  <c r="N39" i="8"/>
  <c r="O39" i="8" s="1"/>
  <c r="S39" i="8" s="1"/>
  <c r="P115" i="8"/>
  <c r="Q115" i="8" s="1"/>
  <c r="S115" i="8"/>
  <c r="T115" i="8" s="1"/>
  <c r="H8" i="8"/>
  <c r="H9" i="8"/>
  <c r="G10" i="8"/>
  <c r="M10" i="8"/>
  <c r="P10" i="8" s="1"/>
  <c r="F11" i="8"/>
  <c r="M11" i="8"/>
  <c r="P11" i="8" s="1"/>
  <c r="G12" i="8"/>
  <c r="H13" i="8"/>
  <c r="H14" i="8"/>
  <c r="H15" i="8"/>
  <c r="G16" i="8"/>
  <c r="H17" i="8"/>
  <c r="Y18" i="8"/>
  <c r="G20" i="8"/>
  <c r="Y21" i="8"/>
  <c r="Z21" i="8" s="1"/>
  <c r="X22" i="8"/>
  <c r="U22" i="8"/>
  <c r="Q40" i="8"/>
  <c r="R40" i="8" s="1"/>
  <c r="S40" i="8" s="1"/>
  <c r="U33" i="8"/>
  <c r="V33" i="8" s="1"/>
  <c r="Q34" i="8"/>
  <c r="R34" i="8" s="1"/>
  <c r="N35" i="8"/>
  <c r="O35" i="8" s="1"/>
  <c r="U36" i="8"/>
  <c r="V36" i="8" s="1"/>
  <c r="Q37" i="8"/>
  <c r="R37" i="8" s="1"/>
  <c r="W37" i="8" s="1"/>
  <c r="Y50" i="8"/>
  <c r="Z50" i="8" s="1"/>
  <c r="Y52" i="8"/>
  <c r="Z52" i="8" s="1"/>
  <c r="U52" i="8"/>
  <c r="V52" i="8" s="1"/>
  <c r="N53" i="8"/>
  <c r="O53" i="8" s="1"/>
  <c r="S53" i="8" s="1"/>
  <c r="T55" i="8"/>
  <c r="Y57" i="8"/>
  <c r="Z57" i="8" s="1"/>
  <c r="U57" i="8"/>
  <c r="Q57" i="8"/>
  <c r="R57" i="8" s="1"/>
  <c r="S57" i="8" s="1"/>
  <c r="T57" i="8"/>
  <c r="Y59" i="8"/>
  <c r="Z59" i="8" s="1"/>
  <c r="U59" i="8"/>
  <c r="Q59" i="8"/>
  <c r="R59" i="8" s="1"/>
  <c r="S59" i="8" s="1"/>
  <c r="T59" i="8"/>
  <c r="S61" i="8"/>
  <c r="X61" i="8"/>
  <c r="Z61" i="8" s="1"/>
  <c r="AA61" i="8" s="1"/>
  <c r="V71" i="8"/>
  <c r="K86" i="8"/>
  <c r="G86" i="8"/>
  <c r="K85" i="8"/>
  <c r="G85" i="8"/>
  <c r="J86" i="8"/>
  <c r="F86" i="8"/>
  <c r="J85" i="8"/>
  <c r="F85" i="8"/>
  <c r="R86" i="8"/>
  <c r="E86" i="8"/>
  <c r="R85" i="8"/>
  <c r="E85" i="8"/>
  <c r="W111" i="8"/>
  <c r="X111" i="8" s="1"/>
  <c r="Y111" i="8" s="1"/>
  <c r="S114" i="8"/>
  <c r="T114" i="8" s="1"/>
  <c r="W117" i="8"/>
  <c r="Z125" i="8"/>
  <c r="V125" i="8"/>
  <c r="S125" i="8"/>
  <c r="T202" i="8"/>
  <c r="T218" i="8"/>
  <c r="W218" i="8"/>
  <c r="X218" i="8" s="1"/>
  <c r="W235" i="8"/>
  <c r="X235" i="8" s="1"/>
  <c r="R275" i="8"/>
  <c r="S275" i="8" s="1"/>
  <c r="T275" i="8" s="1"/>
  <c r="O97" i="9"/>
  <c r="Q97" i="9" s="1"/>
  <c r="N97" i="9"/>
  <c r="X9" i="8"/>
  <c r="T9" i="8"/>
  <c r="X20" i="8"/>
  <c r="T20" i="8"/>
  <c r="Y201" i="8"/>
  <c r="Z201" i="8" s="1"/>
  <c r="H10" i="8"/>
  <c r="Q32" i="8"/>
  <c r="R32" i="8" s="1"/>
  <c r="N36" i="8"/>
  <c r="N50" i="8"/>
  <c r="O50" i="8" s="1"/>
  <c r="Y53" i="8"/>
  <c r="Z53" i="8" s="1"/>
  <c r="AA53" i="8" s="1"/>
  <c r="S99" i="8"/>
  <c r="T99" i="8" s="1"/>
  <c r="U99" i="8" s="1"/>
  <c r="X100" i="8"/>
  <c r="Y100" i="8" s="1"/>
  <c r="S118" i="8"/>
  <c r="T118" i="8" s="1"/>
  <c r="S113" i="8"/>
  <c r="T113" i="8" s="1"/>
  <c r="W115" i="8"/>
  <c r="X115" i="8" s="1"/>
  <c r="R117" i="8"/>
  <c r="V117" i="8" s="1"/>
  <c r="Q117" i="8"/>
  <c r="S147" i="8"/>
  <c r="T147" i="8" s="1"/>
  <c r="Q147" i="8"/>
  <c r="U149" i="8"/>
  <c r="N201" i="8"/>
  <c r="O201" i="8" s="1"/>
  <c r="Q201" i="8"/>
  <c r="R201" i="8" s="1"/>
  <c r="N202" i="8"/>
  <c r="O202" i="8" s="1"/>
  <c r="Q202" i="8"/>
  <c r="R202" i="8" s="1"/>
  <c r="S202" i="8" s="1"/>
  <c r="AB235" i="8"/>
  <c r="M9" i="9"/>
  <c r="N9" i="9" s="1"/>
  <c r="M94" i="9"/>
  <c r="N94" i="9" s="1"/>
  <c r="P94" i="9"/>
  <c r="M189" i="9"/>
  <c r="N189" i="9" s="1"/>
  <c r="P189" i="9"/>
  <c r="Q189" i="9" s="1"/>
  <c r="X114" i="8"/>
  <c r="J20" i="8"/>
  <c r="F20" i="8"/>
  <c r="M19" i="8"/>
  <c r="P19" i="8" s="1"/>
  <c r="M17" i="8"/>
  <c r="P17" i="8" s="1"/>
  <c r="G17" i="8"/>
  <c r="H16" i="8"/>
  <c r="E15" i="8"/>
  <c r="J14" i="8"/>
  <c r="F14" i="8"/>
  <c r="M13" i="8"/>
  <c r="P13" i="8" s="1"/>
  <c r="G13" i="8"/>
  <c r="H12" i="8"/>
  <c r="H11" i="8"/>
  <c r="E10" i="8"/>
  <c r="E9" i="8"/>
  <c r="F8" i="8"/>
  <c r="G11" i="8"/>
  <c r="U18" i="8"/>
  <c r="U21" i="8"/>
  <c r="V21" i="8" s="1"/>
  <c r="U31" i="8"/>
  <c r="V31" i="8" s="1"/>
  <c r="W31" i="8" s="1"/>
  <c r="N33" i="8"/>
  <c r="O33" i="8" s="1"/>
  <c r="N38" i="8"/>
  <c r="O38" i="8" s="1"/>
  <c r="S38" i="8" s="1"/>
  <c r="E8" i="8"/>
  <c r="J12" i="8"/>
  <c r="E13" i="8"/>
  <c r="J13" i="8"/>
  <c r="E14" i="8"/>
  <c r="M14" i="8"/>
  <c r="P14" i="8" s="1"/>
  <c r="F15" i="8"/>
  <c r="E16" i="8"/>
  <c r="J16" i="8"/>
  <c r="E17" i="8"/>
  <c r="J17" i="8"/>
  <c r="M18" i="8"/>
  <c r="E19" i="8"/>
  <c r="R21" i="8"/>
  <c r="S21" i="8" s="1"/>
  <c r="N31" i="8"/>
  <c r="O31" i="8" s="1"/>
  <c r="S31" i="8" s="1"/>
  <c r="Q33" i="8"/>
  <c r="R33" i="8" s="1"/>
  <c r="N37" i="8"/>
  <c r="O37" i="8" s="1"/>
  <c r="U39" i="8"/>
  <c r="V39" i="8" s="1"/>
  <c r="Q51" i="8"/>
  <c r="R51" i="8" s="1"/>
  <c r="S51" i="8" s="1"/>
  <c r="Y55" i="8"/>
  <c r="Z55" i="8" s="1"/>
  <c r="Y56" i="8"/>
  <c r="Z56" i="8" s="1"/>
  <c r="AA56" i="8" s="1"/>
  <c r="U56" i="8"/>
  <c r="V56" i="8" s="1"/>
  <c r="Q56" i="8"/>
  <c r="R56" i="8" s="1"/>
  <c r="Y58" i="8"/>
  <c r="U58" i="8"/>
  <c r="V58" i="8" s="1"/>
  <c r="Q58" i="8"/>
  <c r="R58" i="8" s="1"/>
  <c r="S58" i="8" s="1"/>
  <c r="N60" i="8"/>
  <c r="O60" i="8" s="1"/>
  <c r="T61" i="8"/>
  <c r="V61" i="8" s="1"/>
  <c r="W61" i="8" s="1"/>
  <c r="M73" i="8"/>
  <c r="H73" i="8"/>
  <c r="M72" i="8"/>
  <c r="H72" i="8"/>
  <c r="K71" i="8"/>
  <c r="G71" i="8"/>
  <c r="K73" i="8"/>
  <c r="G73" i="8"/>
  <c r="K72" i="8"/>
  <c r="G72" i="8"/>
  <c r="F71" i="8"/>
  <c r="J73" i="8"/>
  <c r="F73" i="8"/>
  <c r="J72" i="8"/>
  <c r="F72" i="8"/>
  <c r="O71" i="8"/>
  <c r="E71" i="8"/>
  <c r="M71" i="8"/>
  <c r="E72" i="8"/>
  <c r="P118" i="8"/>
  <c r="Q118" i="8" s="1"/>
  <c r="U116" i="8"/>
  <c r="M165" i="8"/>
  <c r="P165" i="8" s="1"/>
  <c r="G165" i="8"/>
  <c r="J165" i="8"/>
  <c r="F165" i="8"/>
  <c r="E165" i="8"/>
  <c r="Y202" i="8"/>
  <c r="Z202" i="8" s="1"/>
  <c r="P217" i="8"/>
  <c r="Q217" i="8" s="1"/>
  <c r="U217" i="8" s="1"/>
  <c r="P235" i="8"/>
  <c r="Q235" i="8" s="1"/>
  <c r="U235" i="8" s="1"/>
  <c r="T51" i="8"/>
  <c r="T53" i="8"/>
  <c r="U55" i="8"/>
  <c r="V55" i="8" s="1"/>
  <c r="V113" i="8"/>
  <c r="U202" i="8"/>
  <c r="Q259" i="8"/>
  <c r="R259" i="8" s="1"/>
  <c r="R274" i="8"/>
  <c r="S274" i="8" s="1"/>
  <c r="M11" i="9"/>
  <c r="N11" i="9" s="1"/>
  <c r="M12" i="9"/>
  <c r="N12" i="9" s="1"/>
  <c r="T50" i="8"/>
  <c r="U51" i="8"/>
  <c r="U53" i="8"/>
  <c r="T54" i="8"/>
  <c r="T60" i="8"/>
  <c r="W113" i="8"/>
  <c r="W217" i="8"/>
  <c r="X217" i="8" s="1"/>
  <c r="Y217" i="8" s="1"/>
  <c r="T219" i="8"/>
  <c r="U219" i="8" s="1"/>
  <c r="M13" i="9"/>
  <c r="N13" i="9" s="1"/>
  <c r="R13" i="9" s="1"/>
  <c r="M26" i="9"/>
  <c r="N26" i="9" s="1"/>
  <c r="M36" i="9"/>
  <c r="N36" i="9" s="1"/>
  <c r="M38" i="9"/>
  <c r="N38" i="9" s="1"/>
  <c r="T22" i="8"/>
  <c r="U50" i="8"/>
  <c r="U54" i="8"/>
  <c r="U60" i="8"/>
  <c r="P113" i="8"/>
  <c r="Q113" i="8" s="1"/>
  <c r="T201" i="8"/>
  <c r="V201" i="8" s="1"/>
  <c r="M28" i="9"/>
  <c r="N28" i="9" s="1"/>
  <c r="M50" i="9"/>
  <c r="N50" i="9" s="1"/>
  <c r="P72" i="9"/>
  <c r="Q72" i="9" s="1"/>
  <c r="R72" i="9" s="1"/>
  <c r="M129" i="9"/>
  <c r="N129" i="9" s="1"/>
  <c r="M169" i="9"/>
  <c r="N169" i="9" s="1"/>
  <c r="M170" i="9"/>
  <c r="N170" i="9" s="1"/>
  <c r="M205" i="9"/>
  <c r="N205" i="9" s="1"/>
  <c r="Q205" i="9"/>
  <c r="M243" i="9"/>
  <c r="M244" i="9"/>
  <c r="P50" i="9"/>
  <c r="Q129" i="9"/>
  <c r="P169" i="9"/>
  <c r="Q169" i="9" s="1"/>
  <c r="M98" i="9"/>
  <c r="P98" i="9" s="1"/>
  <c r="S54" i="8" l="1"/>
  <c r="P74" i="8"/>
  <c r="Q74" i="8" s="1"/>
  <c r="S74" i="8"/>
  <c r="T74" i="8" s="1"/>
  <c r="U74" i="8" s="1"/>
  <c r="Y118" i="8"/>
  <c r="U166" i="8"/>
  <c r="V166" i="8" s="1"/>
  <c r="T166" i="8"/>
  <c r="X166" i="8"/>
  <c r="Z166" i="8" s="1"/>
  <c r="W74" i="8"/>
  <c r="N166" i="8"/>
  <c r="Z74" i="8"/>
  <c r="AB74" i="8" s="1"/>
  <c r="AC74" i="8" s="1"/>
  <c r="V74" i="8"/>
  <c r="V53" i="8"/>
  <c r="W53" i="8" s="1"/>
  <c r="S33" i="8"/>
  <c r="AA54" i="8"/>
  <c r="U148" i="8"/>
  <c r="N184" i="8"/>
  <c r="O184" i="8" s="1"/>
  <c r="U184" i="8"/>
  <c r="V184" i="8" s="1"/>
  <c r="W184" i="8" s="1"/>
  <c r="Q184" i="8"/>
  <c r="R184" i="8" s="1"/>
  <c r="Y218" i="8"/>
  <c r="W52" i="8"/>
  <c r="Z58" i="8"/>
  <c r="T8" i="8"/>
  <c r="AA52" i="8"/>
  <c r="W40" i="8"/>
  <c r="S56" i="8"/>
  <c r="Z22" i="8"/>
  <c r="AA22" i="8" s="1"/>
  <c r="N19" i="8"/>
  <c r="O19" i="8" s="1"/>
  <c r="Q39" i="9"/>
  <c r="X12" i="8"/>
  <c r="U9" i="8"/>
  <c r="U218" i="8"/>
  <c r="S34" i="8"/>
  <c r="W71" i="8"/>
  <c r="X71" i="8" s="1"/>
  <c r="R16" i="9"/>
  <c r="W39" i="8"/>
  <c r="AC235" i="8"/>
  <c r="S85" i="8"/>
  <c r="T85" i="8" s="1"/>
  <c r="U85" i="8" s="1"/>
  <c r="V9" i="8"/>
  <c r="W73" i="8"/>
  <c r="N8" i="8"/>
  <c r="O8" i="8" s="1"/>
  <c r="S72" i="8"/>
  <c r="T72" i="8" s="1"/>
  <c r="U72" i="8" s="1"/>
  <c r="N10" i="8"/>
  <c r="O10" i="8" s="1"/>
  <c r="Y16" i="8"/>
  <c r="Z16" i="8" s="1"/>
  <c r="Y20" i="8"/>
  <c r="Z20" i="8" s="1"/>
  <c r="S35" i="8"/>
  <c r="T16" i="8"/>
  <c r="T274" i="8"/>
  <c r="Y235" i="8"/>
  <c r="U114" i="8"/>
  <c r="W35" i="8"/>
  <c r="V202" i="8"/>
  <c r="W202" i="8" s="1"/>
  <c r="S201" i="8"/>
  <c r="S32" i="8"/>
  <c r="Y98" i="8"/>
  <c r="S60" i="8"/>
  <c r="R40" i="9"/>
  <c r="R15" i="9"/>
  <c r="Q98" i="9"/>
  <c r="R140" i="9"/>
  <c r="Q28" i="9"/>
  <c r="R28" i="9" s="1"/>
  <c r="R12" i="9"/>
  <c r="Q94" i="9"/>
  <c r="R94" i="9" s="1"/>
  <c r="R97" i="9"/>
  <c r="Q50" i="9"/>
  <c r="R50" i="9" s="1"/>
  <c r="N8" i="9"/>
  <c r="R8" i="9" s="1"/>
  <c r="R170" i="9"/>
  <c r="Q38" i="9"/>
  <c r="R38" i="9" s="1"/>
  <c r="R39" i="9"/>
  <c r="Q26" i="9"/>
  <c r="R26" i="9" s="1"/>
  <c r="R205" i="9"/>
  <c r="Q36" i="9"/>
  <c r="R36" i="9" s="1"/>
  <c r="R9" i="9"/>
  <c r="Q95" i="9"/>
  <c r="R95" i="9" s="1"/>
  <c r="Q119" i="8"/>
  <c r="S119" i="8"/>
  <c r="T119" i="8" s="1"/>
  <c r="Y119" i="8" s="1"/>
  <c r="W201" i="8"/>
  <c r="N165" i="8"/>
  <c r="Q165" i="8" s="1"/>
  <c r="R165" i="8" s="1"/>
  <c r="S73" i="8"/>
  <c r="T73" i="8" s="1"/>
  <c r="U73" i="8" s="1"/>
  <c r="AA55" i="8"/>
  <c r="U20" i="8"/>
  <c r="V20" i="8" s="1"/>
  <c r="Y11" i="8"/>
  <c r="W36" i="8"/>
  <c r="Y9" i="8"/>
  <c r="Z9" i="8" s="1"/>
  <c r="V73" i="8"/>
  <c r="Z73" i="8"/>
  <c r="R169" i="9"/>
  <c r="S71" i="8"/>
  <c r="T71" i="8" s="1"/>
  <c r="Y71" i="8" s="1"/>
  <c r="N13" i="8"/>
  <c r="Q13" i="8" s="1"/>
  <c r="R13" i="8" s="1"/>
  <c r="Y12" i="8"/>
  <c r="Z12" i="8" s="1"/>
  <c r="S50" i="8"/>
  <c r="Y10" i="8"/>
  <c r="AA86" i="8"/>
  <c r="T15" i="8"/>
  <c r="Q73" i="9"/>
  <c r="R73" i="9" s="1"/>
  <c r="V50" i="8"/>
  <c r="W50" i="8" s="1"/>
  <c r="N98" i="9"/>
  <c r="W55" i="8"/>
  <c r="U15" i="8"/>
  <c r="S259" i="8"/>
  <c r="AA71" i="8"/>
  <c r="AB71" i="8" s="1"/>
  <c r="AA73" i="8"/>
  <c r="W56" i="8"/>
  <c r="N17" i="8"/>
  <c r="U12" i="8"/>
  <c r="V12" i="8" s="1"/>
  <c r="N9" i="8"/>
  <c r="Y15" i="8"/>
  <c r="Z15" i="8" s="1"/>
  <c r="Y114" i="8"/>
  <c r="Y115" i="8"/>
  <c r="AA50" i="8"/>
  <c r="Y112" i="8"/>
  <c r="AA60" i="8"/>
  <c r="W72" i="8"/>
  <c r="X72" i="8" s="1"/>
  <c r="Y72" i="8" s="1"/>
  <c r="R129" i="9"/>
  <c r="P243" i="9"/>
  <c r="Q243" i="9" s="1"/>
  <c r="N243" i="9"/>
  <c r="V54" i="8"/>
  <c r="W54" i="8" s="1"/>
  <c r="X113" i="8"/>
  <c r="Y113" i="8" s="1"/>
  <c r="V51" i="8"/>
  <c r="W51" i="8" s="1"/>
  <c r="AA202" i="8"/>
  <c r="P71" i="8"/>
  <c r="Q71" i="8" s="1"/>
  <c r="U71" i="8" s="1"/>
  <c r="P18" i="8"/>
  <c r="O18" i="8"/>
  <c r="N16" i="8"/>
  <c r="U10" i="8"/>
  <c r="U16" i="8"/>
  <c r="V16" i="8" s="1"/>
  <c r="Q9" i="8"/>
  <c r="R9" i="8" s="1"/>
  <c r="W9" i="8" s="1"/>
  <c r="O9" i="8"/>
  <c r="T19" i="8"/>
  <c r="X19" i="8"/>
  <c r="N12" i="8"/>
  <c r="R189" i="9"/>
  <c r="U118" i="8"/>
  <c r="Z86" i="8"/>
  <c r="AB86" i="8" s="1"/>
  <c r="V86" i="8"/>
  <c r="AA85" i="8"/>
  <c r="AA59" i="8"/>
  <c r="AA57" i="8"/>
  <c r="V22" i="8"/>
  <c r="W22" i="8" s="1"/>
  <c r="Y14" i="8"/>
  <c r="T11" i="8"/>
  <c r="X11" i="8"/>
  <c r="Z11" i="8" s="1"/>
  <c r="U115" i="8"/>
  <c r="X165" i="8"/>
  <c r="T165" i="8"/>
  <c r="O13" i="8"/>
  <c r="Q8" i="8"/>
  <c r="R8" i="8" s="1"/>
  <c r="W21" i="8"/>
  <c r="X13" i="8"/>
  <c r="T13" i="8"/>
  <c r="X17" i="8"/>
  <c r="T17" i="8"/>
  <c r="U19" i="8"/>
  <c r="V19" i="8" s="1"/>
  <c r="Y219" i="8"/>
  <c r="N11" i="8"/>
  <c r="W125" i="8"/>
  <c r="X125" i="8" s="1"/>
  <c r="Y125" i="8" s="1"/>
  <c r="AA125" i="8"/>
  <c r="AB125" i="8" s="1"/>
  <c r="AC125" i="8" s="1"/>
  <c r="X117" i="8"/>
  <c r="W32" i="8"/>
  <c r="W34" i="8"/>
  <c r="N20" i="8"/>
  <c r="W58" i="8"/>
  <c r="Q17" i="8"/>
  <c r="R17" i="8" s="1"/>
  <c r="O17" i="8"/>
  <c r="X14" i="8"/>
  <c r="T14" i="8"/>
  <c r="U8" i="8"/>
  <c r="V8" i="8" s="1"/>
  <c r="U13" i="8"/>
  <c r="N15" i="8"/>
  <c r="U17" i="8"/>
  <c r="V17" i="8" s="1"/>
  <c r="Y19" i="8"/>
  <c r="Z85" i="8"/>
  <c r="V85" i="8"/>
  <c r="S37" i="8"/>
  <c r="W33" i="8"/>
  <c r="AA21" i="8"/>
  <c r="T10" i="8"/>
  <c r="X10" i="8"/>
  <c r="Z10" i="8" s="1"/>
  <c r="Y8" i="8"/>
  <c r="Z8" i="8" s="1"/>
  <c r="AA51" i="8"/>
  <c r="U165" i="8"/>
  <c r="N244" i="9"/>
  <c r="P244" i="9"/>
  <c r="Q244" i="9" s="1"/>
  <c r="V60" i="8"/>
  <c r="W60" i="8" s="1"/>
  <c r="Y165" i="8"/>
  <c r="Z165" i="8" s="1"/>
  <c r="AA72" i="8"/>
  <c r="AB72" i="8" s="1"/>
  <c r="AC72" i="8" s="1"/>
  <c r="AA58" i="8"/>
  <c r="N14" i="8"/>
  <c r="U11" i="8"/>
  <c r="V11" i="8" s="1"/>
  <c r="Y13" i="8"/>
  <c r="Y17" i="8"/>
  <c r="Z17" i="8" s="1"/>
  <c r="U147" i="8"/>
  <c r="U113" i="8"/>
  <c r="AA201" i="8"/>
  <c r="R11" i="9"/>
  <c r="S86" i="8"/>
  <c r="T86" i="8" s="1"/>
  <c r="U86" i="8" s="1"/>
  <c r="W85" i="8"/>
  <c r="W86" i="8"/>
  <c r="X86" i="8" s="1"/>
  <c r="V59" i="8"/>
  <c r="W59" i="8" s="1"/>
  <c r="V57" i="8"/>
  <c r="W57" i="8" s="1"/>
  <c r="U14" i="8"/>
  <c r="T117" i="8"/>
  <c r="U117" i="8" s="1"/>
  <c r="Y99" i="8"/>
  <c r="AA166" i="8" l="1"/>
  <c r="W166" i="8"/>
  <c r="AA17" i="8"/>
  <c r="AC71" i="8"/>
  <c r="Q166" i="8"/>
  <c r="R166" i="8" s="1"/>
  <c r="O166" i="8"/>
  <c r="X74" i="8"/>
  <c r="Y74" i="8" s="1"/>
  <c r="S184" i="8"/>
  <c r="AA8" i="8"/>
  <c r="X73" i="8"/>
  <c r="Y73" i="8" s="1"/>
  <c r="V15" i="8"/>
  <c r="Q19" i="8"/>
  <c r="R19" i="8" s="1"/>
  <c r="W19" i="8" s="1"/>
  <c r="W17" i="8"/>
  <c r="Q10" i="8"/>
  <c r="R10" i="8" s="1"/>
  <c r="AA10" i="8" s="1"/>
  <c r="R98" i="9"/>
  <c r="O165" i="8"/>
  <c r="Z14" i="8"/>
  <c r="AC86" i="8"/>
  <c r="V13" i="8"/>
  <c r="W13" i="8" s="1"/>
  <c r="Z19" i="8"/>
  <c r="S8" i="8"/>
  <c r="AA9" i="8"/>
  <c r="AB73" i="8"/>
  <c r="AC73" i="8" s="1"/>
  <c r="U119" i="8"/>
  <c r="AA165" i="8"/>
  <c r="Y86" i="8"/>
  <c r="Q14" i="8"/>
  <c r="R14" i="8" s="1"/>
  <c r="O14" i="8"/>
  <c r="V14" i="8"/>
  <c r="X85" i="8"/>
  <c r="Y85" i="8" s="1"/>
  <c r="Z13" i="8"/>
  <c r="AA13" i="8" s="1"/>
  <c r="R244" i="9"/>
  <c r="V165" i="8"/>
  <c r="W165" i="8" s="1"/>
  <c r="W8" i="8"/>
  <c r="S10" i="8"/>
  <c r="S165" i="8"/>
  <c r="X18" i="8"/>
  <c r="Z18" i="8" s="1"/>
  <c r="T18" i="8"/>
  <c r="V18" i="8" s="1"/>
  <c r="R18" i="8"/>
  <c r="S18" i="8" s="1"/>
  <c r="Q20" i="8"/>
  <c r="R20" i="8" s="1"/>
  <c r="O20" i="8"/>
  <c r="Y117" i="8"/>
  <c r="O11" i="8"/>
  <c r="Q11" i="8"/>
  <c r="R11" i="8" s="1"/>
  <c r="W11" i="8" s="1"/>
  <c r="AB85" i="8"/>
  <c r="AC85" i="8" s="1"/>
  <c r="V10" i="8"/>
  <c r="W10" i="8" s="1"/>
  <c r="O15" i="8"/>
  <c r="Q15" i="8"/>
  <c r="R15" i="8" s="1"/>
  <c r="S17" i="8"/>
  <c r="Q16" i="8"/>
  <c r="R16" i="8" s="1"/>
  <c r="O16" i="8"/>
  <c r="S13" i="8"/>
  <c r="Q12" i="8"/>
  <c r="R12" i="8" s="1"/>
  <c r="O12" i="8"/>
  <c r="S9" i="8"/>
  <c r="R243" i="9"/>
  <c r="S166" i="8" l="1"/>
  <c r="S19" i="8"/>
  <c r="AA14" i="8"/>
  <c r="AA19" i="8"/>
  <c r="W14" i="8"/>
  <c r="S12" i="8"/>
  <c r="AA12" i="8"/>
  <c r="W12" i="8"/>
  <c r="S15" i="8"/>
  <c r="W15" i="8"/>
  <c r="AA15" i="8"/>
  <c r="S20" i="8"/>
  <c r="W20" i="8"/>
  <c r="AA20" i="8"/>
  <c r="AA18" i="8"/>
  <c r="S16" i="8"/>
  <c r="AA16" i="8"/>
  <c r="S11" i="8"/>
  <c r="W16" i="8"/>
  <c r="W18" i="8"/>
  <c r="S14" i="8"/>
  <c r="AA11" i="8"/>
</calcChain>
</file>

<file path=xl/sharedStrings.xml><?xml version="1.0" encoding="utf-8"?>
<sst xmlns="http://schemas.openxmlformats.org/spreadsheetml/2006/main" count="7797" uniqueCount="976">
  <si>
    <t>Date</t>
  </si>
  <si>
    <t>Version</t>
  </si>
  <si>
    <t>Company</t>
  </si>
  <si>
    <t>Comments</t>
  </si>
  <si>
    <t>2018.7.24</t>
  </si>
  <si>
    <t>Huawei</t>
  </si>
  <si>
    <t>Document created.</t>
  </si>
  <si>
    <t>2018.8.09</t>
  </si>
  <si>
    <t>Intel</t>
  </si>
  <si>
    <t>Results Updated</t>
  </si>
  <si>
    <t>2018.8.13</t>
  </si>
  <si>
    <t>1. Add results for new antenna configuration (32T8R and 8T32R) for 30 GHz.
2. Update UL results for 4GHz and 30GHz for 12TRxP with reduced DMRS overhead, by taking into account the tradeoff between the DMRS overhead and the accuracy of channel estimation.</t>
  </si>
  <si>
    <t>Mediatek</t>
  </si>
  <si>
    <t>2018.8.15</t>
  </si>
  <si>
    <t>Motorola Mobility / Lenovo</t>
  </si>
  <si>
    <t>2018.8.16</t>
  </si>
  <si>
    <t>CATT</t>
  </si>
  <si>
    <t>Ericsson</t>
  </si>
  <si>
    <t>Results added</t>
  </si>
  <si>
    <t>No changes, revision only to complete version numbers compatible between Dense Urban and Rural spreadsheets</t>
  </si>
  <si>
    <t>2018.8.17</t>
  </si>
  <si>
    <t>NTT DOCOMO</t>
  </si>
  <si>
    <t>Result Updated</t>
  </si>
  <si>
    <t>Update InH 36TRxP results for 4GHz</t>
  </si>
  <si>
    <t>LGE</t>
  </si>
  <si>
    <t>NEC</t>
  </si>
  <si>
    <t>ITRI</t>
  </si>
  <si>
    <t>CAICT</t>
  </si>
  <si>
    <t>Rural Results Updated</t>
  </si>
  <si>
    <t>OPPO</t>
  </si>
  <si>
    <t>2018.8.18</t>
  </si>
  <si>
    <t>CMCC</t>
  </si>
  <si>
    <t>2018.8.19</t>
  </si>
  <si>
    <t>ZTE</t>
  </si>
  <si>
    <t>Upload results for 4GHz</t>
  </si>
  <si>
    <t>2018.8.20</t>
  </si>
  <si>
    <t>China Telecom</t>
  </si>
  <si>
    <t>Samsung</t>
  </si>
  <si>
    <t>1. Add results for TDD 15kHz SCS and update results for TDD 30kHz SCS based on non-precoded CSI-RS measurement
2. Add results for new antenna configuration, i.e. 4Tx for UL</t>
  </si>
  <si>
    <t>Nokia</t>
  </si>
  <si>
    <t>2018.8.21</t>
  </si>
  <si>
    <t>2018.8.22</t>
  </si>
  <si>
    <t>Qualcomm</t>
  </si>
  <si>
    <t>Results Updated (30GHz, 12TRxP)</t>
  </si>
  <si>
    <t xml:space="preserve">Clarifying antenna configuration (in results summary) </t>
  </si>
  <si>
    <t>2018.8.23</t>
  </si>
  <si>
    <t>Parameters updated</t>
  </si>
  <si>
    <t>Results updated according to the updated OH and UL 30KHz SCS results added</t>
  </si>
  <si>
    <t>updated results</t>
  </si>
  <si>
    <t>2018.8.27</t>
  </si>
  <si>
    <t>1. Adjust formats and add a column to indicate the antenna and TXRU mapping in the result sheets.
2. Merge the overhead calculation sheet based on the newest version v36 into the result collection excel.</t>
  </si>
  <si>
    <t>2018.8.28</t>
  </si>
  <si>
    <t>update results</t>
  </si>
  <si>
    <t>update Antenna and TXRU mapping and Antenna config &amp; Tx scheme</t>
  </si>
  <si>
    <t>update UL OH parameters</t>
  </si>
  <si>
    <t>update OH parameter and corresponding results</t>
  </si>
  <si>
    <t>2018.8.29</t>
  </si>
  <si>
    <t>Results updated</t>
  </si>
  <si>
    <t>2018.8.30</t>
  </si>
  <si>
    <t>1. Update the overhead calculation according to the agreed GP/PDCCH/PUCCH assumption in the overhead sheet.
2. Update the spectral efficiency results according to the adjusted overhead.</t>
  </si>
  <si>
    <t>2018.9.01</t>
  </si>
  <si>
    <t>1. Update the overhead calculation for larger bandwidth taking into account the guard band ratio and PDCCH overhead reduction in DL.
2. Add new sheets for the spectral efficiency results of the larger bandwidth.</t>
  </si>
  <si>
    <t>2018.9.03</t>
  </si>
  <si>
    <t>Add QC overhead detailed information for DL and UL</t>
  </si>
  <si>
    <t>2018.9.04</t>
  </si>
  <si>
    <t>Update DL_OH parameter and PDCCH ratio</t>
  </si>
  <si>
    <t>2018.9.07</t>
  </si>
  <si>
    <t>Adjust formats</t>
  </si>
  <si>
    <t>2018.9.10</t>
  </si>
  <si>
    <t>Update DL parameter</t>
  </si>
  <si>
    <t>1. Update the results for DL 12TRxP for 30GHz for NTT DOCOMO.
It's already based on 2 PDCCH OFDM Symbols, So it doesn't need to be adjusted by a factor. 
2. Update the frame structure DDDSU and the overhead calculation for Ericsson. The SE results are also updated.</t>
  </si>
  <si>
    <t>2018.4.09</t>
  </si>
  <si>
    <t>44_r1</t>
  </si>
  <si>
    <t>This is a temp version used to update the results after the first submission. The ideal channel estimation results are updated marked by green color. The results for the existing configuration are updated marked by purple color. The results for the new configuration are updated marked by orange color. The values marked by red color are still needed to be further updated by contributors.</t>
  </si>
  <si>
    <t>2019.5.01</t>
  </si>
  <si>
    <t>44_r2</t>
  </si>
  <si>
    <t>SHARP</t>
  </si>
  <si>
    <t>Results added including some parameter update</t>
  </si>
  <si>
    <t>2019.5.05</t>
  </si>
  <si>
    <t>44_r3</t>
  </si>
  <si>
    <t>vivo</t>
  </si>
  <si>
    <t>1.Update DL 4GHz configuration parameter marked by orange color.
2.Add DL and UL OH assumption parameters.</t>
  </si>
  <si>
    <t>2019.5.06</t>
  </si>
  <si>
    <t>44_r4</t>
  </si>
  <si>
    <t>Update FR2 evaluation results, some simulation assumptions and OH</t>
  </si>
  <si>
    <t>44_r5</t>
  </si>
  <si>
    <t>Update simulation assumptions and OH in red; Mark channel model B simulation results as non-ideal in orange.</t>
  </si>
  <si>
    <t>2019.06.06</t>
  </si>
  <si>
    <t>44_r6</t>
  </si>
  <si>
    <t>Updated 30GHz results from R1-1811066</t>
  </si>
  <si>
    <t>InH - eMBB</t>
  </si>
  <si>
    <t>Technical configuration Parameters</t>
  </si>
  <si>
    <t>Reference value</t>
  </si>
  <si>
    <t>Sharp</t>
  </si>
  <si>
    <t>NR FDD</t>
  </si>
  <si>
    <t xml:space="preserve">NR TDD </t>
  </si>
  <si>
    <t xml:space="preserve">LTE TDD </t>
  </si>
  <si>
    <t>LTE FDD</t>
  </si>
  <si>
    <t>NR TDD</t>
  </si>
  <si>
    <t>Multiple access</t>
  </si>
  <si>
    <t>OFDMA</t>
  </si>
  <si>
    <t>Aligned with reference</t>
  </si>
  <si>
    <t>Duplexing</t>
  </si>
  <si>
    <t>FDD</t>
  </si>
  <si>
    <t>TDD</t>
  </si>
  <si>
    <t>Network synchronization</t>
  </si>
  <si>
    <t>Synchronized</t>
  </si>
  <si>
    <t>Modulation</t>
  </si>
  <si>
    <t>Up to 256 QAM</t>
  </si>
  <si>
    <t>Coding on PDSCH</t>
  </si>
  <si>
    <t>LDPC
Max code-block size=8448bit 
[with BP decoding]</t>
  </si>
  <si>
    <t>Turbo</t>
  </si>
  <si>
    <t>Numerology</t>
  </si>
  <si>
    <t>15 kHz / 30 kHz,
14 OFDM symbol slot</t>
  </si>
  <si>
    <t>15 kHz SCS,
14 OFDM symbol slot</t>
  </si>
  <si>
    <t>15/30 kHz SCS,
14 OFDM symbol slot</t>
  </si>
  <si>
    <t>15 kHz SCS,
14 OFDM symbol per subframe</t>
  </si>
  <si>
    <t>15 / 30 kHz SCS,
14 OFDM symbol slot</t>
  </si>
  <si>
    <t>30kHz SCS,
14 OFDM symbol slot</t>
  </si>
  <si>
    <t>30 kHz SCS,
14 OFDM symbol slot</t>
  </si>
  <si>
    <t>Guard band ratio on simulation bandwidth</t>
  </si>
  <si>
    <t>FDD: 6.4% (for 10 MHz bandwidth)
TDD: 8.2% (51 RB for 30kHz SCS and  20 MHz bandwidth)
TDD: 4.6% (106 RB for 15kHz SCS and  20 MHz bandwidth)</t>
  </si>
  <si>
    <t>TDD: 8.2% (51 RB for 30 kHz 20 MHz); 1.72% (273 RB for 30 kHz 100 MHz)</t>
  </si>
  <si>
    <t>Simulation bandwdith</t>
  </si>
  <si>
    <t>FDD: 10 MHz
TDD: 20 MHz</t>
  </si>
  <si>
    <t>10 MHz</t>
  </si>
  <si>
    <t>20 MHz</t>
  </si>
  <si>
    <t>20MHz</t>
  </si>
  <si>
    <t>Frame structure</t>
  </si>
  <si>
    <t>FDD: Full downlink</t>
  </si>
  <si>
    <t>DDDSU</t>
  </si>
  <si>
    <t>DSUDD</t>
  </si>
  <si>
    <t>DSUUD</t>
  </si>
  <si>
    <t xml:space="preserve">TDD Config 1: [DDDDDDDSUU], S(6DL:4GP:4UL) 
TDD Config 2: [DDSUUUUUUU], S(6DL:4GP:4UL) </t>
  </si>
  <si>
    <r>
      <rPr>
        <sz val="9"/>
        <rFont val="Arial"/>
        <family val="2"/>
      </rPr>
      <t xml:space="preserve">Option-1:DSUUD
Option-2:DDDSU
</t>
    </r>
    <r>
      <rPr>
        <sz val="9"/>
        <color theme="9" tint="-0.249977111117893"/>
        <rFont val="Arial"/>
        <family val="2"/>
      </rPr>
      <t>Option-3:DDDSUDDSUU
Option-4: DDDDDDDSUU</t>
    </r>
  </si>
  <si>
    <t>Transmission scheme</t>
  </si>
  <si>
    <t>closed SU/MU-MIMO adaptation</t>
  </si>
  <si>
    <t>closed SU-MIMO adaptation</t>
  </si>
  <si>
    <t>Closed-loop SU/MU-MIMO adaptation with zero forcing.</t>
  </si>
  <si>
    <t>DL CSI measurement</t>
  </si>
  <si>
    <t>Non-precoded CSI-RS  based</t>
  </si>
  <si>
    <t xml:space="preserve">
For 64T: Precoded CSI-RS based</t>
  </si>
  <si>
    <t>Non-precoded CSI-RS based</t>
  </si>
  <si>
    <t xml:space="preserve"> -- Precoded CSI-RS based
 -- Non-precoded CSI-RS based</t>
  </si>
  <si>
    <t xml:space="preserve"> -- Non-precoded CSI-RS based</t>
  </si>
  <si>
    <t>Precoded CSI-RS based, non-PMI</t>
  </si>
  <si>
    <t>Precoded CSI-RS based</t>
  </si>
  <si>
    <t>Non-PMI feedback</t>
  </si>
  <si>
    <t>SRS-based</t>
  </si>
  <si>
    <t>DL codebook</t>
  </si>
  <si>
    <t>Type II codebook;
4 beams, WB+SB amplitude quantization, 8 PSK phase quantization</t>
  </si>
  <si>
    <t xml:space="preserve">
For 64T: non-PMI transmission</t>
  </si>
  <si>
    <t>Type II codebook;
4beam, wb+sb, 8psk</t>
  </si>
  <si>
    <t>Type II codebook;
4 beams, WB+SB, 8 PSK</t>
  </si>
  <si>
    <t xml:space="preserve"> -- For precoded CSI-RS based, non-PMI, N.A.
 -- For non-precoded CSI-RS, Type II codebook;4 beams, WB+SB, 8 PSK</t>
  </si>
  <si>
    <t>LTE advanced CSI codebook based; 2 beam basis, WB+SB and 4PSK quantification</t>
  </si>
  <si>
    <t xml:space="preserve"> -- For precoded CSI-RS based, non-PMI, N.A.
 -- For non-precoded CSI-RS, LTE advanced CSI codebook based; 2 beam basis, WB+SB and 4PSK quantification</t>
  </si>
  <si>
    <t xml:space="preserve">Ideal </t>
  </si>
  <si>
    <t>Type II codebook;
4beam, wb only, 8psk</t>
  </si>
  <si>
    <t>Type I codebook;</t>
  </si>
  <si>
    <t>N/A</t>
  </si>
  <si>
    <t>Type I codebook (single panel) ;</t>
  </si>
  <si>
    <t>Type II codebook</t>
  </si>
  <si>
    <t>PRB bundling</t>
  </si>
  <si>
    <t>4 PRBs</t>
  </si>
  <si>
    <t>2 PRBs</t>
  </si>
  <si>
    <t>3 PRBs</t>
  </si>
  <si>
    <t>MU dimension</t>
  </si>
  <si>
    <t>Up to 12 layers</t>
  </si>
  <si>
    <t>Up to 8 layers</t>
  </si>
  <si>
    <t>Up to 12 users</t>
  </si>
  <si>
    <t>Up to 8 users</t>
  </si>
  <si>
    <t>SU dimension</t>
  </si>
  <si>
    <t>For 4Rx: Up to 4 layers</t>
  </si>
  <si>
    <t>Up to 2 layers</t>
  </si>
  <si>
    <t>For 4Rx: Up to 2 layers (accroding to current Type II CSI)</t>
  </si>
  <si>
    <t>For 4Rx: Up to 2 layers</t>
  </si>
  <si>
    <t>Up to 1 layer per user</t>
  </si>
  <si>
    <t>Codeword (CW)-to-layer mapping</t>
  </si>
  <si>
    <t>For 1~4 layers, CW1;
For 5 layers or more, two CWs</t>
  </si>
  <si>
    <t>For larger than or equal to 2 layers, two CWs.</t>
  </si>
  <si>
    <t>SRS transmission</t>
  </si>
  <si>
    <t>Companies to Report:
• Precoded or non-precoded SRS transmission;
• SRS switch or not for 1T4R/2T4R/1T2R
• SRS bandwidth
• Number of OFDM symbols within 1 slot for SRS transmission per UE</t>
  </si>
  <si>
    <t>For UE 4 Tx ports: Non-precoded SRS, 4 SRS ports (with 4 SRS resources)
2 symbols per 5 slots for 30kHz SCS;
4 symbols per 5 slots for 15kHz SCS;</t>
  </si>
  <si>
    <t xml:space="preserve">For UE 2 Tx ports: Non-precoded SRS, 2 SRS ports
</t>
  </si>
  <si>
    <t>For UE 4 Tx ports: Non-precoded SRS, 4 SRS ports (with 4 SRS resources)
2 symbols in every 10 slots;</t>
  </si>
  <si>
    <t>For UE 4 Tx ports: Non-precoded SRS</t>
  </si>
  <si>
    <t>For UE 4 Tx ports: Non-precoded SRS, 4 SRS ports (with 4 SRS resources)
2 symbols every 10ms</t>
  </si>
  <si>
    <t>• non-precoded SRS transmission;
• SRS switch for 2T4R
• adaptive SRS bandwidth per UE 
• 2 symbols within 1 slot for SRS transmission per UE</t>
  </si>
  <si>
    <t>• non-precoded SRS transmission;</t>
  </si>
  <si>
    <t>For UE 4 Tx ports: Non-precoded SRS, 4 SRS ports (with 4 SRS resources)
2 symbols in special slot for SRS;
8 PRBs per symbol</t>
  </si>
  <si>
    <t>For UE 8 Tx ports: Non-precoded SRS, 8 SRS ports
4 symbols every 10ms</t>
  </si>
  <si>
    <t>CSI feedback</t>
  </si>
  <si>
    <t xml:space="preserve">PMI, CQI: every 5 slot; RI: every 5 slot;
Subband based </t>
  </si>
  <si>
    <t xml:space="preserve">CQI: every 5 slot; RI: every 5 slot, CRI: every 5 slot
Subband based </t>
  </si>
  <si>
    <t xml:space="preserve">PMI, CQI: every 10 slot; RI: every 10 slot;
Subband based </t>
  </si>
  <si>
    <t xml:space="preserve">CQI: every 10 slot; RI: every 10 slot, CRI: every 10 slot; PMI: every 10 slot; 
Subband based </t>
  </si>
  <si>
    <t xml:space="preserve">CQI: every 10 slot; RI: every 10 slot, CRI: every 10 slot
Subband based </t>
  </si>
  <si>
    <t>PMI, CQI: every 5 slots; RI: every 5 slots;
Subband based, 5 slot delay</t>
  </si>
  <si>
    <t xml:space="preserve">CQI: every 10 slots; RI: every 10 slots
Subband based, 5 slot delay </t>
  </si>
  <si>
    <t>Interference measurement</t>
  </si>
  <si>
    <t>SU-CQI; CSI-IM for inter-cell interference measurement</t>
  </si>
  <si>
    <t>CBG</t>
  </si>
  <si>
    <t>ACK/NACK delay</t>
  </si>
  <si>
    <t>The next available UL slot</t>
  </si>
  <si>
    <t>At least N+4</t>
  </si>
  <si>
    <t>N+4</t>
  </si>
  <si>
    <t>Re-transmission delay</t>
  </si>
  <si>
    <t>The next available DL slot after receiving NACK</t>
  </si>
  <si>
    <t>At least N+8</t>
  </si>
  <si>
    <t>-</t>
  </si>
  <si>
    <t>N+8</t>
  </si>
  <si>
    <t>Antenna configuration at TRxP</t>
  </si>
  <si>
    <t>(M, N, P, Mg, Ng; Mp, Np)
- M: Number of vertical antenna elements within a panel, on one polarization
- N: Number of horizontal antenna elements within a panel, on one polarization
- P: Number of polarizations
- Mg: Number of panels in a column;
- Ng: Number of panels in a row;
- Mp: Number of vertical TXRUs within a panel, on one polarization
- Np: Number of horizontal TXRUs within a panel, on one polarization</t>
  </si>
  <si>
    <t>For 12TRxP: 
     - For 32T, (M,N,P,Mg,Ng; Mp,Np) = (4,4,2,1,1;4,4)
For 36TRxP:
    - For 32T, (M,N,P,Mg,Ng; Mp,Np) = (8,16,2,1,1; 2,8)
 (dH,dV) = (0.5, 0.5)λ</t>
  </si>
  <si>
    <t>For 12TRxP: 
     - For 64T, (M,N,P,Mg,Ng; Mp,Np) =(8,16,2,1,1; 4,8)</t>
  </si>
  <si>
    <t>For 12TRxP: 
     - For 32T, (M,N,P,Mg,Ng; Mp,Np) = (4,4,2,1,1;4,4)</t>
  </si>
  <si>
    <t xml:space="preserve">For 12TRxP: 
     - For 32T, (M,N,P,Mg,Ng; Mp,Np) = (4,4,2,1,1;4,4)
</t>
  </si>
  <si>
    <t>For 12TRxP: 
     - For 32T, (M,N,P,Mg,Ng; Mp,Np) = (4,4,2,1,1;4,4)
For 36TRxP:
    - For 32T, (M,N,P,Mg,Ng; Mp,Np) = (8,8,2,1,1; 4,4)
 (dH,dV) = (0.5, 0.5)λ</t>
  </si>
  <si>
    <t>For 12TRxP: 
     - For 32T, (M,N,P,Mg,Ng; Mp,Np) = (4,4,2,1,1;4,4)
For 36TRxP:
    - For 32T, (M,N,P,Mg,Ng; Mp,Np) = (4,4,2,1,1; 4,4)
 (dH,dV) = (0.5, 0.5)λ</t>
  </si>
  <si>
    <t>For 12TRxP: 
     - For 32T, (M,N,P,Mg,Ng; Mp,Np) = (4,4,2,1,1;4,4)
 (dH,dV) = (0.5, 0.5)λ</t>
  </si>
  <si>
    <t>For 12TRxP: 
     - 32T, (M,N,P,Mg,Ng; Mp,Np) = (4,4,2,1,1;4,4)
 (dH,dV) = (0.5, 0.5)λ</t>
  </si>
  <si>
    <t>Antenna configuration at UE</t>
  </si>
  <si>
    <t>(M, N, P, Mg, Ng; Mp, Np)
- M: Number of vertical antenna elements within a panel, on one polarization
- N: Number of horizontal antenna elements within a panel, on one polarization
- P: Number of polarizations
- Mg: Number of panels;
- Ng: default: 1
- Mp: Number of vertical TXRUs within a panel, on one polarization
- Np: Number of horizontal TXRUs within a panel, on one polarization</t>
  </si>
  <si>
    <t>For 12TRxP: 
    - For 4R, (M,N,P,Mg,Ng; Mp,Np) = (1,2,2,1,1; 1,2)
(dH,dV) = (0.5, 0.5)λ</t>
  </si>
  <si>
    <t>For 12TRxP: 
    - For 4R, (M,N,P,Mg,Ng; Mp,Np) =  (1,2,2,1,1; 1,2)
(dH,dV) = (0.5, 0.5)λ</t>
  </si>
  <si>
    <t>For 12TRxP: 
    - For 2R, (M,N,P,Mg,Ng; Mp,Np) =  (1,1,2,1,1; 1,1)
(dH,dV) = (0.5, 0.5)λ</t>
  </si>
  <si>
    <t xml:space="preserve"> For 4R, (M,N,P,Mg,Ng; Mp,Np) = (1,2,2,1,1; 1,2)
(dH,dV) = (0.5, 0.5)λ</t>
  </si>
  <si>
    <t xml:space="preserve"> For 4R, (M,N,P,Mg,Ng; Mp,Np) =  (1,2,2,1,1; 1,2)
(dH,dV) = (0.5, 0.5)λ</t>
  </si>
  <si>
    <t xml:space="preserve">(M,N,P,Mg,Ng; Mp,Np) =  (1,2,2,1,1; 1,2)
(dH,dV) = (0.5, 0.5)λ
</t>
  </si>
  <si>
    <t>For 4R:  (M,N,P,Mg,Ng; Mp,Np)= (1,2,2,1,1; 1,2)
(dH, dV)=(0.5, N/A)λ</t>
  </si>
  <si>
    <t xml:space="preserve">    - For 4R, (M,N,P,Mg,Ng; Mp,Np) =  (1,2,2,1,1; 1,2)
(dH,dV) = (0.5, 0.5)λ</t>
  </si>
  <si>
    <t>For 12TRxP: 
 (M,N,P,Mg,Ng; Mp,Np) = (1,4,2,1,1; 1,4)
(dH,dV) = (0.5, - )λ</t>
  </si>
  <si>
    <t>For 12TRxP: 
(M,N,P,Mg,Ng; Mp,Np) =  (1,4,2,1,1; 1,4)
(dH,dV) = (0.5,  - )λ</t>
  </si>
  <si>
    <t>For 12TRxP: 
    - For 8R, (M,N,P,Mg,Ng; Mp,Np) = (1,4,2,1,1; 1,4)
(dH,dV) = (0.5, 0.5)λ</t>
  </si>
  <si>
    <t>Scheduling</t>
  </si>
  <si>
    <t>PF</t>
  </si>
  <si>
    <t>Receiver</t>
  </si>
  <si>
    <t>MMSE-IRC</t>
  </si>
  <si>
    <t>MMSE</t>
  </si>
  <si>
    <t>Channel estimation</t>
  </si>
  <si>
    <t>Non-ideal</t>
  </si>
  <si>
    <t>ideal</t>
  </si>
  <si>
    <r>
      <rPr>
        <strike/>
        <sz val="9"/>
        <color rgb="FF00B050"/>
        <rFont val="Arial"/>
        <family val="2"/>
      </rPr>
      <t>ideal</t>
    </r>
    <r>
      <rPr>
        <sz val="9"/>
        <color rgb="FF00B050"/>
        <rFont val="Arial"/>
        <family val="2"/>
      </rPr>
      <t xml:space="preserve">
Non-ideal</t>
    </r>
  </si>
  <si>
    <t>Ideal</t>
  </si>
  <si>
    <t>System configuration parameters</t>
  </si>
  <si>
    <t>Reference Value</t>
  </si>
  <si>
    <t>TRxP number per site</t>
  </si>
  <si>
    <t xml:space="preserve">Mechanic tilt </t>
  </si>
  <si>
    <t>180° in GCS (pointing to the ground)</t>
  </si>
  <si>
    <t>[110°] in GCS</t>
  </si>
  <si>
    <t>Electronic tilt</t>
  </si>
  <si>
    <t>90° in LCS</t>
  </si>
  <si>
    <t>Handover margin (dB)</t>
  </si>
  <si>
    <t>UT attachment</t>
  </si>
  <si>
    <t>Based on RSRP (formula as shown in Appendix 3 of RP-180524) from port 0
The UE panel with the best receive SNR is chosen. i.e. no combining is done between panels.</t>
  </si>
  <si>
    <t>Wrapping around method</t>
  </si>
  <si>
    <t>No wrapping around</t>
  </si>
  <si>
    <t>Beam set at TRxP
(Constraints for the range of selective analog beams per TRxP)</t>
  </si>
  <si>
    <t>Beam set at UE
(Constraints for the range of selective analog beams for UE)</t>
  </si>
  <si>
    <t>Criteria for selection for serving TRxP</t>
  </si>
  <si>
    <t xml:space="preserve">Maximizing RSRP where the digital beamforming is not considered </t>
  </si>
  <si>
    <t>Criteria for analog beam selection for serving TRxP</t>
  </si>
  <si>
    <t>Analog beam selection for interfering TRxP</t>
  </si>
  <si>
    <t>Other system configuration parameters align with Report ITU-R M.2412</t>
  </si>
  <si>
    <t>LTE TDD</t>
  </si>
  <si>
    <t>SCFDMA</t>
  </si>
  <si>
    <t>Up to 256QAM</t>
  </si>
  <si>
    <t>Coding on PUSCH</t>
  </si>
  <si>
    <t>15kHz
14 OFDM symbol slot</t>
  </si>
  <si>
    <t xml:space="preserve">Full uplink </t>
  </si>
  <si>
    <t>Full uplink</t>
  </si>
  <si>
    <t xml:space="preserve">UL codebook based SU-MIMO / MU-MIMO </t>
  </si>
  <si>
    <t>UL SU-MIMO with rank adaptation</t>
  </si>
  <si>
    <t>UL MU-MIMO with rank adaptation</t>
  </si>
  <si>
    <t>SU-MIMO with rank adaptation</t>
  </si>
  <si>
    <t>Closed-loop UL MU-MIMO with rank adaptation</t>
  </si>
  <si>
    <t>UL codebook</t>
  </si>
  <si>
    <t>For 2Tx: NR 2Tx codebook;
For 4Tx: NR 4Tx codebook</t>
  </si>
  <si>
    <t>For 2Tx: LTE 2Tx codebook;</t>
  </si>
  <si>
    <t>For 4Tx: NR 4Tx codebook</t>
  </si>
  <si>
    <t>For 2Tx: NR 2Tx codebook</t>
  </si>
  <si>
    <r>
      <rPr>
        <sz val="10"/>
        <rFont val="Arial"/>
        <family val="2"/>
      </rPr>
      <t>N</t>
    </r>
    <r>
      <rPr>
        <sz val="10"/>
        <rFont val="Arial"/>
        <family val="2"/>
      </rPr>
      <t>/A</t>
    </r>
  </si>
  <si>
    <t>For 4Tx: LTE 4Tx codebook</t>
  </si>
  <si>
    <t>For 4Tx: Ideal</t>
  </si>
  <si>
    <t xml:space="preserve">
NR 4Tx codebook</t>
  </si>
  <si>
    <t>12 layers at gNB; Max 4 layers at UE</t>
  </si>
  <si>
    <t>Up to 4 layers</t>
  </si>
  <si>
    <t>For 2Tx/4Tx: Up to 2 layers</t>
  </si>
  <si>
    <t>For 2Tx: Up to 2 layers</t>
  </si>
  <si>
    <t>For 4Tx: Up to 4 layers</t>
  </si>
  <si>
    <t>For 4Tx: Up to 2 layers</t>
  </si>
  <si>
    <t>For 4 Tx: Up to 4 layers</t>
  </si>
  <si>
    <t>Up to 2 layers per user</t>
  </si>
  <si>
    <t>For UE 2 Tx ports: Non-precoded SRS, 2 SRS ports (with 2 SRS resources);
For UE 4Tx ports: Non-precoded SRS, 4 SRS ports (with 4 SRS resources);
2 symbols for SRS in every 5 slots,
8 PRBs per symbol</t>
  </si>
  <si>
    <t xml:space="preserve">For UE 2 Tx ports: Non-precoded SRS, 2 SRS ports (with 2 SRS resources);
</t>
  </si>
  <si>
    <t>4 port non-precoded SRS 
(1 SRS resource)</t>
  </si>
  <si>
    <t>For UE 2 Tx ports: Non-precoded SRS, 2 SRS ports (with 2 SRS resources),
2 symbols for SRS in every 5 slots,
8 PRBs per symbol</t>
  </si>
  <si>
    <t>For UE 4 Tx ports: Non-precoded SRS, 4 SRS ports (with 4 SRS resources),
2 symbols for SRS in every 10 slots,</t>
  </si>
  <si>
    <t>For UE 4 Tx ports: Non-precoded SRS, 4 SRS ports (with 4 SRS resources),
2 symbols in every 10 slots</t>
  </si>
  <si>
    <t xml:space="preserve">For UE 4 Tx ports: Non-precoded SRS, 4 SRS ports </t>
  </si>
  <si>
    <t>For UE 4 Tx ports: Non-precoded SRS, 4 SRS ports (with 4 SRS resources),
2 symbols for SRS in every 5 slots,
8 PRBs per symbol</t>
  </si>
  <si>
    <t>2 SRS ports : Non-precoded SRS, 
2 symbols for SRS in every 10 slots,</t>
  </si>
  <si>
    <t>For UE 4Tx ports: Non-precoded SRS, 4 SRS ports
4 symbols every 10ms</t>
  </si>
  <si>
    <t xml:space="preserve">
For UE 4Tx ports: Non-precoded SRS, 4 SRS ports (with 4 SRS resources);</t>
  </si>
  <si>
    <t>For UE 4 Tx ports: Non-precoded SRS, 4 SRS ports (with 4 SRS resources),
2 symbols in special slot for SRS,
8 PRBs per symbol</t>
  </si>
  <si>
    <t>12TRP: For 32R, (M,N,P,Mg,Ng; Mp,Np) = (4,4,2,1,1;4,4)
 (dH,dV) = (0.5, 0.5)λ</t>
  </si>
  <si>
    <t>12TRP:For  32R, (M,N,P,Mg,Ng; Mp,Np) = (4,4,2,1,1;4,4)
 (dH,dV) = (0.5, 0.5)λ</t>
  </si>
  <si>
    <t>For 12TRxP: 
     - For 64R, (M,N,P,Mg,Ng; Mp,Np) =(8,16,2,1,1; 4,8)</t>
  </si>
  <si>
    <t>For 12TRP: 16R, (M,N,P,Mg,Ng; Mp,Np) = (4,4,2,1,1;2,4)                                      For 36TRP: 32R, (M,N,P,Mg,Ng; Mp,Np) = (4,4,2,1,1;4,4)
 (dH,dV) = (0.5, 0.5)λ</t>
  </si>
  <si>
    <t>12TRP: For 32R, (M,N,P,Mg,Ng; Mp,Np) = (4,4,2,1,1;4,4)
 (dH,dV) = (0.5, 0.5)λ
36TRP: For 32R, (M,N,P,Mg,Ng; Mp,Np) = (4,8,2,1,1;2,8)
 (dH,dV) = (0.5, 0.5)λ</t>
  </si>
  <si>
    <t>12TRP:For  32R, (M,N,P,Mg,Ng; Mp,Np) = (4,4,2,1,1;4,4)
 (dH,dV) = (0.5, 0.5)λ
36TRP: For 32R, (M,N,P,Mg,Ng; Mp,Np) = (4,8,2,1,1;2,8)
 (dH,dV) = (0.5, 0.5)λ</t>
  </si>
  <si>
    <t>For 12TRxP: 
     - For 32R, (M,N,P,Mg,Ng; Mp,Np) = (4,4,2,1,1;4,4)</t>
  </si>
  <si>
    <t xml:space="preserve">For 12TRxP: 
     - For 32R, (M,N,P,Mg,Ng; Mp,Np) = (4,4,2,1,1;4,4)
</t>
  </si>
  <si>
    <t>12TRP: For 16R, (M,N,P,Mg,Ng; Mp,Np) = (4,4,2,1,1;2,4)
 (dH,dV) = (0.5, 0.5)λ</t>
  </si>
  <si>
    <t>12TRP: For 32R, (M,N,P,Mg,Ng; Mp,Np) = (4,4,2,1,1;4,4)
 (dH,dV) = (0.5, 0.5)λ
36TRP: For 32R, (M,N,P,Mg,Ng; Mp,Np) = (4,4,2,1,1; 4,4)
 (dH,dV) = (0.5, 0.5)λ</t>
  </si>
  <si>
    <t>For 12TRxP: 
     - For 32R, (M,N,P,Mg,Ng; Mp,Np) = (4,4,2,1,1;4,4)
 (dH,dV) = (0.5, 0.5)λ</t>
  </si>
  <si>
    <t>12TRP: 
For 2T, (M,N,P,Mg,Ng; Mp,Np) = (1,1,2,1,1; 1,1); (dH, dV)=( N/A, N/A)λ
For 4T,  (M,N,P,Mg,Ng; Mp,Np) = (1,2,2,1,1; 1,2); (dH, dV)=( 0.5, N/A)λ</t>
  </si>
  <si>
    <t>For 12TRxP: 
    - For 2T, (M,N,P,Mg,Ng; Mp,Np) =  (1,1,2,1,1; 1,1)
(dH,dV) = (0.5, 0.5)λ</t>
  </si>
  <si>
    <t>For 4R, (M,N,P,Mg,Ng; Mp,Np) = (1,2,2,1,1; 1,2)
(dH,dV) = (0.5, 0.5)λ</t>
  </si>
  <si>
    <t>For 4R, (M,N,P,Mg,Ng; Mp,Np) =  (1,2,2,1,1; 1,2)
(dH,dV) = (0.5, 0.5)λ</t>
  </si>
  <si>
    <t>12TRP: For 2T, (M,N,P,Mg,Ng; Mp,Np) = (1,1,2,1,1; 1,1)
(dH, dV)=( N/A, N/A)λ</t>
  </si>
  <si>
    <t>12TRP: For 4T, (M,N,P,Mg,Ng; Mp,Np) = (1,2,2,1,1; 1,2)
(dH, dV)=( 0.5, N/A)λ
36TRP: For 4T, (M,N,P,Mg,Ng; Mp,Np) = (1,2,2,1,1; 1,2)
(dH, dV)=( 0.5, N/A)λ</t>
  </si>
  <si>
    <t>12TRP: For 4T, (M,N,P,Mg,Ng; Mp,Np) =  (1,2,2,1,1; 1,2)
(dH, dV)=( 0.5, N/A)λ
36TRP: For 4T, (M,N,P,Mg,Ng; Mp,Np) = (1,2,2,1,1; 1,2)
(dH, dV)=( 0.5, N/A)λ</t>
  </si>
  <si>
    <t>For 12TRxP: 
    - For 4T, (M,N,P,Mg,Ng; Mp,Np) = (1,2,2,1,1; 1,2)
(dH,dV) = (0.5, 0.5)λ</t>
  </si>
  <si>
    <t>For 12TRxP: 
    - For 4T, (M,N,P,Mg,Ng; Mp,Np) =  (1,2,2,1,1; 1,2)
(dH,dV) = (0.5, 0.5)λ</t>
  </si>
  <si>
    <t>12TRP: For 2T, (M,N,P,Mg,Ng; Mp,Np) = (1,1,2,1,1; 1,1)
(dH, dV)=( N/A, N/A)λ
36TRP: For 2T, (M,N,P,Mg,Ng; Mp,Np) = (1,1,2,1,1; 1,1)
(dH, dV)=( N/A, N/A)λ</t>
  </si>
  <si>
    <t>For 12TRxP: 
     - For 2T, (M,N,P,Mg,Ng; Mp,Np) = (1,1,2,1,1;1,1)
 (dH,dV) = (0.5, 0.5)λ</t>
  </si>
  <si>
    <t>12TRP: For 4T, (M,N,P,Mg,Ng; Mp,Np) = (1,2,2,1,1; 1,2)
(dH, dV)=( 0.5, - )λ</t>
  </si>
  <si>
    <t>12TRP: 
 (M,N,P,Mg,Ng; Mp,Np) = (1,2,2,1,1; 1,2); (dH, dV)=( 0.5, N/A)λ</t>
  </si>
  <si>
    <t>Max CBG number</t>
  </si>
  <si>
    <t>UL re-transmission delay</t>
  </si>
  <si>
    <t>Next available UL slot after receiving retransmission indication</t>
  </si>
  <si>
    <t>at leat N+8</t>
  </si>
  <si>
    <t>MU-PF</t>
  </si>
  <si>
    <r>
      <rPr>
        <sz val="9"/>
        <rFont val="Arial"/>
        <family val="2"/>
      </rPr>
      <t xml:space="preserve">Non-ideal for 12TRxP
</t>
    </r>
    <r>
      <rPr>
        <sz val="9"/>
        <color theme="1"/>
        <rFont val="Arial"/>
        <family val="2"/>
      </rPr>
      <t>Ideal for 36TRxP</t>
    </r>
  </si>
  <si>
    <t>Power control parameter</t>
  </si>
  <si>
    <t>P0=-60, alpha = 0.6</t>
  </si>
  <si>
    <t>P0=-86, alpha = 0.9</t>
  </si>
  <si>
    <t>P0=-76, alpha = 0.8</t>
  </si>
  <si>
    <t>P0=-81, alpha = 0.8</t>
  </si>
  <si>
    <t>P0=-102, alpha = 0.7</t>
  </si>
  <si>
    <t>P0=-80, alpha = 0.8</t>
  </si>
  <si>
    <t>P0=-95, alpha = 0.8</t>
  </si>
  <si>
    <t>Power backoff model</t>
  </si>
  <si>
    <t>Continuous RB allocation: follow TS 38.101 for FR1;
Non-continuous RB allocation: additional 2 dB reduction</t>
  </si>
  <si>
    <t>Continuous RB allocation: follow TS 36.101</t>
  </si>
  <si>
    <t>Continuous RB allocation: follow TS 38.101 for FR1;
Non-continuous RB allocation:[R1-1806322]</t>
  </si>
  <si>
    <t>N.A.</t>
  </si>
  <si>
    <t>Continuous RB allocation: follow TS 38.101 for FR1;</t>
  </si>
  <si>
    <t>105 degree</t>
  </si>
  <si>
    <t>60 kHz / 120 kHz,
14 OFDM symbol slot</t>
  </si>
  <si>
    <t>60 kHz SCS,
14 OFDM symbol slot</t>
  </si>
  <si>
    <t>120 kHz SCS,
14 OFDM symbol slot</t>
  </si>
  <si>
    <t>60kHz SCS,
14 OFDM symbol slot</t>
  </si>
  <si>
    <t>60 / 120 kHz SCS,
14 OFDM symbol slot</t>
  </si>
  <si>
    <t>120kHz SCS,
14 OFDM symbol slot</t>
  </si>
  <si>
    <t>60 SCS,
14 OFDM symbol slot</t>
  </si>
  <si>
    <t xml:space="preserve"> 5.5% (for 80 MHz)</t>
  </si>
  <si>
    <t>5.5% (for 80 MHz)</t>
  </si>
  <si>
    <t>5% (for 80 MHz)</t>
  </si>
  <si>
    <t>80 MHz</t>
  </si>
  <si>
    <t>UE antenna panel selection for data transmission and UE attachment</t>
  </si>
  <si>
    <t>The UE panel with the best receive SNR is chosen for transmission and reception</t>
  </si>
  <si>
    <t>Two UE panels are used for transmission and reception</t>
  </si>
  <si>
    <t xml:space="preserve">
DDDSU</t>
  </si>
  <si>
    <t xml:space="preserve">
DSUUD</t>
  </si>
  <si>
    <t>Full downlink</t>
  </si>
  <si>
    <t>DDDU</t>
  </si>
  <si>
    <t>Analog beam selection based</t>
  </si>
  <si>
    <t>Closed SU/MU-MIMO adaptation</t>
  </si>
  <si>
    <t>SU/MU-MIMO adaptation</t>
  </si>
  <si>
    <t>Closed SU-MIMO adaptation</t>
  </si>
  <si>
    <t xml:space="preserve">
Precoded CSI-RS based, non-PMI</t>
  </si>
  <si>
    <t xml:space="preserve">
Non-precoded CSI-RS based</t>
  </si>
  <si>
    <t xml:space="preserve"> Precoded CSI-RS based</t>
  </si>
  <si>
    <t>Non-PMI</t>
  </si>
  <si>
    <t>Non-Precoded CSI-RS based</t>
  </si>
  <si>
    <t>Type II, 4 beam, wb+sb, 8PSK</t>
  </si>
  <si>
    <t>Type I codebook</t>
  </si>
  <si>
    <r>
      <rPr>
        <sz val="10"/>
        <rFont val="Arial"/>
        <family val="2"/>
      </rPr>
      <t>Up to 6 layers (</t>
    </r>
    <r>
      <rPr>
        <b/>
        <sz val="10"/>
        <rFont val="Arial"/>
        <family val="2"/>
      </rPr>
      <t>with PTRS transmitted</t>
    </r>
    <r>
      <rPr>
        <sz val="10"/>
        <rFont val="Arial"/>
        <family val="2"/>
      </rPr>
      <t>)</t>
    </r>
  </si>
  <si>
    <t>Up to 6 layers (with PTRS transmitted)</t>
  </si>
  <si>
    <t>Up to 6 layers</t>
  </si>
  <si>
    <t>For 4Rx with the best receive panel: Up to 4 layers</t>
  </si>
  <si>
    <t>For 2Rx with the best receive panel: Up to 2 layers</t>
  </si>
  <si>
    <t>For 4Rx with the best receive panel: Up to 2 layers</t>
  </si>
  <si>
    <t>For UE 4 Tx ports in the best panel: Non-precoded SRS, 4 SRS ports (with 4 SRS resources),
2 symbols in every 10 slots</t>
  </si>
  <si>
    <t>For UE 8 Tx ports: Non-precoded SRS, 4 SRS ports, 4 symbols per frame</t>
  </si>
  <si>
    <t>For UE 2 Tx ports: Non-precoded SRS, 2 SRS ports, 1 symbol every 2 UL slots</t>
  </si>
  <si>
    <t xml:space="preserve">
CQI: every 5 slot; RI: every 5 slot, CRI: every 5 slot
Subband based </t>
  </si>
  <si>
    <t xml:space="preserve">
CQI: every 10 slot; RI: every 10 slot, CRI: every 10 slot
Subband based </t>
  </si>
  <si>
    <t xml:space="preserve">
CQI: every 10 slot; RI: every 10 slot, CRI: every 10 slot; PMI: every 10 slot; 
Subband based </t>
  </si>
  <si>
    <t xml:space="preserve">
CQI: every 25 slot; RI: every 25 slot, CRI: every 25 slot
Subband based </t>
  </si>
  <si>
    <t xml:space="preserve">
CQI: every 8 slots; RI: every 8 slots, CRI: every 8 slots
Subband based </t>
  </si>
  <si>
    <t>SU-CQI</t>
  </si>
  <si>
    <t>SU-CQI;CSI-IM for inter-cell interference measurement</t>
  </si>
  <si>
    <t>For 12TRxP: 32T,  (M,N,P,Mg,Ng; Mp,Np) = (4,4,2,1,1;4,4)
 (dH,dV) = (0.5, 0.5)λ</t>
  </si>
  <si>
    <t>For 12 TRxP - 32T,  (M,N,P,Mg,Ng; Mp,Np) = (8,8,2,1,1;4,4)
 (dH,dV) = (0.5, 0.5)λ
For 36 TRxP - 32T,  (M,N,P,Mg,Ng; Mp,Np) = (8,16,2,1,1;2,8)
 (dH,dV) = (0.5, 0.5)λ</t>
  </si>
  <si>
    <t>For 12TRxP: 32T,  (M,N,P,Mg,Ng; Mp,Np) = (4,4,2,1,1;4,4)
(dH, dV)=(0.5, 0.5)λ                                                                    
(dg,H,dg,V) = (4.0, 2.0)λ</t>
  </si>
  <si>
    <t>For 12TRxP: 32T,  (M,N,P,Mg,Ng; Mp,Np) = (8,8,2,1,1;2,8)
 (dH,dV) = (0.5, 0.5)λ
64T,  (M,N,P,Mg,Ng; Mp,Np) = (8,16,2,1,1;2,16)
 (dH,dV) = (0.5, 0.5)λ
For 36TRxP: 32T,  (M,N,P,Mg,Ng; Mp,Np) = (4,16,2,1,1;1,16)
 (dH,dV) = (0.5, 0.5)λ
64T,  (M,N,P,Mg,Ng; Mp,Np) = (8,16,2,1,1;2,16)
 (dH,dV) = (0.5, 0.5)λ</t>
  </si>
  <si>
    <t xml:space="preserve">For 64T:  (M,N,P,Mg,Ng; Mp,Np) = (4,32,2,1,1;1,32)
 (dH,dV) = (0.5, 0.5)λ
</t>
  </si>
  <si>
    <t>For 12 TRxP - 32T,  (M,N,P,Mg,Ng; Mp,Np) = (4,8,2,1,1;4,4)
 (dH,dV) = (0.5, 0.5)λ
For 12 TRxP - 8T,  (M,N,P,Mg,Ng; Mp,Np) = (4,8,2,1,1;2,2)
 (dH,dV) = (0.5, 0.5)λ</t>
  </si>
  <si>
    <t>For 12 TRxP - (M,N,P,Mg,Ng; Mp,Np) = (16,8,2,1,1;2,2)
 (dH,dV) = (0.5, 0.5)λ</t>
  </si>
  <si>
    <t>For 12TRxP: 32T,  (M,N,P,Mg,Ng; Mp,Np) = (8,16,2,1,1;4,4)
 (dH,dV) = (0.5, 0.5)λ</t>
  </si>
  <si>
    <t>For 12TRxP: 32T,  (M,N,P,Mg,Ng; Mp,Np) = (8,8,2,1,1;2,8)
 (dH,dV) = (0.5, 0.5)λ</t>
  </si>
  <si>
    <t>For 12TRxP: 8R, (M,N,P,Mg,Ng; Mp,Np) =  (2,4,2,1,2; 1,2)
(dH,dV) = (0.5, 0.5)λ
(dg,V,dg,H) = (0, 0)λ</t>
  </si>
  <si>
    <t>For 4R, (M,N,P,Mg,Ng; Mp,Np) =  (2,4,2,1,2; 1,1)
(dH,dV) = (0.5, 0.5)λ
(dg,V,dg,H) = (0, 0)λ</t>
  </si>
  <si>
    <t>For 12TRxP: 8R, (M,N,P,Mg,Ng; Mp,Np) =  (2,4,2,1,2; 1,2)
(dH,dV) = (0.5, 0.5)λ                                  
(dg,V,dg,H) = (0, 0)λ</t>
  </si>
  <si>
    <t>For 12TRxP: 8R, (M,N,P,Mg,Ng; Mp,Np) =  (2,4,2,1,2; 1,2)
(dH,dV) = (0.5, 0.5)λ
(dg,V,dg,H) = (0, 0)λ
For 36TRxP: 8R, (M,N,P,Mg,Ng; Mp,Np) =  (2,4,2,1,2; 1,2)
(dH,dV) = (0.5, 0.5)λ
(dg,V,dg,H) = (0, 0)λ</t>
  </si>
  <si>
    <t xml:space="preserve">For 8R: 4R, (M,N,P,Mg,Ng; Mp,Np) =  (1,4,2,1,2; 1,4)
(dH,dV) = (0.5, 0.5)λ
(dg,V,dg,H) = (0, 0)λ
</t>
  </si>
  <si>
    <t>For 12TRxP: 32R, (M,N,P,Mg,Ng; Mp,Np) =  (2,4,2,1,2; 2,4)
(dH,dV) = (0.5, 0.5)λ
(dg,V,dg,H) = (0, 0)λ
For 12TRxP: 16R, (M,N,P,Mg,Ng; Mp,Np) =  (2,4,2,1,2; 1,4)
(dH,dV) = (0.5, 0.5)λ
(dg,V,dg,H) = (0, 0)λ</t>
  </si>
  <si>
    <t>(M,N,P,Mg,Ng; Mp,Np) =  (4,4,2,1,1; 1,2)
(dH,dV) = (0.5, 0.5)λ
(dg,V,dg,H) = (0, 0)λ</t>
  </si>
  <si>
    <t>Non-Ideal</t>
  </si>
  <si>
    <t>(According to Zenith angle in "Beam set at TRxP")</t>
  </si>
  <si>
    <t>For direction of TRxP analog beam steering (in LCS):
Azimuth angle φi = [-3*pi/8, -1*pi/8, 1*pi/8, 3*pi/8]
Zenith angle θj = 
[pi/4  3*pi/4] for 1 TRxP/site; 
[pi/2 3*pi/4] for 3 TRxPs/site
NOTE: (azimuth, zenith)=(0, pi/2) is the direction perpendicular to the array.
Precoder for beam at (phai_i, theta_j) is given by equation 1 in Appendix 1 of RP-180524 (2D DFT beam)</t>
  </si>
  <si>
    <t>Azimuth angle φi = [0],
Zenith angle θj = [pi/2]</t>
  </si>
  <si>
    <t>DFT Beam Selection with 
2x Oversampling</t>
  </si>
  <si>
    <t>Azimuth angle φi = [0],
Zenith angle θj = [pi/4  3*pi/4]</t>
  </si>
  <si>
    <t>DFT beam selection</t>
  </si>
  <si>
    <t>Azimuth angle φi = [-3*pi/8, -pi/8, pi/8, 3*pi/8];
Zenith angle θj = [pi/4, 3*pi/4]</t>
  </si>
  <si>
    <t>For direction of UE analog beam steering (in LCS):
Azimuth angle φi = [-3*pi/8, -pi/8, pi/8, 3*pi/8];
Zenith angle θj = [pi/4, 3*pi/4];
NOTE: (azimuth, zenith)=(0, pi/2) is the direction perpendicular to the array.
Precoder for beam at (φi, θj) is given by equation 1 in Appendix 1 of RP-180524 (2D DFT beam)</t>
  </si>
  <si>
    <t xml:space="preserve">Azimuth angle φi = [-pi/4, pi/4]
Zenith angle θj = [pi/4, 3*pi/4] for 1 TRxP/site; </t>
  </si>
  <si>
    <t>DFT Beam Selection</t>
  </si>
  <si>
    <t>Azimuth angle φi = [-3*pi/4, -pi/4, pi/4, 3*pi/4] 
Zenith angle θj = [0, pi/4, 2*pi/4, 3*pi/4]</t>
  </si>
  <si>
    <t>Azimuth angle φi = [-25, 25];
Zenith angle θj = [80, 110]</t>
  </si>
  <si>
    <t xml:space="preserve">Azimuth angle φi =  [-3*pi/8, -pi/8, pi/8, 3*pi/8]
Zenith angle θj = [pi/4, 3*pi/4] ; </t>
  </si>
  <si>
    <t>Maximizing RSRP with best analog beam pair, where the digital beamforming is not considered</t>
  </si>
  <si>
    <t>Select the best beam pair among the set of DFT beams, based on the criteria of maximizing receive power after beamforming.</t>
  </si>
  <si>
    <t>Based on the analog beam selection according to scheduling results of non-serving TRxP</t>
  </si>
  <si>
    <t>60KHz 
14 OFDM symbol slot</t>
  </si>
  <si>
    <t>120KHz 
14 OFDM symbol slot</t>
  </si>
  <si>
    <t>120 KHz, 14 OFDM symbol slot</t>
  </si>
  <si>
    <t>For 4Tx with the best Tx panel: NR 4Tx codebook</t>
  </si>
  <si>
    <t>NR 4Tx codebook</t>
  </si>
  <si>
    <t>4Tx codebook</t>
  </si>
  <si>
    <t>For 4Tx with the best Tx panel: Ideal</t>
  </si>
  <si>
    <t>2 Tx with best Tx Panel: Ideal</t>
  </si>
  <si>
    <t>Up to 6 Layers at gNB</t>
  </si>
  <si>
    <t>Up to 4 Layers at gNB</t>
  </si>
  <si>
    <t>For 4Tx with the best Tx panel: Up to 2 layers</t>
  </si>
  <si>
    <t>For 4Tx with the best Tx panel: Up to 4 layers</t>
  </si>
  <si>
    <t>For UE 4 Tx ports: Non-precoded SRS, 4 SRS ports (with 4 SRS resources),
2 symbols for SRS in every 10 slots,
8 PRBs per symbol</t>
  </si>
  <si>
    <t>4 port non-precoded SRS</t>
  </si>
  <si>
    <t>For 16R,  (M,N,P,Mg,Ng; Mp,Np) = (4,8,2,1,1;2,4)
 (dH,dV) = (0.5, 0.5)λ;
For 32R,  (M,N,P,Mg,Ng; Mp,Np) = (4,4,2,1,1;4,4)
 (dH,dV) = (0.5, 0.5)λ</t>
  </si>
  <si>
    <t xml:space="preserve">For 12TRxP: 32R,  (M,N,P,Mg,Ng; Mp,Np) = (4,4,2,1,1;4,4)
 (dH,dV) = (0.5, 0.5)λ;
</t>
  </si>
  <si>
    <t>For 12TRxP - 32R,  (M,N,P,Mg,Ng; Mp,Np) = (8,8,2,1,1;2,8)
 (dH,dV) = (0.5, 0.5)λ;
For 36TRxP - 32R,  (M,N,P,Mg,Ng; Mp,Np) = (8,16,2,1,1;2,8)
 (dH,dV) = (0.5, 0.5)λ</t>
  </si>
  <si>
    <t>For 64R,  (M,N,P,Mg,Ng; Mp,Np) = (4,32,2,1,1;1,32)
 (dH,dV) = (0.5, 0.5)λ</t>
  </si>
  <si>
    <t>For 12 TRxP - 8R:  (M,N,P,Mg,Ng; Mp,Np)= (4,8,2,1,1; 2,2)
(dH, dV)=(0.5, 0.8)λ</t>
  </si>
  <si>
    <t>For 12 TRxP - 8R,  (M,N,P,Mg,Ng; Mp,Np) = (4,8,2,1,1;2,2)
 (dH,dV) = (0.5, 0.5)λ</t>
  </si>
  <si>
    <t>For 12 TRxP - (M,N,P,Mg,Ng; Mp,Np) = (16,8,2,1,1;1,1)
 (dH,dV) = (0.5, 0.5)λ</t>
  </si>
  <si>
    <t>For 12 TRxP - 16R,  (M,N,P,Mg,Ng; Mp,Np) = (4,16,2,1,1;2,4)
 (dH,dV) = (0.5, 0.5)λ</t>
  </si>
  <si>
    <t>For 12 TRxP -32R, (M,N,P,Mg,Ng; Mp,Np) = (8,8,2,1,1;4,4)
 (dH,dV) = (0.5, 0.5)λ</t>
  </si>
  <si>
    <t>For 8T, (M,N,P,Mg,Ng; Mp,Np) =  (2,4,2,1,2; 1,2)
(dH,dV) = (0.5, 0.5)λ
(dg,V,dg,H) = (0, 0)λ</t>
  </si>
  <si>
    <t xml:space="preserve">For 12 TRxP: 8T: (M,N,P,Mg,Ng; Mp,Np)=  (2,4,2,1,2; 1, 2)
(dH, dV)=( 0.5, 0.5)λ                                 </t>
  </si>
  <si>
    <t>For 8R, (M,N,P,Mg,Ng; Mp,Np) =  (1,4,2,1,1; 1,4)
(dH,dV) = (0.5, 0.5)λ
(dg,V,dg,H) = (0, 0)λ</t>
  </si>
  <si>
    <t>For 4T, (M,N,P,Mg,Ng; Mp,Np) =  (2,4,2,1,2; 1,1)
(dH,dV) = (0.5, 0.5)λ
(dg,V,dg,H) = (0, 0)λ</t>
  </si>
  <si>
    <t>Next available UL slot after reiving retransmission indication</t>
  </si>
  <si>
    <t>Non-ideal for 12TRxPs.
Ideal for 36TRxPs</t>
  </si>
  <si>
    <t>P0=-70, alpha = 0.8</t>
  </si>
  <si>
    <t>P0=-80, alpha = 0.9</t>
  </si>
  <si>
    <t>Continuous RB allocation: follow TS 38.101 in Section 6.2.2;
Non-continuous RB allocation: additional 2 dB reduction</t>
  </si>
  <si>
    <t>Non-contiguous RB allocation; Follow TS 38.101-2</t>
  </si>
  <si>
    <t>Continuous RB allocation</t>
  </si>
  <si>
    <t xml:space="preserve">180° in GCS (pointing to the ground)
</t>
  </si>
  <si>
    <t>For 16R: Azimuth angle φi = [-pi/4, pi/4]
Zenith angle θj = [pi/2]  for 1 TRxP/site ; 
For 32R: Azimuth angle φi = [0],
Zenith angle θj = [pi/2]</t>
  </si>
  <si>
    <t>DFT Beam Selection
2x Oversampling</t>
  </si>
  <si>
    <t>Azimuth angle φi = [0],                       Zenith angle θj = [pi/2]</t>
  </si>
  <si>
    <t>For 12TRxP - 64R: Azimuth angle φi = [0]
Zenith angle θj = [pi/4  3*pi/4] 
For 36TRxP - 32R: Azimuth angle φi = [0]
Zenith angle θj = [pi/4  3*pi/4</t>
  </si>
  <si>
    <t>DFT Beam selection</t>
  </si>
  <si>
    <t>Azimuth angle φi = [-7*pi/8, -5*pi/8, -3*pi/8, -pi/8, pi/8, 3*pi/8, 5*pi/8 7*pi/8], Zenith angle θj = [0, pi/4, 2*pi/4, 3*pi/4]</t>
  </si>
  <si>
    <t>Azimuth angle φi = [-3*pi/8, -pi/8, pi/8, 3*pi/8];
Zenith angle θj = [pi/4, 3*pi/4];</t>
  </si>
  <si>
    <t>For 12TRxP:  8R, (M,N,P,Mg,Ng; Mp,Np) =  (2,4,2,1,2; 1,2)
(dH,dV) = (0.5, 0.5)λ                                  
(dg,V,dg,H) = (0, 0)λ</t>
  </si>
  <si>
    <t>Azimuth angle φi = [-pi/4,pi/4],
Zenith angle θj = [pi/4,3*pi/4]</t>
  </si>
  <si>
    <t>For 12TRxP: 32R,  (M,N,P,Mg,Ng; Mp,Np) = (8,16,2,1,1;4,4)
 (dH,dV) = (0.5, 0.5)λ</t>
  </si>
  <si>
    <t>NOTE: This table is a place-holder. The content will be from Intel's excel sheet on overhead.</t>
  </si>
  <si>
    <t>Overhead assumption</t>
  </si>
  <si>
    <t>FR1</t>
  </si>
  <si>
    <t>PDCCH</t>
  </si>
  <si>
    <t>2 symbols</t>
  </si>
  <si>
    <t>2 complete symbols</t>
  </si>
  <si>
    <t>SSB</t>
  </si>
  <si>
    <t>1 SSB / 20ms</t>
  </si>
  <si>
    <t>1 SSB/20ms</t>
  </si>
  <si>
    <t>8 SSB / 20ms</t>
  </si>
  <si>
    <t>CSI-RS for CM</t>
  </si>
  <si>
    <t>5 slots period;
32 ports for 32Tx;</t>
  </si>
  <si>
    <t>5 slots period;
36 ports for 32Tx;</t>
  </si>
  <si>
    <t>10 slots period;
32 ports for 32Tx;</t>
  </si>
  <si>
    <t xml:space="preserve"> -- Precoded CSI-RS: 4*10 ports with 10 slots period (UE-specific beformed csi-rs, 4 ports per UE)
 -- Non-precoded CSI-RS: 32 ports with 10 slots period</t>
  </si>
  <si>
    <t>32  ports with 5slots period</t>
  </si>
  <si>
    <t>10*4ports per 5 slots for 4Rx</t>
  </si>
  <si>
    <t xml:space="preserve">
4*10 ports with 5 slots period (UE-specific beformed csi-rs, 4 ports per UE)</t>
  </si>
  <si>
    <t>5 ms period;
32 ports for 32Tx, 1RE/port/PRB</t>
  </si>
  <si>
    <t>5 ms period;
4*10 ports, 1RE/port/PRB</t>
  </si>
  <si>
    <t xml:space="preserve">
4*8 ports with 5ms(10 slots) period (4 ports beamformed csi-rs)</t>
  </si>
  <si>
    <t>8*4 ports with 10 slots period</t>
  </si>
  <si>
    <t>CSI-RS for IM</t>
  </si>
  <si>
    <t>ZP CSI-RS with 5 slots period;
4 RE/PRB/5 slots</t>
  </si>
  <si>
    <t>ZP CSI-RS with 5 slots period;
4 RE/PRB/10 slots</t>
  </si>
  <si>
    <t>ZP CSI-RS with 10 slots period;
4 RE/PRB/10 slots</t>
  </si>
  <si>
    <t>4 RE/PRB/10slots</t>
  </si>
  <si>
    <t>ZP CSI-RS with 5 ms period;
4 REs/PRB/5 ms</t>
  </si>
  <si>
    <t>ZP CSI-RS with 5 slots period;
2 RE/PRB/5 slots</t>
  </si>
  <si>
    <t>DMRS</t>
  </si>
  <si>
    <t>Type II, up to 12 ports, dynamic</t>
  </si>
  <si>
    <t>24 RE/PRB/slot</t>
  </si>
  <si>
    <t>Type II, 12 ports</t>
  </si>
  <si>
    <r>
      <rPr>
        <sz val="11"/>
        <color theme="1"/>
        <rFont val="Times New Roman"/>
        <family val="1"/>
      </rPr>
      <t xml:space="preserve">Type </t>
    </r>
    <r>
      <rPr>
        <sz val="10"/>
        <rFont val="宋体"/>
        <family val="3"/>
        <charset val="134"/>
      </rPr>
      <t>Ⅱ，</t>
    </r>
    <r>
      <rPr>
        <sz val="10"/>
        <rFont val="Times New Roman"/>
        <family val="1"/>
      </rPr>
      <t>24RE/PRB/slot</t>
    </r>
  </si>
  <si>
    <r>
      <rPr>
        <sz val="9"/>
        <rFont val="Arial"/>
        <family val="2"/>
      </rPr>
      <t>Type II</t>
    </r>
    <r>
      <rPr>
        <sz val="9"/>
        <rFont val="ＭＳ Ｐゴシック"/>
        <family val="2"/>
      </rPr>
      <t>，</t>
    </r>
    <r>
      <rPr>
        <sz val="9"/>
        <rFont val="Arial"/>
        <family val="2"/>
      </rPr>
      <t>24RE/PRB/slot</t>
    </r>
  </si>
  <si>
    <t>TRS</t>
  </si>
  <si>
    <t>20ms period;
maximal bandwidth with 52 PRB;
burst length with 2 slots
12 RE/PRB/20ms</t>
  </si>
  <si>
    <t>2 consecutive slots per 20ms, 1 port, 50 PRB</t>
  </si>
  <si>
    <t>8 RE/PRB/20ms with 52 RBs</t>
  </si>
  <si>
    <t>Four periodic NZP CSI-RS resources with 80ms period, bandwidth 52 PRB
12 RE/PRB/80ms</t>
  </si>
  <si>
    <t>4 CSI-RS resource in 2 consecutive slots per 20ms, 50PRB</t>
  </si>
  <si>
    <t>2(burst length)*4 RE/PRB/periodicity;
8 RE/PRB/20ms</t>
  </si>
  <si>
    <t>20ms period;
maximal bandwidth with 51 PRB;
burst length with 2 slots
12 RE/PRB/20ms</t>
  </si>
  <si>
    <t>12 REs/PRB with 20ms period;
maximal bandwidth with 52 PRB;</t>
  </si>
  <si>
    <t>12 REs/PRB with 20ms period;
maximal bandwidth with 51 PRB;</t>
  </si>
  <si>
    <t>20ms period;
maximal bandwidth with 52 PRB;
burst length with 2 slots
6 RE/PRB/20ms</t>
  </si>
  <si>
    <t>GP</t>
  </si>
  <si>
    <t>2 symbols in 10ms</t>
  </si>
  <si>
    <t>FR2</t>
  </si>
  <si>
    <t>2 symbol</t>
  </si>
  <si>
    <t>8 SSBs / 20ms</t>
  </si>
  <si>
    <t>20 ports with 5 slots period (UE-specific beformed csi-rs, 4 ports per UE)</t>
  </si>
  <si>
    <t xml:space="preserve">10 slots period;
</t>
  </si>
  <si>
    <t>40 ports with 10slots period (UE-specific beformed csi-rs, 4 ports per UE)</t>
  </si>
  <si>
    <t>20 ports with 5 slots period (UE-specific beformed csi-rs, 2 ports per UE)</t>
  </si>
  <si>
    <t>CSI-RS for BM</t>
  </si>
  <si>
    <t>PTRS on: Type II (dynamic)
[6 layers]</t>
  </si>
  <si>
    <t>PTRS on: Type II, 6 ports</t>
  </si>
  <si>
    <t>PTRS on: Type II, 6 ports, 12RE/PRB/slot</t>
  </si>
  <si>
    <r>
      <rPr>
        <sz val="10"/>
        <rFont val="Times New Roman"/>
        <family val="1"/>
      </rPr>
      <t>Four periodic NZP CSI-RS resources with 10ms period, bandwidth N</t>
    </r>
    <r>
      <rPr>
        <vertAlign val="superscript"/>
        <sz val="10"/>
        <rFont val="Times New Roman"/>
        <family val="1"/>
      </rPr>
      <t xml:space="preserve">BWP </t>
    </r>
    <r>
      <rPr>
        <sz val="10"/>
        <rFont val="Times New Roman"/>
        <family val="1"/>
      </rPr>
      <t>, 12 RE/PRB/10ms</t>
    </r>
  </si>
  <si>
    <t>PTRS</t>
  </si>
  <si>
    <t>2 ports PT-RS, (L,K) = (1,4) 
L: time density
K: frequency density</t>
  </si>
  <si>
    <t>2port PT-RS, (L, K) = (1,4) ,L and K are time and frequency density</t>
  </si>
  <si>
    <t>1 ports PT-RS, (L,K) = (4,4) 
L: time density
K: frequency density</t>
  </si>
  <si>
    <t>time desity is 4OS, frequency density is 4PRB</t>
  </si>
  <si>
    <t>Sasmung</t>
  </si>
  <si>
    <t>PUCCH</t>
  </si>
  <si>
    <t xml:space="preserve">2 PRBs and 14 OS for the slots without SRS transmission; 2 PRBs and 12 OS for the slots with SRS  </t>
  </si>
  <si>
    <t>2 PRBs and 14 OS for 30kHz SCS for the slots without SRS transmission;
4 PRBs and 14 OS for 15kHz  SCS for the slots without SRS transmission</t>
  </si>
  <si>
    <t xml:space="preserve">1 slot with (3 PRB, 14 OS) and 9 slots with (1 PRB, 2 OS) </t>
  </si>
  <si>
    <t xml:space="preserve">1 slot with (3 PRB, 14 OS) and  3 slots with (1 PRB, 2 OS) </t>
  </si>
  <si>
    <t>2 PRBs and 14 OS for the slots without SRS transmission</t>
  </si>
  <si>
    <t>4 PRBs, 14 OS</t>
  </si>
  <si>
    <t>2 PRBs and 14 OS for 30kHz SCS for the slots without SRS transmission</t>
  </si>
  <si>
    <t>Type II, 2  symbols (including one additional DMRS symbol), multiplexing with PUSCH</t>
  </si>
  <si>
    <t>Type II, 1 additional DMRS symbol, and no FDM with PUSCH</t>
  </si>
  <si>
    <t>Type II, 2  symbols</t>
  </si>
  <si>
    <t>Type II, 1 symbol, multiplexing with PUSCH</t>
  </si>
  <si>
    <t>TypeII, 2 ports</t>
  </si>
  <si>
    <t>SRS</t>
  </si>
  <si>
    <t>2 symbols per 5 slots</t>
  </si>
  <si>
    <t>2 symbols per 10 slots</t>
  </si>
  <si>
    <t>4 PRBs and 14 OS for 15kHz  SCS for the slots without SRS transmission</t>
  </si>
  <si>
    <t>1 slot with (3 PRB, 14 OS) and  1 slot with (3 PRB, 7 OS)and  2 slots with (1 PRB, 2 OS)</t>
  </si>
  <si>
    <t>Type II, 2  symbols, including one additional DMRS symbol</t>
  </si>
  <si>
    <t>TypeII, 2/4/8/12 ports</t>
  </si>
  <si>
    <t>Type II, 1 symbol</t>
  </si>
  <si>
    <t>2 ports PT-RS, (L,K) = (4,4) 
L: time density
K: frequency density</t>
  </si>
  <si>
    <t>Note: OH1 is the original overhead provided by each company. OH2 is the adjusted overhead according to the agreed GP and PDCCH assumption. OH3 and OH4 is the further adjusted overhead for the larger bandwidth taking into account the guard band ratio and PDCCH overhead reduction.</t>
  </si>
  <si>
    <t>Frequency Range 1 - FDD</t>
  </si>
  <si>
    <t>Assumption: 10MHz BW, 15kHz SCS, 10ms duration</t>
  </si>
  <si>
    <t>Simulation BW&amp;RB#</t>
  </si>
  <si>
    <t>Scale BW1&amp;RB#</t>
  </si>
  <si>
    <t>Scale BW2&amp;RB#</t>
  </si>
  <si>
    <t>Total bandwidth</t>
  </si>
  <si>
    <t>TOTAL PRBs</t>
  </si>
  <si>
    <t>Guard band ratio</t>
  </si>
  <si>
    <t>Antenna configuration</t>
  </si>
  <si>
    <t>CSI-RS</t>
  </si>
  <si>
    <t>CSI-IM</t>
  </si>
  <si>
    <t>Total RE
w/ OH1</t>
  </si>
  <si>
    <t>Total OH RE w/ OH1</t>
  </si>
  <si>
    <t>Total OH (%) w/ OH1</t>
  </si>
  <si>
    <t>Total RE
w/ OH2</t>
  </si>
  <si>
    <t>Total OH RE
w/ OH2</t>
  </si>
  <si>
    <t>Total OH (%) w/ OH2</t>
  </si>
  <si>
    <t>Adjust factor for OH1 and OH2</t>
  </si>
  <si>
    <t>Total RE
w/ OH3 (20MHz)</t>
  </si>
  <si>
    <t>Total OH RE
w/ OH3
(20MHz)</t>
  </si>
  <si>
    <t>Total OH (%) w/ OH3 (20MHz)</t>
  </si>
  <si>
    <t>Adjust factor for OH2 and OH3</t>
  </si>
  <si>
    <t>Total RE
w/ OH4 (40MHz)</t>
  </si>
  <si>
    <t>Total OH RE
w/ OH4
(40MHz)</t>
  </si>
  <si>
    <t>Total OH (%) w/ OH4 (40MHz)</t>
  </si>
  <si>
    <t>Adjust factor for OH2 and OH4</t>
  </si>
  <si>
    <t>32T4R</t>
  </si>
  <si>
    <t>32T8R</t>
  </si>
  <si>
    <t>Frequency Range 1 - TDD</t>
  </si>
  <si>
    <t>Assumption: 20 MHz BW, 15kHz SCS, 10ms duration</t>
  </si>
  <si>
    <t>Total PRBs</t>
  </si>
  <si>
    <t>TDD Frame Structure</t>
  </si>
  <si>
    <t>GP(50%)</t>
  </si>
  <si>
    <t>Total RE
w/ OH3 (40MHz)</t>
  </si>
  <si>
    <t>Total OH RE
w/ OH3
(40MHz)</t>
  </si>
  <si>
    <t>Total OH (%) w/ OH3 (40MHz)</t>
  </si>
  <si>
    <r>
      <rPr>
        <sz val="10"/>
        <rFont val="Arial"/>
        <family val="2"/>
      </rPr>
      <t>3</t>
    </r>
    <r>
      <rPr>
        <sz val="10"/>
        <rFont val="Arial"/>
        <family val="2"/>
      </rPr>
      <t>2T4R</t>
    </r>
  </si>
  <si>
    <t>DSUUD; S (6D,2G,6U)</t>
  </si>
  <si>
    <t>CATT(non-precoded CSIRS)</t>
  </si>
  <si>
    <t>DSUUD; S (11D,1G,2U)</t>
  </si>
  <si>
    <t>CATT(precoded CSIRS)</t>
  </si>
  <si>
    <t>DDDSU;S(10D,2G,2U)</t>
  </si>
  <si>
    <r>
      <rPr>
        <sz val="10"/>
        <rFont val="Arial"/>
        <family val="2"/>
      </rPr>
      <t>H</t>
    </r>
    <r>
      <rPr>
        <sz val="10"/>
        <rFont val="Arial"/>
        <family val="2"/>
      </rPr>
      <t>uawei</t>
    </r>
  </si>
  <si>
    <t>32T4R (12TRxP)</t>
  </si>
  <si>
    <t>DDDSU; S (10D,2G,2U)</t>
  </si>
  <si>
    <t>32T4R (36TRxP)</t>
  </si>
  <si>
    <t>DSUUD; S (6D:2G,6U)</t>
  </si>
  <si>
    <t>Assumption: 20 MHz BW, 30kHz SCS, 10ms duration</t>
  </si>
  <si>
    <t>Total bandwidth [MHz]</t>
  </si>
  <si>
    <t>Total RE
w/ OH4 (100MHz)</t>
  </si>
  <si>
    <t>Total OH RE
w/ OH4
(100MHz)</t>
  </si>
  <si>
    <t>Total OH (%) w/ OH4 (100MHz)</t>
  </si>
  <si>
    <t>China Telecom(Channel model A)</t>
  </si>
  <si>
    <t>32T4R (Indoor 12TRxP)</t>
  </si>
  <si>
    <t>China Telecom(Channel model B)</t>
  </si>
  <si>
    <t>32T4R (Indoor 36TRxP)</t>
  </si>
  <si>
    <t xml:space="preserve">DDDDD DDSUU;  S(6D,4G,4U) </t>
  </si>
  <si>
    <t>Frequency Range 2 - TDD</t>
  </si>
  <si>
    <t>Assumption: 100MHz BW, 120kHz SCS, 10ms duration</t>
  </si>
  <si>
    <t>Antenna Configuration</t>
  </si>
  <si>
    <t>CSI-RS BM</t>
  </si>
  <si>
    <t>Total RE
w/ OH3 (200MHz)</t>
  </si>
  <si>
    <t>Total OH RE
w/ OH3
(200MHz)</t>
  </si>
  <si>
    <t>Total OH (%) w/ OH3 (200MHz)</t>
  </si>
  <si>
    <t>Total RE
w/ OH4 (400MHz)</t>
  </si>
  <si>
    <t>Total OH RE
w/ OH4
(400MHz)</t>
  </si>
  <si>
    <t>Total OH (%) w/ OH4 (400MHz)</t>
  </si>
  <si>
    <t>32T8R/64T8R</t>
  </si>
  <si>
    <t>Assumption: 80MHz BW, 120kHz SCS, 10ms duration</t>
  </si>
  <si>
    <t>Needs to check the bandwidth assumption</t>
  </si>
  <si>
    <t>Assumption: 100MHz BW, 60kHz SCS, 10ms duration</t>
  </si>
  <si>
    <t>Assumption: 80MHz BW, 60kHz SCS, 10ms duration</t>
  </si>
  <si>
    <t>DDDSU; S (11D,1G,2U)</t>
  </si>
  <si>
    <t>full downlink</t>
  </si>
  <si>
    <t>Ericsson (100 PRB)</t>
  </si>
  <si>
    <t>32T8R(70 GHz)</t>
  </si>
  <si>
    <t>Frequency Range 2 - TDD
Assumption: 80MHz BW, 120kHz SCS, 10ms duration</t>
  </si>
  <si>
    <t>8T2R</t>
  </si>
  <si>
    <t>Frequency Range 2 - FDD</t>
  </si>
  <si>
    <t>Assumption: 50MHz BW, 120kHz SCS, 10ms duration</t>
  </si>
  <si>
    <t>Assumption: 40MHz BW, 120kHz SCS, 10ms duration</t>
  </si>
  <si>
    <t>32T32R</t>
  </si>
  <si>
    <t>8T16R</t>
  </si>
  <si>
    <t>8T4R</t>
  </si>
  <si>
    <t>Overhead calculation for additional configuration after the first submission</t>
  </si>
  <si>
    <r>
      <rPr>
        <sz val="10"/>
        <rFont val="Arial"/>
        <family val="2"/>
      </rPr>
      <t>DDDSU</t>
    </r>
    <r>
      <rPr>
        <sz val="10"/>
        <rFont val="Arial"/>
        <family val="2"/>
      </rPr>
      <t>DDSUU</t>
    </r>
    <r>
      <rPr>
        <sz val="10"/>
        <rFont val="Arial"/>
        <family val="2"/>
      </rPr>
      <t>;S(10D,2G,2U)</t>
    </r>
  </si>
  <si>
    <t>DDDDDDDSUU; S (6D,4G,4U)</t>
  </si>
  <si>
    <t>Frequency Range 1 - FDD (LTE)</t>
  </si>
  <si>
    <t>PSS/SSS</t>
  </si>
  <si>
    <t>PBCH</t>
  </si>
  <si>
    <t>CRS</t>
  </si>
  <si>
    <t>Frequency Range 1 - TDD (LTE)</t>
  </si>
  <si>
    <r>
      <rPr>
        <sz val="10"/>
        <rFont val="Arial"/>
        <family val="2"/>
      </rPr>
      <t>6</t>
    </r>
    <r>
      <rPr>
        <sz val="10"/>
        <rFont val="Arial"/>
        <family val="2"/>
      </rPr>
      <t>4T2R</t>
    </r>
  </si>
  <si>
    <t>DSUDD ;S(10D,2G,2U)</t>
  </si>
  <si>
    <r>
      <rPr>
        <sz val="10"/>
        <rFont val="Arial"/>
        <family val="2"/>
      </rPr>
      <t>3</t>
    </r>
    <r>
      <rPr>
        <sz val="10"/>
        <rFont val="Arial"/>
        <family val="2"/>
      </rPr>
      <t>2</t>
    </r>
    <r>
      <rPr>
        <sz val="10"/>
        <rFont val="Arial"/>
        <family val="2"/>
      </rPr>
      <t>T</t>
    </r>
    <r>
      <rPr>
        <sz val="10"/>
        <rFont val="Arial"/>
        <family val="2"/>
      </rPr>
      <t>4</t>
    </r>
    <r>
      <rPr>
        <sz val="10"/>
        <rFont val="Arial"/>
        <family val="2"/>
      </rPr>
      <t>R</t>
    </r>
  </si>
  <si>
    <t>DSUUD ;S(11D,1G,2U)</t>
  </si>
  <si>
    <t>Note: OH1 is the original overhead provided by each company. OH2 is the adjusted overhead according to the agreed GP and PUCCH assumption.</t>
  </si>
  <si>
    <t>Assumption: 10 MHz BW, 15kHz SCS, 10ms duration</t>
  </si>
  <si>
    <t xml:space="preserve"> </t>
  </si>
  <si>
    <t>Total RE
w/o GP</t>
  </si>
  <si>
    <t>Total OH RE
w/o GP</t>
  </si>
  <si>
    <t>Total OH (%) w/o GP</t>
  </si>
  <si>
    <t>Total RE
w/ GP</t>
  </si>
  <si>
    <t>Total OH RE
w/ GP</t>
  </si>
  <si>
    <t>Ericsson (100PRBs)</t>
  </si>
  <si>
    <r>
      <t>DSUUD</t>
    </r>
    <r>
      <rPr>
        <sz val="10"/>
        <rFont val="宋体"/>
        <family val="3"/>
        <charset val="134"/>
      </rPr>
      <t>，</t>
    </r>
    <r>
      <rPr>
        <sz val="10"/>
        <rFont val="Arial"/>
        <family val="2"/>
      </rPr>
      <t xml:space="preserve"> S (6D,2G,6U)</t>
    </r>
  </si>
  <si>
    <t>DDDSUDDSUU; S (10D,2G,2U)</t>
  </si>
  <si>
    <t>Channel model A</t>
  </si>
  <si>
    <t>RIT</t>
  </si>
  <si>
    <t>Antenna and TXRU mapping</t>
  </si>
  <si>
    <t>Antenna config &amp; Tx scheme</t>
  </si>
  <si>
    <t>Req.</t>
  </si>
  <si>
    <t>Mean</t>
  </si>
  <si>
    <t>Var</t>
  </si>
  <si>
    <t>Number of samples</t>
  </si>
  <si>
    <t>Channel model B</t>
  </si>
  <si>
    <t>DL Spectral efficiency</t>
  </si>
  <si>
    <t>NR</t>
  </si>
  <si>
    <t>gNB: (M,N,P,Mg,Ng; Mp,Np) = (4,4,2,1,1;4,4)</t>
  </si>
  <si>
    <t>32x4 MU-MIMO Type II Codebook</t>
  </si>
  <si>
    <t>15 kHz SCS</t>
  </si>
  <si>
    <t>Average [bit/s/Hz/TRxP]</t>
  </si>
  <si>
    <t>5th percentile [bit/s/Hz]</t>
  </si>
  <si>
    <t>32x4 MU-MIMO Type I Codebook</t>
  </si>
  <si>
    <t>32x4 MU-MIMO
Ideal CSI feedback</t>
  </si>
  <si>
    <t>32x8 MU-MIMO
Type II Codebook</t>
  </si>
  <si>
    <t>LTE</t>
  </si>
  <si>
    <t>eNB: (M,N,P,Mg,Ng; Mp,Np) = (4,4,2,1,1;4,4)</t>
  </si>
  <si>
    <t>32x4 MU-MIMO
Advanced CSI Codebook</t>
  </si>
  <si>
    <t>32x4 MU-MIMO,  4T SRS</t>
  </si>
  <si>
    <t>30 kHz SCS</t>
  </si>
  <si>
    <t>32x4 MU-MIMO,  Type II Codebook</t>
  </si>
  <si>
    <t>32x4 MU-MIMO, Reciprocity based,  Type II Codebook</t>
  </si>
  <si>
    <t>DDDDD DDSUU</t>
  </si>
  <si>
    <t>DDDSU DDSUU</t>
  </si>
  <si>
    <t>eNB: (M,N,P,Mg,Ng; Mp,Np) = (8,16,2,1,1;4,8)</t>
  </si>
  <si>
    <t>64x2 MU-MIMO,  4T SRS</t>
  </si>
  <si>
    <t>32x8 MU-MIMO,  Type II Codebook</t>
  </si>
  <si>
    <t>UL spectral efficiency</t>
  </si>
  <si>
    <t>2x32 SU-MIMO, OFDMA</t>
  </si>
  <si>
    <t>4x32 MU-MIMO, OFDMA</t>
  </si>
  <si>
    <t>4x32 SU-MIMO, OFDMA</t>
  </si>
  <si>
    <t>4x32 SU-MIMO, DFT-S-OFDM</t>
  </si>
  <si>
    <t>UL Spectral Efficiency</t>
  </si>
  <si>
    <t>2x32 SU-MIMO, Codebook based, OFDMA</t>
  </si>
  <si>
    <t>4x32 SU-MIMO, Codebook based, OFDMA</t>
  </si>
  <si>
    <t>4x32 MU-MIMO, Codebook based, OFDMA</t>
  </si>
  <si>
    <t>4x32 SU-MIMO, Non-Codebook based, OFDMA</t>
  </si>
  <si>
    <t>DDDSUDDSUU</t>
  </si>
  <si>
    <t>DDDDDDDSUU</t>
  </si>
  <si>
    <t>2x64 SU-MIMO,   Codebook based, DFT-S-OFDM</t>
  </si>
  <si>
    <t>4x32 SU-MIMO, Codebook based, DFT-S-OFDM</t>
  </si>
  <si>
    <t>gNB: (M,N,P,Mg,Ng; Mp,Np) = (8,16,2,1,1;2,8)</t>
  </si>
  <si>
    <t>32x4 MU-MIMO Type II Codebook (256Tx@gNB)</t>
  </si>
  <si>
    <t>gNB: (M,N,P,Mg,Ng; Mp,Np) = (8,8,2,1,1;4,4)</t>
  </si>
  <si>
    <t>32x4 MU-MIMO ideal CSI feedback(128Tx@gNB)</t>
  </si>
  <si>
    <t>32x4 MU-MIMO Type I codebook (32Tx@gNB)</t>
  </si>
  <si>
    <t>32x4 MU-MIMO,  4T SRS (256Tx@gNB)</t>
  </si>
  <si>
    <t>32x4 MU-MIMO,  Type II Codebook (256Tx@gNB)</t>
  </si>
  <si>
    <t>32x4 MU-MIMO,   Reciprocity based, Type II Codebook (256Tx@gNB)</t>
  </si>
  <si>
    <t>32x4 MU-MIMO,   Type II Codebook  (256Tx@gNB)</t>
  </si>
  <si>
    <t>32x4 MU-MIMO,  4T SRS (128Tx@gNB)</t>
  </si>
  <si>
    <t>4x32 MU-MIMO
OFDMA</t>
  </si>
  <si>
    <t>2x32 MU-MIMO
OFDMA</t>
  </si>
  <si>
    <t>gNB: (M,N,P,Mg,Ng; Mp,Np) = (4,8,2,1,1;2,8)</t>
  </si>
  <si>
    <t>4x32 SU-MIMO
OFDMA</t>
  </si>
  <si>
    <t>Channel model A/B</t>
  </si>
  <si>
    <t>gNB: (M,N,P,Mg,Ng; Mp,Np) = (4,8,2,1,1;4,4);
UE: (M,N,P,Mg,Ng; Mp,Np) =  (2,4,2,1,2; 2,4)</t>
  </si>
  <si>
    <t>32x32 SU-MIMO (2 panel@UE)</t>
  </si>
  <si>
    <t>120 kHz SCS</t>
  </si>
  <si>
    <t>gNB: (M,N,P,Mg,Ng; Mp,Np) = (4,8,2,1,1;2,2);
UE: (M,N,P,Mg,Ng; Mp,Np) =  (2,4,2,1,2; 1,4)</t>
  </si>
  <si>
    <t>8x16 SU-MIMO (2 panel@UE)</t>
  </si>
  <si>
    <t>gNB: (M,N,P,Mg,Ng; Mp,Np) = (4,8,2,1,1;2,2)
UE:  (M,N,P,Mg,Ng; Mp,Np) =  (2,4,2,1,2; 1,1)</t>
  </si>
  <si>
    <t>8x4 MU-MIMO (2 panel@UE)</t>
  </si>
  <si>
    <t>gNB: (M,N,P,Mg,Ng; Mp,Np) = (4,4,2,1,1;4,4)
UE:  (M,N,P,Mg,Ng; Mp,Np) =  (2,4,2,1,2; 1,2)</t>
  </si>
  <si>
    <t>32x8 MU-MIMO (2 panel@UE)</t>
  </si>
  <si>
    <t>60 kHz SCS</t>
  </si>
  <si>
    <t>gNB: (M,N,P,Mg,Ng; Mp,Np) = (4,4,2,1,1;4,4);
UE: (M,N,P,Mg,Ng; Mp,Np) =  (2,4,2,1,2; 1,2)</t>
  </si>
  <si>
    <t>32x8 MU-MIMO,  4T SRS (2 panel@UE)</t>
  </si>
  <si>
    <t>gNB: (M,N,P,Mg,Ng; Mp,Np) = (8,8,2,1,1;4,4);
UE: (M,N,P,Mg,Ng; Mp,Np) =  (2,4,2,1,2; 1,1)</t>
  </si>
  <si>
    <t>32x4 MU-MIMO,  Type II Codebook (2 panel@UE)</t>
  </si>
  <si>
    <t>gNB: (M,N,P,Mg,Ng; Mp,Np) = (8,8,2,1,1;2,8);
UE: (M,N,P,Mg,Ng; Mp,Np) =  (2,4,2,1,2; 1,2)</t>
  </si>
  <si>
    <t>32x8 MU-MIMO, 4T SRS (2 panel@UE)</t>
  </si>
  <si>
    <t>gNB: (M,N,P,Mg,Ng; Mp,Np) = (8,16,2,1,1;2,16);
UE: (M,N,P,Mg,Ng; Mp,Np) =  (2,4,2,1,2; 1,2)</t>
  </si>
  <si>
    <t>64x8 MU-MIMO, 4T SRS (2 panel@UE)</t>
  </si>
  <si>
    <t>gNB:   (M,N,P,Mg,Ng; Mp,Np) = (4,32,2,1,1;1,32);
UE:  (M,N,P,Mg,Ng; Mp,Np) =  (1,4,2,1,2; 1,4)</t>
  </si>
  <si>
    <t>64x16 MU-MIMO, 4T SRS (2 panel@UE)</t>
  </si>
  <si>
    <t>60kHz SCS</t>
  </si>
  <si>
    <t>gNB: (M,N,P,Mg,Ng; Mp,Np) = (16,8,2,1,1;2,2);
UE: (M,N,P,Mg,Ng; Mp,Np) =  (4,4,2,1,1; 1,2)</t>
  </si>
  <si>
    <t>8x4 , MU-MIMO, 2T SRS (1 panel at UE)</t>
  </si>
  <si>
    <t>gNB: (M,N,P,Mg,Ng; Mp,Np) =  (8,16,2,1,1;4,4);
UE: (M,N,P,Mg,Ng; Mp,Np) =  (2,4,2,1,2; 1,2)</t>
  </si>
  <si>
    <t xml:space="preserve"> gNB: (M,N,P,Mg,Ng; Mp,Np)= (4,8,2,1,1; 2,2)
UE: (M,N,P,Mg,Ng; Mp,Np) =  (2,4,2,1,2; 1,2)</t>
  </si>
  <si>
    <t>8x8 SU-MIMO, CB based, OFDMA (2 panel@UE)</t>
  </si>
  <si>
    <t xml:space="preserve"> gNB: (M,N,P,Mg,Ng; Mp,Np)= (4,8,2,1,1; 2,2)
UE: (M,N,P,Mg,Ng; Mp,Np) =  (2,4,2,1,2; 1,1)</t>
  </si>
  <si>
    <t>4x8 MU-MIMO, CB based, OFDMA (2 panel@UE)</t>
  </si>
  <si>
    <t>8x32 MU-MIMO (2 panel@UE)</t>
  </si>
  <si>
    <t xml:space="preserve">UL Spectral efficiencyl </t>
  </si>
  <si>
    <t>8x32 SU-MIMO, CB based, OFDMA (2 panel@UE)</t>
  </si>
  <si>
    <t>4x32 MU-MIMO, CB based, OFDMA (2 panel@UE)</t>
  </si>
  <si>
    <t>8x32 SU-MIMO,Non- CB based, OFDMA (2 panel@UE)</t>
  </si>
  <si>
    <t xml:space="preserve"> gNB: (M,N,P,Mg,Ng; Mp,Np) = (4,32,2,1,1;1,32)
UE: (M,N,P,Mg,Ng; Mp,Np) =  (1,4,2,1,1; 1,4)</t>
  </si>
  <si>
    <t>8x64 MU-MIMO CB based (1 panel@UE)</t>
  </si>
  <si>
    <t>gNB: (M,N,P,Mg,Ng; Mp,Np) = (16,8,2,1,1;1,1)
UE: (M,N,P,Mg,Ng; Mp,Np) =  (4,4,2,1,1; 1,2)</t>
  </si>
  <si>
    <t xml:space="preserve">4x2, SU-MIMO, CB based, OFDMA (1 panel @UE) </t>
  </si>
  <si>
    <t>gNB: (M,N,P,Mg,Ng; Mp,Np) = (4,8,2,1,1;2,4);
UE: (M,N,P,Mg,Ng; Mp,Np) =  (2,4,2,1,2; 1,2)</t>
  </si>
  <si>
    <t>8x16 SU-MIMO, CB based, OFDMA (2 panel@UE)</t>
  </si>
  <si>
    <t>gNB: (M,N,P,Mg,Ng; Mp,Np) =  (4,16,2,1,1;2,4);
UE: (M,N,P,Mg,Ng; Mp,Np) =  (2,4,2,1,2; 1,2)</t>
  </si>
  <si>
    <t>8x16 MU-MIMO, 4T SRS (2 panel@UE)</t>
  </si>
  <si>
    <t>gNB: (M,N,P,Mg,Ng; Mp,Np) =  (8,8,2,1,1;4,4);
UE: (M,N,P,Mg,Ng; Mp,Np) =  (2,4,2,1,2; 1,2)</t>
  </si>
  <si>
    <t>8x32 SU-MIMO, 4T SRS (2 panel@UE)</t>
  </si>
  <si>
    <t>Bandwidth [MHz]</t>
  </si>
  <si>
    <r>
      <rPr>
        <sz val="10"/>
        <rFont val="Arial"/>
        <family val="2"/>
      </rPr>
      <t xml:space="preserve">32x4 MU-MIMO </t>
    </r>
    <r>
      <rPr>
        <sz val="10"/>
        <color rgb="FFC00000"/>
        <rFont val="Arial"/>
        <family val="2"/>
      </rPr>
      <t>ideal CSI feedback</t>
    </r>
    <r>
      <rPr>
        <sz val="10"/>
        <rFont val="Arial"/>
        <family val="2"/>
      </rPr>
      <t>(128Tx@gNB)</t>
    </r>
  </si>
  <si>
    <t>8x2 , MU-MIMO, 2T SRS (1 panel at UE)</t>
  </si>
  <si>
    <t xml:space="preserve">4x2, SU-MIMO, CB based, OFDMA (1 Panel @UE) </t>
  </si>
  <si>
    <t>gNB: (M,N,P,Mg,Ng; Mp,Np) =  (4,16,2,1,1;4,4);
UE: (M,N,P,Mg,Ng; Mp,Np) =  (2,4,2,1,2; 1,2)</t>
  </si>
  <si>
    <t>32x4 MU-MIMO
Advanced CSI Codebook</t>
    <phoneticPr fontId="21" type="noConversion"/>
  </si>
  <si>
    <t>32x4 MU-MIMO,  Advanced CSI Codebook</t>
    <phoneticPr fontId="21" type="noConversion"/>
  </si>
  <si>
    <t>32x4 MU-MIMO,  4TX SRS</t>
    <phoneticPr fontId="21" type="noConversion"/>
  </si>
  <si>
    <t>2019.05.13</t>
    <phoneticPr fontId="21" type="noConversion"/>
  </si>
  <si>
    <r>
      <t>44</t>
    </r>
    <r>
      <rPr>
        <sz val="10"/>
        <rFont val="Arial"/>
        <family val="2"/>
      </rPr>
      <t>_r7</t>
    </r>
    <phoneticPr fontId="21" type="noConversion"/>
  </si>
  <si>
    <r>
      <t>C</t>
    </r>
    <r>
      <rPr>
        <sz val="10"/>
        <rFont val="Arial"/>
        <family val="2"/>
      </rPr>
      <t>ATT</t>
    </r>
    <phoneticPr fontId="21" type="noConversion"/>
  </si>
  <si>
    <t>1. Insert InH LTE 4G DL TDD tx scheme(4 Tx SRS)  which was not correctly captured in the previous version; the values in the last version was for "advanced CSI codebook"
2. Insert results of Channel model B which were submitted in RAN1 meeting #97 for both LTE downlink and uplink, FDD and TDD</t>
    <phoneticPr fontId="21" type="noConversion"/>
  </si>
  <si>
    <t>add TDD results under non-ideal channel estimation</t>
    <phoneticPr fontId="21" type="noConversion"/>
  </si>
  <si>
    <t>2019.05.15</t>
    <phoneticPr fontId="21" type="noConversion"/>
  </si>
  <si>
    <t>44_r8</t>
    <phoneticPr fontId="21" type="noConversion"/>
  </si>
  <si>
    <t>NR TDD</t>
    <phoneticPr fontId="21" type="noConversion"/>
  </si>
  <si>
    <t>TDD</t>
    <phoneticPr fontId="21" type="noConversion"/>
  </si>
  <si>
    <t>20 MHz</t>
    <phoneticPr fontId="21" type="noConversion"/>
  </si>
  <si>
    <t xml:space="preserve">For 12TRxP: 
     - For 32T, (M,N,P,Mg,Ng; Mp,Np) = (4,4,2,1,1;4,4)
</t>
    <phoneticPr fontId="21" type="noConversion"/>
  </si>
  <si>
    <t>Non-ideal</t>
    <phoneticPr fontId="21" type="noConversion"/>
  </si>
  <si>
    <t>12TRP: For 4T, (M,N,P,Mg,Ng; Mp,Np) = (1,2,2,1,1; 1,2)
(dH, dV)=( N/A, N/A)λ</t>
    <phoneticPr fontId="21" type="noConversion"/>
  </si>
  <si>
    <t>12TRP: For 4T, (M,N,P,Mg,Ng; Mp,Np) = (1,2,2,1,1; 1,2)
(dH, dV)=( N/A, N/A)λ</t>
    <phoneticPr fontId="21" type="noConversion"/>
  </si>
  <si>
    <t>NTT DOCOMO</t>
    <phoneticPr fontId="64" type="noConversion"/>
  </si>
  <si>
    <t xml:space="preserve">32T4R </t>
    <phoneticPr fontId="65" type="noConversion"/>
  </si>
  <si>
    <t>DSUUD; S (11D,1G,2U)</t>
    <phoneticPr fontId="64" type="noConversion"/>
  </si>
  <si>
    <t>32T4R  DSUUD; S (11D,1G,2U)</t>
    <phoneticPr fontId="65" type="noConversion"/>
  </si>
  <si>
    <t>N/A</t>
    <phoneticPr fontId="21" type="noConversion"/>
  </si>
  <si>
    <t>CMCC</t>
    <phoneticPr fontId="21" type="noConversion"/>
  </si>
  <si>
    <t>1. Update DL OH parameters and the overhead calculation.
2. Update 4GHz_12TRxP simulation results for downlink.</t>
    <phoneticPr fontId="21" type="noConversion"/>
  </si>
  <si>
    <t>2019.05.16</t>
    <phoneticPr fontId="21" type="noConversion"/>
  </si>
  <si>
    <t>44_r9</t>
    <phoneticPr fontId="21" type="noConversion"/>
  </si>
  <si>
    <t>CMCC</t>
    <phoneticPr fontId="64" type="noConversion"/>
  </si>
  <si>
    <t>2 symbols</t>
    <phoneticPr fontId="64" type="noConversion"/>
  </si>
  <si>
    <r>
      <rPr>
        <sz val="9"/>
        <color theme="9" tint="-0.249977111117893"/>
        <rFont val="Arial"/>
        <family val="2"/>
      </rPr>
      <t>8</t>
    </r>
    <r>
      <rPr>
        <sz val="9"/>
        <rFont val="Arial"/>
        <family val="2"/>
      </rPr>
      <t xml:space="preserve"> SSB / 20ms</t>
    </r>
    <phoneticPr fontId="64" type="noConversion"/>
  </si>
  <si>
    <t>Type II, up to 12 ports, dynamic</t>
    <phoneticPr fontId="64" type="noConversion"/>
  </si>
  <si>
    <t>4 symbols per 5ms(10 slot)</t>
    <phoneticPr fontId="64" type="noConversion"/>
  </si>
  <si>
    <t>N/A</t>
    <phoneticPr fontId="64" type="noConversion"/>
  </si>
  <si>
    <t>Type II, 24RE/PRB/slot</t>
  </si>
  <si>
    <t xml:space="preserve">32 ports with 5 slots period </t>
  </si>
  <si>
    <t xml:space="preserve">Type II, 2  symbols </t>
  </si>
  <si>
    <t>2 PRBs and 14 OS for the slots without SRS transmission, and 14-number of slots for SRS when SRS is used</t>
  </si>
  <si>
    <t>1 symbol per 10 slots</t>
  </si>
  <si>
    <t>2019.05.17</t>
  </si>
  <si>
    <t>44_r10</t>
  </si>
  <si>
    <t>Updated results and parameters</t>
  </si>
  <si>
    <r>
      <t>2</t>
    </r>
    <r>
      <rPr>
        <sz val="10"/>
        <rFont val="Arial"/>
        <family val="2"/>
      </rPr>
      <t>019.05.18</t>
    </r>
    <phoneticPr fontId="21" type="noConversion"/>
  </si>
  <si>
    <r>
      <t>4</t>
    </r>
    <r>
      <rPr>
        <sz val="10"/>
        <rFont val="Arial"/>
        <family val="2"/>
      </rPr>
      <t>4_r11</t>
    </r>
    <phoneticPr fontId="21" type="noConversion"/>
  </si>
  <si>
    <r>
      <t>S</t>
    </r>
    <r>
      <rPr>
        <sz val="10"/>
        <rFont val="Arial"/>
        <family val="2"/>
      </rPr>
      <t>amsung</t>
    </r>
    <phoneticPr fontId="21" type="noConversion"/>
  </si>
  <si>
    <t>For 12 TRxP - 8T,  (M,N,P,Mg,Ng; Mp,Np) = (4,8,2,1,1;2,2)
 (dH,dV) = (0.5, 0.5)λ</t>
    <phoneticPr fontId="21" type="noConversion"/>
  </si>
  <si>
    <t>NR TDD</t>
    <phoneticPr fontId="21" type="noConversion"/>
  </si>
  <si>
    <t>TDD</t>
    <phoneticPr fontId="21" type="noConversion"/>
  </si>
  <si>
    <t>NR TDD</t>
    <phoneticPr fontId="21" type="noConversion"/>
  </si>
  <si>
    <t>TDD</t>
    <phoneticPr fontId="21" type="noConversion"/>
  </si>
  <si>
    <t>DDDSU</t>
    <phoneticPr fontId="21" type="noConversion"/>
  </si>
  <si>
    <t>FDD</t>
    <phoneticPr fontId="21" type="noConversion"/>
  </si>
  <si>
    <t>Up to 6 layers at gNB</t>
    <phoneticPr fontId="21" type="noConversion"/>
  </si>
  <si>
    <t>Samsung</t>
    <phoneticPr fontId="21" type="noConversion"/>
  </si>
  <si>
    <t>120 kHz SCS,
14 OFDM symbol slot</t>
    <phoneticPr fontId="21" type="noConversion"/>
  </si>
  <si>
    <t>100MHz</t>
    <phoneticPr fontId="21" type="noConversion"/>
  </si>
  <si>
    <r>
      <t xml:space="preserve">
CQI: every </t>
    </r>
    <r>
      <rPr>
        <sz val="10"/>
        <rFont val="Arial"/>
        <family val="2"/>
      </rPr>
      <t>2</t>
    </r>
    <r>
      <rPr>
        <sz val="10"/>
        <rFont val="Arial"/>
        <family val="2"/>
      </rPr>
      <t xml:space="preserve">5 slot; RI: every </t>
    </r>
    <r>
      <rPr>
        <sz val="10"/>
        <rFont val="Arial"/>
        <family val="2"/>
      </rPr>
      <t>2</t>
    </r>
    <r>
      <rPr>
        <sz val="10"/>
        <rFont val="Arial"/>
        <family val="2"/>
      </rPr>
      <t xml:space="preserve">5 slot, CRI: every </t>
    </r>
    <r>
      <rPr>
        <sz val="10"/>
        <rFont val="Arial"/>
        <family val="2"/>
      </rPr>
      <t>2</t>
    </r>
    <r>
      <rPr>
        <sz val="10"/>
        <rFont val="Arial"/>
        <family val="2"/>
      </rPr>
      <t xml:space="preserve">5 slot
Subband based </t>
    </r>
    <phoneticPr fontId="21" type="noConversion"/>
  </si>
  <si>
    <t>For 12TRxP: 8T,  (M,N,P,Mg,Ng; Mp,Np) = (8,16,2,1,1;2,2)
 (dH,dV) = (0.5, 0.5)λ</t>
    <phoneticPr fontId="21" type="noConversion"/>
  </si>
  <si>
    <t>For 12TRxP: 4R, (M,N,P,Mg,Ng; Mp,Np) =  (2,4,2,1,2; 1,1)
(dH,dV) = (0.5, 0.5)λ
(dg,V,dg,H) = (0, 0)λ</t>
    <phoneticPr fontId="21" type="noConversion"/>
  </si>
  <si>
    <t>(M, N, P, Mg, Ng; Mp, Np)
- M: Number of vertical antenna elements within a panel, on one polarization
- N: Number of horizontal antenna elements within a panel, on one polarization
- P: Number of polarizations
- Mg: Number of panels in a column;
- Ng: Number of panels in a row;
- Mp: Number of vertical TXRUs within a panel, on one polarization
- Np: Number of horizontal TXRUs within a panel, on one polarization</t>
    <phoneticPr fontId="21" type="noConversion"/>
  </si>
  <si>
    <t>Samsung</t>
    <phoneticPr fontId="21" type="noConversion"/>
  </si>
  <si>
    <t>120 kHz SCS,
14 OFDM symbol slot</t>
    <phoneticPr fontId="21" type="noConversion"/>
  </si>
  <si>
    <t>100MHz</t>
    <phoneticPr fontId="21" type="noConversion"/>
  </si>
  <si>
    <t>UL MU-MIMO with rank adaptation</t>
    <phoneticPr fontId="21" type="noConversion"/>
  </si>
  <si>
    <t>up to 2 layer</t>
    <phoneticPr fontId="21" type="noConversion"/>
  </si>
  <si>
    <t>P0=-80, alpha = 0.8</t>
    <phoneticPr fontId="21" type="noConversion"/>
  </si>
  <si>
    <t>P0=-80, alpha = 0.8</t>
    <phoneticPr fontId="21" type="noConversion"/>
  </si>
  <si>
    <t>Samsung</t>
    <phoneticPr fontId="21" type="noConversion"/>
  </si>
  <si>
    <t>8T4R</t>
    <phoneticPr fontId="21" type="noConversion"/>
  </si>
  <si>
    <t>Ericsson</t>
    <phoneticPr fontId="21" type="noConversion"/>
  </si>
  <si>
    <t>Ericsson</t>
    <phoneticPr fontId="21" type="noConversion"/>
  </si>
  <si>
    <t>Ericsson</t>
    <phoneticPr fontId="21" type="noConversion"/>
  </si>
  <si>
    <t>32T8R</t>
    <phoneticPr fontId="21" type="noConversion"/>
  </si>
  <si>
    <t>Frequency Range 2 - TDD</t>
    <phoneticPr fontId="21" type="noConversion"/>
  </si>
  <si>
    <t>ZTE</t>
    <phoneticPr fontId="21" type="noConversion"/>
  </si>
  <si>
    <t>ZTE</t>
    <phoneticPr fontId="21" type="noConversion"/>
  </si>
  <si>
    <t>Up to 12 layers</t>
    <phoneticPr fontId="21" type="noConversion"/>
  </si>
  <si>
    <t>Azimuth angle φi = [-3*pi/8, -1*pi/8, 1*pi/8, 3*pi/8],
Zenith angle θj = [pi/4,3*pi/4]</t>
    <phoneticPr fontId="21" type="noConversion"/>
  </si>
  <si>
    <t xml:space="preserve">Azimuth angle φi = [-3*pi/8, -pi/8, pi/8, 3*pi/8]
Zenith angle θj = [pi/4, 3*pi/4] </t>
    <phoneticPr fontId="21" type="noConversion"/>
  </si>
  <si>
    <t xml:space="preserve">Azimuth angle φi = [-pi/4, pi/4]
Zenith angle θj = [pi/4, 3*pi/4] </t>
    <phoneticPr fontId="21" type="noConversion"/>
  </si>
  <si>
    <t xml:space="preserve">Azimuth angle φi = [-pi/4, pi/4]
Zenith angle θj = [pi/4, 3*pi/4] </t>
    <phoneticPr fontId="21" type="noConversion"/>
  </si>
  <si>
    <t>For 4Tx with the best Tx panel: Up to 4 layers</t>
    <phoneticPr fontId="21" type="noConversion"/>
  </si>
  <si>
    <t xml:space="preserve">Azimuth angle φi = [-3*pi/8, -pi/8, pi/8, 3*pi/8]
Zenith angle θj = [pi/4, 3*pi/4] for 1 TRxP/site; </t>
    <phoneticPr fontId="21" type="noConversion"/>
  </si>
  <si>
    <t>For UE 4 Tx ports: Non-precoded SRS, 4 SRS ports; 10 lsots period</t>
    <phoneticPr fontId="21" type="noConversion"/>
  </si>
  <si>
    <t xml:space="preserve">For UE 4 Tx ports: Non-precoded SRS, 4 SRS ports; 10 lsots period </t>
    <phoneticPr fontId="21" type="noConversion"/>
  </si>
  <si>
    <t>For 12TRxP: 32T,  (M,N,P,Mg,Ng; Mp,Np) = (16,8,2,1,1;4,4)
 (dH,dV) = (0.5, 0.5)λ</t>
    <phoneticPr fontId="21" type="noConversion"/>
  </si>
  <si>
    <t>For 12TRxP: 32R,  (M,N,P,Mg,Ng; Mp,Np) = (16,8,2,1,1;4,4)
 (dH,dV) = (0.5, 0.5)λ</t>
    <phoneticPr fontId="21" type="noConversion"/>
  </si>
  <si>
    <t>15 kHz SCS,
14 OFDM symbol per subframe</t>
    <phoneticPr fontId="21" type="noConversion"/>
  </si>
  <si>
    <t xml:space="preserve">
non-precoded CSI-RS based</t>
    <phoneticPr fontId="21" type="noConversion"/>
  </si>
  <si>
    <t>Up to 4 layers</t>
    <phoneticPr fontId="21" type="noConversion"/>
  </si>
  <si>
    <t>Up to 12 layers</t>
    <phoneticPr fontId="21" type="noConversion"/>
  </si>
  <si>
    <t xml:space="preserve">CQI: every 10 slot; RI: every 10 slot, CRI: every 10 slot
Subband based </t>
    <phoneticPr fontId="21" type="noConversion"/>
  </si>
  <si>
    <t>For 12TRxP: 
     - For 32T, (M,N,P,Mg,Ng; Mp,Np) =(4,4,2,1,1; 1,1)</t>
    <phoneticPr fontId="21" type="noConversion"/>
  </si>
  <si>
    <t>DSUUD</t>
    <phoneticPr fontId="21" type="noConversion"/>
  </si>
  <si>
    <t>DSUUD</t>
    <phoneticPr fontId="21" type="noConversion"/>
  </si>
  <si>
    <t>P0=-80, alpha = 0.8</t>
    <phoneticPr fontId="21" type="noConversion"/>
  </si>
  <si>
    <r>
      <t xml:space="preserve">For 12TRxP: 
     - For 32T, (M,N,P,Mg,Ng; Mp,Np) = (4,4,2,1,1;4,4)
For 36TRxP:
  </t>
    </r>
    <r>
      <rPr>
        <sz val="9"/>
        <color theme="1"/>
        <rFont val="Arial"/>
        <family val="2"/>
      </rPr>
      <t xml:space="preserve">  - For 32T, </t>
    </r>
    <r>
      <rPr>
        <sz val="9"/>
        <color rgb="FF00B050"/>
        <rFont val="Arial"/>
        <family val="2"/>
      </rPr>
      <t>(M,N,P,Mg,Ng; Mp,Np) = (8,8,2,1,1; 4,4)</t>
    </r>
    <r>
      <rPr>
        <sz val="9"/>
        <rFont val="Arial"/>
        <family val="2"/>
      </rPr>
      <t xml:space="preserve">
 (dH,dV) = (0.5, 0.5)λ
 </t>
    </r>
    <r>
      <rPr>
        <sz val="9"/>
        <color rgb="FFFF0000"/>
        <rFont val="Arial"/>
        <family val="2"/>
      </rPr>
      <t xml:space="preserve">  - For 32T, (M,N,P,Mg,Ng; Mp,Np) = (8,16,2,1,1; 2,8)
 (dH,dV) = (0.5, 0.5)λ</t>
    </r>
    <phoneticPr fontId="21" type="noConversion"/>
  </si>
  <si>
    <r>
      <t>3</t>
    </r>
    <r>
      <rPr>
        <sz val="10"/>
        <rFont val="Arial"/>
        <family val="2"/>
      </rPr>
      <t>2T2R</t>
    </r>
    <phoneticPr fontId="21" type="noConversion"/>
  </si>
  <si>
    <r>
      <t>DSUUD ;S(</t>
    </r>
    <r>
      <rPr>
        <sz val="10"/>
        <rFont val="Arial"/>
        <family val="2"/>
      </rPr>
      <t>6</t>
    </r>
    <r>
      <rPr>
        <sz val="10"/>
        <rFont val="Arial"/>
        <family val="2"/>
      </rPr>
      <t>D,</t>
    </r>
    <r>
      <rPr>
        <sz val="10"/>
        <rFont val="Arial"/>
        <family val="2"/>
      </rPr>
      <t>2</t>
    </r>
    <r>
      <rPr>
        <sz val="10"/>
        <rFont val="Arial"/>
        <family val="2"/>
      </rPr>
      <t>G,</t>
    </r>
    <r>
      <rPr>
        <sz val="10"/>
        <rFont val="Arial"/>
        <family val="2"/>
      </rPr>
      <t>6</t>
    </r>
    <r>
      <rPr>
        <sz val="10"/>
        <rFont val="Arial"/>
        <family val="2"/>
      </rPr>
      <t>U)</t>
    </r>
    <phoneticPr fontId="21" type="noConversion"/>
  </si>
  <si>
    <t>32x2 MU-MIMO,  2TX SRS</t>
    <phoneticPr fontId="21" type="noConversion"/>
  </si>
  <si>
    <t>2x32 SU-MIMO, Codebook based, DFT-S-OFDM</t>
    <phoneticPr fontId="21" type="noConversion"/>
  </si>
  <si>
    <t>eNB: (M,N,P,Mg,Ng; Mp,Np) = (16,8,2,1,1;4,4)</t>
    <phoneticPr fontId="21" type="noConversion"/>
  </si>
  <si>
    <t>For 12TRxP: 
     - For 32R, (M,N,P,Mg,Ng; Mp,Np) =(16,8,2,1,1; 1,1)</t>
    <phoneticPr fontId="21" type="noConversion"/>
  </si>
  <si>
    <t>2019.05.22</t>
    <phoneticPr fontId="21" type="noConversion"/>
  </si>
  <si>
    <r>
      <t>4</t>
    </r>
    <r>
      <rPr>
        <sz val="10"/>
        <rFont val="Arial"/>
        <family val="2"/>
      </rPr>
      <t>4_r12</t>
    </r>
  </si>
  <si>
    <t>Up to 3 users</t>
  </si>
  <si>
    <t>12TRP: For 128R, (M,N,P,Mg,Ng; Mp,Np) = (8,8,2,1,1;8,8)
 (dH,dV) = (0.5, 0.5)λ</t>
  </si>
  <si>
    <t>32x8 MU-MIMO,  2T SRS</t>
    <phoneticPr fontId="21" type="noConversion"/>
  </si>
  <si>
    <r>
      <t>4</t>
    </r>
    <r>
      <rPr>
        <sz val="10"/>
        <rFont val="Arial"/>
        <family val="2"/>
      </rPr>
      <t>4_r13</t>
    </r>
    <phoneticPr fontId="21" type="noConversion"/>
  </si>
  <si>
    <r>
      <t>H</t>
    </r>
    <r>
      <rPr>
        <sz val="10"/>
        <rFont val="Arial"/>
        <family val="2"/>
      </rPr>
      <t>uawei</t>
    </r>
    <phoneticPr fontId="21" type="noConversion"/>
  </si>
  <si>
    <t>Update results (especially the results in large bandwidth) and parameters according to the new input in RAN1#97.</t>
    <phoneticPr fontId="21" type="noConversion"/>
  </si>
  <si>
    <t>2019.05.23</t>
    <phoneticPr fontId="21" type="noConversion"/>
  </si>
  <si>
    <t>2019.05.28</t>
  </si>
  <si>
    <t>44_r14</t>
  </si>
  <si>
    <t>Updated UL SE Results based on Contiguous Scheduling</t>
  </si>
  <si>
    <t>Continuous RB allocation: follow TS 38.101 for FR1; Mean IOT&lt;10dB</t>
  </si>
  <si>
    <t>Contiguous RB allocation; Follow TS 38.101-2; Mean IOT&lt;10dB</t>
  </si>
  <si>
    <t>For 12 TRxP: P0=-90, alpha = 0.9
For 36 TRxP: P0=-100, aplha=0.8</t>
  </si>
  <si>
    <t>For 12 TRxP: P0 = -70, alpha = 0.8
For 36 TRxP: P0 = -70, alpha = 0.7</t>
  </si>
  <si>
    <t>Ericsson</t>
    <phoneticPr fontId="21" type="noConversion"/>
  </si>
  <si>
    <t>32T4R</t>
    <phoneticPr fontId="21" type="noConversion"/>
  </si>
  <si>
    <t>2019.05.29</t>
    <phoneticPr fontId="21" type="noConversion"/>
  </si>
  <si>
    <t>44_r15</t>
    <phoneticPr fontId="21" type="noConversion"/>
  </si>
  <si>
    <t>Update the averaged results. Some samples are not calculated into averaged results.</t>
    <phoneticPr fontId="21" type="noConversion"/>
  </si>
  <si>
    <t>44_r16</t>
  </si>
  <si>
    <t>Fixed Nokia's DL TDD results (4GHz, 12TRxP)</t>
  </si>
  <si>
    <t>32x8 MU-MIMO, 4T SRS (2 panel@UE)</t>
    <phoneticPr fontId="21" type="noConversion"/>
  </si>
  <si>
    <t>44_r17</t>
    <phoneticPr fontId="21" type="noConversion"/>
  </si>
  <si>
    <t>Adjust some formats.</t>
    <phoneticPr fontId="21" type="noConversion"/>
  </si>
  <si>
    <t>2019.06.05</t>
    <phoneticPr fontId="21" type="noConversion"/>
  </si>
  <si>
    <t>44_r18</t>
    <phoneticPr fontId="21" type="noConversion"/>
  </si>
  <si>
    <r>
      <t>D</t>
    </r>
    <r>
      <rPr>
        <sz val="10"/>
        <rFont val="Arial"/>
        <family val="2"/>
      </rPr>
      <t>elete results for 70 GHz.</t>
    </r>
    <phoneticPr fontId="21" type="noConversion"/>
  </si>
  <si>
    <t>vs. Req.</t>
    <phoneticPr fontId="21" type="noConversion"/>
  </si>
  <si>
    <t>GRET</t>
    <phoneticPr fontId="21" type="noConversion"/>
  </si>
  <si>
    <t>GRET</t>
    <phoneticPr fontId="21" type="noConversion"/>
  </si>
  <si>
    <t>--- N/A ---</t>
    <phoneticPr fontId="21" type="noConversion"/>
  </si>
  <si>
    <t>--- N/A ---</t>
    <phoneticPr fontId="21" type="noConversion"/>
  </si>
  <si>
    <t>GRET</t>
    <phoneticPr fontId="21" type="noConversion"/>
  </si>
  <si>
    <t>GRET</t>
    <phoneticPr fontId="21" type="noConversion"/>
  </si>
  <si>
    <t>--- N/A ---</t>
    <phoneticPr fontId="21" type="noConversion"/>
  </si>
  <si>
    <t>--- N/A ---</t>
    <phoneticPr fontId="21" type="noConversion"/>
  </si>
  <si>
    <t>GRET</t>
    <phoneticPr fontId="21" type="noConversion"/>
  </si>
  <si>
    <t>--- N/A ---</t>
    <phoneticPr fontId="21" type="noConversion"/>
  </si>
  <si>
    <t>--- N/A ---</t>
    <phoneticPr fontId="21" type="noConversion"/>
  </si>
  <si>
    <t>--- N/A ---</t>
    <phoneticPr fontId="21" type="noConversion"/>
  </si>
  <si>
    <t>--- N/A ---</t>
    <phoneticPr fontId="21" type="noConversion"/>
  </si>
  <si>
    <t>GRET</t>
    <phoneticPr fontId="21" type="noConversion"/>
  </si>
  <si>
    <t>GRET</t>
    <phoneticPr fontId="21" type="noConversion"/>
  </si>
  <si>
    <t>--- N/A ---</t>
    <phoneticPr fontId="21" type="noConversion"/>
  </si>
  <si>
    <t>--- N/A ---</t>
    <phoneticPr fontId="21" type="noConversion"/>
  </si>
  <si>
    <t>--- N/A ---</t>
    <phoneticPr fontId="21" type="noConversion"/>
  </si>
  <si>
    <t>vs. Req.</t>
    <phoneticPr fontId="21" type="noConversion"/>
  </si>
  <si>
    <t>--- N/A ---</t>
    <phoneticPr fontId="21" type="noConversion"/>
  </si>
  <si>
    <t>GRET</t>
    <phoneticPr fontId="21" type="noConversion"/>
  </si>
  <si>
    <t>GRET</t>
    <phoneticPr fontId="21" type="noConversion"/>
  </si>
  <si>
    <t>GRET</t>
    <phoneticPr fontId="21" type="noConversion"/>
  </si>
  <si>
    <t>vs. Req.</t>
    <phoneticPr fontId="21" type="noConversion"/>
  </si>
  <si>
    <t>GRET</t>
    <phoneticPr fontId="21" type="noConversion"/>
  </si>
  <si>
    <t>--- N/A ---</t>
    <phoneticPr fontId="21" type="noConversion"/>
  </si>
  <si>
    <t>vs. Req.</t>
    <phoneticPr fontId="21" type="noConversion"/>
  </si>
  <si>
    <t>--- N/A ---</t>
    <phoneticPr fontId="21" type="noConversion"/>
  </si>
  <si>
    <t>--- N/A ---</t>
    <phoneticPr fontId="21" type="noConversion"/>
  </si>
  <si>
    <t>--- N/A ---</t>
    <phoneticPr fontId="21" type="noConversion"/>
  </si>
  <si>
    <t>--- N/A ---</t>
    <phoneticPr fontId="21" type="noConversion"/>
  </si>
  <si>
    <t>--- N/A ---</t>
    <phoneticPr fontId="21" type="noConversion"/>
  </si>
  <si>
    <t>LESS</t>
    <phoneticPr fontId="21" type="noConversion"/>
  </si>
  <si>
    <t>--- N/A ---</t>
    <phoneticPr fontId="21" type="noConversion"/>
  </si>
  <si>
    <t>--- N/A ---</t>
    <phoneticPr fontId="21" type="noConversion"/>
  </si>
  <si>
    <t>GRET</t>
    <phoneticPr fontId="21" type="noConversion"/>
  </si>
  <si>
    <t>--- N/A ---</t>
    <phoneticPr fontId="21" type="noConversion"/>
  </si>
  <si>
    <t>GRET</t>
    <phoneticPr fontId="21" type="noConversion"/>
  </si>
  <si>
    <t>--- N/A ---</t>
    <phoneticPr fontId="21" type="noConversion"/>
  </si>
  <si>
    <t>--- N/A ---</t>
    <phoneticPr fontId="21" type="noConversion"/>
  </si>
  <si>
    <t>GRET</t>
    <phoneticPr fontId="21" type="noConversion"/>
  </si>
  <si>
    <t>--- N/A ---</t>
    <phoneticPr fontId="21" type="noConversion"/>
  </si>
  <si>
    <t>vs. Req.</t>
    <phoneticPr fontId="21" type="noConversion"/>
  </si>
  <si>
    <t>vs. Req.</t>
    <phoneticPr fontId="21" type="noConversion"/>
  </si>
  <si>
    <t>GRET</t>
    <phoneticPr fontId="21" type="noConversion"/>
  </si>
  <si>
    <t>--- N/A ---</t>
    <phoneticPr fontId="21" type="noConversion"/>
  </si>
  <si>
    <t>vs. Req.</t>
    <phoneticPr fontId="21" type="noConversion"/>
  </si>
  <si>
    <t>GRET</t>
    <phoneticPr fontId="21" type="noConversion"/>
  </si>
  <si>
    <t>GRET</t>
    <phoneticPr fontId="21" type="noConversion"/>
  </si>
  <si>
    <t>--- N/A ---</t>
    <phoneticPr fontId="21" type="noConversion"/>
  </si>
  <si>
    <t>LESS</t>
    <phoneticPr fontId="21" type="noConversion"/>
  </si>
  <si>
    <t>DL Spectral efficiency</t>
    <phoneticPr fontId="21" type="noConversion"/>
  </si>
  <si>
    <t>UL Spectral Efficiency</t>
    <phoneticPr fontId="21" type="noConversion"/>
  </si>
  <si>
    <r>
      <t>M</t>
    </r>
    <r>
      <rPr>
        <sz val="10"/>
        <rFont val="Arial"/>
        <family val="2"/>
      </rPr>
      <t>AX</t>
    </r>
    <phoneticPr fontId="21" type="noConversion"/>
  </si>
  <si>
    <r>
      <t>M</t>
    </r>
    <r>
      <rPr>
        <sz val="10"/>
        <rFont val="Arial"/>
        <family val="2"/>
      </rPr>
      <t>IN</t>
    </r>
    <phoneticPr fontId="21" type="noConversion"/>
  </si>
  <si>
    <r>
      <t>D</t>
    </r>
    <r>
      <rPr>
        <sz val="10"/>
        <rFont val="Arial"/>
        <family val="2"/>
      </rPr>
      <t>L</t>
    </r>
    <phoneticPr fontId="21" type="noConversion"/>
  </si>
  <si>
    <r>
      <t>U</t>
    </r>
    <r>
      <rPr>
        <sz val="10"/>
        <rFont val="Arial"/>
        <family val="2"/>
      </rPr>
      <t>L</t>
    </r>
    <phoneticPr fontId="21" type="noConversion"/>
  </si>
  <si>
    <t>UL</t>
    <phoneticPr fontId="21" type="noConversion"/>
  </si>
  <si>
    <r>
      <t>F</t>
    </r>
    <r>
      <rPr>
        <sz val="10"/>
        <rFont val="Arial"/>
        <family val="2"/>
      </rPr>
      <t>DD</t>
    </r>
    <phoneticPr fontId="21" type="noConversion"/>
  </si>
  <si>
    <t>TDD</t>
    <phoneticPr fontId="21" type="noConversion"/>
  </si>
  <si>
    <t>DL Spectral efficiency</t>
    <phoneticPr fontId="21" type="noConversion"/>
  </si>
  <si>
    <t>UL Spectral Efficiency</t>
    <phoneticPr fontId="21" type="noConversion"/>
  </si>
  <si>
    <t>FDD</t>
    <phoneticPr fontId="21" type="noConversion"/>
  </si>
  <si>
    <t>NR</t>
    <phoneticPr fontId="21" type="noConversion"/>
  </si>
  <si>
    <t>TDD</t>
    <phoneticPr fontId="21" type="noConversion"/>
  </si>
  <si>
    <t>FDD</t>
    <phoneticPr fontId="21" type="noConversion"/>
  </si>
  <si>
    <r>
      <t>L</t>
    </r>
    <r>
      <rPr>
        <sz val="10"/>
        <rFont val="Arial"/>
        <family val="2"/>
      </rPr>
      <t>TE</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</si>
</sst>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_ "/>
    <numFmt numFmtId="177" formatCode="0.000"/>
    <numFmt numFmtId="179" formatCode="0.000_);[Red]\(0.000\)"/>
    <numFmt numFmtId="180" formatCode="0_ "/>
    <numFmt numFmtId="181" formatCode="0.0_);[Red]\(0.0\)"/>
  </numFmts>
  <fonts count="70">
    <font>
      <sz val="10"/>
      <name val="Arial"/>
      <charset val="134"/>
    </font>
    <font>
      <sz val="11"/>
      <color theme="1"/>
      <name val="ＭＳ Ｐゴシック"/>
      <family val="2"/>
      <scheme val="minor"/>
    </font>
    <font>
      <sz val="10"/>
      <color rgb="FFFF0000"/>
      <name val="Arial"/>
      <family val="2"/>
    </font>
    <font>
      <b/>
      <sz val="10"/>
      <name val="Arial"/>
      <family val="2"/>
    </font>
    <font>
      <sz val="10"/>
      <color theme="8" tint="0.59999389629810485"/>
      <name val="Arial"/>
      <family val="2"/>
    </font>
    <font>
      <sz val="10"/>
      <color theme="9" tint="-0.249977111117893"/>
      <name val="Arial"/>
      <family val="2"/>
    </font>
    <font>
      <sz val="10"/>
      <color rgb="FFC00000"/>
      <name val="Arial"/>
      <family val="2"/>
    </font>
    <font>
      <sz val="10"/>
      <color theme="1"/>
      <name val="Arial"/>
      <family val="2"/>
    </font>
    <font>
      <sz val="11"/>
      <color theme="1"/>
      <name val="ＭＳ Ｐゴシック"/>
      <family val="3"/>
      <charset val="134"/>
      <scheme val="minor"/>
    </font>
    <font>
      <b/>
      <sz val="11"/>
      <color theme="1"/>
      <name val="Arial"/>
      <family val="2"/>
    </font>
    <font>
      <sz val="11"/>
      <color theme="1"/>
      <name val="Arial"/>
      <family val="2"/>
    </font>
    <font>
      <sz val="10"/>
      <color rgb="FF000000"/>
      <name val="Arial"/>
      <family val="2"/>
    </font>
    <font>
      <sz val="11"/>
      <color theme="9" tint="-0.249977111117893"/>
      <name val="Arial"/>
      <family val="2"/>
    </font>
    <font>
      <b/>
      <sz val="11"/>
      <color theme="1"/>
      <name val="ＭＳ Ｐゴシック"/>
      <family val="3"/>
      <charset val="134"/>
      <scheme val="minor"/>
    </font>
    <font>
      <b/>
      <sz val="11"/>
      <color theme="1"/>
      <name val="ＭＳ Ｐゴシック"/>
      <family val="3"/>
      <charset val="134"/>
      <scheme val="minor"/>
    </font>
    <font>
      <sz val="11"/>
      <color rgb="FFC00000"/>
      <name val="Arial"/>
      <family val="2"/>
    </font>
    <font>
      <sz val="11"/>
      <color theme="1"/>
      <name val="ＭＳ Ｐゴシック"/>
      <family val="3"/>
      <charset val="134"/>
      <scheme val="minor"/>
    </font>
    <font>
      <sz val="10"/>
      <color rgb="FF000000"/>
      <name val="Calibri"/>
      <family val="2"/>
    </font>
    <font>
      <sz val="10"/>
      <name val="Calibri"/>
      <family val="2"/>
    </font>
    <font>
      <sz val="11"/>
      <color theme="9" tint="-0.249977111117893"/>
      <name val="ＭＳ Ｐゴシック"/>
      <family val="3"/>
      <charset val="134"/>
      <scheme val="minor"/>
    </font>
    <font>
      <sz val="12"/>
      <name val="宋体"/>
      <family val="3"/>
      <charset val="134"/>
    </font>
    <font>
      <sz val="9"/>
      <name val="Arial"/>
      <family val="2"/>
    </font>
    <font>
      <b/>
      <sz val="9"/>
      <color rgb="FF0000FF"/>
      <name val="Arial"/>
      <family val="2"/>
    </font>
    <font>
      <b/>
      <sz val="11"/>
      <color rgb="FFFF0000"/>
      <name val="Arial"/>
      <family val="2"/>
    </font>
    <font>
      <sz val="9"/>
      <color theme="1"/>
      <name val="Arial"/>
      <family val="2"/>
    </font>
    <font>
      <b/>
      <sz val="9"/>
      <color rgb="FFFF0000"/>
      <name val="Arial"/>
      <family val="2"/>
    </font>
    <font>
      <sz val="9"/>
      <name val="Arial"/>
      <family val="2"/>
    </font>
    <font>
      <sz val="9"/>
      <color rgb="FF000000"/>
      <name val="Arial"/>
      <family val="2"/>
    </font>
    <font>
      <sz val="9"/>
      <color theme="9" tint="-0.249977111117893"/>
      <name val="Arial"/>
      <family val="2"/>
    </font>
    <font>
      <sz val="9"/>
      <color rgb="FFFF0000"/>
      <name val="Arial"/>
      <family val="2"/>
    </font>
    <font>
      <sz val="10"/>
      <name val="Times New Roman"/>
      <family val="1"/>
    </font>
    <font>
      <sz val="11"/>
      <color theme="1"/>
      <name val="Times New Roman"/>
      <family val="1"/>
    </font>
    <font>
      <sz val="9"/>
      <color theme="9"/>
      <name val="Arial"/>
      <family val="2"/>
    </font>
    <font>
      <sz val="9"/>
      <color rgb="FFC00000"/>
      <name val="Arial"/>
      <family val="2"/>
    </font>
    <font>
      <b/>
      <sz val="9"/>
      <color theme="9" tint="-0.249977111117893"/>
      <name val="Arial"/>
      <family val="2"/>
    </font>
    <font>
      <b/>
      <sz val="9"/>
      <name val="Arial"/>
      <family val="2"/>
    </font>
    <font>
      <sz val="9"/>
      <color rgb="FF00B050"/>
      <name val="Arial"/>
      <family val="2"/>
    </font>
    <font>
      <i/>
      <sz val="11"/>
      <color rgb="FF7F7F7F"/>
      <name val="ＭＳ Ｐゴシック"/>
      <family val="3"/>
      <charset val="134"/>
      <scheme val="minor"/>
    </font>
    <font>
      <b/>
      <sz val="18"/>
      <color theme="3"/>
      <name val="ＭＳ Ｐゴシック"/>
      <family val="3"/>
      <charset val="134"/>
      <scheme val="major"/>
    </font>
    <font>
      <b/>
      <sz val="13"/>
      <color theme="3"/>
      <name val="ＭＳ Ｐゴシック"/>
      <family val="3"/>
      <charset val="134"/>
      <scheme val="minor"/>
    </font>
    <font>
      <b/>
      <sz val="15"/>
      <color theme="3"/>
      <name val="ＭＳ Ｐゴシック"/>
      <family val="3"/>
      <charset val="134"/>
      <scheme val="minor"/>
    </font>
    <font>
      <sz val="11"/>
      <color rgb="FF3F3F76"/>
      <name val="ＭＳ Ｐゴシック"/>
      <family val="3"/>
      <charset val="134"/>
      <scheme val="minor"/>
    </font>
    <font>
      <b/>
      <sz val="11"/>
      <color rgb="FFFA7D00"/>
      <name val="ＭＳ Ｐゴシック"/>
      <family val="3"/>
      <charset val="134"/>
      <scheme val="minor"/>
    </font>
    <font>
      <sz val="11"/>
      <color rgb="FF9C0006"/>
      <name val="ＭＳ Ｐゴシック"/>
      <family val="3"/>
      <charset val="134"/>
      <scheme val="minor"/>
    </font>
    <font>
      <sz val="11"/>
      <color rgb="FFFF0000"/>
      <name val="ＭＳ Ｐゴシック"/>
      <family val="3"/>
      <charset val="134"/>
      <scheme val="minor"/>
    </font>
    <font>
      <sz val="11"/>
      <color rgb="FF006100"/>
      <name val="ＭＳ Ｐゴシック"/>
      <family val="3"/>
      <charset val="134"/>
      <scheme val="minor"/>
    </font>
    <font>
      <sz val="11"/>
      <color rgb="FFFA7D00"/>
      <name val="ＭＳ Ｐゴシック"/>
      <family val="3"/>
      <charset val="134"/>
      <scheme val="minor"/>
    </font>
    <font>
      <sz val="11"/>
      <color theme="0"/>
      <name val="ＭＳ Ｐゴシック"/>
      <family val="3"/>
      <charset val="134"/>
      <scheme val="minor"/>
    </font>
    <font>
      <sz val="11"/>
      <color rgb="FF006100"/>
      <name val="ＭＳ Ｐゴシック"/>
      <family val="3"/>
      <charset val="134"/>
      <scheme val="minor"/>
    </font>
    <font>
      <b/>
      <sz val="11"/>
      <color theme="3"/>
      <name val="ＭＳ Ｐゴシック"/>
      <family val="3"/>
      <charset val="134"/>
      <scheme val="minor"/>
    </font>
    <font>
      <b/>
      <sz val="11"/>
      <color rgb="FF3F3F3F"/>
      <name val="ＭＳ Ｐゴシック"/>
      <family val="3"/>
      <charset val="134"/>
      <scheme val="minor"/>
    </font>
    <font>
      <b/>
      <sz val="11"/>
      <color theme="0"/>
      <name val="ＭＳ Ｐゴシック"/>
      <family val="3"/>
      <charset val="134"/>
      <scheme val="minor"/>
    </font>
    <font>
      <sz val="11"/>
      <color rgb="FF9C6500"/>
      <name val="ＭＳ Ｐゴシック"/>
      <family val="3"/>
      <charset val="134"/>
      <scheme val="minor"/>
    </font>
    <font>
      <sz val="10"/>
      <name val="Droid Sans"/>
      <family val="1"/>
    </font>
    <font>
      <sz val="12"/>
      <color theme="1"/>
      <name val="ＭＳ Ｐゴシック"/>
      <family val="3"/>
      <charset val="134"/>
      <scheme val="minor"/>
    </font>
    <font>
      <sz val="12"/>
      <color rgb="FF000000"/>
      <name val="ＭＳ Ｐゴシック"/>
      <family val="2"/>
    </font>
    <font>
      <sz val="11"/>
      <color rgb="FF000000"/>
      <name val="ＭＳ Ｐゴシック"/>
      <family val="2"/>
    </font>
    <font>
      <sz val="11"/>
      <color rgb="FF9C0006"/>
      <name val="ＭＳ Ｐゴシック"/>
      <family val="3"/>
      <charset val="134"/>
      <scheme val="minor"/>
    </font>
    <font>
      <sz val="12"/>
      <color theme="1"/>
      <name val="ＭＳ Ｐゴシック"/>
      <family val="3"/>
      <charset val="134"/>
      <scheme val="minor"/>
    </font>
    <font>
      <sz val="10"/>
      <name val="宋体"/>
      <family val="3"/>
      <charset val="134"/>
    </font>
    <font>
      <sz val="9"/>
      <name val="ＭＳ Ｐゴシック"/>
      <family val="2"/>
    </font>
    <font>
      <vertAlign val="superscript"/>
      <sz val="10"/>
      <name val="Times New Roman"/>
      <family val="1"/>
    </font>
    <font>
      <strike/>
      <sz val="9"/>
      <color rgb="FF00B050"/>
      <name val="Arial"/>
      <family val="2"/>
    </font>
    <font>
      <sz val="10"/>
      <name val="Arial"/>
      <family val="2"/>
    </font>
    <font>
      <sz val="9"/>
      <name val="宋体"/>
      <family val="3"/>
      <charset val="134"/>
    </font>
    <font>
      <sz val="9"/>
      <name val="ＭＳ Ｐゴシック"/>
      <family val="3"/>
      <charset val="134"/>
      <scheme val="minor"/>
    </font>
    <font>
      <sz val="12"/>
      <color theme="9" tint="-0.249977111117893"/>
      <name val="宋体"/>
      <family val="3"/>
      <charset val="134"/>
    </font>
    <font>
      <sz val="9"/>
      <color theme="0" tint="-0.249977111117893"/>
      <name val="Arial"/>
      <family val="2"/>
    </font>
    <font>
      <b/>
      <sz val="9"/>
      <color theme="0" tint="-0.249977111117893"/>
      <name val="Arial"/>
      <family val="2"/>
    </font>
    <font>
      <sz val="10"/>
      <color theme="0" tint="-0.249977111117893"/>
      <name val="Arial"/>
      <family val="2"/>
    </font>
  </fonts>
  <fills count="46">
    <fill>
      <patternFill patternType="none"/>
    </fill>
    <fill>
      <patternFill patternType="gray125"/>
    </fill>
    <fill>
      <patternFill patternType="solid">
        <fgColor theme="9" tint="0.59999389629810485"/>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theme="0" tint="-0.14993743705557422"/>
        <bgColor indexed="64"/>
      </patternFill>
    </fill>
    <fill>
      <patternFill patternType="solid">
        <fgColor theme="0"/>
        <bgColor indexed="64"/>
      </patternFill>
    </fill>
    <fill>
      <patternFill patternType="solid">
        <fgColor theme="8" tint="0.79995117038483843"/>
        <bgColor indexed="64"/>
      </patternFill>
    </fill>
    <fill>
      <patternFill patternType="solid">
        <fgColor theme="6" tint="0.79995117038483843"/>
        <bgColor indexed="64"/>
      </patternFill>
    </fill>
    <fill>
      <patternFill patternType="solid">
        <fgColor theme="6" tint="0.79992065187536243"/>
        <bgColor indexed="64"/>
      </patternFill>
    </fill>
    <fill>
      <patternFill patternType="solid">
        <fgColor rgb="FFD8D8D8"/>
        <bgColor indexed="64"/>
      </patternFill>
    </fill>
    <fill>
      <patternFill patternType="solid">
        <fgColor theme="5" tint="0.7999511703848384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theme="6" tint="0.79995117038483843"/>
        <bgColor indexed="64"/>
      </patternFill>
    </fill>
    <fill>
      <patternFill patternType="solid">
        <fgColor theme="6" tint="0.59999389629810485"/>
        <bgColor indexed="64"/>
      </patternFill>
    </fill>
    <fill>
      <patternFill patternType="solid">
        <fgColor theme="7" tint="0.79995117038483843"/>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theme="4" tint="0.39994506668294322"/>
        <bgColor indexed="64"/>
      </patternFill>
    </fill>
    <fill>
      <patternFill patternType="solid">
        <fgColor theme="6" tint="0.39994506668294322"/>
        <bgColor indexed="64"/>
      </patternFill>
    </fill>
    <fill>
      <patternFill patternType="solid">
        <fgColor theme="7" tint="0.39994506668294322"/>
        <bgColor indexed="64"/>
      </patternFill>
    </fill>
    <fill>
      <patternFill patternType="solid">
        <fgColor theme="5" tint="0.39994506668294322"/>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8" tint="0.39994506668294322"/>
        <bgColor indexed="64"/>
      </patternFill>
    </fill>
    <fill>
      <patternFill patternType="solid">
        <fgColor theme="9"/>
        <bgColor indexed="64"/>
      </patternFill>
    </fill>
    <fill>
      <patternFill patternType="solid">
        <fgColor rgb="FFFFEB9C"/>
        <bgColor indexed="64"/>
      </patternFill>
    </fill>
    <fill>
      <patternFill patternType="solid">
        <fgColor theme="9" tint="0.3999450666829432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8" tint="0.79998168889431442"/>
        <bgColor indexed="65"/>
      </patternFill>
    </fill>
    <fill>
      <patternFill patternType="solid">
        <fgColor theme="0" tint="-0.14999847407452621"/>
        <bgColor indexed="64"/>
      </patternFill>
    </fill>
  </fills>
  <borders count="26">
    <border>
      <left/>
      <right/>
      <top/>
      <bottom/>
      <diagonal/>
    </border>
    <border>
      <left/>
      <right/>
      <top/>
      <bottom style="medium">
        <color auto="1"/>
      </bottom>
      <diagonal/>
    </border>
    <border>
      <left/>
      <right/>
      <top style="medium">
        <color auto="1"/>
      </top>
      <bottom/>
      <diagonal/>
    </border>
    <border>
      <left/>
      <right/>
      <top style="thin">
        <color theme="4"/>
      </top>
      <bottom style="double">
        <color theme="4"/>
      </bottom>
      <diagonal/>
    </border>
    <border>
      <left/>
      <right/>
      <top style="thin">
        <color theme="4"/>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ck">
        <color theme="4" tint="0.499984740745262"/>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3999450666829432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220">
    <xf numFmtId="0" fontId="0" fillId="0" borderId="0"/>
    <xf numFmtId="0" fontId="16" fillId="8" borderId="0" applyNumberFormat="0" applyBorder="0" applyAlignment="0" applyProtection="0"/>
    <xf numFmtId="0" fontId="8" fillId="14" borderId="0" applyNumberFormat="0" applyBorder="0" applyAlignment="0" applyProtection="0"/>
    <xf numFmtId="0" fontId="42" fillId="22" borderId="20" applyNumberFormat="0" applyAlignment="0" applyProtection="0">
      <alignment vertical="center"/>
    </xf>
    <xf numFmtId="0" fontId="45" fillId="27" borderId="0" applyNumberFormat="0" applyBorder="0" applyAlignment="0" applyProtection="0"/>
    <xf numFmtId="0" fontId="8" fillId="18" borderId="0" applyNumberFormat="0" applyBorder="0" applyAlignment="0" applyProtection="0"/>
    <xf numFmtId="0" fontId="8" fillId="12" borderId="0" applyNumberFormat="0" applyBorder="0" applyAlignment="0" applyProtection="0">
      <alignment vertical="center"/>
    </xf>
    <xf numFmtId="0" fontId="8" fillId="12" borderId="0" applyNumberFormat="0" applyBorder="0" applyAlignment="0" applyProtection="0"/>
    <xf numFmtId="0" fontId="8" fillId="18" borderId="0" applyNumberFormat="0" applyBorder="0" applyAlignment="0" applyProtection="0"/>
    <xf numFmtId="0" fontId="8" fillId="8" borderId="0" applyNumberFormat="0" applyBorder="0" applyAlignment="0" applyProtection="0">
      <alignment vertical="center"/>
    </xf>
    <xf numFmtId="0" fontId="8" fillId="26" borderId="21" applyNumberFormat="0" applyFont="0" applyAlignment="0" applyProtection="0"/>
    <xf numFmtId="0" fontId="8" fillId="19" borderId="0" applyNumberFormat="0" applyBorder="0" applyAlignment="0" applyProtection="0">
      <alignment vertical="center"/>
    </xf>
    <xf numFmtId="0" fontId="8" fillId="13" borderId="0" applyNumberFormat="0" applyBorder="0" applyAlignment="0" applyProtection="0"/>
    <xf numFmtId="0" fontId="8" fillId="17" borderId="0" applyNumberFormat="0" applyBorder="0" applyAlignment="0" applyProtection="0"/>
    <xf numFmtId="0" fontId="8" fillId="26" borderId="21" applyNumberFormat="0" applyFont="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xf numFmtId="0" fontId="14" fillId="0" borderId="3" applyNumberFormat="0" applyFill="0" applyAlignment="0" applyProtection="0"/>
    <xf numFmtId="0" fontId="8" fillId="18" borderId="0" applyNumberFormat="0" applyBorder="0" applyAlignment="0" applyProtection="0">
      <alignment vertical="center"/>
    </xf>
    <xf numFmtId="0" fontId="8" fillId="18" borderId="0" applyNumberFormat="0" applyBorder="0" applyAlignment="0" applyProtection="0"/>
    <xf numFmtId="0" fontId="8" fillId="16" borderId="0" applyNumberFormat="0" applyBorder="0" applyAlignment="0" applyProtection="0"/>
    <xf numFmtId="0" fontId="16" fillId="0" borderId="0"/>
    <xf numFmtId="0" fontId="8" fillId="15" borderId="0" applyNumberFormat="0" applyBorder="0" applyAlignment="0" applyProtection="0"/>
    <xf numFmtId="0" fontId="8" fillId="8" borderId="0" applyNumberFormat="0" applyBorder="0" applyAlignment="0" applyProtection="0"/>
    <xf numFmtId="0" fontId="16" fillId="18" borderId="0" applyNumberFormat="0" applyBorder="0" applyAlignment="0" applyProtection="0"/>
    <xf numFmtId="0" fontId="8" fillId="13" borderId="0" applyNumberFormat="0" applyBorder="0" applyAlignment="0" applyProtection="0">
      <alignment vertical="center"/>
    </xf>
    <xf numFmtId="0" fontId="50" fillId="22" borderId="24" applyNumberFormat="0" applyAlignment="0" applyProtection="0">
      <alignment vertical="center"/>
    </xf>
    <xf numFmtId="0" fontId="8"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xf numFmtId="0" fontId="52" fillId="40"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xf numFmtId="0" fontId="8" fillId="24" borderId="0" applyNumberFormat="0" applyBorder="0" applyAlignment="0" applyProtection="0"/>
    <xf numFmtId="0" fontId="16" fillId="12" borderId="0" applyNumberFormat="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xf numFmtId="0" fontId="16" fillId="16" borderId="0" applyNumberFormat="0" applyBorder="0" applyAlignment="0" applyProtection="0"/>
    <xf numFmtId="0" fontId="8" fillId="12" borderId="0" applyNumberFormat="0" applyBorder="0" applyAlignment="0" applyProtection="0"/>
    <xf numFmtId="0" fontId="47" fillId="28" borderId="0" applyNumberFormat="0" applyBorder="0" applyAlignment="0" applyProtection="0">
      <alignment vertical="center"/>
    </xf>
    <xf numFmtId="0" fontId="8" fillId="18" borderId="0" applyNumberFormat="0" applyBorder="0" applyAlignment="0" applyProtection="0"/>
    <xf numFmtId="0" fontId="53" fillId="0" borderId="0"/>
    <xf numFmtId="0" fontId="8" fillId="20" borderId="0" applyNumberFormat="0" applyBorder="0" applyAlignment="0" applyProtection="0">
      <alignment vertical="center"/>
    </xf>
    <xf numFmtId="0" fontId="8" fillId="20" borderId="0" applyNumberFormat="0" applyBorder="0" applyAlignment="0" applyProtection="0"/>
    <xf numFmtId="0" fontId="8" fillId="20" borderId="0" applyNumberFormat="0" applyBorder="0" applyAlignment="0" applyProtection="0">
      <alignment vertical="center"/>
    </xf>
    <xf numFmtId="0" fontId="8" fillId="20" borderId="0" applyNumberFormat="0" applyBorder="0" applyAlignment="0" applyProtection="0"/>
    <xf numFmtId="0" fontId="8" fillId="0" borderId="0"/>
    <xf numFmtId="0" fontId="16" fillId="20" borderId="0" applyNumberFormat="0" applyBorder="0" applyAlignment="0" applyProtection="0"/>
    <xf numFmtId="0" fontId="63" fillId="0" borderId="0"/>
    <xf numFmtId="0" fontId="47" fillId="31" borderId="0" applyNumberFormat="0" applyBorder="0" applyAlignment="0" applyProtection="0">
      <alignment vertical="center"/>
    </xf>
    <xf numFmtId="0" fontId="8" fillId="20" borderId="0" applyNumberFormat="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xf numFmtId="0" fontId="47" fillId="29" borderId="0" applyNumberFormat="0" applyBorder="0" applyAlignment="0" applyProtection="0">
      <alignment vertical="center"/>
    </xf>
    <xf numFmtId="0" fontId="8" fillId="8" borderId="0" applyNumberFormat="0" applyBorder="0" applyAlignment="0" applyProtection="0"/>
    <xf numFmtId="0" fontId="8" fillId="17" borderId="0" applyNumberFormat="0" applyBorder="0" applyAlignment="0" applyProtection="0">
      <alignment vertical="center"/>
    </xf>
    <xf numFmtId="0" fontId="8" fillId="17" borderId="0" applyNumberFormat="0" applyBorder="0" applyAlignment="0" applyProtection="0"/>
    <xf numFmtId="0" fontId="16" fillId="19" borderId="0" applyNumberFormat="0" applyBorder="0" applyAlignment="0" applyProtection="0"/>
    <xf numFmtId="0" fontId="8" fillId="17" borderId="0" applyNumberFormat="0" applyBorder="0" applyAlignment="0" applyProtection="0">
      <alignment vertical="center"/>
    </xf>
    <xf numFmtId="0" fontId="8" fillId="17" borderId="0" applyNumberFormat="0" applyBorder="0" applyAlignment="0" applyProtection="0"/>
    <xf numFmtId="0" fontId="16" fillId="17" borderId="0" applyNumberFormat="0" applyBorder="0" applyAlignment="0" applyProtection="0"/>
    <xf numFmtId="0" fontId="47" fillId="30" borderId="0" applyNumberFormat="0" applyBorder="0" applyAlignment="0" applyProtection="0">
      <alignment vertical="center"/>
    </xf>
    <xf numFmtId="0" fontId="8" fillId="17" borderId="0" applyNumberFormat="0" applyBorder="0" applyAlignment="0" applyProtection="0"/>
    <xf numFmtId="0" fontId="8" fillId="26" borderId="21" applyNumberFormat="0" applyFont="0" applyAlignment="0" applyProtection="0"/>
    <xf numFmtId="0" fontId="8" fillId="16"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0" borderId="0"/>
    <xf numFmtId="0" fontId="8" fillId="16" borderId="0" applyNumberFormat="0" applyBorder="0" applyAlignment="0" applyProtection="0"/>
    <xf numFmtId="0" fontId="8" fillId="19" borderId="0" applyNumberFormat="0" applyBorder="0" applyAlignment="0" applyProtection="0"/>
    <xf numFmtId="0" fontId="8" fillId="16" borderId="0" applyNumberFormat="0" applyBorder="0" applyAlignment="0" applyProtection="0">
      <alignment vertical="center"/>
    </xf>
    <xf numFmtId="0" fontId="8" fillId="12" borderId="0" applyNumberFormat="0" applyBorder="0" applyAlignment="0" applyProtection="0"/>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8"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0" borderId="0">
      <alignment vertical="center"/>
    </xf>
    <xf numFmtId="0" fontId="8" fillId="20" borderId="0" applyNumberFormat="0" applyBorder="0" applyAlignment="0" applyProtection="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8" borderId="0" applyNumberFormat="0" applyBorder="0" applyAlignment="0" applyProtection="0"/>
    <xf numFmtId="0" fontId="16" fillId="0" borderId="0"/>
    <xf numFmtId="0" fontId="8" fillId="8" borderId="0" applyNumberFormat="0" applyBorder="0" applyAlignment="0" applyProtection="0"/>
    <xf numFmtId="0" fontId="8" fillId="8" borderId="0" applyNumberFormat="0" applyBorder="0" applyAlignment="0" applyProtection="0">
      <alignment vertical="center"/>
    </xf>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0" borderId="0">
      <alignment vertical="center"/>
    </xf>
    <xf numFmtId="0" fontId="8" fillId="8"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1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16" fillId="2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16"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6"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16" fillId="15" borderId="0" applyNumberFormat="0" applyBorder="0" applyAlignment="0" applyProtection="0"/>
    <xf numFmtId="0" fontId="8" fillId="15"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16" fillId="0" borderId="0"/>
    <xf numFmtId="0" fontId="8" fillId="15" borderId="0" applyNumberFormat="0" applyBorder="0" applyAlignment="0" applyProtection="0"/>
    <xf numFmtId="0" fontId="54" fillId="0" borderId="0">
      <alignment vertical="center"/>
    </xf>
    <xf numFmtId="0" fontId="8" fillId="13" borderId="0" applyNumberFormat="0" applyBorder="0" applyAlignment="0" applyProtection="0">
      <alignment vertical="center"/>
    </xf>
    <xf numFmtId="0" fontId="8" fillId="23" borderId="0" applyNumberFormat="0" applyBorder="0" applyAlignment="0" applyProtection="0"/>
    <xf numFmtId="0" fontId="54" fillId="0" borderId="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0" borderId="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47" fillId="38" borderId="0" applyNumberFormat="0" applyBorder="0" applyAlignment="0" applyProtection="0">
      <alignment vertical="center"/>
    </xf>
    <xf numFmtId="0" fontId="47" fillId="41" borderId="0" applyNumberFormat="0" applyBorder="0" applyAlignment="0" applyProtection="0">
      <alignment vertical="center"/>
    </xf>
    <xf numFmtId="0" fontId="8" fillId="26" borderId="21" applyNumberFormat="0" applyFont="0" applyAlignment="0" applyProtection="0"/>
    <xf numFmtId="0" fontId="8" fillId="26" borderId="21" applyNumberFormat="0" applyFont="0" applyAlignment="0" applyProtection="0"/>
    <xf numFmtId="0" fontId="8" fillId="0" borderId="0"/>
    <xf numFmtId="0" fontId="8" fillId="0" borderId="0"/>
    <xf numFmtId="0" fontId="8" fillId="0" borderId="0"/>
    <xf numFmtId="0" fontId="16" fillId="0" borderId="0"/>
    <xf numFmtId="0" fontId="8" fillId="0" borderId="0"/>
    <xf numFmtId="0" fontId="16" fillId="0" borderId="0"/>
    <xf numFmtId="0" fontId="8" fillId="0" borderId="0"/>
    <xf numFmtId="0" fontId="8" fillId="0" borderId="0"/>
    <xf numFmtId="0" fontId="8" fillId="0" borderId="0"/>
    <xf numFmtId="0" fontId="8" fillId="0" borderId="0"/>
    <xf numFmtId="0" fontId="63" fillId="0" borderId="0"/>
    <xf numFmtId="0" fontId="8" fillId="0" borderId="0"/>
    <xf numFmtId="0" fontId="16" fillId="0" borderId="0"/>
    <xf numFmtId="0" fontId="16" fillId="0" borderId="0"/>
    <xf numFmtId="0" fontId="8" fillId="0" borderId="0"/>
    <xf numFmtId="0" fontId="8" fillId="0" borderId="0"/>
    <xf numFmtId="0" fontId="8" fillId="0" borderId="0"/>
    <xf numFmtId="0" fontId="8" fillId="0" borderId="0"/>
    <xf numFmtId="0" fontId="16" fillId="0" borderId="0"/>
    <xf numFmtId="0" fontId="55" fillId="0" borderId="0">
      <alignment vertical="center"/>
    </xf>
    <xf numFmtId="0" fontId="56" fillId="0" borderId="0">
      <alignment vertical="center"/>
    </xf>
    <xf numFmtId="0" fontId="40" fillId="0" borderId="19" applyNumberFormat="0" applyFill="0" applyAlignment="0" applyProtection="0">
      <alignment vertical="center"/>
    </xf>
    <xf numFmtId="0" fontId="39" fillId="0" borderId="18" applyNumberFormat="0" applyFill="0" applyAlignment="0" applyProtection="0">
      <alignment vertical="center"/>
    </xf>
    <xf numFmtId="0" fontId="49" fillId="0" borderId="23" applyNumberFormat="0" applyFill="0" applyAlignment="0" applyProtection="0">
      <alignment vertical="center"/>
    </xf>
    <xf numFmtId="0" fontId="4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3" fillId="25" borderId="0" applyNumberFormat="0" applyBorder="0" applyAlignment="0" applyProtection="0">
      <alignment vertical="center"/>
    </xf>
    <xf numFmtId="0" fontId="57" fillId="25" borderId="0" applyNumberFormat="0" applyBorder="0" applyAlignment="0" applyProtection="0"/>
    <xf numFmtId="0" fontId="20" fillId="0" borderId="0">
      <alignment vertical="center"/>
    </xf>
    <xf numFmtId="0" fontId="8" fillId="0" borderId="0">
      <alignment vertical="center"/>
    </xf>
    <xf numFmtId="0" fontId="8" fillId="0" borderId="0">
      <alignment vertical="center"/>
    </xf>
    <xf numFmtId="0" fontId="8" fillId="0" borderId="0">
      <alignment vertical="center"/>
    </xf>
    <xf numFmtId="0" fontId="48" fillId="27" borderId="0" applyNumberFormat="0" applyBorder="0" applyAlignment="0" applyProtection="0">
      <alignment vertical="center"/>
    </xf>
    <xf numFmtId="0" fontId="14" fillId="0" borderId="3" applyNumberFormat="0" applyFill="0" applyAlignment="0" applyProtection="0">
      <alignment vertical="center"/>
    </xf>
    <xf numFmtId="0" fontId="51" fillId="32" borderId="25" applyNumberFormat="0" applyAlignment="0" applyProtection="0">
      <alignment vertical="center"/>
    </xf>
    <xf numFmtId="0" fontId="3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22" applyNumberFormat="0" applyFill="0" applyAlignment="0" applyProtection="0">
      <alignment vertical="center"/>
    </xf>
    <xf numFmtId="0" fontId="47" fillId="36"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7" fillId="33" borderId="0" applyNumberFormat="0" applyBorder="0" applyAlignment="0" applyProtection="0">
      <alignment vertical="center"/>
    </xf>
    <xf numFmtId="0" fontId="47" fillId="37" borderId="0" applyNumberFormat="0" applyBorder="0" applyAlignment="0" applyProtection="0">
      <alignment vertical="center"/>
    </xf>
    <xf numFmtId="0" fontId="47" fillId="39" borderId="0" applyNumberFormat="0" applyBorder="0" applyAlignment="0" applyProtection="0">
      <alignment vertical="center"/>
    </xf>
    <xf numFmtId="0" fontId="41" fillId="21" borderId="20" applyNumberFormat="0" applyAlignment="0" applyProtection="0">
      <alignment vertical="center"/>
    </xf>
    <xf numFmtId="0" fontId="54" fillId="0" borderId="0">
      <alignment vertical="center"/>
    </xf>
    <xf numFmtId="0" fontId="54" fillId="0" borderId="0">
      <alignment vertical="center"/>
    </xf>
    <xf numFmtId="0" fontId="58" fillId="0" borderId="0">
      <alignment vertical="center"/>
    </xf>
    <xf numFmtId="0" fontId="8" fillId="26" borderId="21" applyNumberFormat="0" applyFont="0" applyAlignment="0" applyProtection="0">
      <alignment vertical="center"/>
    </xf>
    <xf numFmtId="0" fontId="8" fillId="26" borderId="21" applyNumberFormat="0" applyFont="0" applyAlignment="0" applyProtection="0">
      <alignment vertical="center"/>
    </xf>
    <xf numFmtId="0" fontId="8" fillId="26" borderId="21" applyNumberFormat="0" applyFont="0" applyAlignment="0" applyProtection="0">
      <alignment vertical="center"/>
    </xf>
    <xf numFmtId="0" fontId="1" fillId="43" borderId="0" applyNumberFormat="0" applyBorder="0" applyAlignment="0" applyProtection="0"/>
    <xf numFmtId="0" fontId="1" fillId="44" borderId="0" applyNumberFormat="0" applyBorder="0" applyAlignment="0" applyProtection="0"/>
  </cellStyleXfs>
  <cellXfs count="591">
    <xf numFmtId="0" fontId="0" fillId="0" borderId="0" xfId="0"/>
    <xf numFmtId="0" fontId="0" fillId="0" borderId="1"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Alignment="1">
      <alignment horizontal="center"/>
    </xf>
    <xf numFmtId="0" fontId="2" fillId="0" borderId="1" xfId="0" applyFont="1" applyFill="1" applyBorder="1" applyAlignment="1">
      <alignment vertical="center" wrapText="1"/>
    </xf>
    <xf numFmtId="0" fontId="0" fillId="2" borderId="0" xfId="0" applyFont="1" applyFill="1" applyBorder="1" applyAlignment="1">
      <alignment vertical="center" wrapText="1"/>
    </xf>
    <xf numFmtId="0" fontId="0" fillId="3" borderId="0" xfId="0" applyFont="1" applyFill="1" applyBorder="1" applyAlignment="1">
      <alignment vertical="center" wrapText="1"/>
    </xf>
    <xf numFmtId="0" fontId="4" fillId="3" borderId="0" xfId="0" applyFont="1" applyFill="1" applyBorder="1" applyAlignment="1">
      <alignment vertical="center" wrapText="1"/>
    </xf>
    <xf numFmtId="0" fontId="4" fillId="3"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4" borderId="0" xfId="0" applyFont="1" applyFill="1" applyBorder="1" applyAlignment="1">
      <alignment vertical="center" wrapText="1"/>
    </xf>
    <xf numFmtId="0" fontId="3" fillId="3" borderId="0" xfId="0" applyFont="1" applyFill="1" applyBorder="1" applyAlignment="1">
      <alignment vertical="center" wrapText="1"/>
    </xf>
    <xf numFmtId="0" fontId="3" fillId="3" borderId="0" xfId="0" applyFont="1" applyFill="1" applyBorder="1" applyAlignment="1">
      <alignment horizontal="center" vertical="center" wrapText="1"/>
    </xf>
    <xf numFmtId="0" fontId="5" fillId="0" borderId="0" xfId="0" applyFont="1" applyFill="1" applyBorder="1" applyAlignment="1">
      <alignment vertical="center" wrapText="1"/>
    </xf>
    <xf numFmtId="0" fontId="0" fillId="2" borderId="0" xfId="0" applyFont="1" applyFill="1" applyBorder="1" applyAlignment="1">
      <alignment horizontal="center" vertical="center" wrapText="1"/>
    </xf>
    <xf numFmtId="0" fontId="0" fillId="0" borderId="0" xfId="0" applyFill="1" applyBorder="1" applyAlignment="1">
      <alignment vertical="center" wrapText="1"/>
    </xf>
    <xf numFmtId="0" fontId="0" fillId="5" borderId="0" xfId="0" applyFont="1" applyFill="1" applyBorder="1" applyAlignment="1">
      <alignment vertical="center" wrapText="1"/>
    </xf>
    <xf numFmtId="0" fontId="0" fillId="3"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179" fontId="0" fillId="0" borderId="0" xfId="0" applyNumberFormat="1" applyFont="1" applyFill="1" applyBorder="1" applyAlignment="1">
      <alignment vertical="center" wrapText="1"/>
    </xf>
    <xf numFmtId="0" fontId="0" fillId="0" borderId="1" xfId="0" applyFill="1" applyBorder="1" applyAlignment="1">
      <alignment vertical="center" wrapText="1"/>
    </xf>
    <xf numFmtId="0" fontId="5" fillId="5" borderId="0"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2" borderId="2" xfId="0" applyFont="1" applyFill="1" applyBorder="1" applyAlignment="1">
      <alignment vertical="center" wrapText="1"/>
    </xf>
    <xf numFmtId="0" fontId="0" fillId="6" borderId="0" xfId="0" applyFont="1" applyFill="1" applyBorder="1" applyAlignment="1">
      <alignment vertical="center" wrapText="1"/>
    </xf>
    <xf numFmtId="0" fontId="0" fillId="0" borderId="0" xfId="0" applyFont="1" applyFill="1"/>
    <xf numFmtId="0" fontId="0" fillId="0" borderId="0" xfId="0" applyFont="1" applyAlignment="1">
      <alignment wrapText="1"/>
    </xf>
    <xf numFmtId="0" fontId="0" fillId="0" borderId="0" xfId="0" applyFont="1"/>
    <xf numFmtId="0" fontId="0" fillId="0" borderId="0" xfId="0" applyFont="1" applyAlignment="1">
      <alignment horizontal="center"/>
    </xf>
    <xf numFmtId="0" fontId="0" fillId="0" borderId="0" xfId="0" applyFont="1" applyAlignment="1">
      <alignment horizontal="left"/>
    </xf>
    <xf numFmtId="0" fontId="9" fillId="0" borderId="0" xfId="0" applyFont="1" applyAlignment="1">
      <alignment horizontal="center"/>
    </xf>
    <xf numFmtId="0" fontId="9" fillId="0" borderId="3" xfId="17" applyFont="1" applyAlignment="1">
      <alignment horizontal="center"/>
    </xf>
    <xf numFmtId="0" fontId="9" fillId="0" borderId="3" xfId="17" applyFont="1" applyAlignment="1">
      <alignment horizontal="left"/>
    </xf>
    <xf numFmtId="0" fontId="10" fillId="0" borderId="0" xfId="23" applyFont="1" applyFill="1" applyAlignment="1">
      <alignment horizontal="center"/>
    </xf>
    <xf numFmtId="0" fontId="10" fillId="0" borderId="0" xfId="23" applyFont="1" applyFill="1" applyAlignment="1">
      <alignment horizontal="left"/>
    </xf>
    <xf numFmtId="0" fontId="0" fillId="0" borderId="0" xfId="0" applyFont="1" applyFill="1" applyBorder="1" applyAlignment="1">
      <alignment horizont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Alignment="1">
      <alignment horizontal="center"/>
    </xf>
    <xf numFmtId="0" fontId="5" fillId="0" borderId="0" xfId="0" applyFont="1" applyBorder="1" applyAlignment="1">
      <alignment horizontal="center"/>
    </xf>
    <xf numFmtId="0" fontId="0" fillId="0" borderId="0" xfId="0" applyFont="1" applyBorder="1" applyAlignment="1">
      <alignment horizontal="left"/>
    </xf>
    <xf numFmtId="0" fontId="0" fillId="0" borderId="0" xfId="0" applyFont="1" applyBorder="1" applyAlignment="1">
      <alignment horizontal="center"/>
    </xf>
    <xf numFmtId="0" fontId="0" fillId="0" borderId="0" xfId="0" applyFont="1" applyBorder="1"/>
    <xf numFmtId="0" fontId="0" fillId="0" borderId="0" xfId="23" applyFont="1" applyFill="1" applyAlignment="1">
      <alignment horizontal="center"/>
    </xf>
    <xf numFmtId="0" fontId="0" fillId="0" borderId="0" xfId="23" applyFont="1" applyFill="1" applyAlignment="1">
      <alignment horizontal="left"/>
    </xf>
    <xf numFmtId="0" fontId="0" fillId="0" borderId="0" xfId="0" applyFont="1" applyFill="1" applyAlignment="1">
      <alignment horizontal="left"/>
    </xf>
    <xf numFmtId="0" fontId="10" fillId="0" borderId="0" xfId="96" applyFont="1" applyFill="1" applyAlignment="1">
      <alignment horizontal="center"/>
    </xf>
    <xf numFmtId="0" fontId="0" fillId="0" borderId="0" xfId="96" applyFont="1" applyFill="1" applyAlignment="1">
      <alignment horizontal="left"/>
    </xf>
    <xf numFmtId="0" fontId="0" fillId="0" borderId="0" xfId="96" applyFont="1" applyFill="1" applyAlignment="1">
      <alignment horizontal="center"/>
    </xf>
    <xf numFmtId="0" fontId="5" fillId="0" borderId="0" xfId="0" applyFont="1" applyAlignment="1">
      <alignment horizontal="center"/>
    </xf>
    <xf numFmtId="0" fontId="9" fillId="0" borderId="0" xfId="0" applyFont="1"/>
    <xf numFmtId="0" fontId="10" fillId="8" borderId="0" xfId="23" applyFont="1" applyAlignment="1">
      <alignment horizontal="center"/>
    </xf>
    <xf numFmtId="0" fontId="9" fillId="0" borderId="3" xfId="17" applyFont="1" applyAlignment="1">
      <alignment horizontal="center" wrapText="1"/>
    </xf>
    <xf numFmtId="0" fontId="9" fillId="9" borderId="3" xfId="17" applyFont="1" applyFill="1" applyAlignment="1">
      <alignment horizontal="center" wrapText="1"/>
    </xf>
    <xf numFmtId="177" fontId="10" fillId="0" borderId="0" xfId="23" applyNumberFormat="1" applyFont="1" applyFill="1" applyAlignment="1">
      <alignment horizontal="center"/>
    </xf>
    <xf numFmtId="2" fontId="0" fillId="0" borderId="0" xfId="0" applyNumberFormat="1" applyFont="1" applyFill="1" applyBorder="1" applyAlignment="1">
      <alignment horizontal="center"/>
    </xf>
    <xf numFmtId="176" fontId="0" fillId="0" borderId="0" xfId="0" applyNumberFormat="1" applyFont="1" applyFill="1" applyBorder="1" applyAlignment="1">
      <alignment horizontal="center"/>
    </xf>
    <xf numFmtId="179" fontId="0" fillId="0" borderId="0" xfId="0" applyNumberFormat="1" applyFont="1" applyFill="1" applyBorder="1" applyAlignment="1">
      <alignment horizontal="center"/>
    </xf>
    <xf numFmtId="176" fontId="0" fillId="0" borderId="0" xfId="0" applyNumberFormat="1" applyFont="1" applyFill="1" applyAlignment="1">
      <alignment horizontal="center"/>
    </xf>
    <xf numFmtId="0" fontId="10" fillId="0" borderId="0" xfId="92" applyFont="1" applyFill="1" applyAlignment="1">
      <alignment horizontal="center"/>
    </xf>
    <xf numFmtId="177" fontId="10" fillId="0" borderId="0" xfId="92" applyNumberFormat="1" applyFont="1" applyFill="1" applyAlignment="1">
      <alignment horizontal="center"/>
    </xf>
    <xf numFmtId="179" fontId="9" fillId="9" borderId="3" xfId="17" applyNumberFormat="1" applyFont="1" applyFill="1" applyAlignment="1">
      <alignment horizontal="center" wrapText="1"/>
    </xf>
    <xf numFmtId="179" fontId="9" fillId="2" borderId="3" xfId="17" applyNumberFormat="1" applyFont="1" applyFill="1" applyAlignment="1">
      <alignment horizontal="center" wrapText="1"/>
    </xf>
    <xf numFmtId="177" fontId="10" fillId="0" borderId="0" xfId="101" applyNumberFormat="1" applyFont="1" applyFill="1" applyAlignment="1">
      <alignment horizontal="center"/>
    </xf>
    <xf numFmtId="179" fontId="0" fillId="0" borderId="0" xfId="0" applyNumberFormat="1" applyFont="1" applyAlignment="1">
      <alignment horizontal="center"/>
    </xf>
    <xf numFmtId="176" fontId="0" fillId="0" borderId="0" xfId="0" applyNumberFormat="1" applyFont="1" applyFill="1" applyAlignment="1"/>
    <xf numFmtId="176" fontId="0" fillId="0" borderId="0" xfId="0" applyNumberFormat="1" applyFont="1" applyFill="1" applyAlignment="1">
      <alignment horizontal="right"/>
    </xf>
    <xf numFmtId="0" fontId="0" fillId="0" borderId="0" xfId="0" applyFont="1" applyAlignme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11" fillId="0" borderId="0" xfId="0" applyFont="1" applyBorder="1" applyAlignment="1">
      <alignment horizontal="center" vertical="center"/>
    </xf>
    <xf numFmtId="0" fontId="2" fillId="0" borderId="0" xfId="0" applyFont="1" applyAlignment="1">
      <alignment horizontal="left"/>
    </xf>
    <xf numFmtId="176" fontId="0" fillId="0" borderId="0" xfId="0" applyNumberFormat="1" applyFont="1" applyBorder="1" applyAlignment="1">
      <alignment horizontal="center"/>
    </xf>
    <xf numFmtId="177" fontId="0" fillId="0" borderId="0" xfId="0" applyNumberFormat="1" applyFont="1" applyFill="1" applyAlignment="1">
      <alignment horizontal="center"/>
    </xf>
    <xf numFmtId="0" fontId="0" fillId="0" borderId="0" xfId="0" applyFont="1" applyFill="1" applyAlignment="1">
      <alignment horizontal="right"/>
    </xf>
    <xf numFmtId="0" fontId="0" fillId="0" borderId="0" xfId="0" applyFont="1" applyFill="1" applyAlignment="1"/>
    <xf numFmtId="179" fontId="0" fillId="0" borderId="0" xfId="0" applyNumberFormat="1" applyFont="1" applyBorder="1" applyAlignment="1">
      <alignment horizontal="center"/>
    </xf>
    <xf numFmtId="177" fontId="0" fillId="0" borderId="0" xfId="0" applyNumberFormat="1" applyFont="1" applyFill="1" applyAlignment="1"/>
    <xf numFmtId="179" fontId="0" fillId="0" borderId="0" xfId="0" applyNumberFormat="1" applyAlignment="1">
      <alignment horizontal="center"/>
    </xf>
    <xf numFmtId="179" fontId="0" fillId="0" borderId="0" xfId="0" applyNumberFormat="1" applyFont="1" applyAlignment="1">
      <alignment horizontal="center"/>
    </xf>
    <xf numFmtId="0" fontId="5" fillId="0" borderId="0" xfId="0" applyFont="1" applyFill="1" applyAlignment="1">
      <alignment horizontal="center"/>
    </xf>
    <xf numFmtId="0" fontId="5" fillId="0" borderId="0" xfId="0" applyFont="1" applyFill="1"/>
    <xf numFmtId="0" fontId="5" fillId="0" borderId="0" xfId="0" applyFont="1"/>
    <xf numFmtId="0" fontId="9" fillId="0" borderId="0" xfId="0" applyFont="1" applyAlignment="1">
      <alignment horizontal="left"/>
    </xf>
    <xf numFmtId="0" fontId="5" fillId="0" borderId="0" xfId="0" applyFont="1" applyFill="1" applyBorder="1" applyAlignment="1">
      <alignment horizontal="center"/>
    </xf>
    <xf numFmtId="0" fontId="0" fillId="0" borderId="0" xfId="0" applyFill="1" applyBorder="1" applyAlignment="1">
      <alignment horizontal="left"/>
    </xf>
    <xf numFmtId="0" fontId="0" fillId="0" borderId="0" xfId="0" applyFill="1" applyBorder="1" applyAlignment="1">
      <alignment horizontal="center"/>
    </xf>
    <xf numFmtId="0" fontId="12" fillId="0" borderId="0" xfId="96" applyFont="1" applyFill="1" applyAlignment="1">
      <alignment horizontal="center"/>
    </xf>
    <xf numFmtId="0" fontId="0" fillId="0" borderId="0" xfId="96" applyFont="1" applyFill="1" applyAlignment="1">
      <alignment horizontal="left" wrapText="1"/>
    </xf>
    <xf numFmtId="177" fontId="5" fillId="0" borderId="0" xfId="0" applyNumberFormat="1" applyFont="1" applyFill="1" applyAlignment="1">
      <alignment horizontal="center"/>
    </xf>
    <xf numFmtId="0" fontId="0" fillId="0" borderId="0" xfId="0" applyFill="1" applyAlignment="1">
      <alignment horizontal="center"/>
    </xf>
    <xf numFmtId="176" fontId="5" fillId="0" borderId="0" xfId="0" applyNumberFormat="1" applyFont="1" applyFill="1" applyAlignment="1">
      <alignment horizontal="right"/>
    </xf>
    <xf numFmtId="179" fontId="5" fillId="0" borderId="0" xfId="0" applyNumberFormat="1" applyFont="1" applyAlignment="1">
      <alignment horizontal="center"/>
    </xf>
    <xf numFmtId="0" fontId="12" fillId="0" borderId="0" xfId="23" applyFont="1" applyFill="1" applyAlignment="1">
      <alignment horizontal="center"/>
    </xf>
    <xf numFmtId="0" fontId="13" fillId="0" borderId="0" xfId="0" applyFont="1" applyAlignment="1">
      <alignment horizontal="center"/>
    </xf>
    <xf numFmtId="0" fontId="0" fillId="0" borderId="0" xfId="0" applyAlignment="1">
      <alignment horizontal="left"/>
    </xf>
    <xf numFmtId="0" fontId="14" fillId="0" borderId="3" xfId="17" applyAlignment="1">
      <alignment horizontal="center"/>
    </xf>
    <xf numFmtId="0" fontId="14" fillId="0" borderId="3" xfId="17" applyAlignment="1">
      <alignment horizontal="left"/>
    </xf>
    <xf numFmtId="0" fontId="14" fillId="0" borderId="3" xfId="17" applyAlignment="1">
      <alignment horizontal="center" wrapText="1"/>
    </xf>
    <xf numFmtId="0" fontId="14" fillId="10" borderId="3" xfId="17" applyFill="1" applyAlignment="1">
      <alignment horizontal="center" wrapText="1"/>
    </xf>
    <xf numFmtId="179" fontId="14" fillId="10" borderId="3" xfId="17" applyNumberFormat="1" applyFill="1" applyAlignment="1">
      <alignment horizontal="center" wrapText="1"/>
    </xf>
    <xf numFmtId="179" fontId="14" fillId="2" borderId="3" xfId="17" applyNumberFormat="1" applyFill="1" applyAlignment="1">
      <alignment horizontal="center" wrapText="1"/>
    </xf>
    <xf numFmtId="0" fontId="0" fillId="0" borderId="0" xfId="0" applyFill="1"/>
    <xf numFmtId="0" fontId="2" fillId="0" borderId="0" xfId="0" applyFont="1" applyFill="1"/>
    <xf numFmtId="0" fontId="14" fillId="0" borderId="0" xfId="0" applyFont="1"/>
    <xf numFmtId="10" fontId="0" fillId="0" borderId="0" xfId="0" applyNumberFormat="1" applyAlignment="1">
      <alignment horizontal="center"/>
    </xf>
    <xf numFmtId="0" fontId="7" fillId="0" borderId="0" xfId="101" applyFont="1" applyFill="1" applyAlignment="1">
      <alignment horizontal="center"/>
    </xf>
    <xf numFmtId="0" fontId="0" fillId="0" borderId="0" xfId="101" applyFont="1" applyFill="1" applyAlignment="1">
      <alignment horizontal="center"/>
    </xf>
    <xf numFmtId="0" fontId="7" fillId="0" borderId="0" xfId="13" applyFont="1" applyFill="1" applyAlignment="1">
      <alignment horizontal="center"/>
    </xf>
    <xf numFmtId="0" fontId="0" fillId="0" borderId="0" xfId="13" applyFont="1" applyFill="1" applyAlignment="1">
      <alignment horizontal="center"/>
    </xf>
    <xf numFmtId="0" fontId="0" fillId="0" borderId="0" xfId="0" applyAlignment="1">
      <alignment horizontal="center" vertical="center"/>
    </xf>
    <xf numFmtId="0" fontId="16" fillId="0" borderId="0" xfId="96" applyFont="1" applyFill="1" applyAlignment="1">
      <alignment horizontal="center"/>
    </xf>
    <xf numFmtId="0" fontId="2" fillId="0" borderId="0" xfId="0" applyFont="1" applyFill="1" applyAlignment="1">
      <alignment horizontal="center"/>
    </xf>
    <xf numFmtId="0" fontId="0" fillId="0" borderId="0" xfId="0" applyFill="1" applyAlignment="1">
      <alignment horizontal="center" wrapText="1"/>
    </xf>
    <xf numFmtId="0" fontId="14" fillId="9" borderId="3" xfId="17" applyFill="1" applyAlignment="1">
      <alignment horizontal="center" wrapText="1"/>
    </xf>
    <xf numFmtId="179" fontId="7" fillId="0" borderId="0" xfId="101" applyNumberFormat="1" applyFont="1" applyFill="1" applyAlignment="1">
      <alignment horizontal="center"/>
    </xf>
    <xf numFmtId="179" fontId="0" fillId="0" borderId="0" xfId="0" applyNumberFormat="1" applyFont="1" applyFill="1" applyAlignment="1">
      <alignment horizontal="center"/>
    </xf>
    <xf numFmtId="0" fontId="7" fillId="0" borderId="0" xfId="96" applyFont="1" applyFill="1" applyAlignment="1">
      <alignment horizontal="center"/>
    </xf>
    <xf numFmtId="179" fontId="7" fillId="0" borderId="0" xfId="13" applyNumberFormat="1" applyFont="1" applyFill="1" applyAlignment="1">
      <alignment horizontal="center"/>
    </xf>
    <xf numFmtId="0" fontId="7" fillId="0" borderId="0" xfId="97" applyFont="1" applyFill="1" applyAlignment="1">
      <alignment horizontal="center"/>
    </xf>
    <xf numFmtId="0" fontId="8" fillId="0" borderId="0" xfId="101" applyFill="1" applyAlignment="1">
      <alignment horizontal="center"/>
    </xf>
    <xf numFmtId="179" fontId="0" fillId="0" borderId="0" xfId="0" applyNumberFormat="1" applyFill="1" applyAlignment="1">
      <alignment horizontal="center"/>
    </xf>
    <xf numFmtId="0" fontId="0" fillId="0" borderId="0" xfId="102" applyFont="1" applyFill="1" applyAlignment="1">
      <alignment horizontal="center"/>
    </xf>
    <xf numFmtId="177" fontId="0" fillId="0" borderId="0" xfId="96" applyNumberFormat="1" applyFont="1" applyFill="1" applyAlignment="1">
      <alignment horizontal="center"/>
    </xf>
    <xf numFmtId="0" fontId="16" fillId="0" borderId="0" xfId="97" applyFont="1" applyFill="1" applyAlignment="1">
      <alignment horizontal="center"/>
    </xf>
    <xf numFmtId="179" fontId="14" fillId="9" borderId="3" xfId="17" applyNumberFormat="1" applyFill="1" applyAlignment="1">
      <alignment horizontal="center" wrapText="1"/>
    </xf>
    <xf numFmtId="180" fontId="0" fillId="0" borderId="0" xfId="0" applyNumberFormat="1" applyAlignment="1">
      <alignment horizontal="center"/>
    </xf>
    <xf numFmtId="179" fontId="8" fillId="0" borderId="0" xfId="101" applyNumberFormat="1" applyFill="1" applyAlignment="1">
      <alignment horizontal="center"/>
    </xf>
    <xf numFmtId="0" fontId="0" fillId="0" borderId="0" xfId="101" applyFont="1" applyFill="1" applyAlignment="1">
      <alignment horizontal="left"/>
    </xf>
    <xf numFmtId="0" fontId="7" fillId="0" borderId="0" xfId="94" applyFont="1" applyFill="1" applyAlignment="1">
      <alignment horizontal="center"/>
    </xf>
    <xf numFmtId="0" fontId="6" fillId="0" borderId="0" xfId="0" applyFont="1" applyFill="1" applyAlignment="1">
      <alignment horizontal="center"/>
    </xf>
    <xf numFmtId="0" fontId="2" fillId="0" borderId="0" xfId="0" applyFont="1"/>
    <xf numFmtId="0" fontId="0" fillId="0" borderId="0" xfId="0" applyFill="1" applyAlignment="1">
      <alignment horizontal="left"/>
    </xf>
    <xf numFmtId="0" fontId="0" fillId="0" borderId="0" xfId="46" applyFont="1" applyFill="1" applyAlignment="1">
      <alignment horizontal="center"/>
    </xf>
    <xf numFmtId="0" fontId="5" fillId="0" borderId="0" xfId="101" applyFont="1" applyFill="1" applyAlignment="1">
      <alignment horizontal="center"/>
    </xf>
    <xf numFmtId="0" fontId="14" fillId="0" borderId="0" xfId="0" applyFont="1" applyAlignment="1">
      <alignment wrapText="1"/>
    </xf>
    <xf numFmtId="9" fontId="0" fillId="0" borderId="0" xfId="0" applyNumberFormat="1" applyAlignment="1">
      <alignment horizontal="center"/>
    </xf>
    <xf numFmtId="0" fontId="14" fillId="0" borderId="4" xfId="17" applyBorder="1" applyAlignment="1">
      <alignment horizontal="center"/>
    </xf>
    <xf numFmtId="0" fontId="0" fillId="0" borderId="0" xfId="0" applyAlignment="1">
      <alignment horizontal="center" wrapText="1"/>
    </xf>
    <xf numFmtId="0" fontId="17" fillId="0" borderId="0" xfId="0" applyFont="1" applyBorder="1" applyAlignment="1">
      <alignment horizontal="center" vertical="center"/>
    </xf>
    <xf numFmtId="0" fontId="0" fillId="0" borderId="0" xfId="0" applyBorder="1" applyAlignment="1">
      <alignment horizontal="center"/>
    </xf>
    <xf numFmtId="0" fontId="6" fillId="0" borderId="0" xfId="0" applyFont="1" applyFill="1"/>
    <xf numFmtId="0" fontId="7" fillId="0" borderId="0" xfId="0" applyFont="1" applyFill="1" applyAlignment="1">
      <alignment horizontal="center"/>
    </xf>
    <xf numFmtId="181" fontId="0" fillId="0" borderId="0" xfId="0" applyNumberFormat="1" applyFill="1" applyAlignment="1">
      <alignment horizontal="center"/>
    </xf>
    <xf numFmtId="0" fontId="14" fillId="0" borderId="4" xfId="17" applyBorder="1" applyAlignment="1">
      <alignment horizontal="center" wrapText="1"/>
    </xf>
    <xf numFmtId="0" fontId="0" fillId="0" borderId="0" xfId="0" applyBorder="1"/>
    <xf numFmtId="0" fontId="18" fillId="0" borderId="0" xfId="0" applyFont="1" applyBorder="1" applyAlignment="1">
      <alignment horizontal="center" vertical="center"/>
    </xf>
    <xf numFmtId="177" fontId="7" fillId="0" borderId="0" xfId="101" applyNumberFormat="1" applyFont="1" applyFill="1" applyAlignment="1">
      <alignment horizontal="center"/>
    </xf>
    <xf numFmtId="181" fontId="0" fillId="0" borderId="0" xfId="0" applyNumberFormat="1" applyFont="1" applyFill="1" applyAlignment="1">
      <alignment horizontal="center"/>
    </xf>
    <xf numFmtId="181" fontId="0" fillId="0" borderId="0" xfId="0" applyNumberFormat="1" applyAlignment="1">
      <alignment horizontal="center"/>
    </xf>
    <xf numFmtId="181" fontId="14" fillId="9" borderId="3" xfId="17" applyNumberFormat="1" applyFill="1" applyAlignment="1">
      <alignment horizontal="center" wrapText="1"/>
    </xf>
    <xf numFmtId="176" fontId="0" fillId="0" borderId="0" xfId="0" applyNumberFormat="1" applyAlignment="1">
      <alignment horizontal="center"/>
    </xf>
    <xf numFmtId="176" fontId="0" fillId="0" borderId="0" xfId="0" applyNumberFormat="1" applyFill="1" applyAlignment="1">
      <alignment horizontal="center"/>
    </xf>
    <xf numFmtId="176" fontId="0" fillId="0" borderId="0" xfId="0" applyNumberFormat="1" applyFill="1" applyAlignment="1"/>
    <xf numFmtId="177" fontId="7" fillId="0" borderId="0" xfId="0" applyNumberFormat="1" applyFont="1" applyFill="1" applyAlignment="1">
      <alignment horizontal="center"/>
    </xf>
    <xf numFmtId="0" fontId="7" fillId="0" borderId="0" xfId="0" applyFont="1" applyAlignment="1">
      <alignment horizontal="center"/>
    </xf>
    <xf numFmtId="0" fontId="0" fillId="0" borderId="0" xfId="17" applyFont="1" applyBorder="1" applyAlignment="1">
      <alignment horizontal="center" wrapText="1"/>
    </xf>
    <xf numFmtId="0" fontId="0" fillId="0" borderId="0" xfId="97" applyFont="1" applyFill="1" applyAlignment="1">
      <alignment horizontal="center" wrapText="1"/>
    </xf>
    <xf numFmtId="0" fontId="0" fillId="0" borderId="0" xfId="97" applyFont="1" applyFill="1" applyAlignment="1">
      <alignment horizontal="center"/>
    </xf>
    <xf numFmtId="0" fontId="13" fillId="0" borderId="0" xfId="0" applyFont="1"/>
    <xf numFmtId="177" fontId="0" fillId="0" borderId="0" xfId="97" applyNumberFormat="1" applyFont="1" applyFill="1" applyAlignment="1">
      <alignment horizontal="center"/>
    </xf>
    <xf numFmtId="0" fontId="19" fillId="0" borderId="0" xfId="0" applyFont="1"/>
    <xf numFmtId="179" fontId="0" fillId="0" borderId="0" xfId="0" applyNumberFormat="1"/>
    <xf numFmtId="0" fontId="20" fillId="0" borderId="0" xfId="195">
      <alignment vertical="center"/>
    </xf>
    <xf numFmtId="0" fontId="21" fillId="0" borderId="0" xfId="195" applyFont="1">
      <alignment vertical="center"/>
    </xf>
    <xf numFmtId="0" fontId="22" fillId="11" borderId="0" xfId="0" applyFont="1" applyFill="1" applyBorder="1" applyAlignment="1">
      <alignment horizontal="center" wrapText="1"/>
    </xf>
    <xf numFmtId="0" fontId="22" fillId="11" borderId="5" xfId="0" applyFont="1" applyFill="1" applyBorder="1" applyAlignment="1">
      <alignment horizontal="center" wrapText="1"/>
    </xf>
    <xf numFmtId="0" fontId="23" fillId="0" borderId="0" xfId="195" applyFont="1" applyAlignment="1">
      <alignment vertical="center" wrapText="1"/>
    </xf>
    <xf numFmtId="0" fontId="21" fillId="11" borderId="6" xfId="0" applyFont="1" applyFill="1" applyBorder="1" applyAlignment="1">
      <alignment horizontal="center" wrapText="1"/>
    </xf>
    <xf numFmtId="0" fontId="21" fillId="4" borderId="6" xfId="195" applyFont="1" applyFill="1" applyBorder="1" applyAlignment="1">
      <alignment horizontal="center" vertical="center"/>
    </xf>
    <xf numFmtId="0" fontId="21" fillId="11" borderId="0" xfId="0" applyFont="1" applyFill="1" applyBorder="1" applyAlignment="1">
      <alignment horizontal="center" wrapText="1"/>
    </xf>
    <xf numFmtId="0" fontId="24" fillId="4" borderId="6" xfId="195" applyFont="1" applyFill="1" applyBorder="1" applyAlignment="1">
      <alignment horizontal="center" vertical="center"/>
    </xf>
    <xf numFmtId="0" fontId="21" fillId="0" borderId="8" xfId="195" applyFont="1" applyFill="1" applyBorder="1" applyAlignment="1">
      <alignment vertical="center" wrapText="1"/>
    </xf>
    <xf numFmtId="0" fontId="0" fillId="0" borderId="6" xfId="0" applyBorder="1" applyAlignment="1">
      <alignment horizontal="justify" vertical="center" wrapText="1"/>
    </xf>
    <xf numFmtId="0" fontId="21" fillId="0" borderId="6" xfId="195" applyFont="1" applyBorder="1" applyAlignment="1">
      <alignment vertical="center" wrapText="1"/>
    </xf>
    <xf numFmtId="0" fontId="21" fillId="0" borderId="6" xfId="195" applyFont="1" applyFill="1" applyBorder="1" applyAlignment="1">
      <alignment vertical="center" wrapText="1"/>
    </xf>
    <xf numFmtId="0" fontId="21" fillId="0" borderId="6" xfId="195" applyFont="1" applyBorder="1">
      <alignment vertical="center"/>
    </xf>
    <xf numFmtId="0" fontId="21" fillId="0" borderId="6" xfId="195" applyFont="1" applyFill="1" applyBorder="1" applyAlignment="1">
      <alignment horizontal="left" vertical="center" wrapText="1"/>
    </xf>
    <xf numFmtId="0" fontId="20" fillId="0" borderId="6" xfId="195" applyBorder="1">
      <alignment vertical="center"/>
    </xf>
    <xf numFmtId="0" fontId="21" fillId="0" borderId="8" xfId="0" applyFont="1" applyFill="1" applyBorder="1" applyAlignment="1">
      <alignment wrapText="1"/>
    </xf>
    <xf numFmtId="0" fontId="21" fillId="0" borderId="6" xfId="0" applyFont="1" applyFill="1" applyBorder="1" applyAlignment="1">
      <alignment wrapText="1"/>
    </xf>
    <xf numFmtId="0" fontId="22" fillId="0" borderId="8" xfId="0" applyFont="1" applyFill="1" applyBorder="1" applyAlignment="1">
      <alignment horizontal="left" wrapText="1"/>
    </xf>
    <xf numFmtId="0" fontId="20" fillId="0" borderId="0" xfId="195" applyFill="1">
      <alignment vertical="center"/>
    </xf>
    <xf numFmtId="0" fontId="22" fillId="0" borderId="8" xfId="0" applyFont="1" applyFill="1" applyBorder="1" applyAlignment="1">
      <alignment horizontal="center" wrapText="1"/>
    </xf>
    <xf numFmtId="0" fontId="21" fillId="0" borderId="6" xfId="0" applyFont="1" applyFill="1" applyBorder="1" applyAlignment="1">
      <alignment horizontal="center" wrapText="1"/>
    </xf>
    <xf numFmtId="0" fontId="21" fillId="0" borderId="8" xfId="0" applyFont="1" applyFill="1" applyBorder="1" applyAlignment="1">
      <alignment vertical="top" wrapText="1"/>
    </xf>
    <xf numFmtId="0" fontId="21" fillId="0" borderId="6" xfId="0" applyFont="1" applyFill="1" applyBorder="1" applyAlignment="1">
      <alignment vertical="top" wrapText="1"/>
    </xf>
    <xf numFmtId="0" fontId="21" fillId="0" borderId="6" xfId="0" applyFont="1" applyFill="1" applyBorder="1" applyAlignment="1">
      <alignment horizontal="center" vertical="top" wrapText="1"/>
    </xf>
    <xf numFmtId="0" fontId="25" fillId="0" borderId="6" xfId="0" applyFont="1" applyFill="1" applyBorder="1" applyAlignment="1">
      <alignment horizontal="center" wrapText="1"/>
    </xf>
    <xf numFmtId="0" fontId="26" fillId="0" borderId="6" xfId="0" applyFont="1" applyFill="1" applyBorder="1" applyAlignment="1">
      <alignment wrapText="1"/>
    </xf>
    <xf numFmtId="0" fontId="27" fillId="0" borderId="6" xfId="0" applyFont="1" applyFill="1" applyBorder="1" applyAlignment="1">
      <alignment horizontal="center" wrapText="1"/>
    </xf>
    <xf numFmtId="0" fontId="21" fillId="6" borderId="6" xfId="195" applyFont="1" applyFill="1" applyBorder="1">
      <alignment vertical="center"/>
    </xf>
    <xf numFmtId="0" fontId="21" fillId="4" borderId="6" xfId="195" applyFont="1" applyFill="1" applyBorder="1">
      <alignment vertical="center"/>
    </xf>
    <xf numFmtId="0" fontId="28" fillId="4" borderId="6" xfId="195" applyFont="1" applyFill="1" applyBorder="1">
      <alignment vertical="center"/>
    </xf>
    <xf numFmtId="0" fontId="24" fillId="4" borderId="6" xfId="195" applyFont="1" applyFill="1" applyBorder="1">
      <alignment vertical="center"/>
    </xf>
    <xf numFmtId="0" fontId="21"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24" fillId="0" borderId="6" xfId="195" applyFont="1" applyBorder="1" applyAlignment="1">
      <alignment vertical="center" wrapText="1"/>
    </xf>
    <xf numFmtId="0" fontId="0" fillId="0" borderId="6" xfId="0" applyFont="1" applyBorder="1" applyAlignment="1">
      <alignment horizontal="justify" vertical="center" wrapText="1"/>
    </xf>
    <xf numFmtId="0" fontId="0" fillId="0" borderId="7" xfId="170" applyFont="1" applyFill="1" applyBorder="1" applyAlignment="1">
      <alignment horizontal="justify" vertical="center" wrapText="1"/>
    </xf>
    <xf numFmtId="0" fontId="29" fillId="0" borderId="6" xfId="195" applyFont="1" applyBorder="1" applyAlignment="1">
      <alignment vertical="center" wrapText="1"/>
    </xf>
    <xf numFmtId="0" fontId="24" fillId="0" borderId="6" xfId="195" applyFont="1" applyBorder="1">
      <alignment vertical="center"/>
    </xf>
    <xf numFmtId="0" fontId="21" fillId="0" borderId="0" xfId="195" applyFont="1" applyAlignment="1">
      <alignment horizontal="center" vertical="center"/>
    </xf>
    <xf numFmtId="0" fontId="21" fillId="0" borderId="8" xfId="195" applyFont="1" applyBorder="1" applyAlignment="1">
      <alignment vertical="center" wrapText="1"/>
    </xf>
    <xf numFmtId="0" fontId="21" fillId="0" borderId="6" xfId="195" applyFont="1" applyFill="1" applyBorder="1">
      <alignment vertical="center"/>
    </xf>
    <xf numFmtId="0" fontId="30" fillId="0" borderId="6" xfId="167" applyFont="1" applyBorder="1" applyAlignment="1">
      <alignment vertical="center" wrapText="1"/>
    </xf>
    <xf numFmtId="0" fontId="31" fillId="0" borderId="6" xfId="195" applyFont="1" applyFill="1" applyBorder="1" applyAlignment="1">
      <alignment vertical="center" wrapText="1"/>
    </xf>
    <xf numFmtId="0" fontId="24" fillId="0" borderId="6" xfId="195" applyFont="1" applyFill="1" applyBorder="1" applyAlignment="1">
      <alignment vertical="center" wrapText="1"/>
    </xf>
    <xf numFmtId="0" fontId="30" fillId="0" borderId="6" xfId="46" applyFont="1" applyFill="1" applyBorder="1" applyAlignment="1">
      <alignment vertical="center" wrapText="1"/>
    </xf>
    <xf numFmtId="0" fontId="30" fillId="0" borderId="6" xfId="46" applyFont="1" applyFill="1" applyBorder="1" applyAlignment="1">
      <alignment vertical="center"/>
    </xf>
    <xf numFmtId="0" fontId="28" fillId="4" borderId="7" xfId="195" applyFont="1" applyFill="1" applyBorder="1" applyAlignment="1">
      <alignment horizontal="center" vertical="center"/>
    </xf>
    <xf numFmtId="0" fontId="21" fillId="6" borderId="6" xfId="195" applyFont="1" applyFill="1" applyBorder="1" applyAlignment="1">
      <alignment horizontal="center" vertical="center"/>
    </xf>
    <xf numFmtId="0" fontId="21" fillId="0" borderId="6" xfId="195" applyFont="1" applyBorder="1" applyAlignment="1">
      <alignment horizontal="center" vertical="center" wrapText="1"/>
    </xf>
    <xf numFmtId="0" fontId="24" fillId="0" borderId="6" xfId="195" applyFont="1" applyBorder="1" applyAlignment="1">
      <alignment horizontal="center" vertical="center" wrapText="1"/>
    </xf>
    <xf numFmtId="0" fontId="21" fillId="0" borderId="6" xfId="195" applyFont="1" applyFill="1" applyBorder="1" applyAlignment="1">
      <alignment horizontal="center" vertical="center" wrapText="1"/>
    </xf>
    <xf numFmtId="0" fontId="21" fillId="0" borderId="6" xfId="195" applyFont="1" applyFill="1" applyBorder="1" applyAlignment="1">
      <alignment horizontal="center" vertical="center"/>
    </xf>
    <xf numFmtId="0" fontId="30" fillId="0" borderId="6" xfId="46" applyFont="1" applyBorder="1" applyAlignment="1">
      <alignment horizontal="left" vertical="center" wrapText="1"/>
    </xf>
    <xf numFmtId="0" fontId="29" fillId="0" borderId="6" xfId="195" applyFont="1" applyFill="1" applyBorder="1" applyAlignment="1">
      <alignment horizontal="center" vertical="center" wrapText="1"/>
    </xf>
    <xf numFmtId="0" fontId="29" fillId="0" borderId="6" xfId="195" applyFont="1" applyFill="1" applyBorder="1" applyAlignment="1">
      <alignment horizontal="center" vertical="center"/>
    </xf>
    <xf numFmtId="0" fontId="21" fillId="0" borderId="6" xfId="195" applyFont="1" applyBorder="1" applyAlignment="1">
      <alignment horizontal="center" vertical="center"/>
    </xf>
    <xf numFmtId="0" fontId="28" fillId="4" borderId="6" xfId="195" applyFont="1" applyFill="1" applyBorder="1" applyAlignment="1">
      <alignment horizontal="center" vertical="center"/>
    </xf>
    <xf numFmtId="0" fontId="24" fillId="0" borderId="6" xfId="195" applyFont="1" applyFill="1" applyBorder="1">
      <alignment vertical="center"/>
    </xf>
    <xf numFmtId="0" fontId="21" fillId="0" borderId="0" xfId="195" applyFont="1" applyFill="1">
      <alignment vertical="center"/>
    </xf>
    <xf numFmtId="0" fontId="20" fillId="0" borderId="0" xfId="195" applyAlignment="1">
      <alignment horizontal="left" vertical="center"/>
    </xf>
    <xf numFmtId="0" fontId="22" fillId="11" borderId="6" xfId="0" applyFont="1" applyFill="1" applyBorder="1" applyAlignment="1">
      <alignment horizontal="center" wrapText="1"/>
    </xf>
    <xf numFmtId="0" fontId="21" fillId="0" borderId="0" xfId="195" applyFont="1" applyAlignment="1">
      <alignment horizontal="left" vertical="center" wrapText="1"/>
    </xf>
    <xf numFmtId="0" fontId="22" fillId="11" borderId="6" xfId="0" applyFont="1" applyFill="1" applyBorder="1" applyAlignment="1">
      <alignment horizontal="center" vertical="center" wrapText="1"/>
    </xf>
    <xf numFmtId="0" fontId="21" fillId="11" borderId="7" xfId="0" applyFont="1" applyFill="1" applyBorder="1" applyAlignment="1">
      <alignment horizontal="left" vertical="center" wrapText="1"/>
    </xf>
    <xf numFmtId="0" fontId="22" fillId="4" borderId="14" xfId="195" applyFont="1" applyFill="1" applyBorder="1" applyAlignment="1">
      <alignment vertical="center" wrapText="1"/>
    </xf>
    <xf numFmtId="0" fontId="21" fillId="0" borderId="7" xfId="195" applyFont="1" applyBorder="1" applyAlignment="1">
      <alignment horizontal="left" vertical="center"/>
    </xf>
    <xf numFmtId="0" fontId="21" fillId="0" borderId="6" xfId="195" applyFont="1" applyBorder="1" applyAlignment="1">
      <alignment horizontal="left" vertical="center" wrapText="1"/>
    </xf>
    <xf numFmtId="0" fontId="21" fillId="0" borderId="7" xfId="195" applyFont="1" applyBorder="1" applyAlignment="1">
      <alignment horizontal="left" vertical="center" wrapText="1"/>
    </xf>
    <xf numFmtId="0" fontId="21" fillId="0" borderId="6" xfId="0" applyFont="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wrapText="1"/>
    </xf>
    <xf numFmtId="0" fontId="21" fillId="0" borderId="7" xfId="195" applyFont="1" applyBorder="1" applyAlignment="1">
      <alignment horizontal="center" vertical="center"/>
    </xf>
    <xf numFmtId="0" fontId="20" fillId="0" borderId="15" xfId="195" applyBorder="1" applyAlignment="1">
      <alignment horizontal="left" vertical="center"/>
    </xf>
    <xf numFmtId="0" fontId="21" fillId="11" borderId="7" xfId="0" applyFont="1" applyFill="1" applyBorder="1" applyAlignment="1">
      <alignment horizontal="left" wrapText="1"/>
    </xf>
    <xf numFmtId="0" fontId="26" fillId="0" borderId="6" xfId="0" applyFont="1" applyFill="1" applyBorder="1" applyAlignment="1">
      <alignment horizontal="left" wrapText="1"/>
    </xf>
    <xf numFmtId="0" fontId="25" fillId="0" borderId="7" xfId="0" applyFont="1" applyFill="1" applyBorder="1" applyAlignment="1">
      <alignment horizontal="center" wrapText="1"/>
    </xf>
    <xf numFmtId="0" fontId="26" fillId="0" borderId="7" xfId="0" applyFont="1" applyFill="1" applyBorder="1" applyAlignment="1">
      <alignment horizontal="left" wrapText="1"/>
    </xf>
    <xf numFmtId="0" fontId="21" fillId="0" borderId="6" xfId="0" applyFont="1" applyFill="1" applyBorder="1" applyAlignment="1">
      <alignment horizontal="left" wrapText="1"/>
    </xf>
    <xf numFmtId="0" fontId="0" fillId="0" borderId="0" xfId="195" applyFont="1">
      <alignment vertical="center"/>
    </xf>
    <xf numFmtId="0" fontId="21" fillId="0" borderId="0" xfId="195" applyFont="1" applyAlignment="1">
      <alignment vertical="center" wrapText="1"/>
    </xf>
    <xf numFmtId="0" fontId="21" fillId="11" borderId="7" xfId="0" applyFont="1" applyFill="1" applyBorder="1" applyAlignment="1">
      <alignment horizontal="center" vertical="center" wrapText="1"/>
    </xf>
    <xf numFmtId="0" fontId="28" fillId="4" borderId="6" xfId="195" applyFont="1" applyFill="1" applyBorder="1" applyAlignment="1">
      <alignment horizontal="center" vertical="center" wrapText="1"/>
    </xf>
    <xf numFmtId="0" fontId="32" fillId="4" borderId="6" xfId="195" applyFont="1" applyFill="1" applyBorder="1" applyAlignment="1">
      <alignment horizontal="center" vertical="center" wrapText="1"/>
    </xf>
    <xf numFmtId="0" fontId="22" fillId="4" borderId="14" xfId="195" applyFont="1" applyFill="1" applyBorder="1" applyAlignment="1">
      <alignment horizontal="center" vertical="center" wrapText="1"/>
    </xf>
    <xf numFmtId="0" fontId="24" fillId="0" borderId="7" xfId="0" applyFont="1" applyBorder="1" applyAlignment="1">
      <alignment horizontal="left" vertical="center" wrapText="1"/>
    </xf>
    <xf numFmtId="0" fontId="21" fillId="0" borderId="6" xfId="195" applyFont="1" applyBorder="1" applyAlignment="1">
      <alignment horizontal="left" wrapText="1"/>
    </xf>
    <xf numFmtId="0" fontId="0" fillId="0" borderId="6" xfId="0" applyBorder="1" applyAlignment="1">
      <alignment vertical="center" wrapText="1"/>
    </xf>
    <xf numFmtId="0" fontId="0" fillId="0" borderId="6" xfId="0" applyBorder="1" applyAlignment="1">
      <alignment horizontal="left" vertical="center" wrapText="1"/>
    </xf>
    <xf numFmtId="0" fontId="0" fillId="0" borderId="6" xfId="0" applyFont="1" applyBorder="1" applyAlignment="1">
      <alignment horizontal="left" vertical="center" wrapText="1"/>
    </xf>
    <xf numFmtId="0" fontId="0" fillId="0" borderId="6" xfId="0" applyFont="1" applyFill="1" applyBorder="1" applyAlignment="1">
      <alignment vertical="center" wrapText="1"/>
    </xf>
    <xf numFmtId="0" fontId="0" fillId="0" borderId="6" xfId="0" applyFill="1" applyBorder="1" applyAlignment="1">
      <alignment vertical="center" wrapText="1"/>
    </xf>
    <xf numFmtId="0" fontId="21" fillId="0" borderId="6" xfId="0" applyFont="1" applyBorder="1" applyAlignment="1">
      <alignment vertical="center" wrapText="1"/>
    </xf>
    <xf numFmtId="0" fontId="0" fillId="0" borderId="6" xfId="195" applyFont="1" applyBorder="1" applyAlignment="1">
      <alignment horizontal="left" vertical="center" wrapText="1"/>
    </xf>
    <xf numFmtId="0" fontId="21" fillId="7" borderId="6" xfId="195" applyFont="1" applyFill="1" applyBorder="1" applyAlignment="1">
      <alignment horizontal="left" vertical="center" wrapText="1"/>
    </xf>
    <xf numFmtId="0" fontId="21" fillId="7" borderId="6" xfId="195" applyFont="1" applyFill="1" applyBorder="1" applyAlignment="1">
      <alignment vertical="center" wrapText="1"/>
    </xf>
    <xf numFmtId="0" fontId="21" fillId="0" borderId="7" xfId="195" applyFont="1" applyBorder="1" applyAlignment="1">
      <alignment horizontal="center" vertical="center" wrapText="1"/>
    </xf>
    <xf numFmtId="0" fontId="20" fillId="0" borderId="6" xfId="195" applyBorder="1" applyAlignment="1">
      <alignment horizontal="center" vertical="center"/>
    </xf>
    <xf numFmtId="0" fontId="21" fillId="11" borderId="7" xfId="0" applyFont="1" applyFill="1" applyBorder="1" applyAlignment="1">
      <alignment horizontal="center" wrapText="1"/>
    </xf>
    <xf numFmtId="0" fontId="26" fillId="0" borderId="6" xfId="0" applyFont="1" applyFill="1" applyBorder="1" applyAlignment="1">
      <alignment horizontal="center" wrapText="1"/>
    </xf>
    <xf numFmtId="0" fontId="20" fillId="0" borderId="0" xfId="195" applyAlignment="1">
      <alignment horizontal="center" vertical="center"/>
    </xf>
    <xf numFmtId="0" fontId="20" fillId="0" borderId="0" xfId="195" applyAlignment="1">
      <alignment vertical="center" wrapText="1"/>
    </xf>
    <xf numFmtId="0" fontId="21" fillId="0" borderId="0" xfId="195" applyFont="1" applyAlignment="1">
      <alignment horizontal="left" vertical="center"/>
    </xf>
    <xf numFmtId="0" fontId="29" fillId="0" borderId="0" xfId="195" applyFont="1">
      <alignment vertical="center"/>
    </xf>
    <xf numFmtId="0" fontId="21" fillId="11" borderId="8" xfId="0" applyFont="1" applyFill="1" applyBorder="1" applyAlignment="1">
      <alignment horizontal="left" vertical="center" wrapText="1"/>
    </xf>
    <xf numFmtId="0" fontId="22" fillId="4" borderId="16" xfId="195" applyFont="1" applyFill="1" applyBorder="1" applyAlignment="1">
      <alignment horizontal="left" vertical="center" wrapText="1"/>
    </xf>
    <xf numFmtId="0" fontId="21" fillId="0" borderId="8" xfId="195" applyFont="1" applyBorder="1" applyAlignment="1">
      <alignment horizontal="left" vertical="center"/>
    </xf>
    <xf numFmtId="0" fontId="24" fillId="0" borderId="6" xfId="195" applyFont="1" applyFill="1" applyBorder="1" applyAlignment="1">
      <alignment horizontal="left" vertical="center" wrapText="1"/>
    </xf>
    <xf numFmtId="0" fontId="21" fillId="0" borderId="6" xfId="195" applyFont="1" applyBorder="1" applyAlignment="1">
      <alignment vertical="center"/>
    </xf>
    <xf numFmtId="0" fontId="21" fillId="0" borderId="6" xfId="195" applyFont="1" applyFill="1" applyBorder="1" applyAlignment="1">
      <alignment vertical="center"/>
    </xf>
    <xf numFmtId="0" fontId="29" fillId="6" borderId="6" xfId="195" applyFont="1" applyFill="1" applyBorder="1" applyAlignment="1">
      <alignment horizontal="center" vertical="center"/>
    </xf>
    <xf numFmtId="0" fontId="22" fillId="4" borderId="16" xfId="195" applyFont="1" applyFill="1" applyBorder="1" applyAlignment="1">
      <alignment horizontal="center" vertical="center" wrapText="1"/>
    </xf>
    <xf numFmtId="0" fontId="29" fillId="0" borderId="6" xfId="195" applyFont="1" applyBorder="1">
      <alignment vertical="center"/>
    </xf>
    <xf numFmtId="0" fontId="29" fillId="0" borderId="6" xfId="195" applyFont="1" applyBorder="1" applyAlignment="1">
      <alignment horizontal="left" vertical="center" wrapText="1"/>
    </xf>
    <xf numFmtId="0" fontId="29" fillId="0" borderId="6" xfId="0" applyFont="1" applyBorder="1" applyAlignment="1">
      <alignment horizontal="left" vertical="center" wrapText="1"/>
    </xf>
    <xf numFmtId="0" fontId="29" fillId="0" borderId="6" xfId="0" applyFont="1" applyFill="1" applyBorder="1" applyAlignment="1">
      <alignment horizontal="left" vertical="center" wrapText="1"/>
    </xf>
    <xf numFmtId="0" fontId="29" fillId="0" borderId="6" xfId="195" applyFont="1" applyFill="1" applyBorder="1" applyAlignment="1">
      <alignment horizontal="left" vertical="center" wrapText="1"/>
    </xf>
    <xf numFmtId="0" fontId="33" fillId="0" borderId="6" xfId="195" applyFont="1" applyBorder="1">
      <alignment vertical="center"/>
    </xf>
    <xf numFmtId="0" fontId="21" fillId="0" borderId="6" xfId="195" applyFont="1" applyBorder="1" applyAlignment="1">
      <alignment horizontal="left" vertical="center"/>
    </xf>
    <xf numFmtId="0" fontId="29" fillId="0" borderId="6" xfId="0" applyFont="1" applyFill="1" applyBorder="1" applyAlignment="1">
      <alignment horizontal="left" wrapText="1"/>
    </xf>
    <xf numFmtId="0" fontId="29" fillId="0" borderId="6" xfId="195" applyFont="1" applyBorder="1" applyAlignment="1">
      <alignment vertical="center"/>
    </xf>
    <xf numFmtId="0" fontId="29" fillId="0" borderId="6" xfId="195" applyFont="1" applyFill="1" applyBorder="1" applyAlignment="1">
      <alignment vertical="center"/>
    </xf>
    <xf numFmtId="0" fontId="21" fillId="11" borderId="8" xfId="0" applyFont="1" applyFill="1" applyBorder="1" applyAlignment="1">
      <alignment horizontal="center" vertical="center" wrapText="1"/>
    </xf>
    <xf numFmtId="0" fontId="21" fillId="4" borderId="6" xfId="195" applyFont="1" applyFill="1" applyBorder="1" applyAlignment="1">
      <alignment horizontal="center" vertical="center" wrapText="1"/>
    </xf>
    <xf numFmtId="0" fontId="0" fillId="0" borderId="6" xfId="195" applyFont="1" applyFill="1" applyBorder="1" applyAlignment="1">
      <alignment horizontal="left" vertical="center" wrapText="1"/>
    </xf>
    <xf numFmtId="0" fontId="29" fillId="6" borderId="6" xfId="195" applyFont="1" applyFill="1" applyBorder="1" applyAlignment="1">
      <alignment horizontal="center" vertical="center" wrapText="1"/>
    </xf>
    <xf numFmtId="0" fontId="22" fillId="6" borderId="14" xfId="195" applyFont="1" applyFill="1" applyBorder="1" applyAlignment="1">
      <alignment vertical="center" wrapText="1"/>
    </xf>
    <xf numFmtId="0" fontId="28" fillId="0" borderId="6" xfId="195" applyFont="1" applyBorder="1" applyAlignment="1">
      <alignment horizontal="left" vertical="center" wrapText="1"/>
    </xf>
    <xf numFmtId="0" fontId="0" fillId="0" borderId="6"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0" fillId="0" borderId="6" xfId="0" applyFill="1" applyBorder="1" applyAlignment="1">
      <alignment horizontal="left" vertical="center" wrapText="1"/>
    </xf>
    <xf numFmtId="0" fontId="21" fillId="4" borderId="0" xfId="195" applyFont="1" applyFill="1" applyBorder="1" applyAlignment="1">
      <alignment horizontal="center" vertical="center"/>
    </xf>
    <xf numFmtId="0" fontId="22" fillId="11" borderId="0" xfId="0" applyFont="1" applyFill="1" applyBorder="1" applyAlignment="1">
      <alignment horizontal="left" wrapText="1"/>
    </xf>
    <xf numFmtId="0" fontId="22" fillId="4" borderId="16" xfId="195" applyFont="1" applyFill="1" applyBorder="1" applyAlignment="1">
      <alignment vertical="center" wrapText="1"/>
    </xf>
    <xf numFmtId="0" fontId="34" fillId="6" borderId="14" xfId="195" applyFont="1" applyFill="1" applyBorder="1" applyAlignment="1">
      <alignment horizontal="left" vertical="center" wrapText="1"/>
    </xf>
    <xf numFmtId="0" fontId="21" fillId="0" borderId="11" xfId="195" applyFont="1" applyBorder="1">
      <alignment vertical="center"/>
    </xf>
    <xf numFmtId="0" fontId="21" fillId="0" borderId="6" xfId="0" applyFont="1" applyBorder="1" applyAlignment="1">
      <alignment horizontal="left" wrapText="1"/>
    </xf>
    <xf numFmtId="0" fontId="21" fillId="0" borderId="9" xfId="0" applyFont="1" applyFill="1" applyBorder="1" applyAlignment="1">
      <alignment wrapText="1"/>
    </xf>
    <xf numFmtId="0" fontId="21" fillId="0" borderId="9" xfId="0" applyFont="1" applyFill="1" applyBorder="1" applyAlignment="1">
      <alignment horizontal="left" wrapText="1"/>
    </xf>
    <xf numFmtId="0" fontId="21" fillId="0" borderId="7" xfId="0" applyFont="1" applyFill="1" applyBorder="1" applyAlignment="1">
      <alignment horizontal="center" wrapText="1"/>
    </xf>
    <xf numFmtId="0" fontId="22" fillId="4" borderId="6" xfId="195" applyFont="1" applyFill="1" applyBorder="1" applyAlignment="1">
      <alignment horizontal="center" vertical="center"/>
    </xf>
    <xf numFmtId="0" fontId="34" fillId="6" borderId="7" xfId="195" applyFont="1" applyFill="1" applyBorder="1" applyAlignment="1">
      <alignment horizontal="left" vertical="center" wrapText="1"/>
    </xf>
    <xf numFmtId="0" fontId="34" fillId="6" borderId="8" xfId="195" applyFont="1" applyFill="1" applyBorder="1" applyAlignment="1">
      <alignment horizontal="left" vertical="center" wrapText="1"/>
    </xf>
    <xf numFmtId="0" fontId="30" fillId="0" borderId="0" xfId="0" applyFont="1"/>
    <xf numFmtId="0" fontId="21" fillId="7" borderId="6" xfId="195" applyFont="1" applyFill="1" applyBorder="1">
      <alignment vertical="center"/>
    </xf>
    <xf numFmtId="9" fontId="21" fillId="0" borderId="6" xfId="195" applyNumberFormat="1" applyFont="1" applyBorder="1" applyAlignment="1">
      <alignment horizontal="left" vertical="center"/>
    </xf>
    <xf numFmtId="0" fontId="0" fillId="7" borderId="6" xfId="195" applyFont="1" applyFill="1" applyBorder="1" applyAlignment="1">
      <alignment vertical="center" wrapText="1"/>
    </xf>
    <xf numFmtId="0" fontId="21" fillId="7" borderId="6" xfId="0" applyFont="1" applyFill="1" applyBorder="1" applyAlignment="1">
      <alignment horizontal="left" wrapText="1"/>
    </xf>
    <xf numFmtId="0" fontId="21" fillId="7" borderId="6" xfId="195" applyFont="1" applyFill="1" applyBorder="1" applyAlignment="1">
      <alignment horizontal="left" wrapText="1"/>
    </xf>
    <xf numFmtId="0" fontId="21" fillId="7" borderId="6" xfId="0" applyFont="1" applyFill="1" applyBorder="1" applyAlignment="1">
      <alignment horizontal="center" wrapText="1"/>
    </xf>
    <xf numFmtId="0" fontId="22" fillId="6" borderId="6" xfId="195" applyFont="1" applyFill="1" applyBorder="1" applyAlignment="1">
      <alignment horizontal="center" vertical="center"/>
    </xf>
    <xf numFmtId="0" fontId="0" fillId="0" borderId="6" xfId="0" applyBorder="1" applyAlignment="1">
      <alignment horizontal="center" vertical="center" wrapText="1"/>
    </xf>
    <xf numFmtId="0" fontId="21" fillId="0" borderId="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 xfId="195" applyFont="1" applyFill="1" applyBorder="1" applyAlignment="1">
      <alignment vertical="center" wrapText="1"/>
    </xf>
    <xf numFmtId="0" fontId="21" fillId="0" borderId="6" xfId="0" applyFont="1" applyBorder="1" applyAlignment="1">
      <alignment horizontal="center" wrapText="1"/>
    </xf>
    <xf numFmtId="0" fontId="21" fillId="7" borderId="6" xfId="195" applyFont="1" applyFill="1" applyBorder="1" applyAlignment="1">
      <alignment horizontal="center" vertical="center"/>
    </xf>
    <xf numFmtId="0" fontId="21" fillId="0" borderId="6" xfId="195" applyFont="1" applyBorder="1" applyAlignment="1">
      <alignment horizontal="center" wrapText="1"/>
    </xf>
    <xf numFmtId="0" fontId="20" fillId="0" borderId="0" xfId="195" applyAlignment="1" applyProtection="1">
      <alignment horizontal="center" vertical="center"/>
      <protection locked="0"/>
    </xf>
    <xf numFmtId="0" fontId="20" fillId="0" borderId="0" xfId="195" applyAlignment="1" applyProtection="1">
      <alignment vertical="center" wrapText="1"/>
      <protection locked="0"/>
    </xf>
    <xf numFmtId="0" fontId="20" fillId="0" borderId="0" xfId="195" applyProtection="1">
      <alignment vertical="center"/>
      <protection locked="0"/>
    </xf>
    <xf numFmtId="0" fontId="20" fillId="0" borderId="0" xfId="195" applyAlignment="1" applyProtection="1">
      <alignment horizontal="left" vertical="center"/>
      <protection locked="0"/>
    </xf>
    <xf numFmtId="0" fontId="21" fillId="0" borderId="0" xfId="195" applyFont="1" applyAlignment="1" applyProtection="1">
      <alignment horizontal="left" vertical="center" wrapText="1"/>
      <protection locked="0"/>
    </xf>
    <xf numFmtId="0" fontId="21" fillId="0" borderId="0" xfId="195" applyFont="1" applyProtection="1">
      <alignment vertical="center"/>
      <protection locked="0"/>
    </xf>
    <xf numFmtId="0" fontId="22" fillId="11" borderId="6" xfId="0" applyFont="1" applyFill="1" applyBorder="1" applyAlignment="1" applyProtection="1">
      <alignment horizontal="center" wrapText="1"/>
      <protection locked="0"/>
    </xf>
    <xf numFmtId="0" fontId="22" fillId="11" borderId="6" xfId="0" applyFont="1" applyFill="1" applyBorder="1" applyAlignment="1" applyProtection="1">
      <alignment horizontal="center" vertical="center" wrapText="1"/>
      <protection locked="0"/>
    </xf>
    <xf numFmtId="0" fontId="21" fillId="11" borderId="7" xfId="0" applyFont="1" applyFill="1" applyBorder="1" applyAlignment="1" applyProtection="1">
      <alignment horizontal="center" vertical="center" wrapText="1"/>
      <protection locked="0"/>
    </xf>
    <xf numFmtId="0" fontId="21" fillId="11" borderId="8" xfId="0" applyFont="1" applyFill="1" applyBorder="1" applyAlignment="1" applyProtection="1">
      <alignment horizontal="center" vertical="center" wrapText="1"/>
      <protection locked="0"/>
    </xf>
    <xf numFmtId="0" fontId="22" fillId="4" borderId="16" xfId="195" applyFont="1" applyFill="1" applyBorder="1" applyAlignment="1" applyProtection="1">
      <alignment vertical="center" wrapText="1"/>
      <protection locked="0"/>
    </xf>
    <xf numFmtId="0" fontId="22" fillId="4" borderId="14" xfId="195" applyFont="1" applyFill="1" applyBorder="1" applyAlignment="1" applyProtection="1">
      <alignment vertical="center" wrapText="1"/>
      <protection locked="0"/>
    </xf>
    <xf numFmtId="0" fontId="34" fillId="4" borderId="14" xfId="195" applyFont="1" applyFill="1" applyBorder="1" applyAlignment="1" applyProtection="1">
      <alignment vertical="center" wrapText="1"/>
      <protection locked="0"/>
    </xf>
    <xf numFmtId="0" fontId="21" fillId="0" borderId="6" xfId="195" applyFont="1" applyBorder="1" applyProtection="1">
      <alignment vertical="center"/>
      <protection locked="0"/>
    </xf>
    <xf numFmtId="0" fontId="21" fillId="0" borderId="6" xfId="195" applyFont="1" applyBorder="1" applyAlignment="1" applyProtection="1">
      <alignment horizontal="left" vertical="center" wrapText="1"/>
      <protection locked="0"/>
    </xf>
    <xf numFmtId="0" fontId="21" fillId="0" borderId="6" xfId="195" applyFont="1" applyFill="1" applyBorder="1" applyProtection="1">
      <alignment vertical="center"/>
      <protection locked="0"/>
    </xf>
    <xf numFmtId="0" fontId="21" fillId="0" borderId="6" xfId="195" applyFont="1" applyBorder="1" applyAlignment="1" applyProtection="1">
      <alignment vertical="center" wrapText="1"/>
      <protection locked="0"/>
    </xf>
    <xf numFmtId="0" fontId="21" fillId="0" borderId="6" xfId="195" applyFont="1" applyFill="1" applyBorder="1" applyAlignment="1" applyProtection="1">
      <alignment vertical="center" wrapText="1"/>
      <protection locked="0"/>
    </xf>
    <xf numFmtId="0" fontId="21" fillId="0" borderId="6" xfId="195" applyFont="1" applyBorder="1" applyAlignment="1" applyProtection="1">
      <alignment horizontal="left" vertical="center"/>
      <protection locked="0"/>
    </xf>
    <xf numFmtId="0" fontId="21" fillId="0" borderId="6" xfId="0" applyFont="1" applyBorder="1" applyAlignment="1" applyProtection="1">
      <alignment vertical="center" wrapText="1"/>
      <protection locked="0"/>
    </xf>
    <xf numFmtId="0" fontId="21" fillId="0" borderId="6" xfId="0" applyFont="1" applyBorder="1" applyAlignment="1" applyProtection="1">
      <alignment horizontal="left" vertical="center" wrapText="1"/>
      <protection locked="0"/>
    </xf>
    <xf numFmtId="0" fontId="21" fillId="0" borderId="6" xfId="195" applyFont="1" applyFill="1" applyBorder="1" applyAlignment="1" applyProtection="1">
      <alignment horizontal="left" vertical="center" wrapText="1"/>
      <protection locked="0"/>
    </xf>
    <xf numFmtId="0" fontId="21" fillId="0" borderId="6" xfId="0" applyFont="1" applyFill="1" applyBorder="1" applyAlignment="1" applyProtection="1">
      <alignment wrapText="1"/>
      <protection locked="0"/>
    </xf>
    <xf numFmtId="0" fontId="21" fillId="0" borderId="11" xfId="195" applyFont="1" applyBorder="1" applyAlignment="1" applyProtection="1">
      <alignment horizontal="left" vertical="center" wrapText="1"/>
      <protection locked="0"/>
    </xf>
    <xf numFmtId="0" fontId="21" fillId="0" borderId="6" xfId="0" applyFont="1" applyFill="1" applyBorder="1" applyAlignment="1" applyProtection="1">
      <alignment horizontal="center" wrapText="1"/>
      <protection locked="0"/>
    </xf>
    <xf numFmtId="0" fontId="21" fillId="0" borderId="7" xfId="0" applyFont="1" applyFill="1" applyBorder="1" applyAlignment="1" applyProtection="1">
      <alignment horizontal="center" wrapText="1"/>
      <protection locked="0"/>
    </xf>
    <xf numFmtId="0" fontId="21" fillId="0" borderId="6" xfId="195" applyFont="1" applyBorder="1" applyAlignment="1" applyProtection="1">
      <alignment vertical="center"/>
      <protection locked="0"/>
    </xf>
    <xf numFmtId="0" fontId="21" fillId="0" borderId="9" xfId="0" applyFont="1" applyFill="1" applyBorder="1" applyAlignment="1" applyProtection="1">
      <alignment wrapText="1"/>
      <protection locked="0"/>
    </xf>
    <xf numFmtId="0" fontId="21" fillId="0" borderId="9" xfId="0" applyFont="1" applyFill="1" applyBorder="1" applyAlignment="1" applyProtection="1">
      <alignment horizontal="center" wrapText="1"/>
      <protection locked="0"/>
    </xf>
    <xf numFmtId="0" fontId="21" fillId="0" borderId="6" xfId="0" applyFont="1" applyFill="1" applyBorder="1" applyAlignment="1" applyProtection="1">
      <alignment horizontal="left" wrapText="1"/>
      <protection locked="0"/>
    </xf>
    <xf numFmtId="0" fontId="26" fillId="0" borderId="6" xfId="0" applyFont="1" applyFill="1" applyBorder="1" applyAlignment="1" applyProtection="1">
      <alignment horizontal="left" wrapText="1"/>
      <protection locked="0"/>
    </xf>
    <xf numFmtId="0" fontId="21" fillId="0" borderId="6" xfId="195" applyFont="1" applyBorder="1" applyAlignment="1" applyProtection="1">
      <alignment horizontal="left" wrapText="1"/>
      <protection locked="0"/>
    </xf>
    <xf numFmtId="0" fontId="0" fillId="0" borderId="0" xfId="195" applyFont="1" applyProtection="1">
      <alignment vertical="center"/>
      <protection locked="0"/>
    </xf>
    <xf numFmtId="0" fontId="0" fillId="0" borderId="0" xfId="0" applyProtection="1">
      <protection locked="0"/>
    </xf>
    <xf numFmtId="0" fontId="21" fillId="4" borderId="6" xfId="195" applyFont="1" applyFill="1" applyBorder="1" applyAlignment="1" applyProtection="1">
      <alignment horizontal="center" vertical="center"/>
      <protection locked="0"/>
    </xf>
    <xf numFmtId="0" fontId="22" fillId="4" borderId="6" xfId="195" applyFont="1" applyFill="1" applyBorder="1" applyAlignment="1" applyProtection="1">
      <alignment horizontal="center" vertical="center"/>
      <protection locked="0"/>
    </xf>
    <xf numFmtId="0" fontId="34" fillId="4" borderId="16" xfId="195" applyFont="1" applyFill="1" applyBorder="1" applyAlignment="1" applyProtection="1">
      <alignment vertical="center" wrapText="1"/>
      <protection locked="0"/>
    </xf>
    <xf numFmtId="0" fontId="29" fillId="0" borderId="6" xfId="195" applyFont="1" applyBorder="1" applyProtection="1">
      <alignment vertical="center"/>
      <protection locked="0"/>
    </xf>
    <xf numFmtId="0" fontId="33" fillId="0" borderId="6" xfId="195" applyFont="1" applyBorder="1" applyProtection="1">
      <alignment vertical="center"/>
      <protection locked="0"/>
    </xf>
    <xf numFmtId="0" fontId="20" fillId="4" borderId="6" xfId="195" applyFill="1" applyBorder="1" applyAlignment="1" applyProtection="1">
      <alignment horizontal="center" vertical="center"/>
      <protection locked="0"/>
    </xf>
    <xf numFmtId="0" fontId="21" fillId="4" borderId="7" xfId="195" applyFont="1" applyFill="1" applyBorder="1" applyAlignment="1" applyProtection="1">
      <alignment vertical="center"/>
      <protection locked="0"/>
    </xf>
    <xf numFmtId="0" fontId="22" fillId="4" borderId="6" xfId="195" applyFont="1" applyFill="1" applyBorder="1" applyAlignment="1" applyProtection="1">
      <alignment horizontal="center" vertical="center" wrapText="1"/>
      <protection locked="0"/>
    </xf>
    <xf numFmtId="0" fontId="22" fillId="4" borderId="14" xfId="195" applyFont="1" applyFill="1" applyBorder="1" applyAlignment="1" applyProtection="1">
      <alignment horizontal="center" vertical="center" wrapText="1"/>
      <protection locked="0"/>
    </xf>
    <xf numFmtId="0" fontId="21" fillId="7" borderId="6" xfId="195" applyFont="1" applyFill="1" applyBorder="1" applyProtection="1">
      <alignment vertical="center"/>
      <protection locked="0"/>
    </xf>
    <xf numFmtId="0" fontId="21" fillId="7" borderId="6" xfId="195" applyFont="1" applyFill="1" applyBorder="1" applyAlignment="1" applyProtection="1">
      <alignment horizontal="left" vertical="center" wrapText="1"/>
      <protection locked="0"/>
    </xf>
    <xf numFmtId="0" fontId="21" fillId="7" borderId="6" xfId="195" applyFont="1" applyFill="1" applyBorder="1" applyAlignment="1" applyProtection="1">
      <alignment vertical="center" wrapText="1"/>
      <protection locked="0"/>
    </xf>
    <xf numFmtId="0" fontId="21" fillId="7" borderId="6" xfId="195" applyFont="1" applyFill="1" applyBorder="1" applyAlignment="1" applyProtection="1">
      <alignment horizontal="left" vertical="center"/>
      <protection locked="0"/>
    </xf>
    <xf numFmtId="0" fontId="21" fillId="7" borderId="6" xfId="0" applyFont="1" applyFill="1" applyBorder="1" applyAlignment="1" applyProtection="1">
      <alignment horizontal="left" vertical="center" wrapText="1"/>
      <protection locked="0"/>
    </xf>
    <xf numFmtId="0" fontId="21" fillId="7" borderId="6" xfId="195" applyFont="1" applyFill="1" applyBorder="1" applyAlignment="1" applyProtection="1">
      <alignment vertical="center"/>
      <protection locked="0"/>
    </xf>
    <xf numFmtId="0" fontId="21" fillId="0" borderId="6" xfId="0" applyFont="1" applyBorder="1" applyAlignment="1" applyProtection="1">
      <alignment horizontal="left" wrapText="1"/>
      <protection locked="0"/>
    </xf>
    <xf numFmtId="0" fontId="21" fillId="7" borderId="6" xfId="195" applyFont="1" applyFill="1" applyBorder="1" applyAlignment="1" applyProtection="1">
      <protection locked="0"/>
    </xf>
    <xf numFmtId="0" fontId="21" fillId="7" borderId="6" xfId="0" applyFont="1" applyFill="1" applyBorder="1" applyAlignment="1" applyProtection="1">
      <alignment horizontal="left" wrapText="1"/>
      <protection locked="0"/>
    </xf>
    <xf numFmtId="0" fontId="21" fillId="7" borderId="6" xfId="195" applyFont="1" applyFill="1" applyBorder="1" applyAlignment="1" applyProtection="1">
      <alignment horizontal="left"/>
      <protection locked="0"/>
    </xf>
    <xf numFmtId="0" fontId="28" fillId="4" borderId="7" xfId="195" applyFont="1" applyFill="1" applyBorder="1" applyAlignment="1" applyProtection="1">
      <alignment horizontal="center" vertical="center"/>
      <protection locked="0"/>
    </xf>
    <xf numFmtId="0" fontId="21" fillId="6" borderId="6" xfId="195" applyFont="1" applyFill="1" applyBorder="1" applyAlignment="1" applyProtection="1">
      <alignment horizontal="center" vertical="center"/>
      <protection locked="0"/>
    </xf>
    <xf numFmtId="0" fontId="22" fillId="4" borderId="16" xfId="195" applyFont="1" applyFill="1" applyBorder="1" applyAlignment="1" applyProtection="1">
      <alignment horizontal="center" vertical="center" wrapText="1"/>
      <protection locked="0"/>
    </xf>
    <xf numFmtId="0" fontId="21" fillId="0" borderId="6" xfId="195" applyFont="1" applyBorder="1" applyAlignment="1" applyProtection="1">
      <alignment horizontal="center" vertical="center" wrapText="1"/>
      <protection locked="0"/>
    </xf>
    <xf numFmtId="0" fontId="21" fillId="0" borderId="6" xfId="195" applyFont="1" applyBorder="1" applyAlignment="1" applyProtection="1">
      <alignment horizontal="center" vertical="center"/>
      <protection locked="0"/>
    </xf>
    <xf numFmtId="0" fontId="21" fillId="0" borderId="6" xfId="195" applyFont="1" applyFill="1" applyBorder="1" applyAlignment="1" applyProtection="1">
      <alignment horizontal="left" vertical="center"/>
      <protection locked="0"/>
    </xf>
    <xf numFmtId="0" fontId="21" fillId="0" borderId="6" xfId="0" applyFont="1" applyBorder="1" applyAlignment="1" applyProtection="1">
      <alignment horizontal="center" vertical="center" wrapText="1"/>
      <protection locked="0"/>
    </xf>
    <xf numFmtId="0" fontId="21" fillId="0" borderId="6" xfId="0" applyFont="1" applyFill="1" applyBorder="1" applyAlignment="1" applyProtection="1">
      <alignment vertical="center" wrapText="1"/>
      <protection locked="0"/>
    </xf>
    <xf numFmtId="0" fontId="30" fillId="0" borderId="0" xfId="0" applyFont="1" applyAlignment="1" applyProtection="1">
      <alignment horizontal="center" vertical="center"/>
      <protection locked="0"/>
    </xf>
    <xf numFmtId="0" fontId="29" fillId="0" borderId="6" xfId="195" applyFont="1" applyBorder="1" applyAlignment="1" applyProtection="1">
      <alignment horizontal="left" vertical="center" wrapText="1"/>
      <protection locked="0"/>
    </xf>
    <xf numFmtId="0" fontId="21" fillId="0" borderId="6" xfId="195" applyFont="1" applyFill="1" applyBorder="1" applyAlignment="1" applyProtection="1">
      <alignment horizontal="center" vertical="center"/>
      <protection locked="0"/>
    </xf>
    <xf numFmtId="0" fontId="21" fillId="0" borderId="6" xfId="0" applyFont="1" applyFill="1" applyBorder="1" applyAlignment="1" applyProtection="1">
      <alignment horizontal="left" vertical="center" wrapText="1"/>
      <protection locked="0"/>
    </xf>
    <xf numFmtId="0" fontId="28" fillId="0" borderId="7" xfId="195" applyFont="1" applyFill="1" applyBorder="1" applyAlignment="1" applyProtection="1">
      <alignment horizontal="left" vertical="center"/>
      <protection locked="0"/>
    </xf>
    <xf numFmtId="0" fontId="21" fillId="0" borderId="6" xfId="195" applyFont="1" applyFill="1" applyBorder="1" applyAlignment="1" applyProtection="1">
      <alignment horizontal="center" vertical="center" wrapText="1"/>
      <protection locked="0"/>
    </xf>
    <xf numFmtId="0" fontId="36" fillId="0" borderId="6" xfId="195" applyFont="1" applyBorder="1" applyAlignment="1" applyProtection="1">
      <alignment vertical="center" wrapText="1"/>
      <protection locked="0"/>
    </xf>
    <xf numFmtId="0" fontId="21" fillId="0" borderId="6" xfId="195" applyFont="1" applyBorder="1" applyAlignment="1" applyProtection="1">
      <alignment horizontal="center" wrapText="1"/>
      <protection locked="0"/>
    </xf>
    <xf numFmtId="0" fontId="0" fillId="0" borderId="0" xfId="0" applyAlignment="1">
      <alignment wrapText="1"/>
    </xf>
    <xf numFmtId="14" fontId="0" fillId="0" borderId="0" xfId="0" applyNumberFormat="1"/>
    <xf numFmtId="0" fontId="0" fillId="0" borderId="0" xfId="0" applyAlignment="1">
      <alignment horizontal="right"/>
    </xf>
    <xf numFmtId="14" fontId="0" fillId="0" borderId="0" xfId="0" applyNumberFormat="1" applyFont="1"/>
    <xf numFmtId="0" fontId="0" fillId="0" borderId="0" xfId="0" applyFont="1" applyAlignment="1">
      <alignment horizontal="right"/>
    </xf>
    <xf numFmtId="0" fontId="21" fillId="0" borderId="6" xfId="0" applyFont="1" applyFill="1" applyBorder="1" applyAlignment="1">
      <alignment horizontal="left" wrapText="1"/>
    </xf>
    <xf numFmtId="14" fontId="63" fillId="0" borderId="0" xfId="0" applyNumberFormat="1" applyFont="1"/>
    <xf numFmtId="0" fontId="63" fillId="0" borderId="0" xfId="0" applyFont="1"/>
    <xf numFmtId="0" fontId="63" fillId="0" borderId="0" xfId="0" applyFont="1" applyAlignment="1">
      <alignment wrapText="1"/>
    </xf>
    <xf numFmtId="0" fontId="63" fillId="0" borderId="0" xfId="0" applyFont="1" applyAlignment="1">
      <alignment horizontal="right"/>
    </xf>
    <xf numFmtId="0" fontId="33" fillId="42" borderId="6" xfId="195" applyFont="1" applyFill="1" applyBorder="1" applyProtection="1">
      <alignment vertical="center"/>
      <protection locked="0"/>
    </xf>
    <xf numFmtId="0" fontId="28" fillId="0" borderId="6" xfId="195" applyFont="1" applyFill="1" applyBorder="1" applyAlignment="1" applyProtection="1">
      <alignment horizontal="left" vertical="center" wrapText="1"/>
      <protection locked="0"/>
    </xf>
    <xf numFmtId="0" fontId="28" fillId="0" borderId="6" xfId="195" applyFont="1" applyFill="1" applyBorder="1" applyAlignment="1" applyProtection="1">
      <alignment horizontal="left" vertical="center"/>
      <protection locked="0"/>
    </xf>
    <xf numFmtId="0" fontId="28" fillId="0" borderId="6" xfId="195" applyFont="1" applyFill="1" applyBorder="1" applyProtection="1">
      <alignment vertical="center"/>
      <protection locked="0"/>
    </xf>
    <xf numFmtId="0" fontId="28" fillId="0" borderId="6" xfId="195" applyFont="1" applyFill="1" applyBorder="1" applyAlignment="1">
      <alignment horizontal="left" vertical="center" wrapText="1"/>
    </xf>
    <xf numFmtId="0" fontId="28" fillId="0" borderId="6" xfId="195" applyFont="1" applyFill="1" applyBorder="1">
      <alignment vertical="center"/>
    </xf>
    <xf numFmtId="0" fontId="28" fillId="0" borderId="6" xfId="195" applyFont="1" applyFill="1" applyBorder="1" applyAlignment="1">
      <alignment vertical="center" wrapText="1"/>
    </xf>
    <xf numFmtId="0" fontId="66" fillId="0" borderId="0" xfId="195" applyFont="1" applyFill="1" applyAlignment="1"/>
    <xf numFmtId="0" fontId="66" fillId="0" borderId="0" xfId="195" applyFont="1" applyFill="1" applyAlignment="1">
      <alignment horizontal="center"/>
    </xf>
    <xf numFmtId="0" fontId="5" fillId="0" borderId="0" xfId="195" applyFont="1" applyFill="1" applyAlignment="1">
      <alignment horizontal="center"/>
    </xf>
    <xf numFmtId="0" fontId="5" fillId="0" borderId="0" xfId="195" applyFont="1" applyFill="1" applyBorder="1" applyAlignment="1">
      <alignment horizontal="center"/>
    </xf>
    <xf numFmtId="179" fontId="5" fillId="0" borderId="0" xfId="195" applyNumberFormat="1" applyFont="1" applyFill="1" applyAlignment="1">
      <alignment horizontal="center"/>
    </xf>
    <xf numFmtId="179" fontId="5" fillId="0" borderId="0" xfId="101" applyNumberFormat="1" applyFont="1" applyFill="1" applyAlignment="1">
      <alignment horizontal="center"/>
    </xf>
    <xf numFmtId="179" fontId="5" fillId="0" borderId="0" xfId="0" applyNumberFormat="1" applyFont="1" applyFill="1" applyAlignment="1">
      <alignment horizontal="center"/>
    </xf>
    <xf numFmtId="180" fontId="5" fillId="0" borderId="0" xfId="0" applyNumberFormat="1" applyFont="1" applyFill="1" applyAlignment="1">
      <alignment horizontal="center"/>
    </xf>
    <xf numFmtId="0" fontId="5" fillId="0" borderId="0" xfId="218" applyFont="1" applyFill="1" applyAlignment="1">
      <alignment horizontal="center"/>
    </xf>
    <xf numFmtId="176" fontId="5" fillId="0" borderId="0" xfId="195" applyNumberFormat="1" applyFont="1" applyFill="1" applyAlignment="1">
      <alignment horizontal="center"/>
    </xf>
    <xf numFmtId="0" fontId="5" fillId="0" borderId="0" xfId="219" applyFont="1" applyFill="1" applyAlignment="1">
      <alignment horizontal="center"/>
    </xf>
    <xf numFmtId="179" fontId="5" fillId="0" borderId="0" xfId="219" applyNumberFormat="1" applyFont="1" applyFill="1" applyAlignment="1">
      <alignment horizontal="center"/>
    </xf>
    <xf numFmtId="179" fontId="66" fillId="0" borderId="0" xfId="195" applyNumberFormat="1" applyFont="1" applyFill="1" applyAlignment="1">
      <alignment horizontal="center"/>
    </xf>
    <xf numFmtId="180" fontId="66" fillId="0" borderId="0" xfId="195" applyNumberFormat="1" applyFont="1" applyFill="1" applyAlignment="1">
      <alignment horizontal="center"/>
    </xf>
    <xf numFmtId="0" fontId="28" fillId="0" borderId="6" xfId="195" applyFont="1" applyBorder="1" applyProtection="1">
      <alignment vertical="center"/>
      <protection locked="0"/>
    </xf>
    <xf numFmtId="0" fontId="28" fillId="45" borderId="6" xfId="195" applyFont="1" applyFill="1" applyBorder="1" applyAlignment="1">
      <alignment horizontal="center" vertical="center"/>
    </xf>
    <xf numFmtId="0" fontId="21" fillId="45" borderId="14" xfId="195" applyFont="1" applyFill="1" applyBorder="1" applyAlignment="1">
      <alignment horizontal="center" vertical="center" wrapText="1"/>
    </xf>
    <xf numFmtId="0" fontId="28" fillId="0" borderId="6" xfId="195" applyFont="1" applyBorder="1" applyAlignment="1">
      <alignment horizontal="center" vertical="center" wrapText="1"/>
    </xf>
    <xf numFmtId="0" fontId="21" fillId="0" borderId="6" xfId="0" applyFont="1" applyFill="1" applyBorder="1" applyAlignment="1">
      <alignment horizontal="left" wrapText="1"/>
    </xf>
    <xf numFmtId="0" fontId="29" fillId="4" borderId="6" xfId="195" applyFont="1" applyFill="1" applyBorder="1" applyAlignment="1">
      <alignment horizontal="center" vertical="center"/>
    </xf>
    <xf numFmtId="0" fontId="29" fillId="0" borderId="6" xfId="195" applyFont="1" applyFill="1" applyBorder="1" applyAlignment="1">
      <alignment vertical="center" wrapText="1"/>
    </xf>
    <xf numFmtId="0" fontId="29" fillId="0" borderId="6" xfId="195" applyFont="1" applyFill="1" applyBorder="1">
      <alignment vertical="center"/>
    </xf>
    <xf numFmtId="0" fontId="29" fillId="0" borderId="6" xfId="0" applyFont="1" applyBorder="1" applyAlignment="1">
      <alignment horizontal="justify" vertical="center" wrapText="1"/>
    </xf>
    <xf numFmtId="0" fontId="2" fillId="0" borderId="6" xfId="0" applyFont="1" applyBorder="1" applyAlignment="1">
      <alignment horizontal="justify" vertical="center" wrapText="1"/>
    </xf>
    <xf numFmtId="0" fontId="67" fillId="0" borderId="0" xfId="195" applyFont="1">
      <alignment vertical="center"/>
    </xf>
    <xf numFmtId="0" fontId="67" fillId="4" borderId="6" xfId="195" applyFont="1" applyFill="1" applyBorder="1" applyAlignment="1">
      <alignment horizontal="center" vertical="center"/>
    </xf>
    <xf numFmtId="0" fontId="68" fillId="4" borderId="14" xfId="195" applyFont="1" applyFill="1" applyBorder="1" applyAlignment="1">
      <alignment vertical="center" wrapText="1"/>
    </xf>
    <xf numFmtId="0" fontId="67" fillId="0" borderId="6" xfId="195" applyFont="1" applyBorder="1" applyAlignment="1">
      <alignment horizontal="left" vertical="center" wrapText="1"/>
    </xf>
    <xf numFmtId="0" fontId="67" fillId="0" borderId="6" xfId="195" applyFont="1" applyBorder="1">
      <alignment vertical="center"/>
    </xf>
    <xf numFmtId="0" fontId="69" fillId="0" borderId="6" xfId="0" applyFont="1" applyBorder="1" applyAlignment="1">
      <alignment vertical="center" wrapText="1"/>
    </xf>
    <xf numFmtId="0" fontId="69" fillId="0" borderId="6" xfId="0" applyFont="1" applyBorder="1" applyAlignment="1">
      <alignment horizontal="left" vertical="center" wrapText="1"/>
    </xf>
    <xf numFmtId="0" fontId="69" fillId="0" borderId="6" xfId="0" applyFont="1" applyFill="1" applyBorder="1" applyAlignment="1">
      <alignment vertical="center" wrapText="1"/>
    </xf>
    <xf numFmtId="0" fontId="67" fillId="0" borderId="6" xfId="0" applyFont="1" applyFill="1" applyBorder="1" applyAlignment="1">
      <alignment horizontal="left" vertical="center" wrapText="1"/>
    </xf>
    <xf numFmtId="0" fontId="67" fillId="0" borderId="6" xfId="195" applyFont="1" applyFill="1" applyBorder="1" applyAlignment="1">
      <alignment horizontal="left" vertical="center" wrapText="1"/>
    </xf>
    <xf numFmtId="0" fontId="69" fillId="0" borderId="6" xfId="195" applyFont="1" applyBorder="1" applyAlignment="1">
      <alignment horizontal="left" vertical="center" wrapText="1"/>
    </xf>
    <xf numFmtId="0" fontId="67" fillId="7" borderId="6" xfId="195" applyFont="1" applyFill="1" applyBorder="1" applyAlignment="1">
      <alignment horizontal="left" vertical="center" wrapText="1"/>
    </xf>
    <xf numFmtId="0" fontId="67" fillId="7" borderId="6" xfId="195" applyFont="1" applyFill="1" applyBorder="1" applyAlignment="1">
      <alignment vertical="center" wrapText="1"/>
    </xf>
    <xf numFmtId="0" fontId="63" fillId="0" borderId="6" xfId="0" applyFont="1" applyBorder="1" applyAlignment="1">
      <alignment vertical="center" wrapText="1"/>
    </xf>
    <xf numFmtId="0" fontId="21" fillId="0" borderId="7" xfId="0" applyFont="1" applyFill="1" applyBorder="1" applyAlignment="1">
      <alignment horizontal="left" wrapText="1"/>
    </xf>
    <xf numFmtId="0" fontId="21" fillId="0" borderId="6" xfId="0" applyFont="1" applyFill="1" applyBorder="1" applyAlignment="1">
      <alignment horizontal="left" wrapText="1"/>
    </xf>
    <xf numFmtId="0" fontId="0" fillId="2"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63" fillId="0" borderId="6" xfId="0" applyFont="1" applyFill="1" applyBorder="1" applyAlignment="1">
      <alignment vertical="center" wrapText="1"/>
    </xf>
    <xf numFmtId="0" fontId="63" fillId="0" borderId="0" xfId="0" applyFont="1" applyFill="1" applyAlignment="1">
      <alignment horizontal="center"/>
    </xf>
    <xf numFmtId="0" fontId="29" fillId="4" borderId="0" xfId="195" applyFont="1" applyFill="1" applyBorder="1" applyAlignment="1">
      <alignment horizontal="center" vertical="center"/>
    </xf>
    <xf numFmtId="0" fontId="29" fillId="0" borderId="0" xfId="195" applyFont="1" applyBorder="1" applyAlignment="1">
      <alignment vertical="center" wrapText="1"/>
    </xf>
    <xf numFmtId="0" fontId="29" fillId="0" borderId="0" xfId="195" applyFont="1" applyFill="1" applyBorder="1" applyAlignment="1">
      <alignment vertical="center" wrapText="1"/>
    </xf>
    <xf numFmtId="0" fontId="29" fillId="0" borderId="0" xfId="195" applyFont="1" applyFill="1" applyBorder="1">
      <alignment vertical="center"/>
    </xf>
    <xf numFmtId="0" fontId="21" fillId="0" borderId="0" xfId="195" applyFont="1" applyBorder="1">
      <alignment vertical="center"/>
    </xf>
    <xf numFmtId="181" fontId="7" fillId="0" borderId="0" xfId="0" applyNumberFormat="1" applyFont="1" applyFill="1" applyAlignment="1">
      <alignment horizontal="center"/>
    </xf>
    <xf numFmtId="176" fontId="7" fillId="0" borderId="0" xfId="0" applyNumberFormat="1" applyFont="1" applyFill="1" applyAlignment="1"/>
    <xf numFmtId="0" fontId="63" fillId="0" borderId="0" xfId="0" applyFont="1" applyAlignment="1">
      <alignment horizontal="center"/>
    </xf>
    <xf numFmtId="0" fontId="0" fillId="19" borderId="0" xfId="0" applyFont="1" applyFill="1" applyBorder="1" applyAlignment="1">
      <alignment vertical="center" wrapText="1"/>
    </xf>
    <xf numFmtId="0" fontId="0" fillId="19" borderId="0" xfId="0" applyFont="1" applyFill="1" applyBorder="1" applyAlignment="1">
      <alignment horizontal="center" vertical="center" wrapText="1"/>
    </xf>
    <xf numFmtId="0" fontId="0" fillId="42" borderId="0" xfId="0" applyFont="1" applyFill="1"/>
    <xf numFmtId="0" fontId="63" fillId="0" borderId="0" xfId="0" applyFont="1" applyFill="1" applyAlignment="1">
      <alignment horizontal="left"/>
    </xf>
    <xf numFmtId="0" fontId="63" fillId="0" borderId="0" xfId="0" applyFont="1" applyFill="1"/>
    <xf numFmtId="176" fontId="63" fillId="0" borderId="0" xfId="0" applyNumberFormat="1" applyFont="1" applyFill="1" applyAlignment="1">
      <alignment horizontal="center"/>
    </xf>
    <xf numFmtId="181" fontId="63" fillId="0" borderId="0" xfId="0" applyNumberFormat="1" applyFont="1" applyFill="1" applyAlignment="1">
      <alignment horizontal="center"/>
    </xf>
    <xf numFmtId="179" fontId="63" fillId="0" borderId="0" xfId="0" applyNumberFormat="1" applyFont="1" applyFill="1" applyAlignment="1">
      <alignment horizontal="center"/>
    </xf>
    <xf numFmtId="0" fontId="63" fillId="0" borderId="0" xfId="101" applyFont="1" applyFill="1" applyAlignment="1">
      <alignment horizontal="center"/>
    </xf>
    <xf numFmtId="0" fontId="63" fillId="0" borderId="0" xfId="46" applyFont="1" applyFill="1" applyAlignment="1">
      <alignment horizontal="center"/>
    </xf>
    <xf numFmtId="0" fontId="21" fillId="0" borderId="6" xfId="0" applyFont="1" applyBorder="1" applyAlignment="1">
      <alignment wrapText="1"/>
    </xf>
    <xf numFmtId="0" fontId="28" fillId="0" borderId="6" xfId="195" applyFont="1" applyBorder="1" applyAlignment="1" applyProtection="1">
      <alignment horizontal="left" vertical="center" wrapText="1"/>
      <protection locked="0"/>
    </xf>
    <xf numFmtId="0" fontId="28" fillId="7" borderId="6" xfId="195" applyFont="1" applyFill="1" applyBorder="1">
      <alignment vertical="center"/>
    </xf>
    <xf numFmtId="0" fontId="28" fillId="7" borderId="6" xfId="195" applyFont="1" applyFill="1" applyBorder="1" applyAlignment="1">
      <alignment vertical="center" wrapText="1"/>
    </xf>
    <xf numFmtId="0" fontId="36" fillId="0" borderId="6" xfId="195" applyFont="1" applyBorder="1" applyAlignment="1">
      <alignment vertical="center" wrapText="1"/>
    </xf>
    <xf numFmtId="0" fontId="36" fillId="0" borderId="6" xfId="195" applyFont="1" applyFill="1" applyBorder="1" applyAlignment="1">
      <alignment horizontal="left" vertical="center" wrapText="1"/>
    </xf>
    <xf numFmtId="0" fontId="0" fillId="45" borderId="0" xfId="0" applyFont="1" applyFill="1" applyBorder="1" applyAlignment="1">
      <alignment vertical="center" wrapText="1"/>
    </xf>
    <xf numFmtId="0" fontId="0" fillId="2" borderId="0" xfId="0" applyFont="1" applyFill="1" applyBorder="1" applyAlignment="1">
      <alignment horizontal="center" vertical="center" wrapText="1"/>
    </xf>
    <xf numFmtId="0" fontId="63" fillId="0" borderId="0" xfId="0" applyFont="1" applyFill="1" applyBorder="1" applyAlignment="1">
      <alignment vertical="center" wrapText="1"/>
    </xf>
    <xf numFmtId="0" fontId="0" fillId="4" borderId="0" xfId="0" applyFont="1" applyFill="1" applyBorder="1" applyAlignment="1">
      <alignment vertical="center"/>
    </xf>
    <xf numFmtId="0" fontId="63" fillId="0" borderId="0" xfId="0" applyFont="1" applyFill="1" applyBorder="1" applyAlignment="1">
      <alignment vertical="center"/>
    </xf>
    <xf numFmtId="0" fontId="63" fillId="2" borderId="0" xfId="0" applyFont="1" applyFill="1" applyBorder="1" applyAlignment="1">
      <alignment horizontal="left" vertical="center"/>
    </xf>
    <xf numFmtId="0" fontId="63" fillId="5" borderId="0" xfId="0" applyFont="1" applyFill="1" applyBorder="1" applyAlignment="1">
      <alignment horizontal="left" vertical="center"/>
    </xf>
    <xf numFmtId="0" fontId="63"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1" fillId="0" borderId="17" xfId="195" applyFont="1" applyBorder="1" applyAlignment="1" applyProtection="1">
      <alignment horizontal="left" vertical="center"/>
      <protection locked="0"/>
    </xf>
    <xf numFmtId="0" fontId="21" fillId="0" borderId="12" xfId="195" applyFont="1" applyBorder="1" applyAlignment="1" applyProtection="1">
      <alignment horizontal="left" vertical="center"/>
      <protection locked="0"/>
    </xf>
    <xf numFmtId="0" fontId="21" fillId="11" borderId="7" xfId="0" applyFont="1" applyFill="1" applyBorder="1" applyAlignment="1" applyProtection="1">
      <alignment horizontal="center" vertical="center" wrapText="1"/>
      <protection locked="0"/>
    </xf>
    <xf numFmtId="0" fontId="21" fillId="11" borderId="8" xfId="0" applyFont="1" applyFill="1" applyBorder="1" applyAlignment="1" applyProtection="1">
      <alignment horizontal="center" vertical="center" wrapText="1"/>
      <protection locked="0"/>
    </xf>
    <xf numFmtId="0" fontId="21" fillId="4" borderId="7" xfId="195" applyFont="1" applyFill="1" applyBorder="1" applyAlignment="1" applyProtection="1">
      <alignment horizontal="center" vertical="center" wrapText="1"/>
      <protection locked="0"/>
    </xf>
    <xf numFmtId="0" fontId="21" fillId="4" borderId="15" xfId="195" applyFont="1" applyFill="1" applyBorder="1" applyAlignment="1" applyProtection="1">
      <alignment horizontal="center" vertical="center" wrapText="1"/>
      <protection locked="0"/>
    </xf>
    <xf numFmtId="0" fontId="21" fillId="4" borderId="8" xfId="195" applyFont="1" applyFill="1" applyBorder="1" applyAlignment="1" applyProtection="1">
      <alignment horizontal="center" vertical="center" wrapText="1"/>
      <protection locked="0"/>
    </xf>
    <xf numFmtId="0" fontId="21" fillId="4" borderId="7" xfId="195" applyFont="1" applyFill="1" applyBorder="1" applyAlignment="1" applyProtection="1">
      <alignment horizontal="center" vertical="center"/>
      <protection locked="0"/>
    </xf>
    <xf numFmtId="0" fontId="21" fillId="4" borderId="8" xfId="195" applyFont="1" applyFill="1" applyBorder="1" applyAlignment="1" applyProtection="1">
      <alignment horizontal="center" vertical="center"/>
      <protection locked="0"/>
    </xf>
    <xf numFmtId="0" fontId="21" fillId="6" borderId="7" xfId="195" applyFont="1" applyFill="1" applyBorder="1" applyAlignment="1" applyProtection="1">
      <alignment horizontal="center" vertical="center"/>
      <protection locked="0"/>
    </xf>
    <xf numFmtId="0" fontId="21" fillId="6" borderId="15" xfId="195" applyFont="1" applyFill="1" applyBorder="1" applyAlignment="1" applyProtection="1">
      <alignment horizontal="center" vertical="center"/>
      <protection locked="0"/>
    </xf>
    <xf numFmtId="0" fontId="21" fillId="6" borderId="8" xfId="195" applyFont="1" applyFill="1" applyBorder="1" applyAlignment="1" applyProtection="1">
      <alignment horizontal="center" vertical="center"/>
      <protection locked="0"/>
    </xf>
    <xf numFmtId="0" fontId="21" fillId="0" borderId="7" xfId="195" applyFont="1" applyBorder="1" applyAlignment="1" applyProtection="1">
      <alignment horizontal="left" vertical="center"/>
      <protection locked="0"/>
    </xf>
    <xf numFmtId="0" fontId="21" fillId="0" borderId="8" xfId="195" applyFont="1" applyBorder="1" applyAlignment="1" applyProtection="1">
      <alignment horizontal="left" vertical="center"/>
      <protection locked="0"/>
    </xf>
    <xf numFmtId="0" fontId="21" fillId="0" borderId="7" xfId="195" applyFont="1" applyBorder="1" applyAlignment="1" applyProtection="1">
      <alignment horizontal="left" vertical="center" wrapText="1"/>
      <protection locked="0"/>
    </xf>
    <xf numFmtId="0" fontId="21" fillId="0" borderId="8" xfId="195"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1" fillId="0" borderId="7" xfId="195" applyFont="1" applyBorder="1" applyAlignment="1" applyProtection="1">
      <alignment horizontal="center" vertical="center"/>
      <protection locked="0"/>
    </xf>
    <xf numFmtId="0" fontId="21" fillId="0" borderId="8" xfId="195" applyFont="1" applyBorder="1" applyAlignment="1" applyProtection="1">
      <alignment horizontal="center" vertical="center"/>
      <protection locked="0"/>
    </xf>
    <xf numFmtId="0" fontId="21" fillId="0" borderId="7" xfId="0" applyFont="1" applyFill="1" applyBorder="1" applyAlignment="1" applyProtection="1">
      <alignment horizontal="center" wrapText="1"/>
      <protection locked="0"/>
    </xf>
    <xf numFmtId="0" fontId="21" fillId="0" borderId="8" xfId="0" applyFont="1" applyFill="1" applyBorder="1" applyAlignment="1" applyProtection="1">
      <alignment horizontal="center" wrapText="1"/>
      <protection locked="0"/>
    </xf>
    <xf numFmtId="0" fontId="21" fillId="0" borderId="7" xfId="0" applyFont="1" applyFill="1" applyBorder="1" applyAlignment="1" applyProtection="1">
      <alignment horizontal="left" wrapText="1"/>
      <protection locked="0"/>
    </xf>
    <xf numFmtId="0" fontId="21" fillId="0" borderId="8" xfId="0" applyFont="1" applyFill="1" applyBorder="1" applyAlignment="1" applyProtection="1">
      <alignment horizontal="left" wrapText="1"/>
      <protection locked="0"/>
    </xf>
    <xf numFmtId="0" fontId="20" fillId="0" borderId="15" xfId="195" applyBorder="1" applyAlignment="1" applyProtection="1">
      <alignment horizontal="center" vertical="center"/>
      <protection locked="0"/>
    </xf>
    <xf numFmtId="0" fontId="20" fillId="0" borderId="8" xfId="195" applyBorder="1" applyAlignment="1" applyProtection="1">
      <alignment horizontal="center" vertical="center"/>
      <protection locked="0"/>
    </xf>
    <xf numFmtId="0" fontId="21" fillId="11" borderId="7" xfId="0" applyFont="1" applyFill="1" applyBorder="1" applyAlignment="1" applyProtection="1">
      <alignment horizontal="center" wrapText="1"/>
      <protection locked="0"/>
    </xf>
    <xf numFmtId="0" fontId="21" fillId="11" borderId="8" xfId="0" applyFont="1" applyFill="1" applyBorder="1" applyAlignment="1" applyProtection="1">
      <alignment horizontal="center" wrapText="1"/>
      <protection locked="0"/>
    </xf>
    <xf numFmtId="0" fontId="35" fillId="0" borderId="7" xfId="0" applyFont="1" applyFill="1" applyBorder="1" applyAlignment="1" applyProtection="1">
      <alignment horizontal="center" wrapText="1"/>
      <protection locked="0"/>
    </xf>
    <xf numFmtId="0" fontId="35" fillId="0" borderId="8" xfId="0" applyFont="1" applyFill="1" applyBorder="1" applyAlignment="1" applyProtection="1">
      <alignment horizontal="center" wrapText="1"/>
      <protection locked="0"/>
    </xf>
    <xf numFmtId="0" fontId="26" fillId="0" borderId="7" xfId="0" applyFont="1" applyFill="1" applyBorder="1" applyAlignment="1" applyProtection="1">
      <alignment horizontal="left" wrapText="1"/>
      <protection locked="0"/>
    </xf>
    <xf numFmtId="0" fontId="26" fillId="0" borderId="8" xfId="0" applyFont="1" applyFill="1" applyBorder="1" applyAlignment="1" applyProtection="1">
      <alignment horizontal="left" wrapText="1"/>
      <protection locked="0"/>
    </xf>
    <xf numFmtId="0" fontId="21" fillId="6" borderId="7" xfId="195" applyFont="1" applyFill="1" applyBorder="1" applyAlignment="1">
      <alignment horizontal="center" vertical="center"/>
    </xf>
    <xf numFmtId="0" fontId="21" fillId="6" borderId="8" xfId="195" applyFont="1" applyFill="1" applyBorder="1" applyAlignment="1">
      <alignment horizontal="center" vertical="center"/>
    </xf>
    <xf numFmtId="0" fontId="21" fillId="4" borderId="7" xfId="195" applyFont="1" applyFill="1" applyBorder="1" applyAlignment="1">
      <alignment horizontal="center" vertical="center"/>
    </xf>
    <xf numFmtId="0" fontId="21" fillId="4" borderId="8" xfId="195" applyFont="1" applyFill="1" applyBorder="1" applyAlignment="1">
      <alignment horizontal="center" vertical="center"/>
    </xf>
    <xf numFmtId="0" fontId="21" fillId="11" borderId="7" xfId="0" applyFont="1" applyFill="1" applyBorder="1" applyAlignment="1">
      <alignment horizontal="left" vertical="center" wrapText="1"/>
    </xf>
    <xf numFmtId="0" fontId="21" fillId="11" borderId="8" xfId="0" applyFont="1" applyFill="1" applyBorder="1" applyAlignment="1">
      <alignment horizontal="left" vertical="center" wrapText="1"/>
    </xf>
    <xf numFmtId="0" fontId="21" fillId="4" borderId="7" xfId="195" applyFont="1" applyFill="1" applyBorder="1" applyAlignment="1">
      <alignment horizontal="center" vertical="center" wrapText="1"/>
    </xf>
    <xf numFmtId="0" fontId="21" fillId="4" borderId="15" xfId="195" applyFont="1" applyFill="1" applyBorder="1" applyAlignment="1">
      <alignment horizontal="center" vertical="center" wrapText="1"/>
    </xf>
    <xf numFmtId="0" fontId="21" fillId="4" borderId="8" xfId="195" applyFont="1" applyFill="1" applyBorder="1" applyAlignment="1">
      <alignment horizontal="center" vertical="center" wrapText="1"/>
    </xf>
    <xf numFmtId="0" fontId="21" fillId="0" borderId="7" xfId="195" applyFont="1" applyBorder="1" applyAlignment="1">
      <alignment horizontal="left" vertical="center"/>
    </xf>
    <xf numFmtId="0" fontId="21" fillId="0" borderId="8" xfId="195" applyFont="1" applyBorder="1" applyAlignment="1">
      <alignment horizontal="left" vertical="center"/>
    </xf>
    <xf numFmtId="0" fontId="21" fillId="0" borderId="7" xfId="195" applyFont="1" applyBorder="1" applyAlignment="1">
      <alignment horizontal="left" vertical="center" wrapText="1"/>
    </xf>
    <xf numFmtId="0" fontId="21" fillId="0" borderId="8" xfId="195"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1" fillId="0" borderId="7" xfId="0" applyFont="1" applyFill="1" applyBorder="1" applyAlignment="1">
      <alignment horizontal="left" wrapText="1"/>
    </xf>
    <xf numFmtId="0" fontId="21" fillId="0" borderId="8" xfId="0" applyFont="1" applyFill="1" applyBorder="1" applyAlignment="1">
      <alignment horizontal="left" wrapText="1"/>
    </xf>
    <xf numFmtId="0" fontId="21" fillId="0" borderId="7" xfId="195" applyFont="1" applyBorder="1" applyAlignment="1">
      <alignment horizontal="center" vertical="center"/>
    </xf>
    <xf numFmtId="0" fontId="21" fillId="0" borderId="8" xfId="195" applyFont="1" applyBorder="1" applyAlignment="1">
      <alignment horizontal="center" vertical="center"/>
    </xf>
    <xf numFmtId="0" fontId="20" fillId="0" borderId="6" xfId="195" applyBorder="1" applyAlignment="1">
      <alignment horizontal="left" vertical="center"/>
    </xf>
    <xf numFmtId="0" fontId="21" fillId="11" borderId="7" xfId="0" applyFont="1" applyFill="1" applyBorder="1" applyAlignment="1">
      <alignment horizontal="left" wrapText="1"/>
    </xf>
    <xf numFmtId="0" fontId="21" fillId="11" borderId="8" xfId="0" applyFont="1" applyFill="1" applyBorder="1" applyAlignment="1">
      <alignment horizontal="left" wrapText="1"/>
    </xf>
    <xf numFmtId="0" fontId="35" fillId="0" borderId="7" xfId="0" applyFont="1" applyFill="1" applyBorder="1" applyAlignment="1">
      <alignment horizontal="left" wrapText="1"/>
    </xf>
    <xf numFmtId="0" fontId="35" fillId="0" borderId="8" xfId="0" applyFont="1" applyFill="1" applyBorder="1" applyAlignment="1">
      <alignment horizontal="left" wrapText="1"/>
    </xf>
    <xf numFmtId="0" fontId="26" fillId="0" borderId="7" xfId="0" applyFont="1" applyFill="1" applyBorder="1" applyAlignment="1">
      <alignment horizontal="left" wrapText="1"/>
    </xf>
    <xf numFmtId="0" fontId="26" fillId="0" borderId="8" xfId="0" applyFont="1" applyFill="1" applyBorder="1" applyAlignment="1">
      <alignment horizontal="left" wrapText="1"/>
    </xf>
    <xf numFmtId="0" fontId="28" fillId="4" borderId="7" xfId="195" applyFont="1" applyFill="1" applyBorder="1" applyAlignment="1">
      <alignment horizontal="center" vertical="center"/>
    </xf>
    <xf numFmtId="0" fontId="28" fillId="4" borderId="8" xfId="195" applyFont="1" applyFill="1" applyBorder="1" applyAlignment="1">
      <alignment horizontal="center" vertical="center"/>
    </xf>
    <xf numFmtId="0" fontId="21" fillId="11" borderId="7"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0" borderId="7" xfId="195" applyFont="1" applyBorder="1" applyAlignment="1">
      <alignment horizontal="center" vertical="center" wrapText="1"/>
    </xf>
    <xf numFmtId="0" fontId="21" fillId="0" borderId="8" xfId="195" applyFont="1" applyBorder="1" applyAlignment="1">
      <alignment horizontal="center" vertical="center" wrapText="1"/>
    </xf>
    <xf numFmtId="0" fontId="20" fillId="0" borderId="6" xfId="195" applyBorder="1" applyAlignment="1">
      <alignment horizontal="center" vertical="center"/>
    </xf>
    <xf numFmtId="0" fontId="21" fillId="11" borderId="7" xfId="0" applyFont="1" applyFill="1" applyBorder="1" applyAlignment="1">
      <alignment horizontal="center" wrapText="1"/>
    </xf>
    <xf numFmtId="0" fontId="21" fillId="11" borderId="8" xfId="0" applyFont="1" applyFill="1" applyBorder="1" applyAlignment="1">
      <alignment horizontal="center" wrapText="1"/>
    </xf>
    <xf numFmtId="0" fontId="21" fillId="0" borderId="6" xfId="0" applyFont="1" applyFill="1" applyBorder="1" applyAlignment="1">
      <alignment horizontal="left" wrapText="1"/>
    </xf>
    <xf numFmtId="0" fontId="25" fillId="0" borderId="7" xfId="0" applyFont="1" applyFill="1" applyBorder="1" applyAlignment="1">
      <alignment horizontal="center" wrapText="1"/>
    </xf>
    <xf numFmtId="0" fontId="25" fillId="0" borderId="8" xfId="0" applyFont="1" applyFill="1" applyBorder="1" applyAlignment="1">
      <alignment horizontal="center" wrapText="1"/>
    </xf>
    <xf numFmtId="0" fontId="20" fillId="0" borderId="15" xfId="195" applyBorder="1" applyAlignment="1">
      <alignment horizontal="left" vertical="center"/>
    </xf>
    <xf numFmtId="0" fontId="20" fillId="0" borderId="8" xfId="195" applyBorder="1" applyAlignment="1">
      <alignment horizontal="left" vertical="center"/>
    </xf>
    <xf numFmtId="0" fontId="22" fillId="11" borderId="0" xfId="0" applyFont="1" applyFill="1" applyBorder="1" applyAlignment="1">
      <alignment horizontal="center" wrapText="1"/>
    </xf>
    <xf numFmtId="0" fontId="22" fillId="11" borderId="5" xfId="0" applyFont="1" applyFill="1" applyBorder="1" applyAlignment="1">
      <alignment horizontal="center" wrapText="1"/>
    </xf>
    <xf numFmtId="0" fontId="29" fillId="4" borderId="7" xfId="195" applyFont="1" applyFill="1" applyBorder="1" applyAlignment="1">
      <alignment horizontal="center" vertical="center"/>
    </xf>
    <xf numFmtId="0" fontId="29" fillId="4" borderId="8" xfId="195" applyFont="1" applyFill="1" applyBorder="1" applyAlignment="1">
      <alignment horizontal="center" vertical="center"/>
    </xf>
    <xf numFmtId="0" fontId="21" fillId="0" borderId="9" xfId="0" applyFont="1" applyFill="1" applyBorder="1" applyAlignment="1">
      <alignment vertical="top" wrapText="1"/>
    </xf>
    <xf numFmtId="0" fontId="21" fillId="0" borderId="11" xfId="0" applyFont="1" applyFill="1" applyBorder="1" applyAlignment="1">
      <alignment vertical="top" wrapText="1"/>
    </xf>
    <xf numFmtId="0" fontId="21" fillId="0" borderId="10" xfId="0" applyFont="1" applyFill="1" applyBorder="1" applyAlignment="1">
      <alignment vertical="top" wrapText="1"/>
    </xf>
    <xf numFmtId="0" fontId="21" fillId="0" borderId="9" xfId="0" applyFont="1" applyFill="1" applyBorder="1" applyAlignment="1"/>
    <xf numFmtId="0" fontId="21" fillId="0" borderId="11" xfId="0" applyFont="1" applyFill="1" applyBorder="1" applyAlignment="1"/>
    <xf numFmtId="0" fontId="21" fillId="0" borderId="9" xfId="0" applyFont="1" applyFill="1" applyBorder="1" applyAlignment="1">
      <alignment wrapText="1"/>
    </xf>
    <xf numFmtId="0" fontId="21" fillId="0" borderId="11" xfId="0" applyFont="1" applyFill="1" applyBorder="1" applyAlignment="1">
      <alignment wrapText="1"/>
    </xf>
    <xf numFmtId="0" fontId="21" fillId="11" borderId="9" xfId="0" applyFont="1" applyFill="1" applyBorder="1" applyAlignment="1">
      <alignment horizontal="center" wrapText="1"/>
    </xf>
    <xf numFmtId="0" fontId="21" fillId="11" borderId="11" xfId="0" applyFont="1" applyFill="1" applyBorder="1" applyAlignment="1">
      <alignment horizontal="center" wrapText="1"/>
    </xf>
    <xf numFmtId="0" fontId="21" fillId="0" borderId="6" xfId="0" applyFont="1" applyFill="1" applyBorder="1" applyAlignment="1">
      <alignment horizontal="center" wrapText="1"/>
    </xf>
    <xf numFmtId="0" fontId="22" fillId="11" borderId="12" xfId="0" applyFont="1" applyFill="1" applyBorder="1" applyAlignment="1">
      <alignment horizontal="center" wrapText="1"/>
    </xf>
    <xf numFmtId="0" fontId="22" fillId="11" borderId="13" xfId="0" applyFont="1" applyFill="1" applyBorder="1" applyAlignment="1">
      <alignment horizontal="center" wrapText="1"/>
    </xf>
    <xf numFmtId="0" fontId="20" fillId="0" borderId="9" xfId="195" applyBorder="1" applyAlignment="1">
      <alignment horizontal="center" vertical="center"/>
    </xf>
    <xf numFmtId="0" fontId="20" fillId="0" borderId="10" xfId="195" applyBorder="1" applyAlignment="1">
      <alignment horizontal="center" vertical="center"/>
    </xf>
    <xf numFmtId="0" fontId="20" fillId="0" borderId="11" xfId="195" applyBorder="1" applyAlignment="1">
      <alignment horizontal="center" vertical="center"/>
    </xf>
    <xf numFmtId="0" fontId="21" fillId="0" borderId="6" xfId="0" applyFont="1" applyFill="1" applyBorder="1" applyAlignment="1">
      <alignment vertical="top" wrapText="1"/>
    </xf>
    <xf numFmtId="0" fontId="21" fillId="0" borderId="6" xfId="0" applyFont="1" applyFill="1" applyBorder="1" applyAlignment="1"/>
    <xf numFmtId="0" fontId="21" fillId="0" borderId="6" xfId="0" applyFont="1" applyFill="1" applyBorder="1" applyAlignment="1">
      <alignment wrapText="1"/>
    </xf>
    <xf numFmtId="0" fontId="15" fillId="0" borderId="0" xfId="0" applyFont="1" applyAlignment="1">
      <alignment horizontal="left" wrapText="1"/>
    </xf>
    <xf numFmtId="0" fontId="0" fillId="0" borderId="0" xfId="0" applyFont="1" applyAlignment="1">
      <alignment horizontal="left"/>
    </xf>
    <xf numFmtId="0" fontId="6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3" fillId="2" borderId="2" xfId="0" applyFont="1" applyFill="1" applyBorder="1" applyAlignment="1">
      <alignment horizontal="center" vertical="center" wrapText="1"/>
    </xf>
    <xf numFmtId="0" fontId="63" fillId="2" borderId="0"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63" fillId="5" borderId="0" xfId="0" applyFont="1" applyFill="1" applyBorder="1" applyAlignment="1">
      <alignment horizontal="center" vertical="center" wrapText="1"/>
    </xf>
    <xf numFmtId="0" fontId="0" fillId="5" borderId="0" xfId="0" applyFont="1" applyFill="1" applyBorder="1" applyAlignment="1">
      <alignment horizontal="center" vertical="center" wrapText="1"/>
    </xf>
  </cellXfs>
  <cellStyles count="220">
    <cellStyle name="20% - Accent1 2" xfId="29"/>
    <cellStyle name="20% - Accent1 2 2" xfId="36"/>
    <cellStyle name="20% - Accent1 2_UMi-70GHz" xfId="37"/>
    <cellStyle name="20% - Accent1 3" xfId="20"/>
    <cellStyle name="20% - Accent2 2" xfId="16"/>
    <cellStyle name="20% - Accent2 2 2" xfId="7"/>
    <cellStyle name="20% - Accent2 2_UMi-70GHz" xfId="34"/>
    <cellStyle name="20% - Accent2 3" xfId="38"/>
    <cellStyle name="20% - Accent3 2" xfId="19"/>
    <cellStyle name="20% - Accent3 2 2" xfId="32"/>
    <cellStyle name="20% - Accent3 2_UMi-70GHz" xfId="24"/>
    <cellStyle name="20% - Accent3 3" xfId="40"/>
    <cellStyle name="20% - Accent4 2" xfId="43"/>
    <cellStyle name="20% - Accent4 2 2" xfId="45"/>
    <cellStyle name="20% - Accent4 2_UMi-70GHz" xfId="47"/>
    <cellStyle name="20% - Accent4 3" xfId="50"/>
    <cellStyle name="20% - Accent5 2" xfId="52"/>
    <cellStyle name="20% - Accent5 2 2" xfId="54"/>
    <cellStyle name="20% - Accent5 2_UMi-70GHz" xfId="1"/>
    <cellStyle name="20% - Accent5 3" xfId="56"/>
    <cellStyle name="20% - Accent6 2" xfId="58"/>
    <cellStyle name="20% - Accent6 2 2" xfId="61"/>
    <cellStyle name="20% - Accent6 2_UMi-70GHz" xfId="62"/>
    <cellStyle name="20% - Accent6 3" xfId="64"/>
    <cellStyle name="20% - アクセント 5" xfId="23" builtinId="46"/>
    <cellStyle name="20% - アクセント 6" xfId="13" builtinId="50"/>
    <cellStyle name="20% - 강조색1 2" xfId="66"/>
    <cellStyle name="20% - 강조색1 3" xfId="67"/>
    <cellStyle name="20% - 강조색2 2" xfId="68"/>
    <cellStyle name="20% - 강조색2 3" xfId="69"/>
    <cellStyle name="20% - 강조색3 2" xfId="8"/>
    <cellStyle name="20% - 강조색3 3" xfId="5"/>
    <cellStyle name="20% - 강조색4 2" xfId="70"/>
    <cellStyle name="20% - 강조색4 3" xfId="71"/>
    <cellStyle name="20% - 강조색5 2" xfId="73"/>
    <cellStyle name="20% - 강조색5 3" xfId="74"/>
    <cellStyle name="20% - 강조색6 2" xfId="75"/>
    <cellStyle name="20% - 강조색6 3" xfId="76"/>
    <cellStyle name="20% - 着色 5 2" xfId="101"/>
    <cellStyle name="20% - 着色 5 2 2" xfId="219"/>
    <cellStyle name="20% - 着色 6 2" xfId="102"/>
    <cellStyle name="20% - 强调文字颜色 1 2" xfId="78"/>
    <cellStyle name="20% - 强调文字颜色 1 3" xfId="28"/>
    <cellStyle name="20% - 强调文字颜色 1 3 2" xfId="35"/>
    <cellStyle name="20% - 强调文字颜色 1 3 2 2" xfId="72"/>
    <cellStyle name="20% - 强调文字颜色 1 3 3" xfId="80"/>
    <cellStyle name="20% - 强调文字颜色 2 2" xfId="81"/>
    <cellStyle name="20% - 强调文字颜色 2 3" xfId="15"/>
    <cellStyle name="20% - 强调文字颜色 2 3 2" xfId="6"/>
    <cellStyle name="20% - 强调文字颜色 2 3 2 2" xfId="82"/>
    <cellStyle name="20% - 强调文字颜色 2 3 3" xfId="83"/>
    <cellStyle name="20% - 强调文字颜色 3 2" xfId="84"/>
    <cellStyle name="20% - 强调文字颜色 3 3" xfId="18"/>
    <cellStyle name="20% - 强调文字颜色 3 3 2" xfId="31"/>
    <cellStyle name="20% - 强调文字颜色 3 3 2 2" xfId="86"/>
    <cellStyle name="20% - 强调文字颜色 3 3 3" xfId="87"/>
    <cellStyle name="20% - 强调文字颜色 4 2" xfId="89"/>
    <cellStyle name="20% - 强调文字颜色 4 3" xfId="42"/>
    <cellStyle name="20% - 强调文字颜色 4 3 2" xfId="44"/>
    <cellStyle name="20% - 强调文字颜色 4 3 2 2" xfId="90"/>
    <cellStyle name="20% - 强调文字颜色 4 3 3" xfId="91"/>
    <cellStyle name="20% - 强调文字颜色 5 2" xfId="92"/>
    <cellStyle name="20% - 强调文字颜色 5 2 2" xfId="94"/>
    <cellStyle name="20% - 强调文字颜色 5 3" xfId="51"/>
    <cellStyle name="20% - 强调文字颜色 5 3 2" xfId="53"/>
    <cellStyle name="20% - 强调文字颜色 5 3 2 2" xfId="95"/>
    <cellStyle name="20% - 强调文字颜色 5 3 3" xfId="9"/>
    <cellStyle name="20% - 强调文字颜色 6 2" xfId="96"/>
    <cellStyle name="20% - 强调文字颜色 6 2 2" xfId="97"/>
    <cellStyle name="20% - 强调文字颜色 6 2 2 2" xfId="218"/>
    <cellStyle name="20% - 强调文字颜色 6 3" xfId="57"/>
    <cellStyle name="20% - 强调文字颜色 6 3 2" xfId="60"/>
    <cellStyle name="20% - 强调文字颜色 6 3 2 2" xfId="98"/>
    <cellStyle name="20% - 强调文字颜色 6 3 3" xfId="99"/>
    <cellStyle name="40% - Accent1 2" xfId="103"/>
    <cellStyle name="40% - Accent1 2 2" xfId="104"/>
    <cellStyle name="40% - Accent1 2_UMi-70GHz" xfId="105"/>
    <cellStyle name="40% - Accent1 3" xfId="106"/>
    <cellStyle name="40% - Accent2 2" xfId="107"/>
    <cellStyle name="40% - Accent2 2 2" xfId="108"/>
    <cellStyle name="40% - Accent2 2_UMi-70GHz" xfId="109"/>
    <cellStyle name="40% - Accent2 3" xfId="33"/>
    <cellStyle name="40% - Accent3 2" xfId="110"/>
    <cellStyle name="40% - Accent3 2 2" xfId="111"/>
    <cellStyle name="40% - Accent3 2_UMi-70GHz" xfId="59"/>
    <cellStyle name="40% - Accent3 3" xfId="112"/>
    <cellStyle name="40% - Accent4 2" xfId="113"/>
    <cellStyle name="40% - Accent4 2 2" xfId="114"/>
    <cellStyle name="40% - Accent4 2_UMi-70GHz" xfId="115"/>
    <cellStyle name="40% - Accent4 3" xfId="116"/>
    <cellStyle name="40% - Accent5 2" xfId="117"/>
    <cellStyle name="40% - Accent5 2 2" xfId="118"/>
    <cellStyle name="40% - Accent5 2_UMi-70GHz" xfId="119"/>
    <cellStyle name="40% - Accent5 3" xfId="120"/>
    <cellStyle name="40% - Accent6 2" xfId="121"/>
    <cellStyle name="40% - Accent6 2 2" xfId="22"/>
    <cellStyle name="40% - Accent6 2_UMi-70GHz" xfId="122"/>
    <cellStyle name="40% - Accent6 3" xfId="123"/>
    <cellStyle name="40% - 강조색1 2" xfId="124"/>
    <cellStyle name="40% - 강조색1 3" xfId="125"/>
    <cellStyle name="40% - 강조색2 2" xfId="126"/>
    <cellStyle name="40% - 강조색2 3" xfId="127"/>
    <cellStyle name="40% - 강조색3 2" xfId="128"/>
    <cellStyle name="40% - 강조색3 3" xfId="129"/>
    <cellStyle name="40% - 강조색4 2" xfId="130"/>
    <cellStyle name="40% - 강조색4 3" xfId="131"/>
    <cellStyle name="40% - 강조색5 2" xfId="132"/>
    <cellStyle name="40% - 강조색5 3" xfId="2"/>
    <cellStyle name="40% - 강조색6 2" xfId="133"/>
    <cellStyle name="40% - 강조색6 3" xfId="135"/>
    <cellStyle name="40% - 强调文字颜色 1 2" xfId="138"/>
    <cellStyle name="40% - 强调文字颜色 1 3" xfId="140"/>
    <cellStyle name="40% - 强调文字颜色 1 3 2" xfId="141"/>
    <cellStyle name="40% - 强调文字颜色 1 3 2 2" xfId="143"/>
    <cellStyle name="40% - 强调文字颜色 1 3 3" xfId="144"/>
    <cellStyle name="40% - 强调文字颜色 2 2" xfId="145"/>
    <cellStyle name="40% - 强调文字颜色 2 3" xfId="146"/>
    <cellStyle name="40% - 强调文字颜色 2 3 2" xfId="147"/>
    <cellStyle name="40% - 强调文字颜色 2 3 2 2" xfId="148"/>
    <cellStyle name="40% - 强调文字颜色 2 3 3" xfId="149"/>
    <cellStyle name="40% - 强调文字颜色 3 2" xfId="79"/>
    <cellStyle name="40% - 强调文字颜色 3 3" xfId="150"/>
    <cellStyle name="40% - 强调文字颜色 3 3 2" xfId="151"/>
    <cellStyle name="40% - 强调文字颜色 3 3 2 2" xfId="152"/>
    <cellStyle name="40% - 强调文字颜色 3 3 3" xfId="11"/>
    <cellStyle name="40% - 强调文字颜色 4 2" xfId="12"/>
    <cellStyle name="40% - 强调文字颜色 4 3" xfId="153"/>
    <cellStyle name="40% - 强调文字颜色 4 3 2" xfId="25"/>
    <cellStyle name="40% - 强调文字颜色 4 3 2 2" xfId="137"/>
    <cellStyle name="40% - 强调文字颜色 4 3 3" xfId="27"/>
    <cellStyle name="40% - 强调文字颜色 5 2" xfId="154"/>
    <cellStyle name="40% - 强调文字颜色 5 3" xfId="155"/>
    <cellStyle name="40% - 强调文字颜色 5 3 2" xfId="156"/>
    <cellStyle name="40% - 强调文字颜色 5 3 2 2" xfId="157"/>
    <cellStyle name="40% - 强调文字颜色 5 3 3" xfId="158"/>
    <cellStyle name="40% - 强调文字颜色 6 2" xfId="85"/>
    <cellStyle name="40% - 强调文字颜色 6 3" xfId="159"/>
    <cellStyle name="40% - 强调文字颜色 6 3 2" xfId="160"/>
    <cellStyle name="40% - 强调文字颜色 6 3 2 2" xfId="161"/>
    <cellStyle name="40% - 强调文字颜色 6 3 3" xfId="162"/>
    <cellStyle name="60% - 强调文字颜色 1 2" xfId="39"/>
    <cellStyle name="60% - 强调文字颜色 2 2" xfId="49"/>
    <cellStyle name="60% - 强调文字颜色 3 2" xfId="55"/>
    <cellStyle name="60% - 强调文字颜色 4 2" xfId="63"/>
    <cellStyle name="60% - 强调文字颜色 5 2" xfId="163"/>
    <cellStyle name="60% - 强调文字颜色 6 2" xfId="164"/>
    <cellStyle name="Commentaire 2" xfId="165"/>
    <cellStyle name="Commentaire 2 2" xfId="166"/>
    <cellStyle name="Commentaire 2 2 2" xfId="10"/>
    <cellStyle name="Commentaire 2 3" xfId="65"/>
    <cellStyle name="Normal 2" xfId="167"/>
    <cellStyle name="Normal 2 2" xfId="168"/>
    <cellStyle name="Normal 2 2 2" xfId="46"/>
    <cellStyle name="Normal 2 2 2 2" xfId="169"/>
    <cellStyle name="Normal 2 2 2_UMi-70GHz" xfId="170"/>
    <cellStyle name="Normal 2 2 3" xfId="171"/>
    <cellStyle name="Normal 2 2_UMi-70GHz" xfId="172"/>
    <cellStyle name="Normal 2 3" xfId="173"/>
    <cellStyle name="Normal 2 3 2" xfId="174"/>
    <cellStyle name="Normal 2 3_UMi-70GHz" xfId="134"/>
    <cellStyle name="Normal 2 4" xfId="175"/>
    <cellStyle name="Normal 2_UMi-70GHz" xfId="93"/>
    <cellStyle name="Normal 3" xfId="176"/>
    <cellStyle name="Normal 3 2" xfId="177"/>
    <cellStyle name="Normal 3 3" xfId="142"/>
    <cellStyle name="Normal 3 3 2" xfId="178"/>
    <cellStyle name="Normal 3 3_UMi-70GHz" xfId="179"/>
    <cellStyle name="Normal 3 4" xfId="77"/>
    <cellStyle name="Normal 3_UMi-70GHz" xfId="180"/>
    <cellStyle name="Normal 4" xfId="181"/>
    <cellStyle name="Normal 4 2" xfId="182"/>
    <cellStyle name="Normal 4 2 2" xfId="183"/>
    <cellStyle name="Normal 4 2_UMi-70GHz" xfId="21"/>
    <cellStyle name="Normal 4 3" xfId="184"/>
    <cellStyle name="Normal 4_UMi-70GHz" xfId="185"/>
    <cellStyle name="TableStyleLight1" xfId="186"/>
    <cellStyle name="TableStyleLight1 2" xfId="187"/>
    <cellStyle name="一般 2" xfId="136"/>
    <cellStyle name="一般 2 2" xfId="212"/>
    <cellStyle name="一般 2 3" xfId="213"/>
    <cellStyle name="一般 2_UMi-70GHz" xfId="214"/>
    <cellStyle name="一般 3" xfId="139"/>
    <cellStyle name="解释性文本 2" xfId="202"/>
    <cellStyle name="警告文本 2" xfId="203"/>
    <cellStyle name="好 2" xfId="199"/>
    <cellStyle name="好_UMi-70GHz" xfId="4"/>
    <cellStyle name="差 2" xfId="193"/>
    <cellStyle name="差_UMi-70GHz" xfId="194"/>
    <cellStyle name="集計" xfId="17" builtinId="25"/>
    <cellStyle name="常规 2" xfId="195"/>
    <cellStyle name="常规 3" xfId="88"/>
    <cellStyle name="常规 3 2" xfId="196"/>
    <cellStyle name="常规 3 2 2" xfId="197"/>
    <cellStyle name="常规 3 2 2 2" xfId="100"/>
    <cellStyle name="常规 3 3" xfId="198"/>
    <cellStyle name="常规 4" xfId="41"/>
    <cellStyle name="常规 5" xfId="48"/>
    <cellStyle name="注释 2" xfId="215"/>
    <cellStyle name="注释 2 2" xfId="216"/>
    <cellStyle name="注释 2 2 2" xfId="217"/>
    <cellStyle name="注释 2 3" xfId="14"/>
    <cellStyle name="標準" xfId="0" builtinId="0"/>
    <cellStyle name="强调文字颜色 1 2" xfId="205"/>
    <cellStyle name="强调文字颜色 2 2" xfId="206"/>
    <cellStyle name="强调文字颜色 3 2" xfId="207"/>
    <cellStyle name="强调文字颜色 4 2" xfId="208"/>
    <cellStyle name="强调文字颜色 5 2" xfId="209"/>
    <cellStyle name="强调文字颜色 6 2" xfId="210"/>
    <cellStyle name="标题 1 2" xfId="188"/>
    <cellStyle name="标题 2 2" xfId="189"/>
    <cellStyle name="标题 3 2" xfId="190"/>
    <cellStyle name="标题 4 2" xfId="191"/>
    <cellStyle name="标题 5" xfId="192"/>
    <cellStyle name="检查单元格 2" xfId="201"/>
    <cellStyle name="汇总 2" xfId="200"/>
    <cellStyle name="计算 2" xfId="3"/>
    <cellStyle name="输出 2" xfId="26"/>
    <cellStyle name="输入 2" xfId="211"/>
    <cellStyle name="适中 2" xfId="30"/>
    <cellStyle name="链接单元格 2" xfId="204"/>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28575</xdr:colOff>
      <xdr:row>57</xdr:row>
      <xdr:rowOff>9525</xdr:rowOff>
    </xdr:from>
    <xdr:to>
      <xdr:col>2</xdr:col>
      <xdr:colOff>590550</xdr:colOff>
      <xdr:row>58</xdr:row>
      <xdr:rowOff>180975</xdr:rowOff>
    </xdr:to>
    <xdr:pic>
      <xdr:nvPicPr>
        <xdr:cNvPr id="2" name="Picture 1">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2686050" y="13858875"/>
          <a:ext cx="561975" cy="3524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53</xdr:row>
      <xdr:rowOff>9525</xdr:rowOff>
    </xdr:from>
    <xdr:to>
      <xdr:col>2</xdr:col>
      <xdr:colOff>590550</xdr:colOff>
      <xdr:row>54</xdr:row>
      <xdr:rowOff>180975</xdr:rowOff>
    </xdr:to>
    <xdr:pic>
      <xdr:nvPicPr>
        <xdr:cNvPr id="2" name="Picture 1">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2686050" y="12982575"/>
          <a:ext cx="561975" cy="352425"/>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4:E66"/>
  <sheetViews>
    <sheetView topLeftCell="A37" workbookViewId="0">
      <selection activeCell="I59" sqref="I59"/>
    </sheetView>
  </sheetViews>
  <sheetFormatPr defaultColWidth="9.44140625" defaultRowHeight="13.2"/>
  <cols>
    <col min="1" max="1" width="10.44140625" customWidth="1"/>
    <col min="2" max="2" width="13.5546875" customWidth="1"/>
    <col min="4" max="4" width="24.5546875" customWidth="1"/>
    <col min="5" max="5" width="59.44140625" style="392" customWidth="1"/>
  </cols>
  <sheetData>
    <row r="4" spans="2:5">
      <c r="B4" t="s">
        <v>0</v>
      </c>
      <c r="C4" t="s">
        <v>1</v>
      </c>
      <c r="D4" t="s">
        <v>2</v>
      </c>
      <c r="E4" s="392" t="s">
        <v>3</v>
      </c>
    </row>
    <row r="5" spans="2:5">
      <c r="B5" s="393" t="s">
        <v>4</v>
      </c>
      <c r="C5">
        <v>1</v>
      </c>
      <c r="D5" t="s">
        <v>5</v>
      </c>
      <c r="E5" s="392" t="s">
        <v>6</v>
      </c>
    </row>
    <row r="6" spans="2:5">
      <c r="B6" s="393" t="s">
        <v>7</v>
      </c>
      <c r="C6">
        <v>2</v>
      </c>
      <c r="D6" t="s">
        <v>8</v>
      </c>
      <c r="E6" s="392" t="s">
        <v>9</v>
      </c>
    </row>
    <row r="7" spans="2:5" ht="66">
      <c r="B7" s="393" t="s">
        <v>10</v>
      </c>
      <c r="C7">
        <v>3</v>
      </c>
      <c r="D7" t="s">
        <v>5</v>
      </c>
      <c r="E7" s="392" t="s">
        <v>11</v>
      </c>
    </row>
    <row r="8" spans="2:5">
      <c r="B8" s="393" t="s">
        <v>10</v>
      </c>
      <c r="C8">
        <v>4</v>
      </c>
      <c r="D8" t="s">
        <v>12</v>
      </c>
      <c r="E8" s="392" t="s">
        <v>9</v>
      </c>
    </row>
    <row r="9" spans="2:5">
      <c r="B9" s="393" t="s">
        <v>13</v>
      </c>
      <c r="C9">
        <v>5</v>
      </c>
      <c r="D9" t="s">
        <v>14</v>
      </c>
      <c r="E9" s="392" t="s">
        <v>9</v>
      </c>
    </row>
    <row r="10" spans="2:5">
      <c r="B10" s="393" t="s">
        <v>15</v>
      </c>
      <c r="C10">
        <v>6</v>
      </c>
      <c r="D10" t="s">
        <v>16</v>
      </c>
      <c r="E10" s="392" t="s">
        <v>9</v>
      </c>
    </row>
    <row r="11" spans="2:5">
      <c r="B11" s="393" t="s">
        <v>15</v>
      </c>
      <c r="C11">
        <v>7</v>
      </c>
      <c r="D11" t="s">
        <v>17</v>
      </c>
      <c r="E11" s="392" t="s">
        <v>18</v>
      </c>
    </row>
    <row r="12" spans="2:5" ht="26.4">
      <c r="B12" s="393" t="s">
        <v>15</v>
      </c>
      <c r="C12">
        <v>8</v>
      </c>
      <c r="D12" t="s">
        <v>14</v>
      </c>
      <c r="E12" s="392" t="s">
        <v>19</v>
      </c>
    </row>
    <row r="13" spans="2:5">
      <c r="B13" s="393" t="s">
        <v>20</v>
      </c>
      <c r="C13">
        <v>9</v>
      </c>
      <c r="D13" t="s">
        <v>21</v>
      </c>
      <c r="E13" s="392" t="s">
        <v>22</v>
      </c>
    </row>
    <row r="14" spans="2:5">
      <c r="B14" s="393" t="s">
        <v>20</v>
      </c>
      <c r="C14" s="394">
        <v>10</v>
      </c>
      <c r="D14" t="s">
        <v>12</v>
      </c>
      <c r="E14" s="392" t="s">
        <v>23</v>
      </c>
    </row>
    <row r="15" spans="2:5">
      <c r="B15" s="393" t="s">
        <v>20</v>
      </c>
      <c r="C15">
        <v>11</v>
      </c>
      <c r="D15" t="s">
        <v>24</v>
      </c>
      <c r="E15" s="392" t="s">
        <v>9</v>
      </c>
    </row>
    <row r="16" spans="2:5">
      <c r="B16" s="393" t="s">
        <v>20</v>
      </c>
      <c r="C16">
        <v>12</v>
      </c>
      <c r="D16" t="s">
        <v>25</v>
      </c>
      <c r="E16" s="392" t="s">
        <v>9</v>
      </c>
    </row>
    <row r="17" spans="2:5">
      <c r="B17" s="393" t="s">
        <v>20</v>
      </c>
      <c r="C17">
        <v>13</v>
      </c>
      <c r="D17" t="s">
        <v>26</v>
      </c>
      <c r="E17" s="392" t="s">
        <v>9</v>
      </c>
    </row>
    <row r="18" spans="2:5">
      <c r="B18" s="393" t="s">
        <v>20</v>
      </c>
      <c r="C18">
        <v>14</v>
      </c>
      <c r="D18" t="s">
        <v>27</v>
      </c>
      <c r="E18" s="392" t="s">
        <v>9</v>
      </c>
    </row>
    <row r="19" spans="2:5">
      <c r="B19" s="393" t="s">
        <v>20</v>
      </c>
      <c r="C19">
        <v>15</v>
      </c>
      <c r="D19" t="s">
        <v>27</v>
      </c>
      <c r="E19" s="392" t="s">
        <v>28</v>
      </c>
    </row>
    <row r="20" spans="2:5">
      <c r="B20" s="393" t="s">
        <v>20</v>
      </c>
      <c r="C20">
        <v>16</v>
      </c>
      <c r="D20" t="s">
        <v>29</v>
      </c>
      <c r="E20" s="392" t="s">
        <v>9</v>
      </c>
    </row>
    <row r="21" spans="2:5">
      <c r="B21" s="393" t="s">
        <v>20</v>
      </c>
      <c r="C21">
        <v>17</v>
      </c>
      <c r="D21" t="s">
        <v>29</v>
      </c>
      <c r="E21" s="392" t="s">
        <v>9</v>
      </c>
    </row>
    <row r="22" spans="2:5">
      <c r="B22" s="395" t="s">
        <v>30</v>
      </c>
      <c r="C22" s="396">
        <v>18</v>
      </c>
      <c r="D22" s="28" t="s">
        <v>31</v>
      </c>
      <c r="E22" s="28" t="s">
        <v>9</v>
      </c>
    </row>
    <row r="23" spans="2:5">
      <c r="B23" s="393" t="s">
        <v>32</v>
      </c>
      <c r="C23">
        <v>19</v>
      </c>
      <c r="D23" s="28" t="s">
        <v>33</v>
      </c>
      <c r="E23" s="392" t="s">
        <v>34</v>
      </c>
    </row>
    <row r="24" spans="2:5">
      <c r="B24" s="393" t="s">
        <v>35</v>
      </c>
      <c r="C24">
        <v>20</v>
      </c>
      <c r="D24" s="28" t="s">
        <v>36</v>
      </c>
      <c r="E24" s="392" t="s">
        <v>9</v>
      </c>
    </row>
    <row r="25" spans="2:5">
      <c r="B25" s="393" t="s">
        <v>35</v>
      </c>
      <c r="C25">
        <v>21</v>
      </c>
      <c r="D25" s="28" t="s">
        <v>37</v>
      </c>
      <c r="E25" s="392" t="s">
        <v>9</v>
      </c>
    </row>
    <row r="26" spans="2:5" ht="39.6">
      <c r="B26" s="393" t="s">
        <v>35</v>
      </c>
      <c r="C26" s="394">
        <v>22</v>
      </c>
      <c r="D26" t="s">
        <v>5</v>
      </c>
      <c r="E26" s="27" t="s">
        <v>38</v>
      </c>
    </row>
    <row r="27" spans="2:5">
      <c r="B27" s="393" t="s">
        <v>35</v>
      </c>
      <c r="C27">
        <v>23</v>
      </c>
      <c r="D27" s="28" t="s">
        <v>39</v>
      </c>
      <c r="E27" s="392" t="s">
        <v>18</v>
      </c>
    </row>
    <row r="28" spans="2:5">
      <c r="B28" s="393" t="s">
        <v>40</v>
      </c>
      <c r="C28">
        <v>24</v>
      </c>
      <c r="D28" s="28" t="s">
        <v>24</v>
      </c>
      <c r="E28" s="392" t="s">
        <v>23</v>
      </c>
    </row>
    <row r="29" spans="2:5">
      <c r="B29" s="393" t="s">
        <v>41</v>
      </c>
      <c r="C29">
        <v>25</v>
      </c>
      <c r="D29" s="28" t="s">
        <v>42</v>
      </c>
      <c r="E29" s="392" t="s">
        <v>43</v>
      </c>
    </row>
    <row r="30" spans="2:5">
      <c r="B30" s="393" t="s">
        <v>41</v>
      </c>
      <c r="C30">
        <v>26</v>
      </c>
      <c r="D30" s="28" t="s">
        <v>42</v>
      </c>
      <c r="E30" s="392" t="s">
        <v>44</v>
      </c>
    </row>
    <row r="31" spans="2:5">
      <c r="B31" s="393" t="s">
        <v>45</v>
      </c>
      <c r="C31">
        <v>27</v>
      </c>
      <c r="D31" s="28" t="s">
        <v>17</v>
      </c>
      <c r="E31" s="392" t="s">
        <v>46</v>
      </c>
    </row>
    <row r="32" spans="2:5">
      <c r="B32" s="393" t="s">
        <v>45</v>
      </c>
      <c r="C32">
        <v>28</v>
      </c>
      <c r="D32" s="28" t="s">
        <v>29</v>
      </c>
      <c r="E32" s="392" t="s">
        <v>18</v>
      </c>
    </row>
    <row r="33" spans="2:5" ht="26.4">
      <c r="B33" s="393" t="s">
        <v>45</v>
      </c>
      <c r="C33">
        <v>29</v>
      </c>
      <c r="D33" t="s">
        <v>16</v>
      </c>
      <c r="E33" s="392" t="s">
        <v>47</v>
      </c>
    </row>
    <row r="34" spans="2:5">
      <c r="B34" s="393" t="s">
        <v>45</v>
      </c>
      <c r="C34">
        <v>30</v>
      </c>
      <c r="D34" t="s">
        <v>33</v>
      </c>
      <c r="E34" s="392" t="s">
        <v>48</v>
      </c>
    </row>
    <row r="35" spans="2:5" ht="52.8">
      <c r="B35" s="393" t="s">
        <v>49</v>
      </c>
      <c r="C35">
        <v>31</v>
      </c>
      <c r="D35" t="s">
        <v>5</v>
      </c>
      <c r="E35" s="392" t="s">
        <v>50</v>
      </c>
    </row>
    <row r="36" spans="2:5">
      <c r="B36" s="393" t="s">
        <v>51</v>
      </c>
      <c r="C36">
        <v>32</v>
      </c>
      <c r="D36" t="s">
        <v>25</v>
      </c>
      <c r="E36" s="392" t="s">
        <v>48</v>
      </c>
    </row>
    <row r="37" spans="2:5">
      <c r="B37" s="393" t="s">
        <v>51</v>
      </c>
      <c r="C37">
        <v>33</v>
      </c>
      <c r="D37" t="s">
        <v>29</v>
      </c>
      <c r="E37" s="392" t="s">
        <v>52</v>
      </c>
    </row>
    <row r="38" spans="2:5">
      <c r="B38" s="393" t="s">
        <v>51</v>
      </c>
      <c r="C38">
        <v>34</v>
      </c>
      <c r="D38" t="s">
        <v>16</v>
      </c>
      <c r="E38" s="392" t="s">
        <v>53</v>
      </c>
    </row>
    <row r="39" spans="2:5">
      <c r="B39" s="393" t="s">
        <v>51</v>
      </c>
      <c r="C39" s="394">
        <v>35</v>
      </c>
      <c r="D39" t="s">
        <v>12</v>
      </c>
      <c r="E39" s="392" t="s">
        <v>54</v>
      </c>
    </row>
    <row r="40" spans="2:5">
      <c r="B40" s="395" t="s">
        <v>51</v>
      </c>
      <c r="C40" s="28">
        <v>36</v>
      </c>
      <c r="D40" s="28" t="s">
        <v>21</v>
      </c>
      <c r="E40" s="27" t="s">
        <v>55</v>
      </c>
    </row>
    <row r="41" spans="2:5">
      <c r="B41" s="395" t="s">
        <v>56</v>
      </c>
      <c r="C41" s="28">
        <v>37</v>
      </c>
      <c r="D41" s="28" t="s">
        <v>39</v>
      </c>
      <c r="E41" s="27" t="s">
        <v>57</v>
      </c>
    </row>
    <row r="42" spans="2:5" ht="52.8">
      <c r="B42" s="393" t="s">
        <v>58</v>
      </c>
      <c r="C42" s="394">
        <v>38</v>
      </c>
      <c r="D42" t="s">
        <v>5</v>
      </c>
      <c r="E42" s="392" t="s">
        <v>59</v>
      </c>
    </row>
    <row r="43" spans="2:5" ht="52.8">
      <c r="B43" s="393" t="s">
        <v>60</v>
      </c>
      <c r="C43" s="394">
        <v>39</v>
      </c>
      <c r="D43" t="s">
        <v>5</v>
      </c>
      <c r="E43" s="392" t="s">
        <v>61</v>
      </c>
    </row>
    <row r="44" spans="2:5">
      <c r="B44" s="393" t="s">
        <v>62</v>
      </c>
      <c r="C44" s="394">
        <v>40</v>
      </c>
      <c r="D44" t="s">
        <v>5</v>
      </c>
      <c r="E44" s="392" t="s">
        <v>63</v>
      </c>
    </row>
    <row r="45" spans="2:5">
      <c r="B45" s="393" t="s">
        <v>64</v>
      </c>
      <c r="C45" s="394">
        <v>41</v>
      </c>
      <c r="D45" t="s">
        <v>12</v>
      </c>
      <c r="E45" s="392" t="s">
        <v>65</v>
      </c>
    </row>
    <row r="46" spans="2:5">
      <c r="B46" s="393" t="s">
        <v>66</v>
      </c>
      <c r="C46" s="394">
        <v>42</v>
      </c>
      <c r="D46" t="s">
        <v>5</v>
      </c>
      <c r="E46" s="392" t="s">
        <v>67</v>
      </c>
    </row>
    <row r="47" spans="2:5">
      <c r="B47" s="393" t="s">
        <v>68</v>
      </c>
      <c r="C47" s="394">
        <v>43</v>
      </c>
      <c r="D47" s="28" t="s">
        <v>37</v>
      </c>
      <c r="E47" s="392" t="s">
        <v>69</v>
      </c>
    </row>
    <row r="48" spans="2:5" ht="66">
      <c r="B48" s="393" t="s">
        <v>68</v>
      </c>
      <c r="C48" s="394">
        <v>44</v>
      </c>
      <c r="D48" t="s">
        <v>5</v>
      </c>
      <c r="E48" s="392" t="s">
        <v>70</v>
      </c>
    </row>
    <row r="49" spans="2:5" ht="79.2">
      <c r="B49" s="393" t="s">
        <v>71</v>
      </c>
      <c r="C49" s="394" t="s">
        <v>72</v>
      </c>
      <c r="D49" t="s">
        <v>5</v>
      </c>
      <c r="E49" s="27" t="s">
        <v>73</v>
      </c>
    </row>
    <row r="50" spans="2:5">
      <c r="B50" s="393" t="s">
        <v>74</v>
      </c>
      <c r="C50" s="394" t="s">
        <v>75</v>
      </c>
      <c r="D50" t="s">
        <v>76</v>
      </c>
      <c r="E50" s="392" t="s">
        <v>77</v>
      </c>
    </row>
    <row r="51" spans="2:5" ht="26.4">
      <c r="B51" s="393" t="s">
        <v>78</v>
      </c>
      <c r="C51" s="394" t="s">
        <v>79</v>
      </c>
      <c r="D51" t="s">
        <v>80</v>
      </c>
      <c r="E51" s="392" t="s">
        <v>81</v>
      </c>
    </row>
    <row r="52" spans="2:5">
      <c r="B52" s="393" t="s">
        <v>82</v>
      </c>
      <c r="C52" s="394" t="s">
        <v>83</v>
      </c>
      <c r="D52" t="s">
        <v>12</v>
      </c>
      <c r="E52" s="392" t="s">
        <v>84</v>
      </c>
    </row>
    <row r="53" spans="2:5" ht="26.4">
      <c r="B53" s="393" t="s">
        <v>82</v>
      </c>
      <c r="C53" s="394" t="s">
        <v>85</v>
      </c>
      <c r="D53" t="s">
        <v>36</v>
      </c>
      <c r="E53" s="392" t="s">
        <v>86</v>
      </c>
    </row>
    <row r="54" spans="2:5">
      <c r="B54" s="393" t="s">
        <v>87</v>
      </c>
      <c r="C54" s="394" t="s">
        <v>88</v>
      </c>
      <c r="D54" t="s">
        <v>33</v>
      </c>
      <c r="E54" s="392" t="s">
        <v>89</v>
      </c>
    </row>
    <row r="55" spans="2:5" ht="66">
      <c r="B55" s="398" t="s">
        <v>781</v>
      </c>
      <c r="C55" s="396" t="s">
        <v>782</v>
      </c>
      <c r="D55" s="399" t="s">
        <v>783</v>
      </c>
      <c r="E55" s="400" t="s">
        <v>784</v>
      </c>
    </row>
    <row r="56" spans="2:5">
      <c r="B56" s="398" t="s">
        <v>786</v>
      </c>
      <c r="C56" s="401" t="s">
        <v>787</v>
      </c>
      <c r="D56" s="28" t="s">
        <v>21</v>
      </c>
      <c r="E56" s="400" t="s">
        <v>785</v>
      </c>
    </row>
    <row r="57" spans="2:5" ht="26.4">
      <c r="B57" s="398" t="s">
        <v>802</v>
      </c>
      <c r="C57" s="401" t="s">
        <v>803</v>
      </c>
      <c r="D57" s="399" t="s">
        <v>800</v>
      </c>
      <c r="E57" s="400" t="s">
        <v>801</v>
      </c>
    </row>
    <row r="58" spans="2:5">
      <c r="B58" s="393" t="s">
        <v>815</v>
      </c>
      <c r="C58" s="396" t="s">
        <v>816</v>
      </c>
      <c r="D58" s="28" t="s">
        <v>17</v>
      </c>
      <c r="E58" s="392" t="s">
        <v>817</v>
      </c>
    </row>
    <row r="59" spans="2:5">
      <c r="B59" s="398" t="s">
        <v>818</v>
      </c>
      <c r="C59" s="396" t="s">
        <v>819</v>
      </c>
      <c r="D59" s="28" t="s">
        <v>820</v>
      </c>
      <c r="E59" s="392" t="s">
        <v>817</v>
      </c>
    </row>
    <row r="60" spans="2:5">
      <c r="B60" s="398" t="s">
        <v>879</v>
      </c>
      <c r="C60" s="396" t="s">
        <v>880</v>
      </c>
      <c r="D60" s="28" t="s">
        <v>39</v>
      </c>
      <c r="E60" s="392" t="s">
        <v>817</v>
      </c>
    </row>
    <row r="61" spans="2:5" ht="26.4">
      <c r="B61" s="398" t="s">
        <v>887</v>
      </c>
      <c r="C61" s="401" t="s">
        <v>884</v>
      </c>
      <c r="D61" s="399" t="s">
        <v>885</v>
      </c>
      <c r="E61" s="400" t="s">
        <v>886</v>
      </c>
    </row>
    <row r="62" spans="2:5">
      <c r="B62" s="399" t="s">
        <v>888</v>
      </c>
      <c r="C62" s="401" t="s">
        <v>889</v>
      </c>
      <c r="D62" s="399" t="s">
        <v>8</v>
      </c>
      <c r="E62" s="400" t="s">
        <v>890</v>
      </c>
    </row>
    <row r="63" spans="2:5" ht="25.5" customHeight="1">
      <c r="B63" s="398" t="s">
        <v>897</v>
      </c>
      <c r="C63" s="401" t="s">
        <v>898</v>
      </c>
      <c r="D63" s="399" t="s">
        <v>885</v>
      </c>
      <c r="E63" s="400" t="s">
        <v>899</v>
      </c>
    </row>
    <row r="64" spans="2:5">
      <c r="B64" s="398" t="s">
        <v>897</v>
      </c>
      <c r="C64" s="401" t="s">
        <v>900</v>
      </c>
      <c r="D64" s="399" t="s">
        <v>39</v>
      </c>
      <c r="E64" s="400" t="s">
        <v>901</v>
      </c>
    </row>
    <row r="65" spans="2:5">
      <c r="B65" s="398" t="s">
        <v>897</v>
      </c>
      <c r="C65" s="401" t="s">
        <v>903</v>
      </c>
      <c r="D65" s="399" t="s">
        <v>885</v>
      </c>
      <c r="E65" s="400" t="s">
        <v>904</v>
      </c>
    </row>
    <row r="66" spans="2:5">
      <c r="B66" s="398" t="s">
        <v>905</v>
      </c>
      <c r="C66" s="401" t="s">
        <v>906</v>
      </c>
      <c r="D66" s="399" t="s">
        <v>885</v>
      </c>
      <c r="E66" s="400" t="s">
        <v>907</v>
      </c>
    </row>
  </sheetData>
  <phoneticPr fontId="21" type="noConversion"/>
  <pageMargins left="0.69930555555555596" right="0.69930555555555596"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C276"/>
  <sheetViews>
    <sheetView topLeftCell="A10" zoomScale="85" zoomScaleNormal="85" workbookViewId="0">
      <selection activeCell="M40" sqref="M40"/>
    </sheetView>
  </sheetViews>
  <sheetFormatPr defaultColWidth="8.88671875" defaultRowHeight="13.2"/>
  <cols>
    <col min="1" max="1" width="10.44140625" customWidth="1"/>
    <col min="2" max="2" width="39" customWidth="1"/>
    <col min="3" max="3" width="22.44140625" customWidth="1"/>
    <col min="4" max="4" width="20.44140625" style="3" customWidth="1"/>
    <col min="5" max="5" width="14.5546875" style="3" customWidth="1"/>
    <col min="6" max="6" width="15.5546875" style="3" customWidth="1"/>
    <col min="7" max="9" width="8.88671875" style="3"/>
    <col min="10" max="10" width="10.109375" style="3" customWidth="1"/>
    <col min="11" max="11" width="11.109375" style="3" customWidth="1"/>
    <col min="12" max="12" width="10.5546875" customWidth="1"/>
    <col min="13" max="13" width="11.109375" style="3" customWidth="1"/>
    <col min="14" max="14" width="11.88671875" style="3" customWidth="1"/>
    <col min="15" max="15" width="12.5546875" style="80" customWidth="1"/>
    <col min="16" max="16" width="10.109375" style="3" customWidth="1"/>
    <col min="17" max="17" width="13.5546875" style="3" customWidth="1"/>
    <col min="18" max="18" width="11.109375" style="80" customWidth="1"/>
    <col min="19" max="19" width="16.88671875" customWidth="1"/>
    <col min="20" max="20" width="11.44140625" customWidth="1"/>
    <col min="21" max="21" width="15.88671875" customWidth="1"/>
    <col min="22" max="22" width="12.88671875" customWidth="1"/>
    <col min="23" max="23" width="14" customWidth="1"/>
    <col min="24" max="24" width="14.44140625" customWidth="1"/>
    <col min="25" max="25" width="13.88671875" customWidth="1"/>
    <col min="26" max="26" width="14.88671875" customWidth="1"/>
    <col min="27" max="27" width="14" customWidth="1"/>
    <col min="28" max="28" width="13.5546875" customWidth="1"/>
    <col min="29" max="29" width="11.5546875" customWidth="1"/>
  </cols>
  <sheetData>
    <row r="1" spans="1:27" ht="36" customHeight="1">
      <c r="B1" s="580" t="s">
        <v>562</v>
      </c>
      <c r="C1" s="580"/>
      <c r="D1" s="580"/>
      <c r="E1" s="580"/>
      <c r="F1" s="580"/>
      <c r="G1" s="580"/>
      <c r="H1" s="580"/>
      <c r="I1" s="580"/>
      <c r="J1" s="580"/>
      <c r="K1" s="580"/>
    </row>
    <row r="2" spans="1:27" ht="13.8">
      <c r="B2" s="106" t="s">
        <v>563</v>
      </c>
      <c r="C2" s="106"/>
    </row>
    <row r="3" spans="1:27" ht="13.8">
      <c r="B3" s="106" t="s">
        <v>564</v>
      </c>
      <c r="C3" s="106"/>
      <c r="D3" s="3" t="s">
        <v>565</v>
      </c>
      <c r="E3" s="3" t="s">
        <v>566</v>
      </c>
      <c r="F3" s="3" t="s">
        <v>567</v>
      </c>
    </row>
    <row r="4" spans="1:27" ht="13.8">
      <c r="B4" s="106" t="s">
        <v>568</v>
      </c>
      <c r="D4" s="3">
        <v>10</v>
      </c>
      <c r="E4" s="3">
        <v>20</v>
      </c>
      <c r="F4" s="3">
        <v>40</v>
      </c>
    </row>
    <row r="5" spans="1:27" ht="13.8">
      <c r="B5" s="106" t="s">
        <v>569</v>
      </c>
      <c r="C5" s="106"/>
      <c r="D5" s="3">
        <f>52</f>
        <v>52</v>
      </c>
      <c r="E5" s="3">
        <v>106</v>
      </c>
      <c r="F5" s="3">
        <v>216</v>
      </c>
    </row>
    <row r="6" spans="1:27" ht="13.8">
      <c r="B6" s="106" t="s">
        <v>570</v>
      </c>
      <c r="D6" s="107">
        <v>6.4000000000000001E-2</v>
      </c>
      <c r="E6" s="107">
        <v>4.5999999999999999E-2</v>
      </c>
      <c r="F6" s="107">
        <v>2.8000000000000001E-2</v>
      </c>
    </row>
    <row r="7" spans="1:27" ht="51.75" customHeight="1">
      <c r="B7" s="98"/>
      <c r="C7" s="98" t="s">
        <v>571</v>
      </c>
      <c r="D7" s="98"/>
      <c r="E7" s="98" t="s">
        <v>503</v>
      </c>
      <c r="F7" s="98" t="s">
        <v>572</v>
      </c>
      <c r="G7" s="98" t="s">
        <v>573</v>
      </c>
      <c r="H7" s="98" t="s">
        <v>509</v>
      </c>
      <c r="I7" s="98" t="s">
        <v>480</v>
      </c>
      <c r="J7" s="98" t="s">
        <v>477</v>
      </c>
      <c r="K7" s="98" t="s">
        <v>520</v>
      </c>
      <c r="L7" s="98"/>
      <c r="M7" s="100" t="s">
        <v>574</v>
      </c>
      <c r="N7" s="100" t="s">
        <v>575</v>
      </c>
      <c r="O7" s="100" t="s">
        <v>576</v>
      </c>
      <c r="P7" s="116" t="s">
        <v>577</v>
      </c>
      <c r="Q7" s="116" t="s">
        <v>578</v>
      </c>
      <c r="R7" s="127" t="s">
        <v>579</v>
      </c>
      <c r="S7" s="103" t="s">
        <v>580</v>
      </c>
      <c r="T7" s="116" t="s">
        <v>581</v>
      </c>
      <c r="U7" s="116" t="s">
        <v>582</v>
      </c>
      <c r="V7" s="127" t="s">
        <v>583</v>
      </c>
      <c r="W7" s="103" t="s">
        <v>584</v>
      </c>
      <c r="X7" s="116" t="s">
        <v>585</v>
      </c>
      <c r="Y7" s="116" t="s">
        <v>586</v>
      </c>
      <c r="Z7" s="127" t="s">
        <v>587</v>
      </c>
      <c r="AA7" s="103" t="s">
        <v>588</v>
      </c>
    </row>
    <row r="8" spans="1:27">
      <c r="A8">
        <v>1</v>
      </c>
      <c r="B8" s="108" t="s">
        <v>8</v>
      </c>
      <c r="C8" s="39" t="s">
        <v>589</v>
      </c>
      <c r="D8" s="108"/>
      <c r="E8" s="108">
        <f>24*D5*10</f>
        <v>12480</v>
      </c>
      <c r="F8" s="108">
        <f>32*D5</f>
        <v>1664</v>
      </c>
      <c r="G8" s="108">
        <f>4*D5</f>
        <v>208</v>
      </c>
      <c r="H8" s="108">
        <f>2*4*D5*1/2</f>
        <v>208</v>
      </c>
      <c r="I8" s="108">
        <f>1*4*240</f>
        <v>960</v>
      </c>
      <c r="J8" s="108">
        <f>12*8*6*10</f>
        <v>5760</v>
      </c>
      <c r="K8" s="108"/>
      <c r="L8" s="108"/>
      <c r="M8" s="108">
        <f>D5*12*10*14</f>
        <v>87360</v>
      </c>
      <c r="N8" s="108">
        <f>SUM(E8:J8)</f>
        <v>21280</v>
      </c>
      <c r="O8" s="117">
        <f>100*N8/M8</f>
        <v>24.358974358974358</v>
      </c>
      <c r="P8" s="3">
        <f>M8</f>
        <v>87360</v>
      </c>
      <c r="Q8" s="3">
        <f>N8+J10-J8</f>
        <v>28000</v>
      </c>
      <c r="R8" s="80">
        <f>100*Q8/P8</f>
        <v>32.051282051282051</v>
      </c>
      <c r="S8" s="80">
        <f>(1-R8/100)/(1-O8/100)</f>
        <v>0.89830508474576276</v>
      </c>
      <c r="T8" s="3">
        <f>P8*$E$5/$D$5</f>
        <v>178080</v>
      </c>
      <c r="U8" s="128">
        <f>SUM(E8:G8)*$E$5/$D$5+H8+I8+12*CEILING($E$5*2*$D$4/$E$4,1)*10</f>
        <v>43144</v>
      </c>
      <c r="V8" s="123">
        <f>100*U8/T8</f>
        <v>24.227313566936207</v>
      </c>
      <c r="W8" s="80">
        <f>(1-V8/100)/(1-R8/100)*(1-$E$6)/(1-$D$6)</f>
        <v>1.1365902964959571</v>
      </c>
      <c r="X8" s="3">
        <f>P8*$F$5/$D$5</f>
        <v>362880</v>
      </c>
      <c r="Y8" s="128">
        <f>SUM(E8:G8)*$F$5/$D$5+H8+I8+12*CEILING($F$5*2*$D$4/$F$4,1)*10</f>
        <v>73744</v>
      </c>
      <c r="Z8" s="123">
        <f>100*Y8/X8</f>
        <v>20.321869488536155</v>
      </c>
      <c r="AA8" s="80">
        <f>(1-Z8/100)/(1-R8/100)*(1-$F$6)/(1-$D$6)</f>
        <v>1.2177223719676549</v>
      </c>
    </row>
    <row r="9" spans="1:27">
      <c r="A9">
        <v>2</v>
      </c>
      <c r="B9" s="39" t="s">
        <v>12</v>
      </c>
      <c r="C9" s="39" t="s">
        <v>589</v>
      </c>
      <c r="D9" s="39"/>
      <c r="E9" s="39">
        <f>24*D5*10</f>
        <v>12480</v>
      </c>
      <c r="F9" s="39">
        <f>32*D5*2</f>
        <v>3328</v>
      </c>
      <c r="G9" s="39">
        <v>0</v>
      </c>
      <c r="H9" s="39">
        <f>2*4*D5*1/2</f>
        <v>208</v>
      </c>
      <c r="I9" s="39">
        <f>1*4*240/2</f>
        <v>480</v>
      </c>
      <c r="J9" s="39">
        <f>12*2*10*52</f>
        <v>12480</v>
      </c>
      <c r="K9" s="39"/>
      <c r="L9" s="39"/>
      <c r="M9" s="39">
        <f>D5*12*10*14</f>
        <v>87360</v>
      </c>
      <c r="N9" s="39">
        <f>SUM(E9:J9)</f>
        <v>28976</v>
      </c>
      <c r="O9" s="118">
        <f>100*N9/M9</f>
        <v>33.168498168498168</v>
      </c>
      <c r="P9" s="3">
        <f>M9</f>
        <v>87360</v>
      </c>
      <c r="Q9" s="3">
        <f>N9+J10-J9</f>
        <v>28976</v>
      </c>
      <c r="R9" s="80">
        <f t="shared" ref="R9:R21" si="0">100*Q9/P9</f>
        <v>33.168498168498168</v>
      </c>
      <c r="S9" s="80">
        <f t="shared" ref="S9:S21" si="1">(1-R9/100)/(1-O9/100)</f>
        <v>1</v>
      </c>
      <c r="T9" s="3">
        <f t="shared" ref="T9:T21" si="2">P9*$E$5/$D$5</f>
        <v>178080</v>
      </c>
      <c r="U9" s="128">
        <f t="shared" ref="U9:U21" si="3">SUM(E9:G9)*$E$5/$D$5+H9+I9+12*CEILING($E$5*2*$D$4/$E$4,1)*10</f>
        <v>45632</v>
      </c>
      <c r="V9" s="123">
        <f t="shared" ref="V9:V21" si="4">100*U9/T9</f>
        <v>25.624438454627136</v>
      </c>
      <c r="W9" s="80">
        <f t="shared" ref="W9:W21" si="5">(1-V9/100)/(1-R9/100)*(1-$E$6)/(1-$D$6)</f>
        <v>1.1342833653055631</v>
      </c>
      <c r="X9" s="3">
        <f>P9*$F$5/$D$5</f>
        <v>362880</v>
      </c>
      <c r="Y9" s="128">
        <f t="shared" ref="Y9:Y21" si="6">SUM(E9:G9)*$F$5/$D$5+H9+I9+12*CEILING($F$5*2*$D$4/$F$4,1)*10</f>
        <v>79312</v>
      </c>
      <c r="Z9" s="123">
        <f>100*Y9/X9</f>
        <v>21.85626102292769</v>
      </c>
      <c r="AA9" s="80">
        <f t="shared" ref="AA9:AA21" si="7">(1-Z9/100)/(1-R9/100)*(1-$F$6)/(1-$D$6)</f>
        <v>1.2142367771992324</v>
      </c>
    </row>
    <row r="10" spans="1:27">
      <c r="A10">
        <v>3</v>
      </c>
      <c r="B10" s="39" t="s">
        <v>33</v>
      </c>
      <c r="C10" s="39" t="s">
        <v>589</v>
      </c>
      <c r="D10" s="39"/>
      <c r="E10" s="39">
        <f>2*10*D5*10</f>
        <v>10400</v>
      </c>
      <c r="F10" s="39">
        <f>32*D5</f>
        <v>1664</v>
      </c>
      <c r="G10" s="39">
        <f>4*D5</f>
        <v>208</v>
      </c>
      <c r="H10" s="39">
        <f>3*4*D5*1/2</f>
        <v>312</v>
      </c>
      <c r="I10" s="39">
        <f>1*4*240/2</f>
        <v>480</v>
      </c>
      <c r="J10" s="39">
        <f>12*2*10*52</f>
        <v>12480</v>
      </c>
      <c r="K10" s="39"/>
      <c r="L10" s="39"/>
      <c r="M10" s="39">
        <f>D5*12*10*14</f>
        <v>87360</v>
      </c>
      <c r="N10" s="39">
        <f>SUM(E10:J10)</f>
        <v>25544</v>
      </c>
      <c r="O10" s="118">
        <f>100*N10/M10</f>
        <v>29.239926739926741</v>
      </c>
      <c r="P10" s="3">
        <f t="shared" ref="P10:Q21" si="8">M10</f>
        <v>87360</v>
      </c>
      <c r="Q10" s="3">
        <f t="shared" si="8"/>
        <v>25544</v>
      </c>
      <c r="R10" s="80">
        <f t="shared" si="0"/>
        <v>29.239926739926741</v>
      </c>
      <c r="S10" s="80">
        <f t="shared" si="1"/>
        <v>1</v>
      </c>
      <c r="T10" s="3">
        <f t="shared" si="2"/>
        <v>178080</v>
      </c>
      <c r="U10" s="128">
        <f t="shared" si="3"/>
        <v>38528</v>
      </c>
      <c r="V10" s="123">
        <f t="shared" si="4"/>
        <v>21.635220125786162</v>
      </c>
      <c r="W10" s="80">
        <f t="shared" si="5"/>
        <v>1.128769250679436</v>
      </c>
      <c r="X10" s="3">
        <f t="shared" ref="X10:X21" si="9">P10*$F$5/$D$5</f>
        <v>362880</v>
      </c>
      <c r="Y10" s="128">
        <f t="shared" si="6"/>
        <v>64728</v>
      </c>
      <c r="Z10" s="123">
        <f t="shared" ref="Z10:Z21" si="10">100*Y10/X10</f>
        <v>17.837301587301589</v>
      </c>
      <c r="AA10" s="80">
        <f t="shared" si="7"/>
        <v>1.2058043225055004</v>
      </c>
    </row>
    <row r="11" spans="1:27">
      <c r="A11">
        <v>4</v>
      </c>
      <c r="B11" s="39" t="s">
        <v>16</v>
      </c>
      <c r="C11" s="39" t="s">
        <v>589</v>
      </c>
      <c r="D11" s="39"/>
      <c r="E11" s="39">
        <f>2*12*D5*10</f>
        <v>12480</v>
      </c>
      <c r="F11" s="39">
        <f>32*D5</f>
        <v>1664</v>
      </c>
      <c r="G11" s="39">
        <f>4*D5</f>
        <v>208</v>
      </c>
      <c r="H11" s="39">
        <f>4*3*D5*10/80</f>
        <v>78</v>
      </c>
      <c r="I11" s="39">
        <f>4*240*1/2</f>
        <v>480</v>
      </c>
      <c r="J11" s="39">
        <f>2*12*D5*10</f>
        <v>12480</v>
      </c>
      <c r="K11" s="39"/>
      <c r="L11" s="26"/>
      <c r="M11" s="39">
        <f>12*14*D5*10</f>
        <v>87360</v>
      </c>
      <c r="N11" s="39">
        <f>SUM(E11:J11)</f>
        <v>27390</v>
      </c>
      <c r="O11" s="118">
        <f>100*N11/M11</f>
        <v>31.353021978021978</v>
      </c>
      <c r="P11" s="3">
        <f t="shared" si="8"/>
        <v>87360</v>
      </c>
      <c r="Q11" s="3">
        <f t="shared" si="8"/>
        <v>27390</v>
      </c>
      <c r="R11" s="80">
        <f t="shared" si="0"/>
        <v>31.353021978021978</v>
      </c>
      <c r="S11" s="80">
        <f t="shared" si="1"/>
        <v>1</v>
      </c>
      <c r="T11" s="3">
        <f t="shared" si="2"/>
        <v>178080</v>
      </c>
      <c r="U11" s="128">
        <f t="shared" si="3"/>
        <v>42534</v>
      </c>
      <c r="V11" s="123">
        <f t="shared" si="4"/>
        <v>23.884770889487871</v>
      </c>
      <c r="W11" s="80">
        <f t="shared" si="5"/>
        <v>1.1301150575287642</v>
      </c>
      <c r="X11" s="3">
        <f t="shared" si="9"/>
        <v>362880</v>
      </c>
      <c r="Y11" s="128">
        <f t="shared" si="6"/>
        <v>73134</v>
      </c>
      <c r="Z11" s="123">
        <f t="shared" si="10"/>
        <v>20.153769841269842</v>
      </c>
      <c r="AA11" s="80">
        <f t="shared" si="7"/>
        <v>1.2078789394697349</v>
      </c>
    </row>
    <row r="12" spans="1:27">
      <c r="A12">
        <v>5</v>
      </c>
      <c r="B12" s="39" t="s">
        <v>5</v>
      </c>
      <c r="C12" s="39" t="s">
        <v>589</v>
      </c>
      <c r="D12" s="39"/>
      <c r="E12" s="39">
        <v>11630</v>
      </c>
      <c r="F12" s="39">
        <f>32*D5*2</f>
        <v>3328</v>
      </c>
      <c r="G12" s="39">
        <f>4*D5*2</f>
        <v>416</v>
      </c>
      <c r="H12" s="39">
        <f>4*3*D5*10/20</f>
        <v>312</v>
      </c>
      <c r="I12" s="39">
        <f>1*4*240*10/20</f>
        <v>480</v>
      </c>
      <c r="J12" s="39">
        <f>2*12*D5*10</f>
        <v>12480</v>
      </c>
      <c r="K12" s="39"/>
      <c r="L12" s="26"/>
      <c r="M12" s="39">
        <f>12*14*D5*10</f>
        <v>87360</v>
      </c>
      <c r="N12" s="39">
        <f t="shared" ref="N12:N16" si="11">SUM(E12:J12)</f>
        <v>28646</v>
      </c>
      <c r="O12" s="118">
        <f t="shared" ref="O12" si="12">100*N12/M12</f>
        <v>32.790750915750912</v>
      </c>
      <c r="P12" s="3">
        <f t="shared" si="8"/>
        <v>87360</v>
      </c>
      <c r="Q12" s="3">
        <f t="shared" si="8"/>
        <v>28646</v>
      </c>
      <c r="R12" s="80">
        <f t="shared" si="0"/>
        <v>32.790750915750912</v>
      </c>
      <c r="S12" s="80">
        <f t="shared" si="1"/>
        <v>1</v>
      </c>
      <c r="T12" s="3">
        <f t="shared" si="2"/>
        <v>178080</v>
      </c>
      <c r="U12" s="128">
        <f t="shared" si="3"/>
        <v>44851.307692307688</v>
      </c>
      <c r="V12" s="123">
        <f t="shared" si="4"/>
        <v>25.186044301610337</v>
      </c>
      <c r="W12" s="80">
        <f t="shared" si="5"/>
        <v>1.1345564286855971</v>
      </c>
      <c r="X12" s="3">
        <f t="shared" si="9"/>
        <v>362880</v>
      </c>
      <c r="Y12" s="128">
        <f t="shared" si="6"/>
        <v>77613.230769230766</v>
      </c>
      <c r="Z12" s="123">
        <f t="shared" si="10"/>
        <v>21.388125763125764</v>
      </c>
      <c r="AA12" s="80">
        <f t="shared" si="7"/>
        <v>1.2146454390382586</v>
      </c>
    </row>
    <row r="13" spans="1:27" s="3" customFormat="1">
      <c r="A13">
        <v>6</v>
      </c>
      <c r="B13" s="39" t="s">
        <v>25</v>
      </c>
      <c r="C13" s="39" t="s">
        <v>589</v>
      </c>
      <c r="D13" s="39"/>
      <c r="E13" s="39">
        <f>2*12*D5*10</f>
        <v>12480</v>
      </c>
      <c r="F13" s="39">
        <f>32*D5*2</f>
        <v>3328</v>
      </c>
      <c r="G13" s="39">
        <f>4*D5</f>
        <v>208</v>
      </c>
      <c r="H13" s="39">
        <f>8*D5*1/2</f>
        <v>208</v>
      </c>
      <c r="I13" s="39">
        <f t="shared" ref="I13" si="13">1*4*240*10/20</f>
        <v>480</v>
      </c>
      <c r="J13" s="39">
        <f>2*12*D5*10</f>
        <v>12480</v>
      </c>
      <c r="K13" s="39"/>
      <c r="L13" s="39"/>
      <c r="M13" s="39">
        <f>12*14*D5*10</f>
        <v>87360</v>
      </c>
      <c r="N13" s="39">
        <f t="shared" si="11"/>
        <v>29184</v>
      </c>
      <c r="O13" s="118">
        <f>N13/M13*100</f>
        <v>33.406593406593402</v>
      </c>
      <c r="P13" s="3">
        <f t="shared" si="8"/>
        <v>87360</v>
      </c>
      <c r="Q13" s="3">
        <f t="shared" si="8"/>
        <v>29184</v>
      </c>
      <c r="R13" s="80">
        <f t="shared" si="0"/>
        <v>33.406593406593409</v>
      </c>
      <c r="S13" s="80">
        <f t="shared" si="1"/>
        <v>0.99999999999999978</v>
      </c>
      <c r="T13" s="3">
        <f t="shared" si="2"/>
        <v>178080</v>
      </c>
      <c r="U13" s="128">
        <f t="shared" si="3"/>
        <v>46056</v>
      </c>
      <c r="V13" s="123">
        <f t="shared" si="4"/>
        <v>25.862533692722373</v>
      </c>
      <c r="W13" s="80">
        <f t="shared" si="5"/>
        <v>1.1346947194719472</v>
      </c>
      <c r="X13" s="3">
        <f t="shared" si="9"/>
        <v>362880</v>
      </c>
      <c r="Y13" s="128">
        <f t="shared" si="6"/>
        <v>80176</v>
      </c>
      <c r="Z13" s="123">
        <f t="shared" si="10"/>
        <v>22.094356261022927</v>
      </c>
      <c r="AA13" s="80">
        <f t="shared" si="7"/>
        <v>1.2148652365236525</v>
      </c>
    </row>
    <row r="14" spans="1:27">
      <c r="A14">
        <v>7</v>
      </c>
      <c r="B14" s="39" t="s">
        <v>24</v>
      </c>
      <c r="C14" s="39" t="s">
        <v>589</v>
      </c>
      <c r="D14" s="39"/>
      <c r="E14" s="39">
        <f>2*12*D5*10</f>
        <v>12480</v>
      </c>
      <c r="F14" s="39">
        <f>32*D5*2</f>
        <v>3328</v>
      </c>
      <c r="G14" s="39">
        <f>4*D5*2</f>
        <v>416</v>
      </c>
      <c r="H14" s="39">
        <f>12*D5*10/20</f>
        <v>312</v>
      </c>
      <c r="I14" s="39">
        <f>4*240*1/2</f>
        <v>480</v>
      </c>
      <c r="J14" s="39">
        <f>2*12*D5*10</f>
        <v>12480</v>
      </c>
      <c r="K14" s="39"/>
      <c r="L14" s="26"/>
      <c r="M14" s="39">
        <f>12*14*D5*10</f>
        <v>87360</v>
      </c>
      <c r="N14" s="39">
        <f t="shared" si="11"/>
        <v>29496</v>
      </c>
      <c r="O14" s="118">
        <f>100*N14/M14</f>
        <v>33.763736263736263</v>
      </c>
      <c r="P14" s="3">
        <f t="shared" si="8"/>
        <v>87360</v>
      </c>
      <c r="Q14" s="3">
        <f t="shared" si="8"/>
        <v>29496</v>
      </c>
      <c r="R14" s="80">
        <f t="shared" si="0"/>
        <v>33.763736263736263</v>
      </c>
      <c r="S14" s="80">
        <f t="shared" si="1"/>
        <v>1</v>
      </c>
      <c r="T14" s="3">
        <f t="shared" si="2"/>
        <v>178080</v>
      </c>
      <c r="U14" s="128">
        <f t="shared" si="3"/>
        <v>46584</v>
      </c>
      <c r="V14" s="123">
        <f t="shared" si="4"/>
        <v>26.159029649595688</v>
      </c>
      <c r="W14" s="80">
        <f t="shared" si="5"/>
        <v>1.1362505184570717</v>
      </c>
      <c r="X14" s="3">
        <f t="shared" si="9"/>
        <v>362880</v>
      </c>
      <c r="Y14" s="128">
        <f t="shared" si="6"/>
        <v>81144</v>
      </c>
      <c r="Z14" s="123">
        <f t="shared" si="10"/>
        <v>22.361111111111111</v>
      </c>
      <c r="AA14" s="80">
        <f t="shared" si="7"/>
        <v>1.217233513065118</v>
      </c>
    </row>
    <row r="15" spans="1:27">
      <c r="A15">
        <v>8</v>
      </c>
      <c r="B15" s="39" t="s">
        <v>14</v>
      </c>
      <c r="C15" s="39" t="s">
        <v>589</v>
      </c>
      <c r="D15" s="39"/>
      <c r="E15" s="39">
        <f>2*12*D5*10</f>
        <v>12480</v>
      </c>
      <c r="F15" s="39">
        <f>32*D5*2</f>
        <v>3328</v>
      </c>
      <c r="G15" s="39">
        <f>4*D5</f>
        <v>208</v>
      </c>
      <c r="H15" s="108">
        <f>2*4*D5*1/2</f>
        <v>208</v>
      </c>
      <c r="I15" s="39">
        <f>4*240*1/2</f>
        <v>480</v>
      </c>
      <c r="J15" s="39">
        <f>12*2*10*52</f>
        <v>12480</v>
      </c>
      <c r="K15" s="39"/>
      <c r="L15" s="26"/>
      <c r="M15" s="39">
        <f>12*14*D5*10</f>
        <v>87360</v>
      </c>
      <c r="N15" s="39">
        <f t="shared" si="11"/>
        <v>29184</v>
      </c>
      <c r="O15" s="118">
        <f>100*N15/M15</f>
        <v>33.406593406593409</v>
      </c>
      <c r="P15" s="3">
        <f t="shared" si="8"/>
        <v>87360</v>
      </c>
      <c r="Q15" s="3">
        <f t="shared" si="8"/>
        <v>29184</v>
      </c>
      <c r="R15" s="80">
        <f t="shared" si="0"/>
        <v>33.406593406593409</v>
      </c>
      <c r="S15" s="80">
        <f t="shared" si="1"/>
        <v>1</v>
      </c>
      <c r="T15" s="3">
        <f t="shared" si="2"/>
        <v>178080</v>
      </c>
      <c r="U15" s="128">
        <f t="shared" si="3"/>
        <v>46056</v>
      </c>
      <c r="V15" s="123">
        <f t="shared" si="4"/>
        <v>25.862533692722373</v>
      </c>
      <c r="W15" s="80">
        <f t="shared" si="5"/>
        <v>1.1346947194719472</v>
      </c>
      <c r="X15" s="3">
        <f t="shared" si="9"/>
        <v>362880</v>
      </c>
      <c r="Y15" s="128">
        <f t="shared" si="6"/>
        <v>80176</v>
      </c>
      <c r="Z15" s="123">
        <f t="shared" si="10"/>
        <v>22.094356261022927</v>
      </c>
      <c r="AA15" s="80">
        <f t="shared" si="7"/>
        <v>1.2148652365236525</v>
      </c>
    </row>
    <row r="16" spans="1:27">
      <c r="A16">
        <v>9</v>
      </c>
      <c r="B16" s="39" t="s">
        <v>26</v>
      </c>
      <c r="C16" s="39" t="s">
        <v>589</v>
      </c>
      <c r="D16" s="39"/>
      <c r="E16" s="39">
        <f>8*D5*10</f>
        <v>4160</v>
      </c>
      <c r="F16" s="39">
        <f>32*D5*2</f>
        <v>3328</v>
      </c>
      <c r="G16" s="39">
        <f>4*D5*2</f>
        <v>416</v>
      </c>
      <c r="H16" s="39">
        <f>3*4*D5*10/20</f>
        <v>312</v>
      </c>
      <c r="I16" s="39">
        <f>1*4*20*12*10/20</f>
        <v>480</v>
      </c>
      <c r="J16" s="39">
        <f>2*12*D5*10</f>
        <v>12480</v>
      </c>
      <c r="K16" s="39"/>
      <c r="L16" s="26"/>
      <c r="M16" s="39">
        <f>12*14*D5*10</f>
        <v>87360</v>
      </c>
      <c r="N16" s="39">
        <f t="shared" si="11"/>
        <v>21176</v>
      </c>
      <c r="O16" s="118">
        <f>100*N16/M16</f>
        <v>24.239926739926741</v>
      </c>
      <c r="P16" s="3">
        <f t="shared" si="8"/>
        <v>87360</v>
      </c>
      <c r="Q16" s="3">
        <f t="shared" si="8"/>
        <v>21176</v>
      </c>
      <c r="R16" s="80">
        <f t="shared" si="0"/>
        <v>24.239926739926741</v>
      </c>
      <c r="S16" s="80">
        <f t="shared" si="1"/>
        <v>1</v>
      </c>
      <c r="T16" s="3">
        <f t="shared" si="2"/>
        <v>178080</v>
      </c>
      <c r="U16" s="128">
        <f t="shared" si="3"/>
        <v>29624</v>
      </c>
      <c r="V16" s="123">
        <f t="shared" si="4"/>
        <v>16.635220125786162</v>
      </c>
      <c r="W16" s="80">
        <f t="shared" si="5"/>
        <v>1.1215399492324429</v>
      </c>
      <c r="X16" s="3">
        <f t="shared" si="9"/>
        <v>362880</v>
      </c>
      <c r="Y16" s="128">
        <f t="shared" si="6"/>
        <v>46584</v>
      </c>
      <c r="Z16" s="123">
        <f t="shared" si="10"/>
        <v>12.837301587301587</v>
      </c>
      <c r="AA16" s="80">
        <f t="shared" si="7"/>
        <v>1.1947600628550707</v>
      </c>
    </row>
    <row r="17" spans="1:27">
      <c r="A17">
        <v>10</v>
      </c>
      <c r="B17" s="39" t="s">
        <v>27</v>
      </c>
      <c r="C17" s="39" t="s">
        <v>589</v>
      </c>
      <c r="D17" s="39"/>
      <c r="E17" s="39">
        <f>12*D5*10</f>
        <v>6240</v>
      </c>
      <c r="F17" s="39">
        <f>32*D5*2</f>
        <v>3328</v>
      </c>
      <c r="G17" s="39">
        <f>4*D5*2</f>
        <v>416</v>
      </c>
      <c r="H17" s="39">
        <f>12*D5*10/20</f>
        <v>312</v>
      </c>
      <c r="I17" s="39">
        <f>1*4*240*10/20</f>
        <v>480</v>
      </c>
      <c r="J17" s="39">
        <f>12*2*D5*10</f>
        <v>12480</v>
      </c>
      <c r="K17" s="39"/>
      <c r="L17" s="26"/>
      <c r="M17" s="39">
        <f>12*14*D5*10</f>
        <v>87360</v>
      </c>
      <c r="N17" s="39">
        <f t="shared" ref="N17:N20" si="14">SUM(E17:J17)</f>
        <v>23256</v>
      </c>
      <c r="O17" s="118">
        <f t="shared" ref="O17:O22" si="15">100*N17/M17</f>
        <v>26.62087912087912</v>
      </c>
      <c r="P17" s="3">
        <f t="shared" si="8"/>
        <v>87360</v>
      </c>
      <c r="Q17" s="3">
        <f t="shared" si="8"/>
        <v>23256</v>
      </c>
      <c r="R17" s="80">
        <f t="shared" si="0"/>
        <v>26.62087912087912</v>
      </c>
      <c r="S17" s="80">
        <f t="shared" si="1"/>
        <v>1</v>
      </c>
      <c r="T17" s="3">
        <f t="shared" si="2"/>
        <v>178080</v>
      </c>
      <c r="U17" s="128">
        <f t="shared" si="3"/>
        <v>33864</v>
      </c>
      <c r="V17" s="123">
        <f t="shared" si="4"/>
        <v>19.016172506738545</v>
      </c>
      <c r="W17" s="80">
        <f t="shared" si="5"/>
        <v>1.1248596031448894</v>
      </c>
      <c r="X17" s="3">
        <f t="shared" si="9"/>
        <v>362880</v>
      </c>
      <c r="Y17" s="128">
        <f t="shared" si="6"/>
        <v>55224</v>
      </c>
      <c r="Z17" s="123">
        <f t="shared" si="10"/>
        <v>15.218253968253968</v>
      </c>
      <c r="AA17" s="80">
        <f t="shared" si="7"/>
        <v>1.1998315237738675</v>
      </c>
    </row>
    <row r="18" spans="1:27">
      <c r="A18">
        <v>11</v>
      </c>
      <c r="B18" s="29" t="s">
        <v>37</v>
      </c>
      <c r="C18" s="39" t="s">
        <v>589</v>
      </c>
      <c r="D18" s="29"/>
      <c r="E18" s="29">
        <v>12480</v>
      </c>
      <c r="F18" s="29">
        <v>3328</v>
      </c>
      <c r="G18" s="29">
        <v>416</v>
      </c>
      <c r="H18" s="29">
        <v>312</v>
      </c>
      <c r="I18" s="29">
        <v>480</v>
      </c>
      <c r="J18" s="29">
        <v>12480</v>
      </c>
      <c r="K18" s="29"/>
      <c r="L18" s="28"/>
      <c r="M18" s="39">
        <f>12*14*D5*10</f>
        <v>87360</v>
      </c>
      <c r="N18" s="39">
        <f t="shared" si="14"/>
        <v>29496</v>
      </c>
      <c r="O18" s="118">
        <f t="shared" si="15"/>
        <v>33.763736263736263</v>
      </c>
      <c r="P18" s="3">
        <f t="shared" si="8"/>
        <v>87360</v>
      </c>
      <c r="Q18" s="3">
        <f t="shared" si="8"/>
        <v>29496</v>
      </c>
      <c r="R18" s="80">
        <f t="shared" si="0"/>
        <v>33.763736263736263</v>
      </c>
      <c r="S18" s="80">
        <f t="shared" si="1"/>
        <v>1</v>
      </c>
      <c r="T18" s="3">
        <f t="shared" si="2"/>
        <v>178080</v>
      </c>
      <c r="U18" s="128">
        <f t="shared" si="3"/>
        <v>46584</v>
      </c>
      <c r="V18" s="123">
        <f t="shared" si="4"/>
        <v>26.159029649595688</v>
      </c>
      <c r="W18" s="80">
        <f t="shared" si="5"/>
        <v>1.1362505184570717</v>
      </c>
      <c r="X18" s="3">
        <f t="shared" si="9"/>
        <v>362880</v>
      </c>
      <c r="Y18" s="128">
        <f t="shared" si="6"/>
        <v>81144</v>
      </c>
      <c r="Z18" s="123">
        <f t="shared" si="10"/>
        <v>22.361111111111111</v>
      </c>
      <c r="AA18" s="80">
        <f t="shared" si="7"/>
        <v>1.217233513065118</v>
      </c>
    </row>
    <row r="19" spans="1:27">
      <c r="A19">
        <v>12</v>
      </c>
      <c r="B19" s="3" t="s">
        <v>39</v>
      </c>
      <c r="C19" s="3" t="s">
        <v>590</v>
      </c>
      <c r="E19" s="3">
        <f>$D$5*12*2*10</f>
        <v>12480</v>
      </c>
      <c r="J19" s="3">
        <f>$D$5*12*2*10</f>
        <v>12480</v>
      </c>
      <c r="M19" s="3">
        <f>$D$5*12*14*10</f>
        <v>87360</v>
      </c>
      <c r="N19" s="39">
        <f t="shared" si="14"/>
        <v>24960</v>
      </c>
      <c r="O19" s="118">
        <f t="shared" si="15"/>
        <v>28.571428571428573</v>
      </c>
      <c r="P19" s="3">
        <f t="shared" si="8"/>
        <v>87360</v>
      </c>
      <c r="Q19" s="3">
        <f t="shared" si="8"/>
        <v>24960</v>
      </c>
      <c r="R19" s="80">
        <f t="shared" si="0"/>
        <v>28.571428571428573</v>
      </c>
      <c r="S19" s="80">
        <f t="shared" si="1"/>
        <v>1</v>
      </c>
      <c r="T19" s="3">
        <f t="shared" si="2"/>
        <v>178080</v>
      </c>
      <c r="U19" s="128">
        <f t="shared" si="3"/>
        <v>38160</v>
      </c>
      <c r="V19" s="123">
        <f t="shared" si="4"/>
        <v>21.428571428571427</v>
      </c>
      <c r="W19" s="80">
        <f t="shared" si="5"/>
        <v>1.1211538461538464</v>
      </c>
      <c r="X19" s="3">
        <f t="shared" si="9"/>
        <v>362880</v>
      </c>
      <c r="Y19" s="128">
        <f t="shared" si="6"/>
        <v>64800</v>
      </c>
      <c r="Z19" s="123">
        <f t="shared" si="10"/>
        <v>17.857142857142858</v>
      </c>
      <c r="AA19" s="80">
        <f t="shared" si="7"/>
        <v>1.1942307692307694</v>
      </c>
    </row>
    <row r="20" spans="1:27">
      <c r="A20">
        <v>13</v>
      </c>
      <c r="B20" s="3" t="s">
        <v>29</v>
      </c>
      <c r="C20" s="39" t="s">
        <v>589</v>
      </c>
      <c r="E20" s="39">
        <f>8*D5*10</f>
        <v>4160</v>
      </c>
      <c r="F20" s="39">
        <f>32*D5*2</f>
        <v>3328</v>
      </c>
      <c r="G20" s="39">
        <f>4*D5*2</f>
        <v>416</v>
      </c>
      <c r="H20" s="39">
        <f>12*52*10/20</f>
        <v>312</v>
      </c>
      <c r="I20" s="39">
        <f>4*240*1/2</f>
        <v>480</v>
      </c>
      <c r="J20" s="39">
        <f>2*12*D5*10</f>
        <v>12480</v>
      </c>
      <c r="M20" s="119">
        <f>D5*12*10*14</f>
        <v>87360</v>
      </c>
      <c r="N20" s="39">
        <f t="shared" si="14"/>
        <v>21176</v>
      </c>
      <c r="O20" s="118">
        <f t="shared" si="15"/>
        <v>24.239926739926741</v>
      </c>
      <c r="P20" s="3">
        <f t="shared" si="8"/>
        <v>87360</v>
      </c>
      <c r="Q20" s="3">
        <f t="shared" si="8"/>
        <v>21176</v>
      </c>
      <c r="R20" s="80">
        <f t="shared" si="0"/>
        <v>24.239926739926741</v>
      </c>
      <c r="S20" s="80">
        <f t="shared" si="1"/>
        <v>1</v>
      </c>
      <c r="T20" s="3">
        <f t="shared" si="2"/>
        <v>178080</v>
      </c>
      <c r="U20" s="128">
        <f t="shared" si="3"/>
        <v>29624</v>
      </c>
      <c r="V20" s="123">
        <f t="shared" si="4"/>
        <v>16.635220125786162</v>
      </c>
      <c r="W20" s="80">
        <f t="shared" si="5"/>
        <v>1.1215399492324429</v>
      </c>
      <c r="X20" s="3">
        <f t="shared" si="9"/>
        <v>362880</v>
      </c>
      <c r="Y20" s="128">
        <f t="shared" si="6"/>
        <v>46584</v>
      </c>
      <c r="Z20" s="123">
        <f t="shared" si="10"/>
        <v>12.837301587301587</v>
      </c>
      <c r="AA20" s="80">
        <f t="shared" si="7"/>
        <v>1.1947600628550707</v>
      </c>
    </row>
    <row r="21" spans="1:27">
      <c r="A21">
        <v>14</v>
      </c>
      <c r="B21" s="29" t="s">
        <v>21</v>
      </c>
      <c r="C21" s="39" t="s">
        <v>589</v>
      </c>
      <c r="D21" s="29"/>
      <c r="E21" s="29">
        <v>12480</v>
      </c>
      <c r="F21" s="29">
        <v>3328</v>
      </c>
      <c r="G21" s="29">
        <v>0</v>
      </c>
      <c r="H21" s="29">
        <v>312</v>
      </c>
      <c r="I21" s="29">
        <v>480</v>
      </c>
      <c r="J21" s="29">
        <v>12480</v>
      </c>
      <c r="K21" s="29"/>
      <c r="L21" s="28"/>
      <c r="M21" s="29">
        <v>87360</v>
      </c>
      <c r="N21" s="39">
        <f t="shared" ref="N21" si="16">SUM(E21:J21)</f>
        <v>29080</v>
      </c>
      <c r="O21" s="118">
        <f t="shared" si="15"/>
        <v>33.287545787545788</v>
      </c>
      <c r="P21" s="3">
        <f t="shared" si="8"/>
        <v>87360</v>
      </c>
      <c r="Q21" s="3">
        <f t="shared" si="8"/>
        <v>29080</v>
      </c>
      <c r="R21" s="80">
        <f t="shared" si="0"/>
        <v>33.287545787545788</v>
      </c>
      <c r="S21" s="80">
        <f t="shared" si="1"/>
        <v>1</v>
      </c>
      <c r="T21" s="3">
        <f t="shared" si="2"/>
        <v>178080</v>
      </c>
      <c r="U21" s="128">
        <f t="shared" si="3"/>
        <v>45736</v>
      </c>
      <c r="V21" s="123">
        <f t="shared" si="4"/>
        <v>25.68283917340521</v>
      </c>
      <c r="W21" s="80">
        <f t="shared" si="5"/>
        <v>1.1354152367879202</v>
      </c>
      <c r="X21" s="3">
        <f t="shared" si="9"/>
        <v>362880</v>
      </c>
      <c r="Y21" s="128">
        <f t="shared" si="6"/>
        <v>79416</v>
      </c>
      <c r="Z21" s="123">
        <f t="shared" si="10"/>
        <v>21.884920634920636</v>
      </c>
      <c r="AA21" s="80">
        <f t="shared" si="7"/>
        <v>1.2159574468085106</v>
      </c>
    </row>
    <row r="22" spans="1:27">
      <c r="A22">
        <v>15</v>
      </c>
      <c r="B22" s="50" t="s">
        <v>93</v>
      </c>
      <c r="C22" s="39" t="s">
        <v>590</v>
      </c>
      <c r="D22" s="29"/>
      <c r="E22" s="29">
        <v>12480</v>
      </c>
      <c r="F22" s="29">
        <v>3328</v>
      </c>
      <c r="G22" s="29">
        <v>208</v>
      </c>
      <c r="H22" s="29">
        <v>312</v>
      </c>
      <c r="I22" s="29">
        <v>480</v>
      </c>
      <c r="J22" s="29">
        <v>12480</v>
      </c>
      <c r="K22" s="29"/>
      <c r="L22" s="28"/>
      <c r="M22" s="29">
        <v>87360</v>
      </c>
      <c r="N22" s="39">
        <f t="shared" ref="N22" si="17">SUM(E22:J22)</f>
        <v>29288</v>
      </c>
      <c r="O22" s="118">
        <f t="shared" si="15"/>
        <v>33.525641025641029</v>
      </c>
      <c r="P22" s="3">
        <f t="shared" ref="P22" si="18">M22</f>
        <v>87360</v>
      </c>
      <c r="Q22" s="3">
        <f t="shared" ref="Q22" si="19">N22</f>
        <v>29288</v>
      </c>
      <c r="R22" s="80">
        <f t="shared" ref="R22" si="20">100*Q22/P22</f>
        <v>33.525641025641029</v>
      </c>
      <c r="S22" s="80">
        <f t="shared" ref="S22" si="21">(1-R22/100)/(1-O22/100)</f>
        <v>1</v>
      </c>
      <c r="T22" s="3">
        <f t="shared" ref="T22" si="22">P22*$E$5/$D$5</f>
        <v>178080</v>
      </c>
      <c r="U22" s="128">
        <f t="shared" ref="U22" si="23">SUM(E22:G22)*$E$5/$D$5+H22+I22+12*CEILING($E$5*2*$D$4/$E$4,1)*10</f>
        <v>46160</v>
      </c>
      <c r="V22" s="123">
        <f t="shared" ref="V22" si="24">100*U22/T22</f>
        <v>25.920934411500451</v>
      </c>
      <c r="W22" s="80">
        <f t="shared" ref="W22" si="25">(1-V22/100)/(1-R22/100)*(1-$E$6)/(1-$D$6)</f>
        <v>1.135831381733021</v>
      </c>
      <c r="X22" s="3">
        <f t="shared" ref="X22" si="26">P22*$F$5/$D$5</f>
        <v>362880</v>
      </c>
      <c r="Y22" s="128">
        <f t="shared" ref="Y22" si="27">SUM(E22:G22)*$F$5/$D$5+H22+I22+12*CEILING($F$5*2*$D$4/$F$4,1)*10</f>
        <v>80280</v>
      </c>
      <c r="Z22" s="123">
        <f t="shared" ref="Z22" si="28">100*Y22/X22</f>
        <v>22.123015873015873</v>
      </c>
      <c r="AA22" s="80">
        <f t="shared" ref="AA22" si="29">(1-Z22/100)/(1-R22/100)*(1-$F$6)/(1-$D$6)</f>
        <v>1.2165931946549113</v>
      </c>
    </row>
    <row r="23" spans="1:27">
      <c r="B23" s="29"/>
      <c r="C23" s="39"/>
      <c r="D23" s="29"/>
      <c r="E23" s="29"/>
      <c r="F23" s="29"/>
      <c r="G23" s="29"/>
      <c r="H23" s="29"/>
      <c r="I23" s="29"/>
      <c r="J23" s="29"/>
      <c r="K23" s="29"/>
      <c r="L23" s="28"/>
      <c r="M23" s="29"/>
      <c r="N23" s="39"/>
      <c r="O23" s="118"/>
      <c r="S23" s="80"/>
    </row>
    <row r="25" spans="1:27" ht="13.8">
      <c r="B25" s="106" t="s">
        <v>591</v>
      </c>
      <c r="C25" s="106"/>
    </row>
    <row r="26" spans="1:27" ht="13.8">
      <c r="B26" s="106" t="s">
        <v>592</v>
      </c>
      <c r="C26" s="106"/>
      <c r="D26" s="3" t="s">
        <v>565</v>
      </c>
      <c r="E26" s="3" t="s">
        <v>566</v>
      </c>
      <c r="F26" s="3" t="s">
        <v>567</v>
      </c>
    </row>
    <row r="27" spans="1:27" ht="13.8">
      <c r="B27" s="106" t="s">
        <v>568</v>
      </c>
      <c r="D27" s="3">
        <v>20</v>
      </c>
      <c r="E27" s="3">
        <v>40</v>
      </c>
      <c r="F27" s="3">
        <v>100</v>
      </c>
    </row>
    <row r="28" spans="1:27" ht="13.8">
      <c r="B28" s="106" t="s">
        <v>593</v>
      </c>
      <c r="C28" s="106"/>
      <c r="D28" s="3">
        <v>106</v>
      </c>
      <c r="E28" s="3">
        <v>216</v>
      </c>
      <c r="F28" s="3" t="s">
        <v>210</v>
      </c>
    </row>
    <row r="29" spans="1:27" ht="13.8">
      <c r="B29" s="106" t="s">
        <v>570</v>
      </c>
      <c r="D29" s="107">
        <v>4.5999999999999999E-2</v>
      </c>
      <c r="E29" s="107">
        <v>2.8000000000000001E-2</v>
      </c>
      <c r="F29" s="3" t="s">
        <v>210</v>
      </c>
    </row>
    <row r="30" spans="1:27" ht="54" customHeight="1">
      <c r="B30" s="98"/>
      <c r="C30" s="98" t="s">
        <v>571</v>
      </c>
      <c r="D30" s="98" t="s">
        <v>594</v>
      </c>
      <c r="E30" s="98" t="s">
        <v>503</v>
      </c>
      <c r="F30" s="98" t="s">
        <v>572</v>
      </c>
      <c r="G30" s="98" t="s">
        <v>573</v>
      </c>
      <c r="H30" s="98" t="s">
        <v>509</v>
      </c>
      <c r="I30" s="98" t="s">
        <v>480</v>
      </c>
      <c r="J30" s="98" t="s">
        <v>477</v>
      </c>
      <c r="K30" s="98" t="s">
        <v>595</v>
      </c>
      <c r="L30" s="100"/>
      <c r="M30" s="100" t="s">
        <v>574</v>
      </c>
      <c r="N30" s="100" t="s">
        <v>575</v>
      </c>
      <c r="O30" s="100" t="s">
        <v>576</v>
      </c>
      <c r="P30" s="116" t="s">
        <v>577</v>
      </c>
      <c r="Q30" s="116" t="s">
        <v>578</v>
      </c>
      <c r="R30" s="127" t="s">
        <v>579</v>
      </c>
      <c r="S30" s="103" t="s">
        <v>580</v>
      </c>
      <c r="T30" s="116" t="s">
        <v>596</v>
      </c>
      <c r="U30" s="116" t="s">
        <v>597</v>
      </c>
      <c r="V30" s="127" t="s">
        <v>598</v>
      </c>
      <c r="W30" s="103" t="s">
        <v>584</v>
      </c>
    </row>
    <row r="31" spans="1:27">
      <c r="A31">
        <v>1</v>
      </c>
      <c r="B31" s="109" t="s">
        <v>8</v>
      </c>
      <c r="C31" s="109" t="s">
        <v>599</v>
      </c>
      <c r="D31" s="109" t="s">
        <v>600</v>
      </c>
      <c r="E31" s="108">
        <f>24*D28*6</f>
        <v>15264</v>
      </c>
      <c r="F31" s="108">
        <f>40*D28</f>
        <v>4240</v>
      </c>
      <c r="G31" s="108">
        <f>4*D28</f>
        <v>424</v>
      </c>
      <c r="H31" s="108">
        <f>2*4*D28*1/2</f>
        <v>424</v>
      </c>
      <c r="I31" s="108">
        <f>1*4*240</f>
        <v>960</v>
      </c>
      <c r="J31" s="108">
        <f>12*8*6*6</f>
        <v>3456</v>
      </c>
      <c r="K31" s="36">
        <f>12*D28*1*2</f>
        <v>2544</v>
      </c>
      <c r="L31" s="108"/>
      <c r="M31" s="108">
        <f>D28*(12*14*4+12*6*2)</f>
        <v>86496</v>
      </c>
      <c r="N31" s="108">
        <f t="shared" ref="N31:N32" si="30">SUM(E31:J31)</f>
        <v>24768</v>
      </c>
      <c r="O31" s="117">
        <f t="shared" ref="O31:O35" si="31">100*N31/M31</f>
        <v>28.634850166481687</v>
      </c>
      <c r="P31" s="108">
        <f>D28*(12*14*4+12*6*2+12*1*2)</f>
        <v>89040</v>
      </c>
      <c r="Q31" s="108">
        <f>SUM(E31:K31)+J32-J31</f>
        <v>39120</v>
      </c>
      <c r="R31" s="117">
        <f t="shared" ref="R31:R38" si="32">100*Q31/P31</f>
        <v>43.935309973045825</v>
      </c>
      <c r="S31" s="80">
        <f>(1-R31/100)/(1-O31/100)</f>
        <v>0.78560319928904687</v>
      </c>
      <c r="T31" s="3">
        <f>P31*$E$28/$D$28</f>
        <v>181440</v>
      </c>
      <c r="U31" s="128">
        <f>SUM(E31:G31,K31)*$E$28/$D$28+H31+I31+12*CEILING($E$28*2*$D$27/$E$27,1)*6</f>
        <v>62728</v>
      </c>
      <c r="V31" s="123">
        <f>100*U31/T31</f>
        <v>34.572310405643741</v>
      </c>
      <c r="W31" s="80">
        <f>(1-V31/100)/(1-R31/100)*(1-$E$29)/(1-$D$29)</f>
        <v>1.1890224358974355</v>
      </c>
    </row>
    <row r="32" spans="1:27">
      <c r="A32">
        <v>3</v>
      </c>
      <c r="B32" s="110" t="s">
        <v>33</v>
      </c>
      <c r="C32" s="110" t="s">
        <v>589</v>
      </c>
      <c r="D32" s="39" t="s">
        <v>600</v>
      </c>
      <c r="E32" s="110">
        <f>12*D28*6</f>
        <v>7632</v>
      </c>
      <c r="F32" s="110">
        <f>40*D28</f>
        <v>4240</v>
      </c>
      <c r="G32" s="110">
        <f>4*D28</f>
        <v>424</v>
      </c>
      <c r="H32" s="110">
        <f>3*4*D28*1/8</f>
        <v>159</v>
      </c>
      <c r="I32" s="110">
        <f>1*4*240/2</f>
        <v>480</v>
      </c>
      <c r="J32" s="110">
        <f>12*2*6*106</f>
        <v>15264</v>
      </c>
      <c r="K32" s="36">
        <f>12*D28*1*2</f>
        <v>2544</v>
      </c>
      <c r="L32" s="110"/>
      <c r="M32" s="110">
        <f>D28*(12*14*4+12*6*2)</f>
        <v>86496</v>
      </c>
      <c r="N32" s="110">
        <f t="shared" si="30"/>
        <v>28199</v>
      </c>
      <c r="O32" s="120">
        <f t="shared" si="31"/>
        <v>32.601507584165745</v>
      </c>
      <c r="P32" s="108">
        <f>D28*(12*14*4+12*6*2+12*1*2)</f>
        <v>89040</v>
      </c>
      <c r="Q32" s="108">
        <f t="shared" ref="Q32:Q39" si="33">SUM(E32:K32)</f>
        <v>30743</v>
      </c>
      <c r="R32" s="117">
        <f t="shared" si="32"/>
        <v>34.527178796046719</v>
      </c>
      <c r="S32" s="80">
        <f t="shared" ref="S32:S41" si="34">(1-R32/100)/(1-O32/100)</f>
        <v>0.97142857142857153</v>
      </c>
      <c r="T32" s="3">
        <f t="shared" ref="T32:T41" si="35">P32*$E$28/$D$28</f>
        <v>181440</v>
      </c>
      <c r="U32" s="128">
        <f>SUM(E32:G32,K32)*$E$28/$D$28+H32+I32+12*CEILING($E$28*2*$D$27/$E$27,1)*6</f>
        <v>46431</v>
      </c>
      <c r="V32" s="123">
        <f t="shared" ref="V32:V41" si="36">100*U32/T32</f>
        <v>25.590277777777779</v>
      </c>
      <c r="W32" s="80">
        <f t="shared" ref="W32:W41" si="37">(1-V32/100)/(1-R32/100)*(1-$E$29)/(1-$D$29)</f>
        <v>1.1579412319673397</v>
      </c>
    </row>
    <row r="33" spans="1:23">
      <c r="A33">
        <v>4</v>
      </c>
      <c r="B33" s="39" t="s">
        <v>601</v>
      </c>
      <c r="C33" s="39" t="s">
        <v>589</v>
      </c>
      <c r="D33" s="39" t="s">
        <v>602</v>
      </c>
      <c r="E33" s="39">
        <f>2*12*D28*6</f>
        <v>15264</v>
      </c>
      <c r="F33" s="39">
        <f>32*D28</f>
        <v>3392</v>
      </c>
      <c r="G33" s="39">
        <f>4*D28</f>
        <v>424</v>
      </c>
      <c r="H33" s="39">
        <f t="shared" ref="H33:H34" si="38">4*3*52*10/80</f>
        <v>78</v>
      </c>
      <c r="I33" s="39">
        <f t="shared" ref="I33:I35" si="39">4*240*1/2</f>
        <v>480</v>
      </c>
      <c r="J33" s="39">
        <f>2*12*D28*6</f>
        <v>15264</v>
      </c>
      <c r="K33" s="36">
        <f>12*D28</f>
        <v>1272</v>
      </c>
      <c r="L33" s="39"/>
      <c r="M33" s="39">
        <f>12*D28*14*4+12*D28*11*2+12*D28*1</f>
        <v>100488</v>
      </c>
      <c r="N33" s="39">
        <f>SUM(E33:K33)</f>
        <v>36174</v>
      </c>
      <c r="O33" s="118">
        <f t="shared" si="31"/>
        <v>35.998328158586098</v>
      </c>
      <c r="P33" s="39">
        <f>12*D28*14*4+12*D28*11*2+12*D28</f>
        <v>100488</v>
      </c>
      <c r="Q33" s="39">
        <f t="shared" si="33"/>
        <v>36174</v>
      </c>
      <c r="R33" s="118">
        <f t="shared" si="32"/>
        <v>35.998328158586098</v>
      </c>
      <c r="S33" s="80">
        <f t="shared" si="34"/>
        <v>1</v>
      </c>
      <c r="T33" s="3">
        <f t="shared" si="35"/>
        <v>204768</v>
      </c>
      <c r="U33" s="128">
        <f t="shared" ref="U33:U41" si="40">SUM(E33:G33,K33)*$E$28/$D$28+H33+I33+12*CEILING($E$28*2*$D$27/$E$27,1)*6</f>
        <v>57582</v>
      </c>
      <c r="V33" s="123">
        <f t="shared" si="36"/>
        <v>28.120604781997187</v>
      </c>
      <c r="W33" s="80">
        <f t="shared" si="37"/>
        <v>1.1442765183319343</v>
      </c>
    </row>
    <row r="34" spans="1:23">
      <c r="A34">
        <v>5</v>
      </c>
      <c r="B34" s="39" t="s">
        <v>603</v>
      </c>
      <c r="C34" s="39" t="s">
        <v>589</v>
      </c>
      <c r="D34" s="39" t="s">
        <v>602</v>
      </c>
      <c r="E34" s="39">
        <f>2*12*D28*6</f>
        <v>15264</v>
      </c>
      <c r="F34" s="39">
        <f>40*D28</f>
        <v>4240</v>
      </c>
      <c r="G34" s="39">
        <f>4*D28</f>
        <v>424</v>
      </c>
      <c r="H34" s="39">
        <f t="shared" si="38"/>
        <v>78</v>
      </c>
      <c r="I34" s="39">
        <f t="shared" si="39"/>
        <v>480</v>
      </c>
      <c r="J34" s="39">
        <f>2*12*D28*6</f>
        <v>15264</v>
      </c>
      <c r="K34" s="36">
        <f>12*D28</f>
        <v>1272</v>
      </c>
      <c r="L34" s="39"/>
      <c r="M34" s="39">
        <f>12*D28*14*4+12*D28*11*2+12*D28*1</f>
        <v>100488</v>
      </c>
      <c r="N34" s="39">
        <f>SUM(E34:K34)</f>
        <v>37022</v>
      </c>
      <c r="O34" s="118">
        <f t="shared" si="31"/>
        <v>36.842210015126184</v>
      </c>
      <c r="P34" s="39">
        <f>12*D28*14*4+12*D28*11*2+12*D28</f>
        <v>100488</v>
      </c>
      <c r="Q34" s="39">
        <f t="shared" si="33"/>
        <v>37022</v>
      </c>
      <c r="R34" s="118">
        <f t="shared" si="32"/>
        <v>36.842210015126184</v>
      </c>
      <c r="S34" s="80">
        <f t="shared" si="34"/>
        <v>1</v>
      </c>
      <c r="T34" s="3">
        <f t="shared" si="35"/>
        <v>204768</v>
      </c>
      <c r="U34" s="128">
        <f t="shared" si="40"/>
        <v>59310</v>
      </c>
      <c r="V34" s="123">
        <f t="shared" si="36"/>
        <v>28.96448663853727</v>
      </c>
      <c r="W34" s="80">
        <f t="shared" si="37"/>
        <v>1.1459521633630607</v>
      </c>
    </row>
    <row r="35" spans="1:23" s="104" customFormat="1">
      <c r="A35" s="104">
        <v>6</v>
      </c>
      <c r="B35" s="39" t="s">
        <v>25</v>
      </c>
      <c r="C35" s="39" t="s">
        <v>589</v>
      </c>
      <c r="D35" s="39" t="s">
        <v>602</v>
      </c>
      <c r="E35" s="39">
        <f>2*12*D28*6</f>
        <v>15264</v>
      </c>
      <c r="F35" s="39">
        <f>D28*40*2</f>
        <v>8480</v>
      </c>
      <c r="G35" s="39">
        <f>4*D28</f>
        <v>424</v>
      </c>
      <c r="H35" s="39">
        <f>8*D28*10/20</f>
        <v>424</v>
      </c>
      <c r="I35" s="39">
        <f t="shared" si="39"/>
        <v>480</v>
      </c>
      <c r="J35" s="39">
        <f>2*12*D28*6</f>
        <v>15264</v>
      </c>
      <c r="K35" s="36">
        <f>12*D28</f>
        <v>1272</v>
      </c>
      <c r="L35" s="26"/>
      <c r="M35" s="39">
        <f>12*D28*14*4+12*D28*11*2</f>
        <v>99216</v>
      </c>
      <c r="N35" s="39">
        <f t="shared" ref="N35:N36" si="41">SUM(E35:J35)</f>
        <v>40336</v>
      </c>
      <c r="O35" s="118">
        <f t="shared" si="31"/>
        <v>40.654733107563295</v>
      </c>
      <c r="P35" s="39">
        <f>12*D28*14*4+12*D28*11*2+12*D28</f>
        <v>100488</v>
      </c>
      <c r="Q35" s="39">
        <f t="shared" si="33"/>
        <v>41608</v>
      </c>
      <c r="R35" s="118">
        <f t="shared" si="32"/>
        <v>41.405939017594143</v>
      </c>
      <c r="S35" s="80">
        <f t="shared" si="34"/>
        <v>0.98734177215189844</v>
      </c>
      <c r="T35" s="3">
        <f t="shared" si="35"/>
        <v>204768</v>
      </c>
      <c r="U35" s="128">
        <f t="shared" si="40"/>
        <v>68296</v>
      </c>
      <c r="V35" s="123">
        <f t="shared" si="36"/>
        <v>33.35286763556806</v>
      </c>
      <c r="W35" s="80">
        <f t="shared" si="37"/>
        <v>1.1588994565217392</v>
      </c>
    </row>
    <row r="36" spans="1:23" s="104" customFormat="1">
      <c r="A36" s="104">
        <v>7</v>
      </c>
      <c r="B36" s="39" t="s">
        <v>33</v>
      </c>
      <c r="C36" s="39" t="s">
        <v>599</v>
      </c>
      <c r="D36" s="111" t="s">
        <v>604</v>
      </c>
      <c r="E36" s="110">
        <f>12*D28*8</f>
        <v>10176</v>
      </c>
      <c r="F36" s="110">
        <f>32*D28</f>
        <v>3392</v>
      </c>
      <c r="G36" s="110">
        <f>4*D28</f>
        <v>424</v>
      </c>
      <c r="H36" s="110">
        <f>3*4*52*1/8</f>
        <v>78</v>
      </c>
      <c r="I36" s="110">
        <f>1*4*240/2</f>
        <v>480</v>
      </c>
      <c r="J36" s="110">
        <f>12*2*8*D28</f>
        <v>20352</v>
      </c>
      <c r="K36" s="121">
        <f>12*2*D28</f>
        <v>2544</v>
      </c>
      <c r="M36" s="121">
        <f>D28*(12*14*6+12*10*2)</f>
        <v>132288</v>
      </c>
      <c r="N36" s="39">
        <f t="shared" si="41"/>
        <v>34902</v>
      </c>
      <c r="O36" s="118">
        <v>26.383345428156701</v>
      </c>
      <c r="P36" s="39">
        <f>D28*(12*14*6+12*10*2+12*1*2)</f>
        <v>134832</v>
      </c>
      <c r="Q36" s="39">
        <f t="shared" si="33"/>
        <v>37446</v>
      </c>
      <c r="R36" s="118">
        <f t="shared" si="32"/>
        <v>27.772338910644358</v>
      </c>
      <c r="S36" s="80">
        <f t="shared" si="34"/>
        <v>0.98113207547169745</v>
      </c>
      <c r="T36" s="3">
        <f t="shared" si="35"/>
        <v>274752</v>
      </c>
      <c r="U36" s="128">
        <f>SUM(E36:G36,K36)*$E$28/$D$28+H36+I36+12*CEILING($E$28*2*$D$27/$E$27,1)*8</f>
        <v>54990</v>
      </c>
      <c r="V36" s="123">
        <f t="shared" si="36"/>
        <v>20.014412997903563</v>
      </c>
      <c r="W36" s="80">
        <f t="shared" si="37"/>
        <v>1.1283038629782516</v>
      </c>
    </row>
    <row r="37" spans="1:23" s="104" customFormat="1">
      <c r="A37" s="104">
        <v>8</v>
      </c>
      <c r="B37" s="39" t="s">
        <v>605</v>
      </c>
      <c r="C37" s="39" t="s">
        <v>606</v>
      </c>
      <c r="D37" s="39" t="s">
        <v>607</v>
      </c>
      <c r="E37" s="110">
        <v>19278</v>
      </c>
      <c r="F37" s="110">
        <f>32*D28*2</f>
        <v>6784</v>
      </c>
      <c r="G37" s="110">
        <f>4*D28*2</f>
        <v>848</v>
      </c>
      <c r="H37" s="39">
        <f>4*3*52*10/20</f>
        <v>312</v>
      </c>
      <c r="I37" s="39">
        <f>4*240*1/2</f>
        <v>480</v>
      </c>
      <c r="J37" s="119">
        <f>12*2*8*D28</f>
        <v>20352</v>
      </c>
      <c r="K37" s="121">
        <f>12*2*D28</f>
        <v>2544</v>
      </c>
      <c r="M37" s="121">
        <f>D28*(12*14*6+12*10*2+12*2*2)</f>
        <v>137376</v>
      </c>
      <c r="N37" s="39">
        <f>SUM(E37:J37)+K37*2</f>
        <v>53142</v>
      </c>
      <c r="O37" s="118">
        <f>100*N37/M37</f>
        <v>38.68361285814116</v>
      </c>
      <c r="P37" s="121">
        <f>D28*(12*14*6+12*10*2+12*1*2)</f>
        <v>134832</v>
      </c>
      <c r="Q37" s="39">
        <f t="shared" si="33"/>
        <v>50598</v>
      </c>
      <c r="R37" s="118">
        <f t="shared" si="32"/>
        <v>37.52669989320043</v>
      </c>
      <c r="S37" s="80">
        <f t="shared" si="34"/>
        <v>1.0188679245283019</v>
      </c>
      <c r="T37" s="3">
        <f t="shared" si="35"/>
        <v>274752</v>
      </c>
      <c r="U37" s="128">
        <f t="shared" ref="U37:U38" si="42">SUM(E37:G37,K37)*$E$28/$D$28+H37+I37+12*CEILING($E$28*2*$D$27/$E$27,1)*8</f>
        <v>81547.471698113208</v>
      </c>
      <c r="V37" s="123">
        <f t="shared" si="36"/>
        <v>29.680392389541552</v>
      </c>
      <c r="W37" s="80">
        <f t="shared" si="37"/>
        <v>1.146832207314664</v>
      </c>
    </row>
    <row r="38" spans="1:23" s="104" customFormat="1">
      <c r="A38" s="104">
        <v>8</v>
      </c>
      <c r="B38" s="39" t="s">
        <v>605</v>
      </c>
      <c r="C38" s="39" t="s">
        <v>608</v>
      </c>
      <c r="D38" s="39" t="s">
        <v>607</v>
      </c>
      <c r="E38" s="110">
        <v>19686</v>
      </c>
      <c r="F38" s="110">
        <f>32*D28*2</f>
        <v>6784</v>
      </c>
      <c r="G38" s="110">
        <f>4*D28*2</f>
        <v>848</v>
      </c>
      <c r="H38" s="39">
        <f>4*3*52*10/20</f>
        <v>312</v>
      </c>
      <c r="I38" s="39">
        <f>4*240*1/2</f>
        <v>480</v>
      </c>
      <c r="J38" s="119">
        <f>12*2*8*D28</f>
        <v>20352</v>
      </c>
      <c r="K38" s="121">
        <f>12*2*D28</f>
        <v>2544</v>
      </c>
      <c r="M38" s="121">
        <f>D28*(12*14*6+12*10*2+12*2*2)</f>
        <v>137376</v>
      </c>
      <c r="N38" s="39">
        <f>SUM(E38:J38)+K38*2</f>
        <v>53550</v>
      </c>
      <c r="O38" s="118">
        <f>100*N38/M38</f>
        <v>38.980607966457022</v>
      </c>
      <c r="P38" s="121">
        <f>D28*(12*14*6+12*10*2+12*1*2)</f>
        <v>134832</v>
      </c>
      <c r="Q38" s="39">
        <f t="shared" si="33"/>
        <v>51006</v>
      </c>
      <c r="R38" s="118">
        <f t="shared" si="32"/>
        <v>37.829298682805266</v>
      </c>
      <c r="S38" s="80">
        <f t="shared" si="34"/>
        <v>1.0188679245283017</v>
      </c>
      <c r="T38" s="3">
        <f t="shared" si="35"/>
        <v>274752</v>
      </c>
      <c r="U38" s="128">
        <f t="shared" si="42"/>
        <v>82378.867924528298</v>
      </c>
      <c r="V38" s="123">
        <f t="shared" si="36"/>
        <v>29.982991179146392</v>
      </c>
      <c r="W38" s="80">
        <f t="shared" si="37"/>
        <v>1.147455038266598</v>
      </c>
    </row>
    <row r="39" spans="1:23" s="104" customFormat="1">
      <c r="A39">
        <v>9</v>
      </c>
      <c r="B39" s="3" t="s">
        <v>29</v>
      </c>
      <c r="C39" s="39" t="s">
        <v>589</v>
      </c>
      <c r="D39" s="39" t="s">
        <v>602</v>
      </c>
      <c r="E39" s="39">
        <f>8*D28*6</f>
        <v>5088</v>
      </c>
      <c r="F39" s="39">
        <f>40*D28*2</f>
        <v>8480</v>
      </c>
      <c r="G39" s="39">
        <f>4*D28*2</f>
        <v>848</v>
      </c>
      <c r="H39" s="39">
        <f>12*52*10/20</f>
        <v>312</v>
      </c>
      <c r="I39" s="39">
        <f>4*240*1/2</f>
        <v>480</v>
      </c>
      <c r="J39" s="119">
        <f>12*2*6*D28</f>
        <v>15264</v>
      </c>
      <c r="K39" s="121">
        <f>12*1*D28</f>
        <v>1272</v>
      </c>
      <c r="L39" s="121"/>
      <c r="M39" s="121">
        <f>D28*(12*14*4+12*12*2)</f>
        <v>101760</v>
      </c>
      <c r="N39" s="39">
        <f>SUM(E39:J39)+K39*2</f>
        <v>33016</v>
      </c>
      <c r="O39" s="118">
        <f t="shared" ref="O39:O41" si="43">100*N39/M39</f>
        <v>32.44496855345912</v>
      </c>
      <c r="P39" s="39">
        <f>D28*(12*14*4+12*11*2+12*0.5*2)</f>
        <v>100488</v>
      </c>
      <c r="Q39" s="39">
        <f t="shared" si="33"/>
        <v>31744</v>
      </c>
      <c r="R39" s="118">
        <f t="shared" ref="R39:R41" si="44">100*Q39/P39</f>
        <v>31.589841573123159</v>
      </c>
      <c r="S39" s="80">
        <f t="shared" si="34"/>
        <v>1.0126582278481011</v>
      </c>
      <c r="T39" s="3">
        <f t="shared" si="35"/>
        <v>204768</v>
      </c>
      <c r="U39" s="128">
        <f t="shared" si="40"/>
        <v>48312</v>
      </c>
      <c r="V39" s="123">
        <f t="shared" si="36"/>
        <v>23.593530239099859</v>
      </c>
      <c r="W39" s="80">
        <f t="shared" si="37"/>
        <v>1.1379611311532645</v>
      </c>
    </row>
    <row r="40" spans="1:23" s="104" customFormat="1">
      <c r="A40">
        <v>10</v>
      </c>
      <c r="B40" s="3" t="s">
        <v>39</v>
      </c>
      <c r="C40" s="39" t="s">
        <v>590</v>
      </c>
      <c r="D40" s="39" t="s">
        <v>609</v>
      </c>
      <c r="E40" s="3">
        <f>$D$28*(12*2*4+12*2)</f>
        <v>12720</v>
      </c>
      <c r="F40" s="39"/>
      <c r="G40" s="39"/>
      <c r="H40" s="39"/>
      <c r="I40" s="39"/>
      <c r="J40" s="92">
        <f>$D$28*(12*2*4+12*2)</f>
        <v>12720</v>
      </c>
      <c r="K40" s="121">
        <f>12*2*D28</f>
        <v>2544</v>
      </c>
      <c r="M40" s="39">
        <f>$D$28*(12*14*4+12*6*2)</f>
        <v>86496</v>
      </c>
      <c r="N40" s="39">
        <f>SUM(E40:J40)</f>
        <v>25440</v>
      </c>
      <c r="O40" s="118">
        <f t="shared" si="43"/>
        <v>29.411764705882351</v>
      </c>
      <c r="P40" s="108">
        <f>D28*(12*14*4+12*6*2+12*1*2)</f>
        <v>89040</v>
      </c>
      <c r="Q40" s="108">
        <f>SUM(E40:K40)+J32-J40</f>
        <v>30528</v>
      </c>
      <c r="R40" s="117">
        <f t="shared" si="44"/>
        <v>34.285714285714285</v>
      </c>
      <c r="S40" s="80">
        <f t="shared" si="34"/>
        <v>0.93095238095238109</v>
      </c>
      <c r="T40" s="3">
        <f t="shared" si="35"/>
        <v>181440</v>
      </c>
      <c r="U40" s="128">
        <f t="shared" si="40"/>
        <v>46656</v>
      </c>
      <c r="V40" s="123">
        <f t="shared" si="36"/>
        <v>25.714285714285715</v>
      </c>
      <c r="W40" s="80">
        <f t="shared" si="37"/>
        <v>1.1517637407711241</v>
      </c>
    </row>
    <row r="41" spans="1:23" s="83" customFormat="1" ht="15.6">
      <c r="A41" s="409">
        <v>11</v>
      </c>
      <c r="B41" s="410" t="s">
        <v>795</v>
      </c>
      <c r="C41" s="411" t="s">
        <v>796</v>
      </c>
      <c r="D41" s="411" t="s">
        <v>797</v>
      </c>
      <c r="E41" s="410">
        <f>$D$28*12*6</f>
        <v>7632</v>
      </c>
      <c r="F41" s="411">
        <f>32*D28*2</f>
        <v>6784</v>
      </c>
      <c r="G41" s="411"/>
      <c r="H41" s="411">
        <f>12*52*10/20</f>
        <v>312</v>
      </c>
      <c r="I41" s="411">
        <f>4*240*1/2</f>
        <v>480</v>
      </c>
      <c r="J41" s="410">
        <f>2*12*D28*6</f>
        <v>15264</v>
      </c>
      <c r="K41" s="412">
        <f>12*D28</f>
        <v>1272</v>
      </c>
      <c r="L41" s="409"/>
      <c r="M41" s="411">
        <f>D28*(12*14*6)</f>
        <v>106848</v>
      </c>
      <c r="N41" s="411">
        <f>SUM(E41:K41)</f>
        <v>31744</v>
      </c>
      <c r="O41" s="413">
        <f t="shared" si="43"/>
        <v>29.709493860437256</v>
      </c>
      <c r="P41" s="411">
        <f>D28*(12*14*6)</f>
        <v>106848</v>
      </c>
      <c r="Q41" s="82">
        <f t="shared" ref="Q41" si="45">SUM(E41:K41)</f>
        <v>31744</v>
      </c>
      <c r="R41" s="414">
        <f t="shared" si="44"/>
        <v>29.709493860437256</v>
      </c>
      <c r="S41" s="415">
        <f t="shared" si="34"/>
        <v>1</v>
      </c>
      <c r="T41" s="82">
        <f t="shared" si="35"/>
        <v>217728</v>
      </c>
      <c r="U41" s="416">
        <f t="shared" si="40"/>
        <v>48312</v>
      </c>
      <c r="V41" s="415">
        <f t="shared" si="36"/>
        <v>22.18915343915344</v>
      </c>
      <c r="W41" s="415">
        <f t="shared" si="37"/>
        <v>1.1278760119301237</v>
      </c>
    </row>
    <row r="42" spans="1:23" s="104" customFormat="1">
      <c r="A42"/>
      <c r="B42" s="3"/>
      <c r="C42" s="39"/>
      <c r="D42" s="39"/>
      <c r="E42" s="3"/>
      <c r="F42" s="39"/>
      <c r="G42" s="39"/>
      <c r="H42" s="39"/>
      <c r="I42" s="39"/>
      <c r="J42" s="92"/>
      <c r="K42" s="121"/>
      <c r="M42" s="39"/>
      <c r="N42" s="39"/>
      <c r="O42" s="118"/>
      <c r="P42" s="108"/>
      <c r="Q42" s="108"/>
      <c r="R42" s="117"/>
      <c r="S42" s="80"/>
      <c r="T42" s="3"/>
      <c r="U42" s="128"/>
      <c r="V42" s="123"/>
      <c r="W42"/>
    </row>
    <row r="43" spans="1:23" s="104" customFormat="1">
      <c r="B43" s="39"/>
      <c r="C43" s="39"/>
      <c r="D43" s="111"/>
      <c r="E43" s="110"/>
      <c r="F43" s="110"/>
      <c r="G43" s="110"/>
      <c r="H43" s="110"/>
      <c r="I43" s="110"/>
      <c r="J43" s="110"/>
      <c r="K43" s="110"/>
      <c r="L43" s="110"/>
      <c r="M43" s="110"/>
      <c r="N43" s="110"/>
      <c r="O43" s="110"/>
      <c r="P43" s="39"/>
      <c r="Q43" s="39"/>
      <c r="R43" s="118"/>
    </row>
    <row r="44" spans="1:23" ht="13.8">
      <c r="B44" s="106" t="s">
        <v>591</v>
      </c>
      <c r="C44" s="106"/>
    </row>
    <row r="45" spans="1:23" ht="13.8">
      <c r="B45" s="106" t="s">
        <v>610</v>
      </c>
      <c r="C45" s="106"/>
      <c r="D45" s="3" t="s">
        <v>565</v>
      </c>
      <c r="E45" s="3" t="s">
        <v>566</v>
      </c>
      <c r="F45" s="3" t="s">
        <v>567</v>
      </c>
    </row>
    <row r="46" spans="1:23" ht="13.8">
      <c r="B46" s="106" t="s">
        <v>611</v>
      </c>
      <c r="D46" s="3">
        <v>20</v>
      </c>
      <c r="E46" s="3">
        <v>40</v>
      </c>
      <c r="F46" s="3">
        <v>100</v>
      </c>
    </row>
    <row r="47" spans="1:23" ht="13.8">
      <c r="B47" s="106" t="s">
        <v>593</v>
      </c>
      <c r="C47" s="106"/>
      <c r="D47" s="3">
        <v>51</v>
      </c>
      <c r="E47" s="3">
        <v>106</v>
      </c>
      <c r="F47" s="3">
        <v>273</v>
      </c>
    </row>
    <row r="48" spans="1:23" ht="13.8">
      <c r="B48" s="106" t="s">
        <v>570</v>
      </c>
      <c r="D48" s="107">
        <v>8.2000000000000003E-2</v>
      </c>
      <c r="E48" s="107">
        <v>4.5999999999999999E-2</v>
      </c>
      <c r="F48" s="107">
        <v>1.72E-2</v>
      </c>
    </row>
    <row r="49" spans="1:27" ht="40.200000000000003">
      <c r="B49" s="98"/>
      <c r="C49" s="98" t="s">
        <v>571</v>
      </c>
      <c r="D49" s="98" t="s">
        <v>594</v>
      </c>
      <c r="E49" s="98" t="s">
        <v>503</v>
      </c>
      <c r="F49" s="98" t="s">
        <v>572</v>
      </c>
      <c r="G49" s="98" t="s">
        <v>573</v>
      </c>
      <c r="H49" s="98" t="s">
        <v>509</v>
      </c>
      <c r="I49" s="98" t="s">
        <v>480</v>
      </c>
      <c r="J49" s="98" t="s">
        <v>477</v>
      </c>
      <c r="K49" s="98" t="s">
        <v>595</v>
      </c>
      <c r="L49" s="98"/>
      <c r="M49" s="100" t="s">
        <v>574</v>
      </c>
      <c r="N49" s="100" t="s">
        <v>575</v>
      </c>
      <c r="O49" s="100" t="s">
        <v>576</v>
      </c>
      <c r="P49" s="116" t="s">
        <v>577</v>
      </c>
      <c r="Q49" s="116" t="s">
        <v>578</v>
      </c>
      <c r="R49" s="127" t="s">
        <v>579</v>
      </c>
      <c r="S49" s="103" t="s">
        <v>580</v>
      </c>
      <c r="T49" s="116" t="s">
        <v>596</v>
      </c>
      <c r="U49" s="116" t="s">
        <v>597</v>
      </c>
      <c r="V49" s="127" t="s">
        <v>598</v>
      </c>
      <c r="W49" s="103" t="s">
        <v>584</v>
      </c>
      <c r="X49" s="116" t="s">
        <v>612</v>
      </c>
      <c r="Y49" s="116" t="s">
        <v>613</v>
      </c>
      <c r="Z49" s="127" t="s">
        <v>614</v>
      </c>
      <c r="AA49" s="103" t="s">
        <v>588</v>
      </c>
    </row>
    <row r="50" spans="1:27" ht="13.8">
      <c r="A50">
        <v>1</v>
      </c>
      <c r="B50" s="112" t="s">
        <v>33</v>
      </c>
      <c r="C50" s="39" t="s">
        <v>589</v>
      </c>
      <c r="D50" s="49" t="s">
        <v>600</v>
      </c>
      <c r="E50" s="49">
        <f>2*8*D47*6*2</f>
        <v>9792</v>
      </c>
      <c r="F50" s="113">
        <f>40*D47*2</f>
        <v>4080</v>
      </c>
      <c r="G50" s="113">
        <f>4*D47*2</f>
        <v>408</v>
      </c>
      <c r="H50" s="113">
        <f>3*4*D47*2*1/8</f>
        <v>153</v>
      </c>
      <c r="I50" s="113">
        <f>1*4*240/2</f>
        <v>480</v>
      </c>
      <c r="J50" s="113">
        <f>12*2*6*51*2</f>
        <v>14688</v>
      </c>
      <c r="K50" s="36">
        <f>12*D47*1*4</f>
        <v>2448</v>
      </c>
      <c r="L50" s="110"/>
      <c r="M50" s="110">
        <f>D47*(12*14*4+12*6*2)*2</f>
        <v>83232</v>
      </c>
      <c r="N50" s="110">
        <f t="shared" ref="N50" si="46">SUM(E50:J50)</f>
        <v>29601</v>
      </c>
      <c r="O50" s="120">
        <f t="shared" ref="O50" si="47">100*N50/M50</f>
        <v>35.564446366782008</v>
      </c>
      <c r="P50" s="122">
        <f>D47*(12*14*4+12*6*2+12*1*2)*2</f>
        <v>85680</v>
      </c>
      <c r="Q50" s="122">
        <f>SUM(E50:K50)</f>
        <v>32049</v>
      </c>
      <c r="R50" s="129">
        <f t="shared" ref="R50:R60" si="48">100*Q50/P50</f>
        <v>37.405462184873947</v>
      </c>
      <c r="S50" s="80">
        <f>(1-R50/100)/(1-O50/100)</f>
        <v>0.97142857142857142</v>
      </c>
      <c r="T50" s="3">
        <f>P50*$E$47/$D$47</f>
        <v>178080</v>
      </c>
      <c r="U50" s="128">
        <f>SUM(E50:G50,K50)*$E$47/$D$47+H50+I50+12*CEILING($E$47*2*$D$46/$E$46,1)*6*2</f>
        <v>50665</v>
      </c>
      <c r="V50" s="123">
        <f>100*U50/T50</f>
        <v>28.450696316262356</v>
      </c>
      <c r="W50" s="80">
        <f>(1-V50/100)/(1-R50/100)*(1-$E$48)/(1-$D$48)</f>
        <v>1.1878857377263148</v>
      </c>
      <c r="X50" s="3">
        <f>P50*$F$47/$D$47</f>
        <v>458640</v>
      </c>
      <c r="Y50" s="128">
        <f>SUM(E50:G50,K50)*$F$47/$D$47+H50+I50+12*CEILING($F$47*2*$D$46/$F$46,1)*6*2</f>
        <v>106017</v>
      </c>
      <c r="Z50" s="123">
        <f>100*Y50/X50</f>
        <v>23.115515436944008</v>
      </c>
      <c r="AA50" s="80">
        <f>(1-Z50/100)/(1-R50/100)*(1-$F$48)/(1-$D$48)</f>
        <v>1.3149969234211558</v>
      </c>
    </row>
    <row r="51" spans="1:27">
      <c r="A51">
        <v>2</v>
      </c>
      <c r="B51" s="39" t="s">
        <v>601</v>
      </c>
      <c r="C51" s="39" t="s">
        <v>599</v>
      </c>
      <c r="D51" s="46" t="s">
        <v>602</v>
      </c>
      <c r="E51" s="39">
        <f>2*12*D47*6*2</f>
        <v>14688</v>
      </c>
      <c r="F51" s="39">
        <f>32*D47*2</f>
        <v>3264</v>
      </c>
      <c r="G51" s="39">
        <f>4*D47*2</f>
        <v>408</v>
      </c>
      <c r="H51" s="39">
        <f>4*3*D47*10/80</f>
        <v>76.5</v>
      </c>
      <c r="I51" s="39">
        <f>4*240*1/2</f>
        <v>480</v>
      </c>
      <c r="J51" s="39">
        <f>2*12*D47*6*2</f>
        <v>14688</v>
      </c>
      <c r="K51" s="39">
        <f>12*D47*2</f>
        <v>1224</v>
      </c>
      <c r="L51" s="39"/>
      <c r="M51" s="39">
        <v>96696</v>
      </c>
      <c r="N51" s="39">
        <v>34828.5</v>
      </c>
      <c r="O51" s="118">
        <v>36.018552990816602</v>
      </c>
      <c r="P51" s="39">
        <f>12*D47*14*4*2+12*D47*11*2*2+12*D47*2</f>
        <v>96696</v>
      </c>
      <c r="Q51" s="39">
        <f t="shared" ref="Q51:Q53" si="49">SUM(E51:K51)</f>
        <v>34828.5</v>
      </c>
      <c r="R51" s="118">
        <f t="shared" si="48"/>
        <v>36.01855299081658</v>
      </c>
      <c r="S51" s="80">
        <f t="shared" ref="S51:S60" si="50">(1-R51/100)/(1-O51/100)</f>
        <v>1.0000000000000004</v>
      </c>
      <c r="T51" s="3">
        <f t="shared" ref="T51:T60" si="51">P51*$E$47/$D$47</f>
        <v>200976</v>
      </c>
      <c r="U51" s="128">
        <f t="shared" ref="U51:U52" si="52">SUM(E51:G51,K51)*$E$47/$D$47+H51+I51+12*CEILING($E$47*2*$D$46/$E$46,1)*6*2</f>
        <v>56524.5</v>
      </c>
      <c r="V51" s="123">
        <f t="shared" ref="V51:V60" si="53">100*U51/T51</f>
        <v>28.125</v>
      </c>
      <c r="W51" s="80">
        <f t="shared" ref="W51:W60" si="54">(1-V51/100)/(1-R51/100)*(1-$E$48)/(1-$D$48)</f>
        <v>1.1674263547096617</v>
      </c>
      <c r="X51" s="3">
        <f t="shared" ref="X51:X60" si="55">P51*$F$47/$D$47</f>
        <v>517608</v>
      </c>
      <c r="Y51" s="128">
        <f t="shared" ref="Y51:Y52" si="56">SUM(E51:G51,K51)*$F$47/$D$47+H51+I51+12*CEILING($F$47*2*$D$46/$F$46,1)*6*2</f>
        <v>121228.5</v>
      </c>
      <c r="Z51" s="123">
        <f t="shared" ref="Z51:Z60" si="57">100*Y51/X51</f>
        <v>23.420909259516854</v>
      </c>
      <c r="AA51" s="80">
        <f t="shared" ref="AA51:AA60" si="58">(1-Z51/100)/(1-R51/100)*(1-$F$48)/(1-$D$48)</f>
        <v>1.2813819856952358</v>
      </c>
    </row>
    <row r="52" spans="1:27">
      <c r="A52">
        <v>3</v>
      </c>
      <c r="B52" s="39" t="s">
        <v>603</v>
      </c>
      <c r="C52" s="39" t="s">
        <v>599</v>
      </c>
      <c r="D52" s="46" t="s">
        <v>602</v>
      </c>
      <c r="E52" s="39">
        <f>2*12*D47*6*2</f>
        <v>14688</v>
      </c>
      <c r="F52" s="39">
        <f>40*D47*2</f>
        <v>4080</v>
      </c>
      <c r="G52" s="39">
        <f>4*D47*2</f>
        <v>408</v>
      </c>
      <c r="H52" s="39">
        <f>4*3*D47*10/80</f>
        <v>76.5</v>
      </c>
      <c r="I52" s="39">
        <f>4*240*1/2</f>
        <v>480</v>
      </c>
      <c r="J52" s="39">
        <f>2*12*D47*6*2</f>
        <v>14688</v>
      </c>
      <c r="K52" s="39">
        <f>12*D47*2</f>
        <v>1224</v>
      </c>
      <c r="L52" s="39"/>
      <c r="M52" s="39">
        <v>96696</v>
      </c>
      <c r="N52" s="39">
        <v>35644.5</v>
      </c>
      <c r="O52" s="118">
        <v>36.862434847356703</v>
      </c>
      <c r="P52" s="39">
        <f>12*D47*14*4*2+12*D47*11*2*2+12*D47*2</f>
        <v>96696</v>
      </c>
      <c r="Q52" s="39">
        <f t="shared" si="49"/>
        <v>35644.5</v>
      </c>
      <c r="R52" s="118">
        <f t="shared" si="48"/>
        <v>36.862434847356667</v>
      </c>
      <c r="S52" s="80">
        <f t="shared" si="50"/>
        <v>1.0000000000000004</v>
      </c>
      <c r="T52" s="3">
        <f t="shared" si="51"/>
        <v>200976</v>
      </c>
      <c r="U52" s="128">
        <f t="shared" si="52"/>
        <v>58220.5</v>
      </c>
      <c r="V52" s="123">
        <f t="shared" si="53"/>
        <v>28.968881856540083</v>
      </c>
      <c r="W52" s="80">
        <f t="shared" si="54"/>
        <v>1.1691399883704741</v>
      </c>
      <c r="X52" s="3">
        <f t="shared" si="55"/>
        <v>517608</v>
      </c>
      <c r="Y52" s="128">
        <f t="shared" si="56"/>
        <v>125596.5</v>
      </c>
      <c r="Z52" s="123">
        <f t="shared" si="57"/>
        <v>24.264791116056937</v>
      </c>
      <c r="AA52" s="80">
        <f t="shared" si="58"/>
        <v>1.2841994054200143</v>
      </c>
    </row>
    <row r="53" spans="1:27">
      <c r="A53">
        <v>4</v>
      </c>
      <c r="B53" s="39" t="s">
        <v>5</v>
      </c>
      <c r="C53" s="39" t="s">
        <v>606</v>
      </c>
      <c r="D53" s="39" t="s">
        <v>607</v>
      </c>
      <c r="E53" s="39">
        <v>18558</v>
      </c>
      <c r="F53" s="39">
        <f>40*D47*4</f>
        <v>8160</v>
      </c>
      <c r="G53" s="39">
        <f>4*D47*4</f>
        <v>816</v>
      </c>
      <c r="H53" s="39">
        <f>3*4*D47*10/20</f>
        <v>306</v>
      </c>
      <c r="I53" s="39">
        <f t="shared" ref="I53:I54" si="59">1*4*240*1/2</f>
        <v>480</v>
      </c>
      <c r="J53" s="39">
        <f>2*12*D47*8*2</f>
        <v>19584</v>
      </c>
      <c r="K53" s="92">
        <f>2*12*D47*2</f>
        <v>2448</v>
      </c>
      <c r="L53" s="104"/>
      <c r="M53" s="92">
        <f>D47*12*(14*6+10*2+2*2)*2</f>
        <v>132192</v>
      </c>
      <c r="N53" s="92">
        <f>SUM(E53:J53)+K53*2</f>
        <v>52800</v>
      </c>
      <c r="O53" s="123">
        <f t="shared" ref="O53:O55" si="60">100*N53/M53</f>
        <v>39.941902687000727</v>
      </c>
      <c r="P53" s="92">
        <f>D47*12*(14*6+10*2+1*2)*2</f>
        <v>129744</v>
      </c>
      <c r="Q53" s="92">
        <f t="shared" si="49"/>
        <v>50352</v>
      </c>
      <c r="R53" s="123">
        <f t="shared" si="48"/>
        <v>38.808731039585645</v>
      </c>
      <c r="S53" s="80">
        <f t="shared" si="50"/>
        <v>1.0188679245283021</v>
      </c>
      <c r="T53" s="3">
        <f t="shared" si="51"/>
        <v>269664</v>
      </c>
      <c r="U53" s="128">
        <f>SUM(E53:G53,K53)*$E$47/$D$47+H53+I53+12*CEILING($E$47*2*$D$46/$E$46,1)*8*2</f>
        <v>83453.529411764699</v>
      </c>
      <c r="V53" s="123">
        <f t="shared" si="53"/>
        <v>30.947226701289271</v>
      </c>
      <c r="W53" s="80">
        <f t="shared" si="54"/>
        <v>1.1727281753088175</v>
      </c>
      <c r="X53" s="3">
        <f t="shared" si="55"/>
        <v>694512</v>
      </c>
      <c r="Y53" s="128">
        <f>SUM(E53:G53,K53)*$F$47/$D$47+H53+I53+12*CEILING($F$47*2*$D$46/$F$46,1)*8*2</f>
        <v>182397.88235294117</v>
      </c>
      <c r="Z53" s="123">
        <f t="shared" si="57"/>
        <v>26.262740219454983</v>
      </c>
      <c r="AA53" s="80">
        <f t="shared" si="58"/>
        <v>1.2900899779500674</v>
      </c>
    </row>
    <row r="54" spans="1:27">
      <c r="A54">
        <v>5</v>
      </c>
      <c r="B54" s="39" t="s">
        <v>5</v>
      </c>
      <c r="C54" s="39" t="s">
        <v>608</v>
      </c>
      <c r="D54" s="39" t="s">
        <v>607</v>
      </c>
      <c r="E54" s="39">
        <v>18804</v>
      </c>
      <c r="F54" s="39">
        <f>40*D47*4</f>
        <v>8160</v>
      </c>
      <c r="G54" s="39">
        <f>4*D47*4</f>
        <v>816</v>
      </c>
      <c r="H54" s="39">
        <f>3*4*D47*10/20</f>
        <v>306</v>
      </c>
      <c r="I54" s="39">
        <f t="shared" si="59"/>
        <v>480</v>
      </c>
      <c r="J54" s="39">
        <f>2*12*D47*8*2</f>
        <v>19584</v>
      </c>
      <c r="K54" s="92">
        <f>2*12*D47*2</f>
        <v>2448</v>
      </c>
      <c r="L54" s="104"/>
      <c r="M54" s="92">
        <f>D47*12*(14*6+10*2+2*2)*2</f>
        <v>132192</v>
      </c>
      <c r="N54" s="92">
        <f>SUM(E54:J54)+K54*2</f>
        <v>53046</v>
      </c>
      <c r="O54" s="123">
        <f t="shared" si="60"/>
        <v>40.127995642701528</v>
      </c>
      <c r="P54" s="92">
        <f>D47*12*(14*6+10*2+1*2)*2</f>
        <v>129744</v>
      </c>
      <c r="Q54" s="92">
        <f t="shared" ref="Q54:Q60" si="61">SUM(E54:K54)</f>
        <v>50598</v>
      </c>
      <c r="R54" s="123">
        <f t="shared" si="48"/>
        <v>38.998335183129853</v>
      </c>
      <c r="S54" s="80">
        <f t="shared" si="50"/>
        <v>1.0188679245283021</v>
      </c>
      <c r="T54" s="3">
        <f t="shared" si="51"/>
        <v>269664</v>
      </c>
      <c r="U54" s="128">
        <f t="shared" ref="U54:U60" si="62">SUM(E54:G54,K54)*$E$47/$D$47+H54+I54+12*CEILING($E$47*2*$D$46/$E$46,1)*8*2</f>
        <v>83964.823529411762</v>
      </c>
      <c r="V54" s="123">
        <f t="shared" si="53"/>
        <v>31.136830844833483</v>
      </c>
      <c r="W54" s="80">
        <f t="shared" si="54"/>
        <v>1.1731431561328949</v>
      </c>
      <c r="X54" s="3">
        <f t="shared" si="55"/>
        <v>694512</v>
      </c>
      <c r="Y54" s="128">
        <f t="shared" ref="Y54:Y60" si="63">SUM(E54:G54,K54)*$F$47/$D$47+H54+I54+12*CEILING($F$47*2*$D$46/$F$46,1)*8*2</f>
        <v>183714.70588235295</v>
      </c>
      <c r="Z54" s="123">
        <f t="shared" si="57"/>
        <v>26.452344362999195</v>
      </c>
      <c r="AA54" s="80">
        <f t="shared" si="58"/>
        <v>1.2907722288369521</v>
      </c>
    </row>
    <row r="55" spans="1:27" ht="13.8">
      <c r="A55">
        <v>6</v>
      </c>
      <c r="B55" s="112" t="s">
        <v>33</v>
      </c>
      <c r="C55" s="39" t="s">
        <v>589</v>
      </c>
      <c r="D55" s="49" t="s">
        <v>604</v>
      </c>
      <c r="E55" s="49">
        <f>2*12*D47*8*2</f>
        <v>19584</v>
      </c>
      <c r="F55" s="113">
        <f>32*D47*2</f>
        <v>3264</v>
      </c>
      <c r="G55" s="113">
        <f>4*D47*2</f>
        <v>408</v>
      </c>
      <c r="H55" s="113">
        <f>3*4*D47*1/8</f>
        <v>76.5</v>
      </c>
      <c r="I55" s="113">
        <f>1*4*240/2</f>
        <v>480</v>
      </c>
      <c r="J55" s="113">
        <f>12*2*8*D47*2</f>
        <v>19584</v>
      </c>
      <c r="K55" s="124">
        <f>12*2*D47*2</f>
        <v>2448</v>
      </c>
      <c r="L55" s="49"/>
      <c r="M55" s="113">
        <f>12*D47*14*6*2+12*D47*10*2*2</f>
        <v>127296</v>
      </c>
      <c r="N55" s="113">
        <f t="shared" ref="N55:N59" si="64">SUM(E55:J55)</f>
        <v>43396.5</v>
      </c>
      <c r="O55" s="125">
        <f t="shared" si="60"/>
        <v>34.091016214177976</v>
      </c>
      <c r="P55" s="92">
        <f>D47*12*(14*6+10*2+1*2)*2</f>
        <v>129744</v>
      </c>
      <c r="Q55" s="92">
        <f t="shared" si="61"/>
        <v>45844.5</v>
      </c>
      <c r="R55" s="123">
        <f t="shared" si="48"/>
        <v>35.334581945985938</v>
      </c>
      <c r="S55" s="80">
        <f t="shared" si="50"/>
        <v>0.98113207547169834</v>
      </c>
      <c r="T55" s="3">
        <f t="shared" si="51"/>
        <v>269664</v>
      </c>
      <c r="U55" s="128">
        <f t="shared" si="62"/>
        <v>74332.5</v>
      </c>
      <c r="V55" s="123">
        <f t="shared" si="53"/>
        <v>27.564858490566039</v>
      </c>
      <c r="W55" s="80">
        <f t="shared" si="54"/>
        <v>1.1640802388572038</v>
      </c>
      <c r="X55" s="3">
        <f t="shared" si="55"/>
        <v>694512</v>
      </c>
      <c r="Y55" s="128">
        <f t="shared" si="63"/>
        <v>159268.5</v>
      </c>
      <c r="Z55" s="123">
        <f t="shared" si="57"/>
        <v>22.93243313290483</v>
      </c>
      <c r="AA55" s="80">
        <f t="shared" si="58"/>
        <v>1.2759158278654819</v>
      </c>
    </row>
    <row r="56" spans="1:27" ht="13.8">
      <c r="A56">
        <v>7</v>
      </c>
      <c r="B56" s="114" t="s">
        <v>615</v>
      </c>
      <c r="C56" s="46" t="s">
        <v>616</v>
      </c>
      <c r="D56" s="39" t="s">
        <v>607</v>
      </c>
      <c r="E56" s="39">
        <v>15601</v>
      </c>
      <c r="F56" s="39">
        <v>8160</v>
      </c>
      <c r="G56" s="39">
        <v>816</v>
      </c>
      <c r="H56" s="39">
        <v>306</v>
      </c>
      <c r="I56" s="39">
        <v>480</v>
      </c>
      <c r="J56" s="39">
        <v>19584</v>
      </c>
      <c r="K56" s="124">
        <f>12*2*D47*2</f>
        <v>2448</v>
      </c>
      <c r="L56" s="104"/>
      <c r="M56" s="126">
        <f>12*D47*14*6*2+12*D47*10*2*2</f>
        <v>127296</v>
      </c>
      <c r="N56" s="92">
        <f t="shared" si="64"/>
        <v>44947</v>
      </c>
      <c r="O56" s="123">
        <f t="shared" ref="O56:O61" si="65">100*N56/M56</f>
        <v>35.30904348919055</v>
      </c>
      <c r="P56" s="92">
        <f>D47*12*(14*6+10*2+1*2)*2</f>
        <v>129744</v>
      </c>
      <c r="Q56" s="92">
        <f t="shared" si="61"/>
        <v>47395</v>
      </c>
      <c r="R56" s="123">
        <f t="shared" si="48"/>
        <v>36.529627574300157</v>
      </c>
      <c r="S56" s="80">
        <f t="shared" si="50"/>
        <v>0.98113207547169812</v>
      </c>
      <c r="T56" s="3">
        <f t="shared" si="51"/>
        <v>269664</v>
      </c>
      <c r="U56" s="128">
        <f t="shared" si="62"/>
        <v>77307.607843137259</v>
      </c>
      <c r="V56" s="123">
        <f t="shared" si="53"/>
        <v>28.66812323600379</v>
      </c>
      <c r="W56" s="80">
        <f t="shared" si="54"/>
        <v>1.167933989221865</v>
      </c>
      <c r="X56" s="3">
        <f t="shared" si="55"/>
        <v>694512</v>
      </c>
      <c r="Y56" s="128">
        <f t="shared" si="63"/>
        <v>166569.23529411765</v>
      </c>
      <c r="Z56" s="123">
        <f t="shared" si="57"/>
        <v>23.983636754169495</v>
      </c>
      <c r="AA56" s="80">
        <f t="shared" si="58"/>
        <v>1.2822080771008324</v>
      </c>
    </row>
    <row r="57" spans="1:27" ht="13.8">
      <c r="A57">
        <v>8</v>
      </c>
      <c r="B57" s="114" t="s">
        <v>617</v>
      </c>
      <c r="C57" s="46" t="s">
        <v>616</v>
      </c>
      <c r="D57" s="39" t="s">
        <v>607</v>
      </c>
      <c r="E57" s="39">
        <v>15228</v>
      </c>
      <c r="F57" s="39">
        <v>8160</v>
      </c>
      <c r="G57" s="39">
        <v>816</v>
      </c>
      <c r="H57" s="39">
        <v>306</v>
      </c>
      <c r="I57" s="39">
        <v>480</v>
      </c>
      <c r="J57" s="39">
        <v>19584</v>
      </c>
      <c r="K57" s="124">
        <f>12*2*D47*2</f>
        <v>2448</v>
      </c>
      <c r="L57" s="104"/>
      <c r="M57" s="126">
        <f>12*D47*14*6*2+12*D47*10*2*2</f>
        <v>127296</v>
      </c>
      <c r="N57" s="92">
        <f t="shared" ref="N57:N58" si="66">SUM(E57:J57)</f>
        <v>44574</v>
      </c>
      <c r="O57" s="123">
        <f t="shared" si="65"/>
        <v>35.016025641025642</v>
      </c>
      <c r="P57" s="92">
        <f>D47*12*(14*6+10*2+1*2)*2</f>
        <v>129744</v>
      </c>
      <c r="Q57" s="92">
        <f t="shared" ref="Q57:Q59" si="67">SUM(E57:K57)</f>
        <v>47022</v>
      </c>
      <c r="R57" s="123">
        <f t="shared" ref="R57:R58" si="68">100*Q57/P57</f>
        <v>36.242138364779876</v>
      </c>
      <c r="S57" s="80">
        <f t="shared" si="50"/>
        <v>0.98113207547169812</v>
      </c>
      <c r="T57" s="3">
        <f t="shared" ref="T57:T58" si="69">P57*$E$47/$D$47</f>
        <v>269664</v>
      </c>
      <c r="U57" s="128">
        <f t="shared" ref="U57:U58" si="70">SUM(E57:G57,K57)*$E$47/$D$47+H57+I57+12*CEILING($E$47*2*$D$46/$E$46,1)*8*2</f>
        <v>76532.352941176476</v>
      </c>
      <c r="V57" s="123">
        <f t="shared" ref="V57:V58" si="71">100*U57/T57</f>
        <v>28.380634026483502</v>
      </c>
      <c r="W57" s="80">
        <f t="shared" ref="W57:W58" si="72">(1-V57/100)/(1-R57/100)*(1-$E$48)/(1-$D$48)</f>
        <v>1.167353588276538</v>
      </c>
      <c r="X57" s="3">
        <f t="shared" ref="X57:X58" si="73">P57*$F$47/$D$47</f>
        <v>694512</v>
      </c>
      <c r="Y57" s="128">
        <f t="shared" ref="Y57:Y58" si="74">SUM(E57:G57,K57)*$F$47/$D$47+H57+I57+12*CEILING($F$47*2*$D$46/$F$46,1)*8*2</f>
        <v>164572.58823529413</v>
      </c>
      <c r="Z57" s="123">
        <f t="shared" ref="Z57:Z58" si="75">100*Y57/X57</f>
        <v>23.696147544649211</v>
      </c>
      <c r="AA57" s="80">
        <f t="shared" ref="AA57:AA58" si="76">(1-Z57/100)/(1-R57/100)*(1-$F$48)/(1-$D$48)</f>
        <v>1.2812538666006767</v>
      </c>
    </row>
    <row r="58" spans="1:27" ht="13.8">
      <c r="A58">
        <v>9</v>
      </c>
      <c r="B58" s="114" t="s">
        <v>615</v>
      </c>
      <c r="C58" s="46" t="s">
        <v>618</v>
      </c>
      <c r="D58" s="39" t="s">
        <v>607</v>
      </c>
      <c r="E58" s="39">
        <v>14403</v>
      </c>
      <c r="F58" s="39">
        <v>8160</v>
      </c>
      <c r="G58" s="39">
        <v>816</v>
      </c>
      <c r="H58" s="39">
        <v>306</v>
      </c>
      <c r="I58" s="39">
        <v>480</v>
      </c>
      <c r="J58" s="39">
        <v>19584</v>
      </c>
      <c r="K58" s="124">
        <f>12*2*D47*2</f>
        <v>2448</v>
      </c>
      <c r="L58" s="104"/>
      <c r="M58" s="126">
        <f>12*D47*14*6*2+12*D47*10*2*2</f>
        <v>127296</v>
      </c>
      <c r="N58" s="92">
        <f t="shared" si="66"/>
        <v>43749</v>
      </c>
      <c r="O58" s="123">
        <f t="shared" si="65"/>
        <v>34.367929864253391</v>
      </c>
      <c r="P58" s="92">
        <f>D47*12*(14*6+10*2+1*2)*2</f>
        <v>129744</v>
      </c>
      <c r="Q58" s="92">
        <f t="shared" si="67"/>
        <v>46197</v>
      </c>
      <c r="R58" s="123">
        <f t="shared" si="68"/>
        <v>35.60627081021088</v>
      </c>
      <c r="S58" s="80">
        <f t="shared" si="50"/>
        <v>0.9811320754716979</v>
      </c>
      <c r="T58" s="3">
        <f t="shared" si="69"/>
        <v>269664</v>
      </c>
      <c r="U58" s="128">
        <f t="shared" si="70"/>
        <v>74817.647058823524</v>
      </c>
      <c r="V58" s="123">
        <f t="shared" si="71"/>
        <v>27.744766471914502</v>
      </c>
      <c r="W58" s="80">
        <f t="shared" si="72"/>
        <v>1.1660882673296256</v>
      </c>
      <c r="X58" s="3">
        <f t="shared" si="73"/>
        <v>694512</v>
      </c>
      <c r="Y58" s="128">
        <f t="shared" si="74"/>
        <v>160156.41176470587</v>
      </c>
      <c r="Z58" s="123">
        <f t="shared" si="75"/>
        <v>23.060279990080211</v>
      </c>
      <c r="AA58" s="80">
        <f t="shared" si="76"/>
        <v>1.2791736106270579</v>
      </c>
    </row>
    <row r="59" spans="1:27" ht="13.8">
      <c r="A59">
        <v>10</v>
      </c>
      <c r="B59" s="114" t="s">
        <v>617</v>
      </c>
      <c r="C59" s="46" t="s">
        <v>618</v>
      </c>
      <c r="D59" s="39" t="s">
        <v>607</v>
      </c>
      <c r="E59" s="39">
        <v>14712</v>
      </c>
      <c r="F59" s="39">
        <v>8160</v>
      </c>
      <c r="G59" s="39">
        <v>816</v>
      </c>
      <c r="H59" s="39">
        <v>306</v>
      </c>
      <c r="I59" s="39">
        <v>480</v>
      </c>
      <c r="J59" s="39">
        <v>19584</v>
      </c>
      <c r="K59" s="124">
        <f>12*2*D47*2</f>
        <v>2448</v>
      </c>
      <c r="L59" s="104"/>
      <c r="M59" s="126">
        <f>12*D47*14*6*2+12*D47*10*2*2</f>
        <v>127296</v>
      </c>
      <c r="N59" s="92">
        <f t="shared" si="64"/>
        <v>44058</v>
      </c>
      <c r="O59" s="123">
        <f t="shared" si="65"/>
        <v>34.610671191553543</v>
      </c>
      <c r="P59" s="92">
        <f>D47*12*(14*6+10*2+1*2)*2</f>
        <v>129744</v>
      </c>
      <c r="Q59" s="92">
        <f t="shared" si="67"/>
        <v>46506</v>
      </c>
      <c r="R59" s="123">
        <f t="shared" si="48"/>
        <v>35.844432112467629</v>
      </c>
      <c r="S59" s="80">
        <f t="shared" si="50"/>
        <v>0.98113207547169812</v>
      </c>
      <c r="T59" s="3">
        <f t="shared" si="51"/>
        <v>269664</v>
      </c>
      <c r="U59" s="128">
        <f t="shared" si="62"/>
        <v>75459.882352941175</v>
      </c>
      <c r="V59" s="123">
        <f t="shared" si="53"/>
        <v>27.982927774171255</v>
      </c>
      <c r="W59" s="80">
        <f t="shared" si="54"/>
        <v>1.1665592496639683</v>
      </c>
      <c r="X59" s="3">
        <f t="shared" si="55"/>
        <v>694512</v>
      </c>
      <c r="Y59" s="128">
        <f t="shared" si="63"/>
        <v>161810.4705882353</v>
      </c>
      <c r="Z59" s="123">
        <f t="shared" si="57"/>
        <v>23.298441292336964</v>
      </c>
      <c r="AA59" s="80">
        <f t="shared" si="58"/>
        <v>1.2799479310213238</v>
      </c>
    </row>
    <row r="60" spans="1:27" ht="26.4">
      <c r="A60">
        <v>11</v>
      </c>
      <c r="B60" s="82" t="s">
        <v>31</v>
      </c>
      <c r="C60" s="39" t="s">
        <v>589</v>
      </c>
      <c r="D60" s="115" t="s">
        <v>619</v>
      </c>
      <c r="E60" s="82">
        <v>14104</v>
      </c>
      <c r="F60" s="82">
        <f>32*D47*2</f>
        <v>3264</v>
      </c>
      <c r="G60" s="82">
        <v>0</v>
      </c>
      <c r="H60" s="92">
        <f>3*4*D47*10/20</f>
        <v>306</v>
      </c>
      <c r="I60" s="82">
        <f>2*4*240*1/2</f>
        <v>960</v>
      </c>
      <c r="J60" s="92">
        <f>2*12*D47*8*2</f>
        <v>19584</v>
      </c>
      <c r="K60" s="92">
        <f>2*12*D47*2</f>
        <v>2448</v>
      </c>
      <c r="L60" s="104"/>
      <c r="M60" s="126">
        <f>12*D47*14*7*2+12*D47*6*1*2</f>
        <v>127296</v>
      </c>
      <c r="N60" s="92">
        <f t="shared" ref="N60" si="77">SUM(E60:J60)</f>
        <v>38218</v>
      </c>
      <c r="O60" s="123">
        <f t="shared" si="65"/>
        <v>30.022938662644545</v>
      </c>
      <c r="P60" s="92">
        <f>D47*12*(14*7+6*1+2)*2</f>
        <v>129744</v>
      </c>
      <c r="Q60" s="92">
        <f t="shared" si="61"/>
        <v>40666</v>
      </c>
      <c r="R60" s="123">
        <f t="shared" si="48"/>
        <v>31.343260574670119</v>
      </c>
      <c r="S60" s="80">
        <f t="shared" si="50"/>
        <v>0.98113207547169801</v>
      </c>
      <c r="T60" s="3">
        <f t="shared" si="51"/>
        <v>269664</v>
      </c>
      <c r="U60" s="128">
        <f t="shared" si="62"/>
        <v>62804.196078431371</v>
      </c>
      <c r="V60" s="123">
        <f t="shared" si="53"/>
        <v>23.289796219900087</v>
      </c>
      <c r="W60" s="80">
        <f t="shared" si="54"/>
        <v>1.1611161225081872</v>
      </c>
      <c r="X60" s="3">
        <f t="shared" si="55"/>
        <v>694512</v>
      </c>
      <c r="Y60" s="128">
        <f t="shared" si="63"/>
        <v>128459.88235294117</v>
      </c>
      <c r="Z60" s="123">
        <f t="shared" si="57"/>
        <v>18.496423726723393</v>
      </c>
      <c r="AA60" s="80">
        <f t="shared" si="58"/>
        <v>1.2709133964549244</v>
      </c>
    </row>
    <row r="61" spans="1:27">
      <c r="A61">
        <v>12</v>
      </c>
      <c r="B61" s="82" t="s">
        <v>93</v>
      </c>
      <c r="C61" s="39" t="s">
        <v>590</v>
      </c>
      <c r="D61" s="39" t="s">
        <v>607</v>
      </c>
      <c r="E61" s="3">
        <v>19584</v>
      </c>
      <c r="F61" s="3">
        <v>4080</v>
      </c>
      <c r="G61" s="3">
        <v>408</v>
      </c>
      <c r="H61" s="3">
        <v>306</v>
      </c>
      <c r="I61" s="3">
        <v>480</v>
      </c>
      <c r="J61" s="3">
        <v>19584</v>
      </c>
      <c r="K61" s="3">
        <v>2448</v>
      </c>
      <c r="M61" s="3">
        <v>127296</v>
      </c>
      <c r="N61" s="92">
        <f t="shared" ref="N61" si="78">SUM(E61:J61)</f>
        <v>44442</v>
      </c>
      <c r="O61" s="123">
        <f t="shared" si="65"/>
        <v>34.912330316742079</v>
      </c>
      <c r="P61" s="92">
        <f>D47*12*(14*7+6*1+2)*2</f>
        <v>129744</v>
      </c>
      <c r="Q61" s="92">
        <f t="shared" ref="Q61" si="79">SUM(E61:K61)</f>
        <v>46890</v>
      </c>
      <c r="R61" s="123">
        <f t="shared" ref="R61" si="80">100*Q61/P61</f>
        <v>36.140399556048834</v>
      </c>
      <c r="S61" s="80">
        <f t="shared" ref="S61" si="81">(1-R61/100)/(1-O61/100)</f>
        <v>0.98113207547169801</v>
      </c>
      <c r="T61" s="3">
        <f t="shared" ref="T61" si="82">P61*$E$47/$D$47</f>
        <v>269664</v>
      </c>
      <c r="U61" s="128">
        <f t="shared" ref="U61" si="83">SUM(E61:G61,K61)*$E$47/$D$47+H61+I61+12*CEILING($E$47*2*$D$46/$E$46,1)*8*2</f>
        <v>76258</v>
      </c>
      <c r="V61" s="123">
        <f t="shared" ref="V61" si="84">100*U61/T61</f>
        <v>28.278895217752464</v>
      </c>
      <c r="W61" s="80">
        <f t="shared" ref="W61" si="85">(1-V61/100)/(1-R61/100)*(1-$E$48)/(1-$D$48)</f>
        <v>1.1671494435995848</v>
      </c>
      <c r="X61" s="3">
        <f t="shared" ref="X61" si="86">P61*$F$47/$D$47</f>
        <v>694512</v>
      </c>
      <c r="Y61" s="128">
        <f t="shared" ref="Y61" si="87">SUM(E61:G61,K61)*$F$47/$D$47+H61+I61+12*CEILING($F$47*2*$D$46/$F$46,1)*8*2</f>
        <v>163866</v>
      </c>
      <c r="Z61" s="123">
        <f t="shared" ref="Z61" si="88">100*Y61/X61</f>
        <v>23.594408735918169</v>
      </c>
      <c r="AA61" s="80">
        <f t="shared" ref="AA61" si="89">(1-Z61/100)/(1-R61/100)*(1-$F$48)/(1-$D$48)</f>
        <v>1.2809182417264104</v>
      </c>
    </row>
    <row r="62" spans="1:27">
      <c r="B62" s="39"/>
      <c r="C62" s="39"/>
      <c r="S62" s="80"/>
    </row>
    <row r="63" spans="1:27">
      <c r="B63" s="39"/>
      <c r="C63" s="39"/>
      <c r="S63" s="80"/>
    </row>
    <row r="65" spans="1:29" ht="13.8">
      <c r="B65" s="106" t="s">
        <v>620</v>
      </c>
      <c r="C65" s="106"/>
      <c r="D65" s="97"/>
      <c r="E65"/>
      <c r="F65"/>
      <c r="G65"/>
      <c r="H65"/>
      <c r="I65"/>
      <c r="J65"/>
      <c r="K65"/>
      <c r="N65"/>
      <c r="O65"/>
    </row>
    <row r="66" spans="1:29" ht="13.8">
      <c r="B66" s="106" t="s">
        <v>621</v>
      </c>
      <c r="C66" s="106"/>
      <c r="D66" s="3" t="s">
        <v>565</v>
      </c>
      <c r="E66" s="3" t="s">
        <v>566</v>
      </c>
      <c r="F66" s="3" t="s">
        <v>567</v>
      </c>
      <c r="G66"/>
      <c r="H66"/>
      <c r="I66"/>
      <c r="J66"/>
      <c r="K66"/>
      <c r="N66"/>
      <c r="O66"/>
    </row>
    <row r="67" spans="1:29" ht="13.8">
      <c r="B67" s="106" t="s">
        <v>611</v>
      </c>
      <c r="D67" s="3">
        <v>100</v>
      </c>
      <c r="E67" s="3">
        <v>200</v>
      </c>
      <c r="F67" s="3">
        <v>400</v>
      </c>
      <c r="G67"/>
      <c r="H67"/>
      <c r="I67"/>
      <c r="J67"/>
      <c r="K67"/>
      <c r="N67"/>
      <c r="O67"/>
    </row>
    <row r="68" spans="1:29" ht="13.8">
      <c r="B68" s="106" t="s">
        <v>569</v>
      </c>
      <c r="C68" s="106"/>
      <c r="D68" s="3">
        <f>66</f>
        <v>66</v>
      </c>
      <c r="E68" s="3">
        <v>132</v>
      </c>
      <c r="F68" s="3">
        <v>264</v>
      </c>
      <c r="G68"/>
      <c r="H68"/>
      <c r="I68"/>
      <c r="J68"/>
      <c r="K68"/>
      <c r="N68"/>
      <c r="O68"/>
    </row>
    <row r="69" spans="1:29" ht="13.8">
      <c r="B69" s="106" t="s">
        <v>570</v>
      </c>
      <c r="D69" s="107">
        <v>4.9599999999999998E-2</v>
      </c>
      <c r="E69" s="107">
        <v>4.9599999999999998E-2</v>
      </c>
      <c r="F69" s="107">
        <v>4.9599999999999998E-2</v>
      </c>
      <c r="G69"/>
      <c r="H69"/>
      <c r="I69"/>
      <c r="J69"/>
      <c r="K69"/>
      <c r="N69"/>
      <c r="O69"/>
    </row>
    <row r="70" spans="1:29" ht="53.4">
      <c r="B70" s="98"/>
      <c r="C70" s="98" t="s">
        <v>622</v>
      </c>
      <c r="D70" s="99" t="s">
        <v>594</v>
      </c>
      <c r="E70" s="98" t="s">
        <v>503</v>
      </c>
      <c r="F70" s="98" t="s">
        <v>572</v>
      </c>
      <c r="G70" s="98" t="s">
        <v>573</v>
      </c>
      <c r="H70" s="98" t="s">
        <v>509</v>
      </c>
      <c r="I70" s="98" t="s">
        <v>480</v>
      </c>
      <c r="J70" s="98" t="s">
        <v>477</v>
      </c>
      <c r="K70" s="98" t="s">
        <v>534</v>
      </c>
      <c r="L70" s="98" t="s">
        <v>623</v>
      </c>
      <c r="M70" s="98" t="s">
        <v>595</v>
      </c>
      <c r="N70" s="98"/>
      <c r="O70" s="100" t="s">
        <v>574</v>
      </c>
      <c r="P70" s="100" t="s">
        <v>575</v>
      </c>
      <c r="Q70" s="100" t="s">
        <v>576</v>
      </c>
      <c r="R70" s="127" t="s">
        <v>577</v>
      </c>
      <c r="S70" s="116" t="s">
        <v>578</v>
      </c>
      <c r="T70" s="127" t="s">
        <v>579</v>
      </c>
      <c r="U70" s="103" t="s">
        <v>580</v>
      </c>
      <c r="V70" s="116" t="s">
        <v>624</v>
      </c>
      <c r="W70" s="116" t="s">
        <v>625</v>
      </c>
      <c r="X70" s="127" t="s">
        <v>626</v>
      </c>
      <c r="Y70" s="103" t="s">
        <v>584</v>
      </c>
      <c r="Z70" s="116" t="s">
        <v>627</v>
      </c>
      <c r="AA70" s="116" t="s">
        <v>628</v>
      </c>
      <c r="AB70" s="127" t="s">
        <v>629</v>
      </c>
      <c r="AC70" s="103" t="s">
        <v>588</v>
      </c>
    </row>
    <row r="71" spans="1:29">
      <c r="A71">
        <v>1</v>
      </c>
      <c r="B71" s="108" t="s">
        <v>8</v>
      </c>
      <c r="C71" s="108" t="s">
        <v>589</v>
      </c>
      <c r="D71" s="130" t="s">
        <v>600</v>
      </c>
      <c r="E71" s="108">
        <f>12*D68*8*6</f>
        <v>38016</v>
      </c>
      <c r="F71" s="108">
        <f>40*D68</f>
        <v>2640</v>
      </c>
      <c r="G71" s="108">
        <f>4*D68*10</f>
        <v>2640</v>
      </c>
      <c r="H71" s="108">
        <f>1*4*D68*1/2*10</f>
        <v>1320</v>
      </c>
      <c r="I71" s="108">
        <f>12*4*240/2</f>
        <v>5760</v>
      </c>
      <c r="J71" s="108">
        <f>12*8*6*6*8</f>
        <v>27648</v>
      </c>
      <c r="K71" s="108">
        <f>12*D68*8*6</f>
        <v>38016</v>
      </c>
      <c r="L71" s="108"/>
      <c r="M71" s="39">
        <f>12*2*D68*8</f>
        <v>12672</v>
      </c>
      <c r="N71" s="108"/>
      <c r="O71" s="108">
        <f>D68*8*(12*14*4+12*6*2)</f>
        <v>430848</v>
      </c>
      <c r="P71" s="108">
        <f>SUM(E71:K71)</f>
        <v>116040</v>
      </c>
      <c r="Q71" s="149">
        <f>(P71/O71)*100</f>
        <v>26.932932263814617</v>
      </c>
      <c r="R71" s="150">
        <f>12*D68*14*4*8+12*D68*6*2*8+12*2*D68*8</f>
        <v>443520</v>
      </c>
      <c r="S71" s="39">
        <f>SUM(E71:M71)+J72-J71</f>
        <v>177096</v>
      </c>
      <c r="T71" s="66">
        <f>100*S71/R71</f>
        <v>39.929653679653683</v>
      </c>
      <c r="U71" s="80">
        <f>(1-T71/100)/(1-Q71/100)</f>
        <v>0.8221261394700442</v>
      </c>
      <c r="V71" s="3">
        <f>R71*$E$68/$D$68</f>
        <v>887040</v>
      </c>
      <c r="W71" s="128">
        <f>SUM(E71:G71,K71,M71)*$E$68/$D$68+H71+I71+12*CEILING($E$68*2*$D$67/$E$67,1)*6*8</f>
        <v>271080</v>
      </c>
      <c r="X71" s="123">
        <f t="shared" ref="X71" si="90">100*W71/V71</f>
        <v>30.560064935064936</v>
      </c>
      <c r="Y71" s="80">
        <f>(1-X71/100)/(1-T71/100)*(1-$E$69)/(1-$D$69)</f>
        <v>1.1559769390145034</v>
      </c>
      <c r="Z71" s="3">
        <f>R71*$F$68/$D$68</f>
        <v>1774080</v>
      </c>
      <c r="AA71" s="128">
        <f>SUM(E71:G71,K71,M71)*$F$68/$D$68+H71+I71+12*CEILING($F$68*2*$D$67/$F$67,1)*6*8</f>
        <v>459048</v>
      </c>
      <c r="AB71" s="123">
        <f>100*AA71/Z71</f>
        <v>25.875270562770563</v>
      </c>
      <c r="AC71" s="80">
        <f>(1-AB71/100)/(1-T71/100)*(1-$F$69)/(1-$D$69)</f>
        <v>1.2339654085217548</v>
      </c>
    </row>
    <row r="72" spans="1:29">
      <c r="A72">
        <v>2</v>
      </c>
      <c r="B72" s="39" t="s">
        <v>601</v>
      </c>
      <c r="C72" s="39" t="s">
        <v>590</v>
      </c>
      <c r="D72" s="46" t="s">
        <v>602</v>
      </c>
      <c r="E72" s="39">
        <f>12*D68*6*8</f>
        <v>38016</v>
      </c>
      <c r="F72" s="39">
        <f>32*D68*8</f>
        <v>16896</v>
      </c>
      <c r="G72" s="39">
        <f>4*D68*8</f>
        <v>2112</v>
      </c>
      <c r="H72" s="39">
        <f>4*3*D68</f>
        <v>792</v>
      </c>
      <c r="I72" s="39">
        <f>4*240*8/2</f>
        <v>3840</v>
      </c>
      <c r="J72" s="39">
        <f>2*12*D68*6*8</f>
        <v>76032</v>
      </c>
      <c r="K72" s="39">
        <f>INT(D68/4)*INT((14-2-1)/4)*4*8+INT(D68/4)*INT((11-2-1)/4)*2*8</f>
        <v>1536</v>
      </c>
      <c r="L72" s="39"/>
      <c r="M72" s="39">
        <f>12*D68*8</f>
        <v>6336</v>
      </c>
      <c r="N72" s="39"/>
      <c r="O72" s="39">
        <v>500544</v>
      </c>
      <c r="P72" s="39">
        <v>145560</v>
      </c>
      <c r="Q72" s="59">
        <v>29.0803605677023</v>
      </c>
      <c r="R72" s="150">
        <f>12*D68*14*4*8+12*D68*11*2*8+12*D68*8</f>
        <v>500544</v>
      </c>
      <c r="S72" s="39">
        <f>SUM(E72:M72)</f>
        <v>145560</v>
      </c>
      <c r="T72" s="66">
        <f>100*S72/R72</f>
        <v>29.080360567702339</v>
      </c>
      <c r="U72" s="80">
        <f t="shared" ref="U72:U74" si="91">(1-T72/100)/(1-Q72/100)</f>
        <v>0.99999999999999956</v>
      </c>
      <c r="V72" s="3">
        <f t="shared" ref="V72:V74" si="92">R72*$E$68/$D$68</f>
        <v>1001088</v>
      </c>
      <c r="W72" s="128">
        <f t="shared" ref="W72:W74" si="93">SUM(E72:G72,K72,M72)*$E$68/$D$68+H72+I72+12*CEILING($E$68*2*$D$67/$E$67,1)*6*8</f>
        <v>210456</v>
      </c>
      <c r="X72" s="123">
        <f t="shared" ref="X72:X74" si="94">100*W72/V72</f>
        <v>21.022727272727273</v>
      </c>
      <c r="Y72" s="80">
        <f t="shared" ref="Y72:Y74" si="95">(1-X72/100)/(1-T72/100)*(1-$E$69)/(1-$D$69)</f>
        <v>1.1136163883442634</v>
      </c>
      <c r="Z72" s="3">
        <f t="shared" ref="Z72:Z74" si="96">R72*$F$68/$D$68</f>
        <v>2002176</v>
      </c>
      <c r="AA72" s="128">
        <f t="shared" ref="AA72:AA74" si="97">SUM(E72:G72,K72,M72)*$F$68/$D$68+H72+I72+12*CEILING($F$68*2*$D$67/$F$67,1)*6*8</f>
        <v>340248</v>
      </c>
      <c r="AB72" s="123">
        <f t="shared" ref="AB72:AB74" si="98">100*AA72/Z72</f>
        <v>16.993910625239739</v>
      </c>
      <c r="AC72" s="80">
        <f t="shared" ref="AC72:AC74" si="99">(1-AB72/100)/(1-T72/100)*(1-$F$69)/(1-$D$69)</f>
        <v>1.170424582516395</v>
      </c>
    </row>
    <row r="73" spans="1:29">
      <c r="A73">
        <v>3</v>
      </c>
      <c r="B73" s="39" t="s">
        <v>603</v>
      </c>
      <c r="C73" s="131" t="s">
        <v>630</v>
      </c>
      <c r="D73" s="46" t="s">
        <v>602</v>
      </c>
      <c r="E73" s="39">
        <f>12*D68*6*8</f>
        <v>38016</v>
      </c>
      <c r="F73" s="39">
        <f>40*D68*8</f>
        <v>21120</v>
      </c>
      <c r="G73" s="39">
        <f>4*D68*8</f>
        <v>2112</v>
      </c>
      <c r="H73" s="39">
        <f>4*3*D68</f>
        <v>792</v>
      </c>
      <c r="I73" s="39">
        <f>4*240*8/2</f>
        <v>3840</v>
      </c>
      <c r="J73" s="39">
        <f>2*12*D68*6*8</f>
        <v>76032</v>
      </c>
      <c r="K73" s="39">
        <f>INT(D68/4)*INT((14-2-1)/4)*4*8+INT(D68/4)*INT((11-2-1)/4)*2*8</f>
        <v>1536</v>
      </c>
      <c r="L73" s="39"/>
      <c r="M73" s="39">
        <f>12*D68*8</f>
        <v>6336</v>
      </c>
      <c r="N73" s="39"/>
      <c r="O73" s="39">
        <v>500544</v>
      </c>
      <c r="P73" s="39">
        <v>149784</v>
      </c>
      <c r="Q73" s="59">
        <v>29.924242424242401</v>
      </c>
      <c r="R73" s="150">
        <f>12*D68*14*4*8+12*D68*11*2*8+12*D68*8</f>
        <v>500544</v>
      </c>
      <c r="S73" s="39">
        <f>SUM(E73:M73)</f>
        <v>149784</v>
      </c>
      <c r="T73" s="66">
        <f>100*S73/R73</f>
        <v>29.924242424242426</v>
      </c>
      <c r="U73" s="80">
        <f t="shared" si="91"/>
        <v>0.99999999999999967</v>
      </c>
      <c r="V73" s="3">
        <f t="shared" si="92"/>
        <v>1001088</v>
      </c>
      <c r="W73" s="128">
        <f t="shared" si="93"/>
        <v>218904</v>
      </c>
      <c r="X73" s="123">
        <f t="shared" si="94"/>
        <v>21.866609129267356</v>
      </c>
      <c r="Y73" s="80">
        <f t="shared" si="95"/>
        <v>1.1149846048580228</v>
      </c>
      <c r="Z73" s="3">
        <f t="shared" si="96"/>
        <v>2002176</v>
      </c>
      <c r="AA73" s="128">
        <f t="shared" si="97"/>
        <v>357144</v>
      </c>
      <c r="AB73" s="123">
        <f t="shared" si="98"/>
        <v>17.837792481779825</v>
      </c>
      <c r="AC73" s="80">
        <f t="shared" si="99"/>
        <v>1.172476907287034</v>
      </c>
    </row>
    <row r="74" spans="1:29">
      <c r="A74">
        <v>4</v>
      </c>
      <c r="B74" s="82" t="s">
        <v>843</v>
      </c>
      <c r="C74" s="144" t="s">
        <v>844</v>
      </c>
      <c r="D74" s="39" t="s">
        <v>607</v>
      </c>
      <c r="E74" s="144">
        <f>12*D68*8*8</f>
        <v>50688</v>
      </c>
      <c r="F74" s="144">
        <f>32*D68*2*8</f>
        <v>33792</v>
      </c>
      <c r="G74" s="144">
        <v>0</v>
      </c>
      <c r="H74" s="144">
        <f>4*3*52/2</f>
        <v>312</v>
      </c>
      <c r="I74" s="144">
        <f>4*240*8/2</f>
        <v>3840</v>
      </c>
      <c r="J74" s="144">
        <f>2*12*D68*8*8</f>
        <v>101376</v>
      </c>
      <c r="K74" s="144">
        <f>INT(D68/4)*INT((14-2-1))*2*6*8+INT(D68/4)*INT((10-2-1))*2*2*8</f>
        <v>20480</v>
      </c>
      <c r="L74" s="144">
        <v>0</v>
      </c>
      <c r="M74" s="144">
        <f>2*12*D68*8</f>
        <v>12672</v>
      </c>
      <c r="N74" s="143"/>
      <c r="O74" s="144">
        <f>D68*8*(12*14*6+12*11*2)</f>
        <v>671616</v>
      </c>
      <c r="P74" s="108">
        <f>SUM(E74:K74)</f>
        <v>210488</v>
      </c>
      <c r="Q74" s="149">
        <f>(P74/O74)*100</f>
        <v>31.3405279207166</v>
      </c>
      <c r="R74" s="458">
        <f>D68*8*(12*14*6+12*11*2)</f>
        <v>671616</v>
      </c>
      <c r="S74" s="144">
        <f>SUM(E74:K74)</f>
        <v>210488</v>
      </c>
      <c r="T74" s="459">
        <f>100*S74/R74</f>
        <v>31.3405279207166</v>
      </c>
      <c r="U74" s="80">
        <f t="shared" si="91"/>
        <v>1</v>
      </c>
      <c r="V74" s="3">
        <f t="shared" si="92"/>
        <v>1343232</v>
      </c>
      <c r="W74" s="128">
        <f t="shared" si="93"/>
        <v>315448</v>
      </c>
      <c r="X74" s="123">
        <f t="shared" si="94"/>
        <v>23.484252906422718</v>
      </c>
      <c r="Y74" s="80">
        <f t="shared" si="95"/>
        <v>1.1144237608646623</v>
      </c>
      <c r="Z74" s="3">
        <f t="shared" si="96"/>
        <v>2686464</v>
      </c>
      <c r="AA74" s="128">
        <f t="shared" si="97"/>
        <v>550712</v>
      </c>
      <c r="AB74" s="123">
        <f t="shared" si="98"/>
        <v>20.499511625690872</v>
      </c>
      <c r="AC74" s="80">
        <f t="shared" si="99"/>
        <v>1.1578954216616644</v>
      </c>
    </row>
    <row r="75" spans="1:29">
      <c r="D75" s="97"/>
      <c r="E75"/>
      <c r="F75"/>
      <c r="G75"/>
      <c r="H75"/>
      <c r="I75"/>
      <c r="J75"/>
      <c r="K75"/>
      <c r="N75"/>
      <c r="O75"/>
      <c r="R75" s="151"/>
    </row>
    <row r="76" spans="1:29">
      <c r="D76" s="97"/>
      <c r="E76"/>
      <c r="F76"/>
      <c r="G76"/>
      <c r="H76"/>
      <c r="I76"/>
      <c r="J76"/>
      <c r="K76"/>
      <c r="N76"/>
      <c r="O76"/>
      <c r="R76" s="151"/>
    </row>
    <row r="77" spans="1:29">
      <c r="D77" s="97"/>
      <c r="E77"/>
      <c r="F77"/>
      <c r="G77"/>
      <c r="H77"/>
      <c r="I77"/>
      <c r="J77"/>
      <c r="K77"/>
      <c r="N77"/>
      <c r="O77"/>
      <c r="R77" s="151"/>
    </row>
    <row r="78" spans="1:29">
      <c r="D78" s="97"/>
      <c r="E78"/>
      <c r="F78"/>
      <c r="G78"/>
      <c r="H78"/>
      <c r="I78"/>
      <c r="J78"/>
      <c r="K78"/>
      <c r="N78"/>
      <c r="O78"/>
      <c r="R78" s="151"/>
    </row>
    <row r="79" spans="1:29" ht="13.8">
      <c r="B79" s="106" t="s">
        <v>620</v>
      </c>
      <c r="C79" s="106"/>
      <c r="D79" s="97"/>
      <c r="E79"/>
      <c r="F79"/>
      <c r="G79"/>
      <c r="H79"/>
      <c r="I79"/>
      <c r="J79"/>
      <c r="K79"/>
      <c r="N79"/>
      <c r="O79"/>
      <c r="R79" s="151"/>
    </row>
    <row r="80" spans="1:29" ht="13.8">
      <c r="B80" s="106" t="s">
        <v>631</v>
      </c>
      <c r="C80" s="106"/>
      <c r="D80" s="3" t="s">
        <v>565</v>
      </c>
      <c r="E80" s="3" t="s">
        <v>566</v>
      </c>
      <c r="F80" s="3" t="s">
        <v>567</v>
      </c>
      <c r="G80"/>
      <c r="H80"/>
      <c r="I80"/>
      <c r="J80"/>
      <c r="K80"/>
      <c r="N80"/>
      <c r="O80"/>
      <c r="R80" s="151"/>
    </row>
    <row r="81" spans="1:29">
      <c r="B81" s="133" t="s">
        <v>632</v>
      </c>
      <c r="D81" s="3">
        <v>80</v>
      </c>
      <c r="E81" s="3">
        <v>200</v>
      </c>
      <c r="F81" s="3">
        <v>400</v>
      </c>
      <c r="G81"/>
      <c r="H81"/>
      <c r="I81"/>
      <c r="J81"/>
      <c r="K81"/>
      <c r="N81"/>
      <c r="O81"/>
      <c r="R81" s="151"/>
    </row>
    <row r="82" spans="1:29" ht="13.8">
      <c r="B82" s="106" t="s">
        <v>569</v>
      </c>
      <c r="C82" s="106"/>
      <c r="D82" s="3">
        <f>53</f>
        <v>53</v>
      </c>
      <c r="E82" s="3">
        <v>132</v>
      </c>
      <c r="F82" s="3">
        <v>264</v>
      </c>
      <c r="G82"/>
      <c r="H82"/>
      <c r="I82"/>
      <c r="J82"/>
      <c r="K82"/>
      <c r="N82"/>
      <c r="O82"/>
      <c r="R82" s="151"/>
    </row>
    <row r="83" spans="1:29" ht="13.8">
      <c r="B83" s="106" t="s">
        <v>570</v>
      </c>
      <c r="D83" s="107">
        <v>4.5999999999999999E-2</v>
      </c>
      <c r="E83" s="107">
        <v>4.9599999999999998E-2</v>
      </c>
      <c r="F83" s="107">
        <v>4.9599999999999998E-2</v>
      </c>
      <c r="G83"/>
      <c r="H83"/>
      <c r="I83"/>
      <c r="J83"/>
      <c r="K83"/>
      <c r="N83"/>
      <c r="O83"/>
      <c r="R83" s="151"/>
    </row>
    <row r="84" spans="1:29" ht="56.25" customHeight="1">
      <c r="B84" s="98"/>
      <c r="C84" s="98" t="s">
        <v>622</v>
      </c>
      <c r="D84" s="99" t="s">
        <v>594</v>
      </c>
      <c r="E84" s="98" t="s">
        <v>503</v>
      </c>
      <c r="F84" s="98" t="s">
        <v>572</v>
      </c>
      <c r="G84" s="98" t="s">
        <v>573</v>
      </c>
      <c r="H84" s="98" t="s">
        <v>509</v>
      </c>
      <c r="I84" s="98" t="s">
        <v>480</v>
      </c>
      <c r="J84" s="98" t="s">
        <v>477</v>
      </c>
      <c r="K84" s="98" t="s">
        <v>534</v>
      </c>
      <c r="L84" s="98" t="s">
        <v>623</v>
      </c>
      <c r="M84" s="98" t="s">
        <v>520</v>
      </c>
      <c r="N84" s="98"/>
      <c r="O84" s="100" t="s">
        <v>574</v>
      </c>
      <c r="P84" s="100" t="s">
        <v>575</v>
      </c>
      <c r="Q84" s="100" t="s">
        <v>576</v>
      </c>
      <c r="R84" s="152" t="s">
        <v>577</v>
      </c>
      <c r="S84" s="116" t="s">
        <v>578</v>
      </c>
      <c r="T84" s="127" t="s">
        <v>579</v>
      </c>
      <c r="U84" s="103" t="s">
        <v>580</v>
      </c>
      <c r="V84" s="116" t="s">
        <v>624</v>
      </c>
      <c r="W84" s="116" t="s">
        <v>625</v>
      </c>
      <c r="X84" s="127" t="s">
        <v>626</v>
      </c>
      <c r="Y84" s="103" t="s">
        <v>584</v>
      </c>
      <c r="Z84" s="116" t="s">
        <v>627</v>
      </c>
      <c r="AA84" s="116" t="s">
        <v>628</v>
      </c>
      <c r="AB84" s="127" t="s">
        <v>629</v>
      </c>
      <c r="AC84" s="103" t="s">
        <v>588</v>
      </c>
    </row>
    <row r="85" spans="1:29">
      <c r="A85">
        <v>1</v>
      </c>
      <c r="B85" s="39" t="s">
        <v>601</v>
      </c>
      <c r="C85" s="39" t="s">
        <v>590</v>
      </c>
      <c r="D85" s="46" t="s">
        <v>602</v>
      </c>
      <c r="E85" s="39">
        <f>12*D82*6*8</f>
        <v>30528</v>
      </c>
      <c r="F85" s="39">
        <f>32*D82*8</f>
        <v>13568</v>
      </c>
      <c r="G85" s="39">
        <f>4*D82*8</f>
        <v>1696</v>
      </c>
      <c r="H85" s="39">
        <f>4*3*D82</f>
        <v>636</v>
      </c>
      <c r="I85" s="39">
        <f>4*240*8/2</f>
        <v>3840</v>
      </c>
      <c r="J85" s="39">
        <f>2*12*D82*6*8</f>
        <v>61056</v>
      </c>
      <c r="K85" s="39">
        <f>INT(D82/4)*INT((14-2-1)/4)*4*8+INT(D82/4)*INT((11-2-1)/4)*2*8</f>
        <v>1248</v>
      </c>
      <c r="L85" s="26"/>
      <c r="M85" s="39">
        <f>12*D82*8</f>
        <v>5088</v>
      </c>
      <c r="N85" s="26"/>
      <c r="O85" s="39">
        <v>401952</v>
      </c>
      <c r="P85" s="39">
        <v>117660</v>
      </c>
      <c r="Q85" s="59">
        <v>29.272151898734201</v>
      </c>
      <c r="R85" s="150">
        <f>12*D82*14*4*8+12*D82*11*2*8+12*D82*8</f>
        <v>401952</v>
      </c>
      <c r="S85" s="39">
        <f>SUM(E85:M85)</f>
        <v>117660</v>
      </c>
      <c r="T85" s="66">
        <f>100*S85/R85</f>
        <v>29.272151898734176</v>
      </c>
      <c r="U85" s="80">
        <f>(1-T85/100)/(1-Q85/100)</f>
        <v>1.0000000000000002</v>
      </c>
      <c r="V85" s="3">
        <f>R85*$E$82/$D$82</f>
        <v>1001088</v>
      </c>
      <c r="W85" s="128">
        <f>SUM(E85:G85,K85,M85)*$E$82/$D$82+H85+I85+12*CEILING($E$82*2*$D$81/$E$81,1)*6*8</f>
        <v>195360.22641509434</v>
      </c>
      <c r="X85" s="123">
        <f t="shared" ref="X85" si="100">100*W85/V85</f>
        <v>19.514790549391694</v>
      </c>
      <c r="Y85" s="80">
        <f>(1-X85/100)/(1-T85/100)*(1-$E$83)/(1-$D$83)</f>
        <v>1.1336622537178758</v>
      </c>
      <c r="Z85" s="3">
        <f>R85*$F$82/$D$82</f>
        <v>2002176</v>
      </c>
      <c r="AA85" s="128">
        <f>SUM(E85:G85,K85,M85)*$F$82/$D$82+H85+I85+12*CEILING($F$82*2*$D$81/$F$81,1)*6*8</f>
        <v>325188.45283018867</v>
      </c>
      <c r="AB85" s="123">
        <f>100*AA85/Z85</f>
        <v>16.241751615751497</v>
      </c>
      <c r="AC85" s="80">
        <f>(1-AB85/100)/(1-T85/100)*(1-$F$83)/(1-$D$83)</f>
        <v>1.1797641489523527</v>
      </c>
    </row>
    <row r="86" spans="1:29">
      <c r="A86">
        <v>2</v>
      </c>
      <c r="B86" s="39" t="s">
        <v>603</v>
      </c>
      <c r="C86" s="131" t="s">
        <v>630</v>
      </c>
      <c r="D86" s="46" t="s">
        <v>602</v>
      </c>
      <c r="E86" s="39">
        <f>12*D82*6*8</f>
        <v>30528</v>
      </c>
      <c r="F86" s="39">
        <f>40*D82*8</f>
        <v>16960</v>
      </c>
      <c r="G86" s="39">
        <f>4*D82*8</f>
        <v>1696</v>
      </c>
      <c r="H86" s="39">
        <f>4*3*D82</f>
        <v>636</v>
      </c>
      <c r="I86" s="39">
        <f>4*240*8/2</f>
        <v>3840</v>
      </c>
      <c r="J86" s="39">
        <f>2*12*D82*6*8</f>
        <v>61056</v>
      </c>
      <c r="K86" s="39">
        <f>INT(D82/4)*INT((14-2-1)/4)*4*8+INT(D82/4)*INT((11-2-1)/4)*2*8</f>
        <v>1248</v>
      </c>
      <c r="L86" s="26"/>
      <c r="M86" s="39">
        <f>12*D82*8</f>
        <v>5088</v>
      </c>
      <c r="N86" s="26"/>
      <c r="O86" s="39">
        <v>401952</v>
      </c>
      <c r="P86" s="39">
        <v>121052</v>
      </c>
      <c r="Q86" s="59">
        <v>30.116033755274302</v>
      </c>
      <c r="R86" s="150">
        <f>12*D82*14*4*8+12*D82*11*2*8+12*D82*8</f>
        <v>401952</v>
      </c>
      <c r="S86" s="39">
        <f>SUM(E86:M86)</f>
        <v>121052</v>
      </c>
      <c r="T86" s="66">
        <f>100*S86/R86</f>
        <v>30.116033755274263</v>
      </c>
      <c r="U86" s="80">
        <f t="shared" ref="U86" si="101">(1-T86/100)/(1-Q86/100)</f>
        <v>1.0000000000000004</v>
      </c>
      <c r="V86" s="3">
        <f>R86*$E$82/$D$82</f>
        <v>1001088</v>
      </c>
      <c r="W86" s="128">
        <f>SUM(E86:G86,K86,M86)*$E$82/$D$82+H86+I86+12*CEILING($E$82*2*$D$81/$E$81,1)*6*8</f>
        <v>203808.22641509434</v>
      </c>
      <c r="X86" s="123">
        <f t="shared" ref="X86" si="102">100*W86/V86</f>
        <v>20.358672405931777</v>
      </c>
      <c r="Y86" s="80">
        <f>(1-X86/100)/(1-T86/100)*(1-$E$83)/(1-$D$83)</f>
        <v>1.1353218562974805</v>
      </c>
      <c r="Z86" s="3">
        <f>R86*$F$82/$D$82</f>
        <v>2002176</v>
      </c>
      <c r="AA86" s="128">
        <f>SUM(E86:G86,K86,M86)*$F$82/$D$82+H86+I86+12*CEILING($F$82*2*$D$81/$F$81,1)*6*8</f>
        <v>342084.45283018867</v>
      </c>
      <c r="AB86" s="123">
        <f>100*AA86/Z86</f>
        <v>17.08563347229158</v>
      </c>
      <c r="AC86" s="80">
        <f>(1-AB86/100)/(1-T86/100)*(1-$F$83)/(1-$D$83)</f>
        <v>1.1819804536630909</v>
      </c>
    </row>
    <row r="87" spans="1:29">
      <c r="B87" s="39"/>
      <c r="D87" s="97"/>
      <c r="E87"/>
      <c r="F87"/>
      <c r="G87"/>
      <c r="H87"/>
      <c r="I87"/>
      <c r="J87"/>
      <c r="K87"/>
      <c r="N87"/>
      <c r="O87"/>
      <c r="R87" s="151"/>
    </row>
    <row r="88" spans="1:29">
      <c r="D88" s="97"/>
      <c r="E88"/>
      <c r="F88"/>
      <c r="G88"/>
      <c r="H88"/>
      <c r="I88"/>
      <c r="J88"/>
      <c r="K88"/>
      <c r="N88"/>
      <c r="O88"/>
      <c r="R88" s="151"/>
    </row>
    <row r="89" spans="1:29">
      <c r="D89" s="97"/>
      <c r="E89"/>
      <c r="F89"/>
      <c r="G89"/>
      <c r="H89"/>
      <c r="I89"/>
      <c r="J89"/>
      <c r="K89"/>
      <c r="N89"/>
      <c r="O89"/>
      <c r="R89" s="151"/>
    </row>
    <row r="90" spans="1:29">
      <c r="D90" s="97"/>
      <c r="E90"/>
      <c r="F90"/>
      <c r="G90"/>
      <c r="H90"/>
      <c r="I90"/>
      <c r="J90"/>
      <c r="K90"/>
      <c r="N90"/>
      <c r="O90"/>
      <c r="R90" s="151"/>
    </row>
    <row r="91" spans="1:29">
      <c r="D91" s="97"/>
      <c r="E91"/>
      <c r="F91"/>
      <c r="G91"/>
      <c r="H91"/>
      <c r="I91"/>
      <c r="J91"/>
      <c r="K91"/>
      <c r="N91"/>
      <c r="O91"/>
      <c r="R91" s="151"/>
    </row>
    <row r="92" spans="1:29" ht="13.8">
      <c r="B92" s="106" t="s">
        <v>620</v>
      </c>
      <c r="C92" s="106"/>
      <c r="D92" s="97"/>
      <c r="E92"/>
      <c r="F92"/>
      <c r="G92"/>
      <c r="H92"/>
      <c r="I92"/>
      <c r="J92"/>
      <c r="K92"/>
      <c r="N92"/>
      <c r="O92"/>
      <c r="R92" s="151"/>
    </row>
    <row r="93" spans="1:29" ht="13.8">
      <c r="B93" s="106" t="s">
        <v>633</v>
      </c>
      <c r="C93" s="106"/>
      <c r="D93" s="3" t="s">
        <v>565</v>
      </c>
      <c r="E93" s="3" t="s">
        <v>566</v>
      </c>
      <c r="F93"/>
      <c r="G93"/>
      <c r="H93"/>
      <c r="I93"/>
      <c r="J93"/>
      <c r="K93"/>
      <c r="N93"/>
      <c r="O93"/>
      <c r="R93" s="151"/>
    </row>
    <row r="94" spans="1:29" ht="13.8">
      <c r="B94" s="106" t="s">
        <v>611</v>
      </c>
      <c r="D94" s="3">
        <v>100</v>
      </c>
      <c r="E94" s="3">
        <v>200</v>
      </c>
      <c r="F94"/>
      <c r="G94"/>
      <c r="H94"/>
      <c r="I94"/>
      <c r="J94"/>
      <c r="K94"/>
      <c r="N94"/>
      <c r="O94"/>
      <c r="R94" s="151"/>
    </row>
    <row r="95" spans="1:29" ht="13.8">
      <c r="B95" s="106" t="s">
        <v>569</v>
      </c>
      <c r="C95" s="106"/>
      <c r="D95" s="3">
        <v>132</v>
      </c>
      <c r="E95" s="3">
        <v>264</v>
      </c>
      <c r="F95"/>
      <c r="G95"/>
      <c r="H95"/>
      <c r="I95"/>
      <c r="J95"/>
      <c r="K95"/>
      <c r="N95"/>
      <c r="O95"/>
      <c r="R95" s="151"/>
    </row>
    <row r="96" spans="1:29" ht="13.8">
      <c r="B96" s="106" t="s">
        <v>570</v>
      </c>
      <c r="D96" s="107">
        <v>4.9599999999999998E-2</v>
      </c>
      <c r="E96" s="107">
        <v>4.9599999999999998E-2</v>
      </c>
      <c r="F96"/>
      <c r="G96"/>
      <c r="H96"/>
      <c r="I96"/>
      <c r="J96"/>
      <c r="K96"/>
      <c r="N96"/>
      <c r="O96"/>
      <c r="R96" s="151"/>
    </row>
    <row r="97" spans="1:25" ht="40.200000000000003">
      <c r="B97" s="98"/>
      <c r="C97" s="98" t="s">
        <v>622</v>
      </c>
      <c r="D97" s="99" t="s">
        <v>594</v>
      </c>
      <c r="E97" s="98" t="s">
        <v>503</v>
      </c>
      <c r="F97" s="98" t="s">
        <v>572</v>
      </c>
      <c r="G97" s="98" t="s">
        <v>573</v>
      </c>
      <c r="H97" s="98" t="s">
        <v>509</v>
      </c>
      <c r="I97" s="98" t="s">
        <v>480</v>
      </c>
      <c r="J97" s="98" t="s">
        <v>477</v>
      </c>
      <c r="K97" s="98" t="s">
        <v>534</v>
      </c>
      <c r="L97" s="98" t="s">
        <v>623</v>
      </c>
      <c r="M97" s="98" t="s">
        <v>520</v>
      </c>
      <c r="N97" s="98"/>
      <c r="O97" s="100" t="s">
        <v>574</v>
      </c>
      <c r="P97" s="100" t="s">
        <v>575</v>
      </c>
      <c r="Q97" s="100" t="s">
        <v>576</v>
      </c>
      <c r="R97" s="152" t="s">
        <v>577</v>
      </c>
      <c r="S97" s="116" t="s">
        <v>578</v>
      </c>
      <c r="T97" s="127" t="s">
        <v>579</v>
      </c>
      <c r="U97" s="103" t="s">
        <v>580</v>
      </c>
      <c r="V97" s="116" t="s">
        <v>624</v>
      </c>
      <c r="W97" s="116" t="s">
        <v>625</v>
      </c>
      <c r="X97" s="127" t="s">
        <v>626</v>
      </c>
      <c r="Y97" s="103" t="s">
        <v>584</v>
      </c>
    </row>
    <row r="98" spans="1:25">
      <c r="A98">
        <v>1</v>
      </c>
      <c r="B98" s="3" t="s">
        <v>601</v>
      </c>
      <c r="C98" s="39" t="s">
        <v>590</v>
      </c>
      <c r="D98" s="97" t="s">
        <v>602</v>
      </c>
      <c r="E98" s="3">
        <f>12*D95*6*4</f>
        <v>38016</v>
      </c>
      <c r="F98" s="3">
        <f>32*D95*4</f>
        <v>16896</v>
      </c>
      <c r="G98" s="3">
        <f>4*D95*4</f>
        <v>2112</v>
      </c>
      <c r="H98" s="3">
        <f>4*3*D95</f>
        <v>1584</v>
      </c>
      <c r="I98" s="3">
        <f>4*240*8/2</f>
        <v>3840</v>
      </c>
      <c r="J98" s="3">
        <f>2*12*D95*6*4</f>
        <v>76032</v>
      </c>
      <c r="K98" s="3">
        <f>INT(D95/4)*INT((14-2-1)/4)*4*4+INT(D95/4)*INT((11-2-1)/4)*2*4</f>
        <v>1584</v>
      </c>
      <c r="L98" s="3"/>
      <c r="M98" s="3">
        <f>12*D95*4</f>
        <v>6336</v>
      </c>
      <c r="O98" s="3">
        <v>500544</v>
      </c>
      <c r="P98" s="3">
        <v>146400</v>
      </c>
      <c r="Q98" s="153">
        <v>29.248177982355202</v>
      </c>
      <c r="R98" s="151">
        <f>12*D95*14*4*4+12*D95*11*2*4+12*D95*4</f>
        <v>500544</v>
      </c>
      <c r="S98" s="39">
        <f>SUM(E98:M98)</f>
        <v>146400</v>
      </c>
      <c r="T98" s="66">
        <f>100*S98/R98</f>
        <v>29.248177982355198</v>
      </c>
      <c r="U98" s="80">
        <f>(1-T98/100)/(1-Q98/100)</f>
        <v>1</v>
      </c>
      <c r="V98" s="3">
        <f>R98*$E$95/$D$95</f>
        <v>1001088</v>
      </c>
      <c r="W98" s="128">
        <f>SUM(E98:G98,K98,M98)*$E$95/$D$95+H98+I98+12*CEILING($E$95*2*$D$94/$E$94,1)*6*4</f>
        <v>211344</v>
      </c>
      <c r="X98" s="123">
        <f t="shared" ref="X98" si="103">100*W98/V98</f>
        <v>21.111430763329498</v>
      </c>
      <c r="Y98" s="80">
        <f>(1-X98/100)/(1-T98/100)*(1-$E$96)/(1-$D$96)</f>
        <v>1.115004066142586</v>
      </c>
    </row>
    <row r="99" spans="1:25">
      <c r="A99">
        <v>2</v>
      </c>
      <c r="B99" s="3" t="s">
        <v>603</v>
      </c>
      <c r="C99" s="131" t="s">
        <v>630</v>
      </c>
      <c r="D99" s="97" t="s">
        <v>602</v>
      </c>
      <c r="E99" s="3">
        <f>12*D95*6*4</f>
        <v>38016</v>
      </c>
      <c r="F99" s="3">
        <f>40*D95*4</f>
        <v>21120</v>
      </c>
      <c r="G99" s="3">
        <f>4*D95*4</f>
        <v>2112</v>
      </c>
      <c r="H99" s="3">
        <f>4*3*D95</f>
        <v>1584</v>
      </c>
      <c r="I99" s="3">
        <f>4*240*8/2</f>
        <v>3840</v>
      </c>
      <c r="J99" s="3">
        <f>2*12*D95*6*4</f>
        <v>76032</v>
      </c>
      <c r="K99" s="3">
        <f>INT(D95/4)*INT((14-2-1)/4)*4*4+INT(D95/4)*INT((11-2-1)/4)*2*4</f>
        <v>1584</v>
      </c>
      <c r="L99" s="3"/>
      <c r="M99" s="3">
        <f>12*D95*4</f>
        <v>6336</v>
      </c>
      <c r="O99" s="3">
        <v>500544</v>
      </c>
      <c r="P99" s="3">
        <v>150624</v>
      </c>
      <c r="Q99" s="153">
        <v>30.092059838895299</v>
      </c>
      <c r="R99" s="151">
        <f>12*D95*14*4*4+12*D95*11*2*4+12*D95*4</f>
        <v>500544</v>
      </c>
      <c r="S99" s="39">
        <f>SUM(E99:M99)</f>
        <v>150624</v>
      </c>
      <c r="T99" s="66">
        <f>100*S99/R99</f>
        <v>30.092059838895281</v>
      </c>
      <c r="U99" s="80">
        <f t="shared" ref="U99:U100" si="104">(1-T99/100)/(1-Q99/100)</f>
        <v>1.0000000000000002</v>
      </c>
      <c r="V99" s="3">
        <f t="shared" ref="V99:V100" si="105">R99*$E$95/$D$95</f>
        <v>1001088</v>
      </c>
      <c r="W99" s="128">
        <f t="shared" ref="W99" si="106">SUM(E99:G99,K99,M99)*$E$95/$D$95+H99+I99+12*CEILING($E$95*2*$D$94/$E$94,1)*6*4</f>
        <v>219792</v>
      </c>
      <c r="X99" s="123">
        <f t="shared" ref="X99:X100" si="107">100*W99/V99</f>
        <v>21.955312619869581</v>
      </c>
      <c r="Y99" s="80">
        <f t="shared" ref="Y99:Y100" si="108">(1-X99/100)/(1-T99/100)*(1-$E$96)/(1-$D$96)</f>
        <v>1.11639231824417</v>
      </c>
    </row>
    <row r="100" spans="1:25">
      <c r="A100">
        <v>3</v>
      </c>
      <c r="B100" s="92" t="s">
        <v>5</v>
      </c>
      <c r="C100" s="92" t="s">
        <v>590</v>
      </c>
      <c r="D100" s="134" t="s">
        <v>607</v>
      </c>
      <c r="E100" s="92">
        <v>40306</v>
      </c>
      <c r="F100" s="92">
        <f>20*D95*2*4</f>
        <v>21120</v>
      </c>
      <c r="G100" s="92">
        <f>4*D95*2*4</f>
        <v>4224</v>
      </c>
      <c r="H100" s="92">
        <f>4*3*52*10/20</f>
        <v>312</v>
      </c>
      <c r="I100" s="92">
        <f>12*4*240*10/20</f>
        <v>5760</v>
      </c>
      <c r="J100" s="92">
        <f>2*12*D95*8*4</f>
        <v>101376</v>
      </c>
      <c r="K100" s="92">
        <f>INT(D95/4)*INT((14-2-1))*2*6*4+INT(D95/4)*INT((10-2-1))*2*2*4</f>
        <v>21120</v>
      </c>
      <c r="L100" s="104"/>
      <c r="M100" s="92">
        <f>12*D95*1*2*4</f>
        <v>12672</v>
      </c>
      <c r="N100" s="104"/>
      <c r="O100" s="92">
        <f>12*D95*(14*6+12*2)*4</f>
        <v>684288</v>
      </c>
      <c r="P100" s="92">
        <f>SUM(E100:K100)+M100*2</f>
        <v>219562</v>
      </c>
      <c r="Q100" s="154">
        <f>100*P100/O100</f>
        <v>32.086197624392071</v>
      </c>
      <c r="R100" s="145">
        <f>12*D95*(14*6+10*2+1*2)*4</f>
        <v>671616</v>
      </c>
      <c r="S100" s="92">
        <f>SUM(E100:M100)</f>
        <v>206890</v>
      </c>
      <c r="T100" s="155">
        <f>100*S100/R100</f>
        <v>30.80480512673909</v>
      </c>
      <c r="U100" s="80">
        <f t="shared" si="104"/>
        <v>1.0188679245283019</v>
      </c>
      <c r="V100" s="3">
        <f t="shared" si="105"/>
        <v>1343232</v>
      </c>
      <c r="W100" s="128">
        <f>SUM(E100:G100,K100,M100)*$E$95/$D$95+H100+I100+12*CEILING($E$95*2*$D$94/$E$94,1)*8*4</f>
        <v>306332</v>
      </c>
      <c r="X100" s="123">
        <f t="shared" si="107"/>
        <v>22.805591290261102</v>
      </c>
      <c r="Y100" s="80">
        <f t="shared" si="108"/>
        <v>1.1156036029832632</v>
      </c>
    </row>
    <row r="101" spans="1:25">
      <c r="B101" s="3"/>
      <c r="D101" s="97"/>
      <c r="E101"/>
      <c r="F101"/>
      <c r="G101"/>
      <c r="H101"/>
      <c r="I101"/>
      <c r="J101"/>
      <c r="K101"/>
      <c r="N101"/>
      <c r="O101"/>
      <c r="R101" s="151"/>
    </row>
    <row r="102" spans="1:25">
      <c r="D102" s="97"/>
      <c r="E102"/>
      <c r="F102"/>
      <c r="G102"/>
      <c r="H102"/>
      <c r="I102"/>
      <c r="J102"/>
      <c r="K102"/>
      <c r="N102"/>
      <c r="O102"/>
      <c r="R102" s="151"/>
    </row>
    <row r="103" spans="1:25">
      <c r="D103" s="97"/>
      <c r="E103"/>
      <c r="F103"/>
      <c r="G103"/>
      <c r="H103"/>
      <c r="I103"/>
      <c r="J103"/>
      <c r="K103"/>
      <c r="N103"/>
      <c r="O103"/>
      <c r="R103" s="151"/>
    </row>
    <row r="104" spans="1:25">
      <c r="D104" s="97"/>
      <c r="E104"/>
      <c r="F104"/>
      <c r="G104"/>
      <c r="H104"/>
      <c r="I104"/>
      <c r="J104"/>
      <c r="K104"/>
      <c r="N104"/>
      <c r="O104"/>
      <c r="R104" s="151"/>
    </row>
    <row r="105" spans="1:25" ht="13.8">
      <c r="B105" s="106" t="s">
        <v>620</v>
      </c>
      <c r="C105" s="106"/>
      <c r="D105" s="97"/>
      <c r="E105"/>
      <c r="F105"/>
      <c r="G105"/>
      <c r="H105"/>
      <c r="I105"/>
      <c r="J105"/>
      <c r="K105"/>
      <c r="N105"/>
      <c r="O105"/>
      <c r="R105" s="151"/>
    </row>
    <row r="106" spans="1:25" ht="13.8">
      <c r="B106" s="106" t="s">
        <v>634</v>
      </c>
      <c r="C106" s="106"/>
      <c r="D106" s="3" t="s">
        <v>565</v>
      </c>
      <c r="E106" s="3" t="s">
        <v>566</v>
      </c>
      <c r="F106"/>
      <c r="G106"/>
      <c r="H106"/>
      <c r="I106"/>
      <c r="J106"/>
      <c r="K106"/>
      <c r="N106"/>
      <c r="O106"/>
      <c r="R106" s="151"/>
    </row>
    <row r="107" spans="1:25" ht="13.8">
      <c r="B107" s="106" t="s">
        <v>611</v>
      </c>
      <c r="D107" s="3">
        <v>80</v>
      </c>
      <c r="E107" s="3">
        <v>200</v>
      </c>
      <c r="F107"/>
      <c r="G107"/>
      <c r="H107"/>
      <c r="I107"/>
      <c r="J107"/>
      <c r="K107"/>
      <c r="N107"/>
      <c r="O107"/>
      <c r="R107" s="151"/>
    </row>
    <row r="108" spans="1:25" ht="13.8">
      <c r="B108" s="106" t="s">
        <v>569</v>
      </c>
      <c r="C108" s="106"/>
      <c r="D108" s="3">
        <v>105</v>
      </c>
      <c r="E108" s="3">
        <v>264</v>
      </c>
      <c r="F108"/>
      <c r="G108"/>
      <c r="H108"/>
      <c r="I108"/>
      <c r="J108"/>
      <c r="K108"/>
      <c r="N108"/>
      <c r="O108"/>
      <c r="R108" s="151"/>
    </row>
    <row r="109" spans="1:25" ht="13.8">
      <c r="B109" s="106" t="s">
        <v>570</v>
      </c>
      <c r="D109" s="107">
        <v>5.5E-2</v>
      </c>
      <c r="E109" s="107">
        <v>4.9599999999999998E-2</v>
      </c>
      <c r="F109"/>
      <c r="G109"/>
      <c r="H109"/>
      <c r="I109"/>
      <c r="J109"/>
      <c r="K109"/>
      <c r="N109"/>
      <c r="O109"/>
      <c r="R109" s="151"/>
    </row>
    <row r="110" spans="1:25" ht="40.200000000000003">
      <c r="B110" s="98"/>
      <c r="C110" s="98"/>
      <c r="D110" s="99" t="s">
        <v>594</v>
      </c>
      <c r="E110" s="98" t="s">
        <v>503</v>
      </c>
      <c r="F110" s="98" t="s">
        <v>572</v>
      </c>
      <c r="G110" s="98" t="s">
        <v>573</v>
      </c>
      <c r="H110" s="98" t="s">
        <v>509</v>
      </c>
      <c r="I110" s="98" t="s">
        <v>480</v>
      </c>
      <c r="J110" s="98" t="s">
        <v>477</v>
      </c>
      <c r="K110" s="98" t="s">
        <v>534</v>
      </c>
      <c r="L110" s="98" t="s">
        <v>623</v>
      </c>
      <c r="M110" s="98" t="s">
        <v>520</v>
      </c>
      <c r="N110" s="98"/>
      <c r="O110" s="100" t="s">
        <v>574</v>
      </c>
      <c r="P110" s="100" t="s">
        <v>575</v>
      </c>
      <c r="Q110" s="100" t="s">
        <v>576</v>
      </c>
      <c r="R110" s="152" t="s">
        <v>577</v>
      </c>
      <c r="S110" s="116" t="s">
        <v>578</v>
      </c>
      <c r="T110" s="127" t="s">
        <v>579</v>
      </c>
      <c r="U110" s="103" t="s">
        <v>580</v>
      </c>
      <c r="V110" s="116" t="s">
        <v>624</v>
      </c>
      <c r="W110" s="116" t="s">
        <v>625</v>
      </c>
      <c r="X110" s="127" t="s">
        <v>626</v>
      </c>
      <c r="Y110" s="103" t="s">
        <v>584</v>
      </c>
    </row>
    <row r="111" spans="1:25" s="104" customFormat="1">
      <c r="A111" s="104">
        <v>1</v>
      </c>
      <c r="B111" s="92" t="s">
        <v>601</v>
      </c>
      <c r="C111" s="39" t="s">
        <v>590</v>
      </c>
      <c r="D111" s="134" t="s">
        <v>602</v>
      </c>
      <c r="E111" s="92">
        <f>12*D108*6*4</f>
        <v>30240</v>
      </c>
      <c r="F111" s="92">
        <f>32*D108*4</f>
        <v>13440</v>
      </c>
      <c r="G111" s="92">
        <f>4*D108*4</f>
        <v>1680</v>
      </c>
      <c r="H111" s="92">
        <f>4*3*D108</f>
        <v>1260</v>
      </c>
      <c r="I111" s="92">
        <f>4*240*8/2</f>
        <v>3840</v>
      </c>
      <c r="J111" s="92">
        <f>2*12*D108*6*4</f>
        <v>60480</v>
      </c>
      <c r="K111" s="92">
        <f>INT(D108/4)*INT((14-2-1)/4)*4*4+INT(D108/4)*INT((11-2-1)/4)*2*4</f>
        <v>1248</v>
      </c>
      <c r="M111" s="92">
        <f>12*D108*4</f>
        <v>5040</v>
      </c>
      <c r="O111" s="92">
        <v>398160</v>
      </c>
      <c r="P111" s="92">
        <v>117228</v>
      </c>
      <c r="Q111" s="154">
        <v>29.442435201928902</v>
      </c>
      <c r="R111" s="145">
        <f>12*D108*14*4*4+12*D108*11*2*4+12*D108*4</f>
        <v>398160</v>
      </c>
      <c r="S111" s="39">
        <f>SUM(E111:M111)</f>
        <v>117228</v>
      </c>
      <c r="T111" s="59">
        <f t="shared" ref="T111:T118" si="109">100*S111/R111</f>
        <v>29.442435201928873</v>
      </c>
      <c r="U111" s="80">
        <f>(1-T111/100)/(1-Q111/100)</f>
        <v>1.0000000000000004</v>
      </c>
      <c r="V111" s="3">
        <f>R111*$E$108/$D$108</f>
        <v>1001088</v>
      </c>
      <c r="W111" s="128">
        <f>SUM(E111:G111,K111,M111)*$E$108/$D$108+H111+I111+12*CEILING($E$108*2*$D$107/$E$107,1)*6*4</f>
        <v>196013.82857142857</v>
      </c>
      <c r="X111" s="123">
        <f t="shared" ref="X111" si="110">100*W111/V111</f>
        <v>19.580079730396186</v>
      </c>
      <c r="Y111" s="80">
        <f>(1-X111/100)/(1-T111/100)*(1-$E$109)/(1-$D$109)</f>
        <v>1.1462904495444755</v>
      </c>
    </row>
    <row r="112" spans="1:25" s="104" customFormat="1">
      <c r="A112" s="104">
        <v>2</v>
      </c>
      <c r="B112" s="92" t="s">
        <v>603</v>
      </c>
      <c r="C112" s="131" t="s">
        <v>630</v>
      </c>
      <c r="D112" s="134" t="s">
        <v>602</v>
      </c>
      <c r="E112" s="92">
        <f>12*D108*6*4</f>
        <v>30240</v>
      </c>
      <c r="F112" s="92">
        <f>40*D108*4</f>
        <v>16800</v>
      </c>
      <c r="G112" s="92">
        <f>4*D108*4</f>
        <v>1680</v>
      </c>
      <c r="H112" s="92">
        <f>4*3*D108</f>
        <v>1260</v>
      </c>
      <c r="I112" s="92">
        <f>4*240*8/2</f>
        <v>3840</v>
      </c>
      <c r="J112" s="92">
        <f>2*12*D108*6*4</f>
        <v>60480</v>
      </c>
      <c r="K112" s="92">
        <f>INT(D108/4)*INT((14-2-1)/4)*4*4+INT(D108/4)*INT((11-2-1)/4)*2*4</f>
        <v>1248</v>
      </c>
      <c r="M112" s="39">
        <f>12*D108*4</f>
        <v>5040</v>
      </c>
      <c r="O112" s="92">
        <v>398160</v>
      </c>
      <c r="P112" s="92">
        <v>120588</v>
      </c>
      <c r="Q112" s="154">
        <v>30.286317058468999</v>
      </c>
      <c r="R112" s="145">
        <f>12*D108*14*4*4+12*D108*11*2*4+12*D108*4</f>
        <v>398160</v>
      </c>
      <c r="S112" s="39">
        <f>SUM(E112:M112)</f>
        <v>120588</v>
      </c>
      <c r="T112" s="59">
        <f t="shared" si="109"/>
        <v>30.286317058468956</v>
      </c>
      <c r="U112" s="80">
        <f t="shared" ref="U112:U118" si="111">(1-T112/100)/(1-Q112/100)</f>
        <v>1.0000000000000007</v>
      </c>
      <c r="V112" s="3">
        <f>R112*$E$108/$D$108</f>
        <v>1001088</v>
      </c>
      <c r="W112" s="128">
        <f>SUM(E112:G112,K112,M112)*$E$108/$D$108+H112+I112+12*CEILING($E$108*2*$D$107/$E$107,1)*6*4</f>
        <v>204461.82857142857</v>
      </c>
      <c r="X112" s="123">
        <f t="shared" ref="X112:X113" si="112">100*W112/V112</f>
        <v>20.423961586936272</v>
      </c>
      <c r="Y112" s="80">
        <f t="shared" ref="Y112:Y115" si="113">(1-X112/100)/(1-T112/100)*(1-$E$109)/(1-$D$109)</f>
        <v>1.1479921194192089</v>
      </c>
    </row>
    <row r="113" spans="1:29" s="104" customFormat="1">
      <c r="A113" s="104">
        <v>3</v>
      </c>
      <c r="B113" s="92" t="s">
        <v>5</v>
      </c>
      <c r="C113" s="92" t="s">
        <v>590</v>
      </c>
      <c r="D113" s="134" t="s">
        <v>607</v>
      </c>
      <c r="E113" s="92">
        <v>40306</v>
      </c>
      <c r="F113" s="92">
        <f>F118</f>
        <v>16800</v>
      </c>
      <c r="G113" s="92">
        <f>4*D108*2*4</f>
        <v>3360</v>
      </c>
      <c r="H113" s="92">
        <f>4*3*52*10/20</f>
        <v>312</v>
      </c>
      <c r="I113" s="92">
        <f>12*4*240*10/20</f>
        <v>5760</v>
      </c>
      <c r="J113" s="92">
        <f>2*12*D108*8*4</f>
        <v>80640</v>
      </c>
      <c r="K113" s="92">
        <f>INT(D108/4)*INT((14-2-1))*2*6*4+INT(D108/4)*INT((10-2-1))*2*2*4</f>
        <v>16640</v>
      </c>
      <c r="M113" s="92">
        <f>12*D108*1*2*4</f>
        <v>10080</v>
      </c>
      <c r="O113" s="92">
        <f>12*D108*(14*6+12*2)*4</f>
        <v>544320</v>
      </c>
      <c r="P113" s="92">
        <f>SUM(E113:K113)+M113*2</f>
        <v>183978</v>
      </c>
      <c r="Q113" s="154">
        <f t="shared" ref="Q113:Q118" si="114">100*P113/O113</f>
        <v>33.799603174603178</v>
      </c>
      <c r="R113" s="145">
        <f>12*D108*(14*6+10*2+1*2)*4</f>
        <v>534240</v>
      </c>
      <c r="S113" s="92">
        <f>SUM(E113:M113)</f>
        <v>173898</v>
      </c>
      <c r="T113" s="154">
        <f t="shared" si="109"/>
        <v>32.55053908355795</v>
      </c>
      <c r="U113" s="80">
        <f t="shared" si="111"/>
        <v>1.0188679245283019</v>
      </c>
      <c r="V113" s="3">
        <f>R113*$E$108/$D$108</f>
        <v>1343232</v>
      </c>
      <c r="W113" s="128">
        <f>SUM(E113:G113,K113,M113)*$E$108/$D$108+H113+I113+12*CEILING($E$108*2*$D$107/$E$107,1)*8*4</f>
        <v>306690.51428571425</v>
      </c>
      <c r="X113" s="123">
        <f t="shared" si="112"/>
        <v>22.832281711998689</v>
      </c>
      <c r="Y113" s="80">
        <f t="shared" si="113"/>
        <v>1.1506196732152076</v>
      </c>
    </row>
    <row r="114" spans="1:29" s="104" customFormat="1">
      <c r="A114" s="104">
        <v>4</v>
      </c>
      <c r="B114" s="92" t="s">
        <v>27</v>
      </c>
      <c r="D114" s="104" t="s">
        <v>635</v>
      </c>
      <c r="E114" s="135">
        <f>12*D108*6*4</f>
        <v>30240</v>
      </c>
      <c r="F114" s="135">
        <f>20*D108*2*4</f>
        <v>16800</v>
      </c>
      <c r="G114" s="135">
        <f>4*D108*2*4</f>
        <v>3360</v>
      </c>
      <c r="H114" s="135">
        <f>4*3*52*10/20</f>
        <v>312</v>
      </c>
      <c r="I114" s="135">
        <f>12*4*240*10/20</f>
        <v>5760</v>
      </c>
      <c r="J114" s="135">
        <f>2*12*D108*8*4</f>
        <v>80640</v>
      </c>
      <c r="K114" s="135">
        <f>INT(D108/4)*INT((14-2-1))*2*6*4+INT(D108/4)*INT((10-2-1))*2*2*4</f>
        <v>16640</v>
      </c>
      <c r="M114" s="144">
        <f>12*D108*0.5*2*4</f>
        <v>5040</v>
      </c>
      <c r="O114" s="145">
        <f>12*D108*(14*6+12*2)*4</f>
        <v>544320</v>
      </c>
      <c r="P114" s="92">
        <f>SUM(E114:K114)+M114*2</f>
        <v>163832</v>
      </c>
      <c r="Q114" s="156">
        <f t="shared" si="114"/>
        <v>30.098471487360378</v>
      </c>
      <c r="R114" s="145">
        <f>12*D108*(14*6+11*2+0.5*2)*4</f>
        <v>539280</v>
      </c>
      <c r="S114" s="92">
        <f>SUM(E114:M114)</f>
        <v>158792</v>
      </c>
      <c r="T114" s="154">
        <f t="shared" si="109"/>
        <v>29.445186174158138</v>
      </c>
      <c r="U114" s="80">
        <f t="shared" si="111"/>
        <v>1.0093457943925233</v>
      </c>
      <c r="V114" s="3">
        <f t="shared" ref="V114:V115" si="115">R114*$E$108/$D$108</f>
        <v>1355904</v>
      </c>
      <c r="W114" s="128">
        <f t="shared" ref="W114:W115" si="116">SUM(E114:G114,K114,M114)*$E$108/$D$108+H114+I114+12*CEILING($E$108*2*$D$107/$E$107,1)*8*4</f>
        <v>268709.71428571432</v>
      </c>
      <c r="X114" s="123">
        <f t="shared" ref="X114:X116" si="117">100*W114/V114</f>
        <v>19.817753637847098</v>
      </c>
      <c r="Y114" s="80">
        <f t="shared" si="113"/>
        <v>1.1429472527010425</v>
      </c>
    </row>
    <row r="115" spans="1:29" s="104" customFormat="1">
      <c r="A115" s="104">
        <v>5</v>
      </c>
      <c r="B115" s="136" t="s">
        <v>12</v>
      </c>
      <c r="C115" s="469" t="s">
        <v>590</v>
      </c>
      <c r="D115" s="470" t="s">
        <v>636</v>
      </c>
      <c r="E115" s="452">
        <f>24*D108*10*4</f>
        <v>100800</v>
      </c>
      <c r="F115" s="452">
        <f>32*D108</f>
        <v>3360</v>
      </c>
      <c r="G115" s="452">
        <v>0</v>
      </c>
      <c r="H115" s="452">
        <f>6*D108</f>
        <v>630</v>
      </c>
      <c r="I115" s="452">
        <v>432</v>
      </c>
      <c r="J115" s="452">
        <f>12*2*10*D108*4</f>
        <v>100800</v>
      </c>
      <c r="K115" s="452">
        <f>2*1/4*12*D108*10*4</f>
        <v>25200</v>
      </c>
      <c r="L115" s="465">
        <v>0</v>
      </c>
      <c r="M115" s="452">
        <v>0</v>
      </c>
      <c r="N115" s="144"/>
      <c r="O115" s="144">
        <f>12*D108*14*4*10</f>
        <v>705600</v>
      </c>
      <c r="P115" s="144">
        <f>SUM(E115:K115)</f>
        <v>231222</v>
      </c>
      <c r="Q115" s="156">
        <f t="shared" si="114"/>
        <v>32.769557823129254</v>
      </c>
      <c r="R115" s="150">
        <f>SUM(M115:O115)</f>
        <v>705600</v>
      </c>
      <c r="S115" s="39">
        <f>SUM(E115:M115)</f>
        <v>231222</v>
      </c>
      <c r="T115" s="59">
        <f t="shared" si="109"/>
        <v>32.769557823129254</v>
      </c>
      <c r="U115" s="80">
        <f t="shared" si="111"/>
        <v>1</v>
      </c>
      <c r="V115" s="3">
        <f t="shared" si="115"/>
        <v>1774080</v>
      </c>
      <c r="W115" s="128">
        <f t="shared" si="116"/>
        <v>407718</v>
      </c>
      <c r="X115" s="123">
        <f t="shared" si="117"/>
        <v>22.981939935064936</v>
      </c>
      <c r="Y115" s="80">
        <f t="shared" si="113"/>
        <v>1.15212931459722</v>
      </c>
    </row>
    <row r="116" spans="1:29">
      <c r="A116">
        <v>6</v>
      </c>
      <c r="B116" s="3" t="s">
        <v>637</v>
      </c>
      <c r="D116" s="3" t="s">
        <v>367</v>
      </c>
      <c r="M116" s="3">
        <v>0</v>
      </c>
      <c r="O116" s="3">
        <f>1200*14*40</f>
        <v>672000</v>
      </c>
      <c r="P116" s="3">
        <f>1200*5*40</f>
        <v>240000</v>
      </c>
      <c r="Q116" s="153">
        <f t="shared" si="114"/>
        <v>35.714285714285715</v>
      </c>
      <c r="R116" s="3">
        <f>1200*14*40</f>
        <v>672000</v>
      </c>
      <c r="S116" s="3">
        <f>1200*5*40</f>
        <v>240000</v>
      </c>
      <c r="T116" s="153">
        <f t="shared" si="109"/>
        <v>35.714285714285715</v>
      </c>
      <c r="U116" s="80">
        <f t="shared" si="111"/>
        <v>1</v>
      </c>
      <c r="V116" s="3">
        <f>R116*$E$108/100</f>
        <v>1774080</v>
      </c>
      <c r="W116" s="128">
        <f>(S116-100*12*2*10*4)*E108/100+12*CEILING($E$108*2*$D$107/$E$107,1)*10*4</f>
        <v>481920</v>
      </c>
      <c r="X116" s="123">
        <f t="shared" si="117"/>
        <v>27.164502164502164</v>
      </c>
      <c r="Y116" s="80">
        <f>(1-X116/100)/(1-T116/100)*(1-$E$109)/(1-0.1)</f>
        <v>1.1964444444444444</v>
      </c>
    </row>
    <row r="117" spans="1:29" ht="13.8">
      <c r="A117">
        <v>7</v>
      </c>
      <c r="B117" s="3" t="s">
        <v>637</v>
      </c>
      <c r="C117" s="106"/>
      <c r="D117" s="134" t="s">
        <v>607</v>
      </c>
      <c r="E117"/>
      <c r="F117"/>
      <c r="G117"/>
      <c r="H117"/>
      <c r="I117"/>
      <c r="J117"/>
      <c r="K117"/>
      <c r="M117" s="92">
        <f>12*100*1*2*4</f>
        <v>9600</v>
      </c>
      <c r="N117"/>
      <c r="O117" s="92">
        <f>12*100*(14*6+10*2)*4</f>
        <v>499200</v>
      </c>
      <c r="P117" s="3">
        <f>1200*5*32</f>
        <v>192000</v>
      </c>
      <c r="Q117" s="153">
        <f t="shared" si="114"/>
        <v>38.46153846153846</v>
      </c>
      <c r="R117" s="151">
        <f>O117+M117</f>
        <v>508800</v>
      </c>
      <c r="S117" s="3">
        <f>P117+M117</f>
        <v>201600</v>
      </c>
      <c r="T117" s="153">
        <f t="shared" si="109"/>
        <v>39.622641509433961</v>
      </c>
      <c r="U117" s="80">
        <f t="shared" si="111"/>
        <v>0.98113207547169823</v>
      </c>
      <c r="V117" s="3">
        <f>R117*$E$108/100</f>
        <v>1343232</v>
      </c>
      <c r="W117" s="128">
        <f>(S117-100*12*2*8*4)*E108/100+12*CEILING($E$108*2*$D$107/$E$107,1)*8*4</f>
        <v>410880</v>
      </c>
      <c r="X117" s="123">
        <f t="shared" ref="X117:X119" si="118">100*W117/V117</f>
        <v>30.588907947398514</v>
      </c>
      <c r="Y117" s="80">
        <f>(1-X117/100)/(1-T117/100)*(1-$E$109)/(1-0.1)</f>
        <v>1.2139999999999997</v>
      </c>
    </row>
    <row r="118" spans="1:29">
      <c r="A118">
        <v>8</v>
      </c>
      <c r="B118" s="92" t="s">
        <v>5</v>
      </c>
      <c r="C118" s="92" t="s">
        <v>638</v>
      </c>
      <c r="D118" s="134" t="s">
        <v>607</v>
      </c>
      <c r="E118" s="3">
        <v>33600</v>
      </c>
      <c r="F118" s="3">
        <f>20*D108*2*4</f>
        <v>16800</v>
      </c>
      <c r="G118" s="3">
        <f>4*D108*2*4</f>
        <v>3360</v>
      </c>
      <c r="H118" s="3">
        <f>4*3*52*10/20</f>
        <v>312</v>
      </c>
      <c r="I118" s="3">
        <f>12*4*240*10/20</f>
        <v>5760</v>
      </c>
      <c r="J118" s="3">
        <f>2*12*D108*8*4</f>
        <v>80640</v>
      </c>
      <c r="K118" s="3">
        <f>INT(D108/4)*INT((14-2-1))*2*6*4+INT(D108/4)*INT((10-2-1))*2*2*4</f>
        <v>16640</v>
      </c>
      <c r="M118" s="92">
        <f>12*D108*1*2*4</f>
        <v>10080</v>
      </c>
      <c r="N118"/>
      <c r="O118" s="92">
        <f>12*D108*(14*6+10*2+1*2)*4</f>
        <v>534240</v>
      </c>
      <c r="P118" s="3">
        <f>SUM(E113:K113)+M113</f>
        <v>173898</v>
      </c>
      <c r="Q118" s="154">
        <f t="shared" si="114"/>
        <v>32.55053908355795</v>
      </c>
      <c r="R118" s="151">
        <f>12*D108*(14*6+10*2+1*2)*4</f>
        <v>534240</v>
      </c>
      <c r="S118" s="3">
        <f>SUM(E113:M113)</f>
        <v>173898</v>
      </c>
      <c r="T118" s="154">
        <f t="shared" si="109"/>
        <v>32.55053908355795</v>
      </c>
      <c r="U118" s="80">
        <f t="shared" si="111"/>
        <v>1</v>
      </c>
      <c r="V118" s="3">
        <f>R113*$E$108/$D$108</f>
        <v>1343232</v>
      </c>
      <c r="W118" s="128">
        <f>SUM(E113:G113,K113,M113)*$E$108/$D$108+H113+I113+12*CEILING($E$108*2*$D$107/$E$107,1)*8*4</f>
        <v>306690.51428571425</v>
      </c>
      <c r="X118" s="123">
        <f t="shared" si="118"/>
        <v>22.832281711998689</v>
      </c>
      <c r="Y118" s="80">
        <f t="shared" ref="Y118:Y119" si="119">(1-X118/100)/(1-T118/100)*(1-$E$109)/(1-$D$109)</f>
        <v>1.1506196732152076</v>
      </c>
    </row>
    <row r="119" spans="1:29" s="105" customFormat="1">
      <c r="A119" s="105">
        <v>9</v>
      </c>
      <c r="B119" s="114" t="s">
        <v>33</v>
      </c>
      <c r="C119" s="452" t="s">
        <v>590</v>
      </c>
      <c r="D119" s="464" t="s">
        <v>600</v>
      </c>
      <c r="E119" s="452">
        <f>12*D108*6*4</f>
        <v>30240</v>
      </c>
      <c r="F119" s="452">
        <f>20*D108*2*4</f>
        <v>16800</v>
      </c>
      <c r="G119" s="452">
        <f>4*D108*4</f>
        <v>1680</v>
      </c>
      <c r="H119" s="452">
        <f>4*3*52*10/20</f>
        <v>312</v>
      </c>
      <c r="I119" s="452">
        <f>4*240*8/2</f>
        <v>3840</v>
      </c>
      <c r="J119" s="452">
        <f>2*12*D108*6*4</f>
        <v>60480</v>
      </c>
      <c r="K119" s="452">
        <f>INT(D108/4)*INT((14-2-1)/4)*4*4+INT(D108/4)*INT((11-2-1)/4)*2*4</f>
        <v>1248</v>
      </c>
      <c r="L119" s="465"/>
      <c r="M119" s="452">
        <f>12*D108*2*4</f>
        <v>10080</v>
      </c>
      <c r="N119" s="465"/>
      <c r="O119" s="452">
        <f>12*D108*(14*4+6*2)*4</f>
        <v>342720</v>
      </c>
      <c r="P119" s="452">
        <f>SUM(E119:K119)</f>
        <v>114600</v>
      </c>
      <c r="Q119" s="466">
        <f>P119/O119*100</f>
        <v>33.438375350140056</v>
      </c>
      <c r="R119" s="467">
        <f>12*D108*(14*4+8*2)*4</f>
        <v>362880</v>
      </c>
      <c r="S119" s="452">
        <f>P119+M119</f>
        <v>124680</v>
      </c>
      <c r="T119" s="466">
        <f>S119/R119*100</f>
        <v>34.358465608465607</v>
      </c>
      <c r="U119" s="468">
        <f>Q119/T119</f>
        <v>0.97322085715903306</v>
      </c>
      <c r="V119" s="460">
        <f>R119*$E$108/$D$108</f>
        <v>912384</v>
      </c>
      <c r="W119" s="128">
        <f>SUM(E119:G119,K119,M119)*$E$108/$D$108+H119+I119+12*CEILING($E$108*2*$D$107/$E$107,1)*6*4</f>
        <v>216185.82857142857</v>
      </c>
      <c r="X119" s="123">
        <f t="shared" si="118"/>
        <v>23.694609788359788</v>
      </c>
      <c r="Y119" s="80">
        <f t="shared" si="119"/>
        <v>1.1690985246491543</v>
      </c>
    </row>
    <row r="120" spans="1:29" ht="39.75" customHeight="1">
      <c r="B120" s="137" t="s">
        <v>639</v>
      </c>
      <c r="C120" s="106"/>
      <c r="D120" s="3" t="s">
        <v>565</v>
      </c>
      <c r="E120" s="3" t="s">
        <v>566</v>
      </c>
      <c r="F120" s="3" t="s">
        <v>567</v>
      </c>
      <c r="G120"/>
      <c r="H120"/>
      <c r="I120"/>
      <c r="J120"/>
      <c r="K120"/>
      <c r="N120"/>
      <c r="O120"/>
      <c r="R120" s="151"/>
    </row>
    <row r="121" spans="1:29">
      <c r="B121" s="133" t="s">
        <v>632</v>
      </c>
      <c r="D121" s="3">
        <v>80</v>
      </c>
      <c r="E121" s="3">
        <v>200</v>
      </c>
      <c r="F121" s="3">
        <v>400</v>
      </c>
      <c r="G121"/>
      <c r="H121"/>
      <c r="I121"/>
      <c r="J121"/>
      <c r="K121"/>
      <c r="N121"/>
      <c r="O121"/>
      <c r="R121" s="151"/>
    </row>
    <row r="122" spans="1:29" ht="13.8">
      <c r="B122" s="106" t="s">
        <v>569</v>
      </c>
      <c r="C122" s="106"/>
      <c r="D122" s="3">
        <v>50</v>
      </c>
      <c r="E122" s="3">
        <v>132</v>
      </c>
      <c r="F122" s="3">
        <v>264</v>
      </c>
      <c r="G122"/>
      <c r="H122"/>
      <c r="I122"/>
      <c r="J122"/>
      <c r="K122"/>
      <c r="N122"/>
      <c r="O122"/>
      <c r="R122" s="151"/>
    </row>
    <row r="123" spans="1:29" ht="13.8">
      <c r="B123" s="106" t="s">
        <v>570</v>
      </c>
      <c r="D123" s="138">
        <v>0.1</v>
      </c>
      <c r="E123" s="107">
        <v>4.9599999999999998E-2</v>
      </c>
      <c r="F123" s="107">
        <v>4.9599999999999998E-2</v>
      </c>
      <c r="G123"/>
      <c r="H123"/>
      <c r="I123"/>
      <c r="J123"/>
      <c r="K123"/>
      <c r="N123"/>
      <c r="O123"/>
      <c r="R123" s="151"/>
    </row>
    <row r="124" spans="1:29" ht="53.4">
      <c r="B124" s="98"/>
      <c r="C124" s="98"/>
      <c r="D124" s="99" t="s">
        <v>594</v>
      </c>
      <c r="E124" s="139" t="s">
        <v>503</v>
      </c>
      <c r="F124" s="139" t="s">
        <v>572</v>
      </c>
      <c r="G124" s="139" t="s">
        <v>573</v>
      </c>
      <c r="H124" s="139" t="s">
        <v>509</v>
      </c>
      <c r="I124" s="139" t="s">
        <v>480</v>
      </c>
      <c r="J124" s="139" t="s">
        <v>477</v>
      </c>
      <c r="K124" s="139" t="s">
        <v>534</v>
      </c>
      <c r="L124" s="139" t="s">
        <v>623</v>
      </c>
      <c r="M124" s="139" t="s">
        <v>520</v>
      </c>
      <c r="N124" s="139"/>
      <c r="O124" s="146" t="s">
        <v>574</v>
      </c>
      <c r="P124" s="146" t="s">
        <v>575</v>
      </c>
      <c r="Q124" s="100" t="s">
        <v>576</v>
      </c>
      <c r="R124" s="152" t="s">
        <v>577</v>
      </c>
      <c r="S124" s="116" t="s">
        <v>578</v>
      </c>
      <c r="T124" s="127" t="s">
        <v>579</v>
      </c>
      <c r="U124" s="103" t="s">
        <v>580</v>
      </c>
      <c r="V124" s="116" t="s">
        <v>624</v>
      </c>
      <c r="W124" s="116" t="s">
        <v>625</v>
      </c>
      <c r="X124" s="127" t="s">
        <v>626</v>
      </c>
      <c r="Y124" s="103" t="s">
        <v>584</v>
      </c>
      <c r="Z124" s="116" t="s">
        <v>627</v>
      </c>
      <c r="AA124" s="116" t="s">
        <v>628</v>
      </c>
      <c r="AB124" s="127" t="s">
        <v>629</v>
      </c>
      <c r="AC124" s="103" t="s">
        <v>588</v>
      </c>
    </row>
    <row r="125" spans="1:29" ht="13.8">
      <c r="A125">
        <v>1</v>
      </c>
      <c r="B125" s="132" t="s">
        <v>42</v>
      </c>
      <c r="C125" s="140" t="s">
        <v>640</v>
      </c>
      <c r="D125" s="97" t="s">
        <v>368</v>
      </c>
      <c r="E125" s="141">
        <v>46080</v>
      </c>
      <c r="F125" s="141">
        <v>46080</v>
      </c>
      <c r="G125" s="142"/>
      <c r="H125" s="142"/>
      <c r="I125" s="141">
        <v>18432</v>
      </c>
      <c r="J125" s="141">
        <v>46080</v>
      </c>
      <c r="K125" s="141">
        <v>9312</v>
      </c>
      <c r="L125" s="141">
        <v>10752</v>
      </c>
      <c r="M125" s="141">
        <v>30720</v>
      </c>
      <c r="N125" s="147"/>
      <c r="O125" s="141">
        <v>645120</v>
      </c>
      <c r="P125" s="148">
        <v>184416</v>
      </c>
      <c r="Q125" s="153">
        <f>P125/O125*100</f>
        <v>28.586309523809522</v>
      </c>
      <c r="R125" s="150">
        <f>(12*D122*14*3)*80/4</f>
        <v>504000</v>
      </c>
      <c r="S125" s="3">
        <f>R125*T125/100</f>
        <v>180028.79999999999</v>
      </c>
      <c r="T125" s="153">
        <v>35.72</v>
      </c>
      <c r="U125" s="80">
        <f>(1-T125/100)/(1-Q125/100)</f>
        <v>0.90010752240050007</v>
      </c>
      <c r="V125" s="3">
        <f>R125*$E$122/$D$122</f>
        <v>1330560</v>
      </c>
      <c r="W125" s="128">
        <f>(S125-D122*12*2*3*20)*E122/D122+12*CEILING($E$122*2*$D$121/$E$121,1)*3*20</f>
        <v>361516.03199999995</v>
      </c>
      <c r="X125" s="123">
        <f t="shared" ref="X125" si="120">100*W125/V125</f>
        <v>27.170216450216447</v>
      </c>
      <c r="Y125" s="80">
        <f>(1-X125/100)/(1-T125/100)*(1-$E$123)/(1-$D$123)</f>
        <v>1.1964569295048451</v>
      </c>
      <c r="Z125" s="3">
        <f>R125*$F$122/$D$122</f>
        <v>2661120</v>
      </c>
      <c r="AA125" s="128">
        <f>(S125-D122*12*2*3*20)*F122/D122+12*CEILING($F$122*2*$D$121/$F$121,1)*3*20</f>
        <v>646712.0639999999</v>
      </c>
      <c r="AB125" s="123">
        <f>100*AA125/Z125</f>
        <v>24.302251082251079</v>
      </c>
      <c r="AC125" s="80">
        <f>(1-AB125/100)/(1-T125/100)*(1-$F$123)/(1-$D$123)</f>
        <v>1.2435722286425461</v>
      </c>
    </row>
    <row r="126" spans="1:29">
      <c r="B126" s="3"/>
      <c r="C126" s="3"/>
      <c r="D126" s="97"/>
      <c r="N126"/>
      <c r="O126" s="3"/>
      <c r="Q126" s="153"/>
      <c r="R126" s="151"/>
    </row>
    <row r="127" spans="1:29">
      <c r="B127" s="3"/>
      <c r="C127" s="3"/>
      <c r="D127" s="97"/>
      <c r="N127"/>
      <c r="O127" s="3"/>
      <c r="Q127" s="153"/>
      <c r="R127" s="151"/>
    </row>
    <row r="128" spans="1:29">
      <c r="R128" s="151"/>
    </row>
    <row r="129" spans="2:21" ht="13.8">
      <c r="B129" s="106" t="s">
        <v>641</v>
      </c>
      <c r="C129" s="106"/>
      <c r="D129" s="97"/>
      <c r="E129"/>
      <c r="F129"/>
      <c r="G129"/>
      <c r="H129"/>
      <c r="I129"/>
      <c r="J129"/>
      <c r="K129"/>
      <c r="N129"/>
      <c r="O129"/>
      <c r="R129" s="151"/>
    </row>
    <row r="130" spans="2:21" ht="13.8">
      <c r="B130" s="106" t="s">
        <v>642</v>
      </c>
      <c r="C130" s="106"/>
      <c r="D130" s="97"/>
      <c r="E130"/>
      <c r="F130"/>
      <c r="G130"/>
      <c r="H130"/>
      <c r="I130"/>
      <c r="J130"/>
      <c r="K130"/>
      <c r="N130"/>
      <c r="O130"/>
      <c r="R130" s="151"/>
    </row>
    <row r="131" spans="2:21">
      <c r="B131" s="133" t="s">
        <v>632</v>
      </c>
      <c r="D131" s="97"/>
      <c r="E131"/>
      <c r="F131"/>
      <c r="G131"/>
      <c r="H131"/>
      <c r="I131"/>
      <c r="J131"/>
      <c r="K131"/>
      <c r="N131"/>
      <c r="O131"/>
      <c r="R131" s="151"/>
    </row>
    <row r="132" spans="2:21" ht="13.8">
      <c r="B132" s="106" t="s">
        <v>569</v>
      </c>
      <c r="C132" s="106"/>
      <c r="D132" s="73">
        <v>33</v>
      </c>
      <c r="E132"/>
      <c r="F132"/>
      <c r="G132"/>
      <c r="H132"/>
      <c r="I132"/>
      <c r="J132"/>
      <c r="K132"/>
      <c r="N132"/>
      <c r="O132"/>
      <c r="R132" s="151"/>
    </row>
    <row r="133" spans="2:21">
      <c r="D133" s="97"/>
      <c r="E133"/>
      <c r="F133"/>
      <c r="G133"/>
      <c r="H133"/>
      <c r="I133"/>
      <c r="J133"/>
      <c r="K133"/>
      <c r="N133"/>
      <c r="O133"/>
      <c r="R133" s="151"/>
    </row>
    <row r="134" spans="2:21" ht="40.200000000000003">
      <c r="B134" s="98"/>
      <c r="C134" s="98" t="s">
        <v>622</v>
      </c>
      <c r="D134" s="99"/>
      <c r="E134" s="98" t="s">
        <v>503</v>
      </c>
      <c r="F134" s="98" t="s">
        <v>572</v>
      </c>
      <c r="G134" s="98" t="s">
        <v>573</v>
      </c>
      <c r="H134" s="98" t="s">
        <v>509</v>
      </c>
      <c r="I134" s="98" t="s">
        <v>480</v>
      </c>
      <c r="J134" s="98" t="s">
        <v>477</v>
      </c>
      <c r="K134" s="98" t="s">
        <v>534</v>
      </c>
      <c r="L134" s="98" t="s">
        <v>623</v>
      </c>
      <c r="M134" s="98" t="s">
        <v>520</v>
      </c>
      <c r="N134" s="98"/>
      <c r="O134" s="100" t="s">
        <v>574</v>
      </c>
      <c r="P134" s="100" t="s">
        <v>575</v>
      </c>
      <c r="Q134" s="100" t="s">
        <v>576</v>
      </c>
      <c r="R134" s="152" t="s">
        <v>577</v>
      </c>
      <c r="S134" s="116" t="s">
        <v>578</v>
      </c>
      <c r="T134" s="127" t="s">
        <v>579</v>
      </c>
      <c r="U134" s="103" t="s">
        <v>580</v>
      </c>
    </row>
    <row r="135" spans="2:21">
      <c r="B135" s="39"/>
      <c r="C135" s="39"/>
      <c r="D135" s="46"/>
      <c r="E135" s="39"/>
      <c r="F135" s="39"/>
      <c r="G135" s="39"/>
      <c r="H135" s="39"/>
      <c r="I135" s="39"/>
      <c r="J135" s="39"/>
      <c r="K135" s="39"/>
      <c r="L135" s="39"/>
      <c r="M135" s="39"/>
      <c r="N135" s="39"/>
      <c r="O135" s="39"/>
      <c r="P135" s="39"/>
      <c r="Q135" s="59"/>
      <c r="R135" s="150"/>
      <c r="S135" s="26"/>
      <c r="T135" s="26"/>
    </row>
    <row r="136" spans="2:21">
      <c r="B136" s="39"/>
      <c r="C136" s="39"/>
      <c r="D136" s="46"/>
      <c r="E136" s="39"/>
      <c r="F136" s="39"/>
      <c r="G136" s="39"/>
      <c r="H136" s="39"/>
      <c r="I136" s="39"/>
      <c r="J136" s="39"/>
      <c r="K136" s="39"/>
      <c r="L136" s="26"/>
      <c r="M136" s="39"/>
      <c r="N136" s="26"/>
      <c r="O136" s="39"/>
      <c r="P136" s="39"/>
      <c r="Q136" s="59"/>
      <c r="R136" s="150"/>
      <c r="S136" s="39"/>
      <c r="T136" s="66"/>
    </row>
    <row r="137" spans="2:21">
      <c r="D137" s="97"/>
      <c r="E137"/>
      <c r="F137"/>
      <c r="G137"/>
      <c r="H137"/>
      <c r="I137"/>
      <c r="J137"/>
      <c r="K137"/>
      <c r="N137"/>
      <c r="O137"/>
    </row>
    <row r="138" spans="2:21">
      <c r="D138" s="97"/>
      <c r="E138"/>
      <c r="F138"/>
      <c r="G138"/>
      <c r="H138"/>
      <c r="I138"/>
      <c r="J138"/>
      <c r="K138"/>
      <c r="N138"/>
      <c r="O138"/>
    </row>
    <row r="139" spans="2:21">
      <c r="D139" s="97"/>
      <c r="E139"/>
      <c r="F139"/>
      <c r="G139"/>
      <c r="H139"/>
      <c r="I139"/>
      <c r="J139"/>
      <c r="K139"/>
      <c r="N139"/>
      <c r="O139"/>
    </row>
    <row r="140" spans="2:21">
      <c r="D140" s="97"/>
      <c r="E140"/>
      <c r="F140"/>
      <c r="G140"/>
      <c r="H140"/>
      <c r="I140"/>
      <c r="J140"/>
      <c r="K140"/>
      <c r="N140"/>
      <c r="O140"/>
    </row>
    <row r="141" spans="2:21" ht="13.8">
      <c r="B141" s="106" t="s">
        <v>641</v>
      </c>
      <c r="C141" s="106"/>
      <c r="D141" s="97"/>
      <c r="E141"/>
      <c r="F141"/>
      <c r="G141"/>
      <c r="H141"/>
      <c r="I141"/>
      <c r="J141"/>
      <c r="K141"/>
      <c r="N141"/>
      <c r="O141"/>
    </row>
    <row r="142" spans="2:21" ht="13.8">
      <c r="B142" s="106" t="s">
        <v>643</v>
      </c>
      <c r="C142" s="106"/>
      <c r="D142" s="97"/>
      <c r="E142"/>
      <c r="F142"/>
      <c r="G142"/>
      <c r="H142"/>
      <c r="I142"/>
      <c r="J142"/>
      <c r="K142"/>
      <c r="N142"/>
      <c r="O142"/>
    </row>
    <row r="143" spans="2:21">
      <c r="B143" s="133" t="s">
        <v>632</v>
      </c>
      <c r="D143" s="97"/>
      <c r="E143"/>
      <c r="F143"/>
      <c r="G143"/>
      <c r="H143"/>
      <c r="I143"/>
      <c r="J143"/>
      <c r="K143"/>
      <c r="N143"/>
      <c r="O143"/>
    </row>
    <row r="144" spans="2:21" ht="13.8">
      <c r="B144" s="106" t="s">
        <v>569</v>
      </c>
      <c r="C144" s="106"/>
      <c r="D144" s="73">
        <v>26</v>
      </c>
      <c r="E144"/>
      <c r="F144"/>
      <c r="G144"/>
      <c r="H144"/>
      <c r="I144"/>
      <c r="J144"/>
      <c r="K144"/>
      <c r="N144"/>
      <c r="O144"/>
    </row>
    <row r="145" spans="1:21">
      <c r="D145" s="97"/>
      <c r="E145"/>
      <c r="F145"/>
      <c r="G145"/>
      <c r="H145"/>
      <c r="I145"/>
      <c r="J145"/>
      <c r="K145"/>
      <c r="N145"/>
      <c r="O145"/>
    </row>
    <row r="146" spans="1:21" ht="40.200000000000003">
      <c r="B146" s="98"/>
      <c r="C146" s="98" t="s">
        <v>622</v>
      </c>
      <c r="D146" s="99"/>
      <c r="E146" s="98" t="s">
        <v>503</v>
      </c>
      <c r="F146" s="98" t="s">
        <v>572</v>
      </c>
      <c r="G146" s="98" t="s">
        <v>573</v>
      </c>
      <c r="H146" s="98" t="s">
        <v>509</v>
      </c>
      <c r="I146" s="98" t="s">
        <v>480</v>
      </c>
      <c r="J146" s="98" t="s">
        <v>477</v>
      </c>
      <c r="K146" s="98" t="s">
        <v>534</v>
      </c>
      <c r="L146" s="98" t="s">
        <v>623</v>
      </c>
      <c r="M146" s="98" t="s">
        <v>520</v>
      </c>
      <c r="N146" s="98"/>
      <c r="O146" s="100" t="s">
        <v>574</v>
      </c>
      <c r="P146" s="100" t="s">
        <v>575</v>
      </c>
      <c r="Q146" s="100" t="s">
        <v>576</v>
      </c>
      <c r="R146" s="127" t="s">
        <v>577</v>
      </c>
      <c r="S146" s="116" t="s">
        <v>578</v>
      </c>
      <c r="T146" s="127" t="s">
        <v>579</v>
      </c>
      <c r="U146" s="103" t="s">
        <v>580</v>
      </c>
    </row>
    <row r="147" spans="1:21">
      <c r="A147">
        <v>1</v>
      </c>
      <c r="B147" s="108" t="s">
        <v>21</v>
      </c>
      <c r="C147" s="108" t="s">
        <v>644</v>
      </c>
      <c r="D147" s="46"/>
      <c r="E147" s="39">
        <v>49920</v>
      </c>
      <c r="F147" s="39">
        <v>13312</v>
      </c>
      <c r="G147" s="39">
        <v>0</v>
      </c>
      <c r="H147" s="39">
        <v>156</v>
      </c>
      <c r="I147" s="39">
        <v>3840</v>
      </c>
      <c r="J147" s="39">
        <f>2*24960</f>
        <v>49920</v>
      </c>
      <c r="K147" s="39">
        <v>960</v>
      </c>
      <c r="L147" s="26">
        <v>0</v>
      </c>
      <c r="M147" s="39">
        <v>0</v>
      </c>
      <c r="N147" s="26"/>
      <c r="O147" s="39">
        <v>349440</v>
      </c>
      <c r="P147" s="157">
        <f>SUM(E147:K147)</f>
        <v>118108</v>
      </c>
      <c r="Q147" s="153">
        <f>100*P147/O147</f>
        <v>33.799221611721613</v>
      </c>
      <c r="R147" s="150">
        <v>349440</v>
      </c>
      <c r="S147" s="39">
        <f>P147</f>
        <v>118108</v>
      </c>
      <c r="T147" s="59">
        <f>100*S147/R147</f>
        <v>33.799221611721613</v>
      </c>
      <c r="U147" s="80">
        <f>(1-T147/100)/(1-Q147/100)</f>
        <v>1</v>
      </c>
    </row>
    <row r="148" spans="1:21">
      <c r="A148">
        <v>2</v>
      </c>
      <c r="B148" s="39" t="s">
        <v>21</v>
      </c>
      <c r="C148" s="39" t="s">
        <v>645</v>
      </c>
      <c r="D148" s="46"/>
      <c r="E148" s="39">
        <v>49920</v>
      </c>
      <c r="F148" s="39">
        <v>3328</v>
      </c>
      <c r="G148" s="39">
        <v>0</v>
      </c>
      <c r="H148" s="39">
        <v>156</v>
      </c>
      <c r="I148" s="39">
        <v>3840</v>
      </c>
      <c r="J148" s="39">
        <f>2*24960</f>
        <v>49920</v>
      </c>
      <c r="K148" s="39">
        <v>960</v>
      </c>
      <c r="L148" s="26">
        <v>0</v>
      </c>
      <c r="M148" s="39">
        <v>0</v>
      </c>
      <c r="N148" s="26"/>
      <c r="O148" s="39">
        <v>349440</v>
      </c>
      <c r="P148" s="157">
        <f>SUM(E148:K148)</f>
        <v>108124</v>
      </c>
      <c r="Q148" s="153">
        <f>100*P148/O148</f>
        <v>30.942078754578755</v>
      </c>
      <c r="R148" s="150">
        <v>349440</v>
      </c>
      <c r="S148" s="39">
        <f>P148</f>
        <v>108124</v>
      </c>
      <c r="T148" s="59">
        <f t="shared" ref="T148:T149" si="121">100*S148/R148</f>
        <v>30.942078754578755</v>
      </c>
      <c r="U148" s="80">
        <f t="shared" ref="U148:U149" si="122">(1-T148/100)/(1-Q148/100)</f>
        <v>1</v>
      </c>
    </row>
    <row r="149" spans="1:21">
      <c r="A149">
        <v>3</v>
      </c>
      <c r="B149" s="39" t="s">
        <v>37</v>
      </c>
      <c r="C149" s="39" t="s">
        <v>646</v>
      </c>
      <c r="D149" s="97"/>
      <c r="E149" s="39">
        <v>49920</v>
      </c>
      <c r="F149" s="39">
        <v>832</v>
      </c>
      <c r="G149" s="39">
        <v>0</v>
      </c>
      <c r="H149" s="39">
        <v>156</v>
      </c>
      <c r="I149" s="39">
        <v>480</v>
      </c>
      <c r="J149" s="39">
        <v>24960</v>
      </c>
      <c r="K149" s="39">
        <v>0</v>
      </c>
      <c r="L149" s="26">
        <v>0</v>
      </c>
      <c r="M149" s="39">
        <v>0</v>
      </c>
      <c r="N149"/>
      <c r="O149" s="39">
        <v>349441</v>
      </c>
      <c r="P149" s="157">
        <f>SUM(E149:K149)</f>
        <v>76348</v>
      </c>
      <c r="Q149" s="153">
        <f>100*P149/O149</f>
        <v>21.848609636533777</v>
      </c>
      <c r="R149" s="151">
        <v>349441</v>
      </c>
      <c r="S149" s="39">
        <f t="shared" ref="S149" si="123">P149+J149</f>
        <v>101308</v>
      </c>
      <c r="T149" s="59">
        <f t="shared" si="121"/>
        <v>28.991446338580761</v>
      </c>
      <c r="U149" s="80">
        <f t="shared" si="122"/>
        <v>0.90860256396172734</v>
      </c>
    </row>
    <row r="158" spans="1:21">
      <c r="B158" s="84" t="s">
        <v>647</v>
      </c>
    </row>
    <row r="159" spans="1:21" ht="13.8">
      <c r="B159" s="106" t="s">
        <v>563</v>
      </c>
      <c r="C159" s="106"/>
    </row>
    <row r="160" spans="1:21" ht="13.8">
      <c r="B160" s="106" t="s">
        <v>564</v>
      </c>
      <c r="C160" s="106"/>
      <c r="D160" s="3" t="s">
        <v>565</v>
      </c>
      <c r="E160" s="3" t="s">
        <v>566</v>
      </c>
      <c r="F160" s="3" t="s">
        <v>567</v>
      </c>
    </row>
    <row r="161" spans="1:27" ht="13.8">
      <c r="B161" s="106" t="s">
        <v>568</v>
      </c>
      <c r="D161" s="3">
        <v>10</v>
      </c>
      <c r="E161" s="3">
        <v>20</v>
      </c>
      <c r="F161" s="3">
        <v>40</v>
      </c>
    </row>
    <row r="162" spans="1:27" ht="13.8">
      <c r="B162" s="106" t="s">
        <v>569</v>
      </c>
      <c r="C162" s="106"/>
      <c r="D162" s="3">
        <f>52</f>
        <v>52</v>
      </c>
      <c r="E162" s="3">
        <v>106</v>
      </c>
      <c r="F162" s="3">
        <v>216</v>
      </c>
    </row>
    <row r="163" spans="1:27" ht="13.8">
      <c r="B163" s="106" t="s">
        <v>570</v>
      </c>
      <c r="D163" s="107">
        <v>6.4000000000000001E-2</v>
      </c>
      <c r="E163" s="107">
        <v>4.5999999999999999E-2</v>
      </c>
      <c r="F163" s="107">
        <v>2.8000000000000001E-2</v>
      </c>
    </row>
    <row r="164" spans="1:27" ht="51.75" customHeight="1">
      <c r="B164" s="98"/>
      <c r="C164" s="98" t="s">
        <v>571</v>
      </c>
      <c r="D164" s="98"/>
      <c r="E164" s="98" t="s">
        <v>503</v>
      </c>
      <c r="F164" s="98" t="s">
        <v>572</v>
      </c>
      <c r="G164" s="98" t="s">
        <v>573</v>
      </c>
      <c r="H164" s="98" t="s">
        <v>509</v>
      </c>
      <c r="I164" s="98" t="s">
        <v>480</v>
      </c>
      <c r="J164" s="98" t="s">
        <v>477</v>
      </c>
      <c r="K164" s="98"/>
      <c r="L164" s="98"/>
      <c r="M164" s="100" t="s">
        <v>574</v>
      </c>
      <c r="N164" s="100" t="s">
        <v>575</v>
      </c>
      <c r="O164" s="100" t="s">
        <v>576</v>
      </c>
      <c r="P164" s="116" t="s">
        <v>577</v>
      </c>
      <c r="Q164" s="116" t="s">
        <v>578</v>
      </c>
      <c r="R164" s="127" t="s">
        <v>579</v>
      </c>
      <c r="S164" s="103" t="s">
        <v>580</v>
      </c>
      <c r="T164" s="116" t="s">
        <v>581</v>
      </c>
      <c r="U164" s="116" t="s">
        <v>582</v>
      </c>
      <c r="V164" s="127" t="s">
        <v>583</v>
      </c>
      <c r="W164" s="103" t="s">
        <v>584</v>
      </c>
      <c r="X164" s="116" t="s">
        <v>585</v>
      </c>
      <c r="Y164" s="116" t="s">
        <v>586</v>
      </c>
      <c r="Z164" s="127" t="s">
        <v>587</v>
      </c>
      <c r="AA164" s="103" t="s">
        <v>588</v>
      </c>
    </row>
    <row r="165" spans="1:27">
      <c r="A165">
        <v>1</v>
      </c>
      <c r="B165" s="82" t="s">
        <v>80</v>
      </c>
      <c r="C165" s="82" t="s">
        <v>589</v>
      </c>
      <c r="D165" s="92"/>
      <c r="E165" s="3">
        <f>2*12*D162*10</f>
        <v>12480</v>
      </c>
      <c r="F165" s="92">
        <f>32*D162*2</f>
        <v>3328</v>
      </c>
      <c r="G165" s="92">
        <f>4*D162*2</f>
        <v>416</v>
      </c>
      <c r="H165" s="92">
        <f>4*3*D162*10/20</f>
        <v>312</v>
      </c>
      <c r="I165" s="92">
        <f>1*4*240*10/20</f>
        <v>480</v>
      </c>
      <c r="J165" s="92">
        <f>2*12*D162*10</f>
        <v>12480</v>
      </c>
      <c r="K165" s="92"/>
      <c r="L165" s="104"/>
      <c r="M165" s="92">
        <f>12*14*D162*10</f>
        <v>87360</v>
      </c>
      <c r="N165" s="92">
        <f>SUM(E165:J165)</f>
        <v>29496</v>
      </c>
      <c r="O165" s="123">
        <f>100*N165/M165</f>
        <v>33.763736263736263</v>
      </c>
      <c r="P165" s="158">
        <f>M165</f>
        <v>87360</v>
      </c>
      <c r="Q165" s="39">
        <f>N165</f>
        <v>29496</v>
      </c>
      <c r="R165" s="123">
        <f t="shared" ref="R165" si="124">100*Q165/P165</f>
        <v>33.763736263736263</v>
      </c>
      <c r="S165" s="80">
        <f t="shared" ref="S165" si="125">(1-R165/100)/(1-O165/100)</f>
        <v>1</v>
      </c>
      <c r="T165" s="3">
        <f>P165*$E$162/$D$162</f>
        <v>178080</v>
      </c>
      <c r="U165" s="128">
        <f>SUM(E165:G165)*$E$162/$D$162+H165+I165+12*CEILING($E$162*2*$D$161/$E$161,1)*10</f>
        <v>46584</v>
      </c>
      <c r="V165" s="123">
        <f t="shared" ref="V165" si="126">100*U165/T165</f>
        <v>26.159029649595688</v>
      </c>
      <c r="W165" s="80">
        <f>(1-V165/100)/(1-R165/100)*(1-$E$163)/(1-$D$163)</f>
        <v>1.1362505184570717</v>
      </c>
      <c r="X165" s="3">
        <f>P165*$F$162/$D$162</f>
        <v>362880</v>
      </c>
      <c r="Y165" s="128">
        <f>SUM(E165:G165)*$F$162/$D$162+H165+I165+12*CEILING($F$162*2*$D$161/$F$161,1)*10</f>
        <v>81144</v>
      </c>
      <c r="Z165" s="123">
        <f t="shared" ref="Z165" si="127">100*Y165/X165</f>
        <v>22.361111111111111</v>
      </c>
      <c r="AA165" s="80">
        <f>(1-Z165/100)/(1-R165/100)*(1-$F$163)/(1-$D$163)</f>
        <v>1.217233513065118</v>
      </c>
    </row>
    <row r="166" spans="1:27">
      <c r="A166">
        <v>2</v>
      </c>
      <c r="B166" s="82" t="s">
        <v>895</v>
      </c>
      <c r="C166" s="82" t="s">
        <v>896</v>
      </c>
      <c r="E166" s="3">
        <f>2*12*D162*10</f>
        <v>12480</v>
      </c>
      <c r="F166" s="3">
        <f>32*D162*2</f>
        <v>3328</v>
      </c>
      <c r="G166" s="3">
        <f>4*D162*2</f>
        <v>416</v>
      </c>
      <c r="H166" s="3">
        <f>4*3*D162*10/20</f>
        <v>312</v>
      </c>
      <c r="I166" s="3">
        <f>1*4*240*10/20</f>
        <v>480</v>
      </c>
      <c r="J166" s="3">
        <f>2*12*D162*10</f>
        <v>12480</v>
      </c>
      <c r="M166" s="3">
        <f>12*14*D162*10</f>
        <v>87360</v>
      </c>
      <c r="N166" s="92">
        <f>SUM(E166:J166)</f>
        <v>29496</v>
      </c>
      <c r="O166" s="123">
        <f>100*N166/M166</f>
        <v>33.763736263736263</v>
      </c>
      <c r="P166" s="158">
        <f>M166</f>
        <v>87360</v>
      </c>
      <c r="Q166" s="39">
        <f>N166</f>
        <v>29496</v>
      </c>
      <c r="R166" s="123">
        <f t="shared" ref="R166" si="128">100*Q166/P166</f>
        <v>33.763736263736263</v>
      </c>
      <c r="S166" s="80">
        <f t="shared" ref="S166" si="129">(1-R166/100)/(1-O166/100)</f>
        <v>1</v>
      </c>
      <c r="T166" s="3">
        <f>P166*$E$162/$D$162</f>
        <v>178080</v>
      </c>
      <c r="U166" s="128">
        <f>SUM(E166:G166)*$E$162/$D$162+H166+I166+12*CEILING($E$162*2*$D$161/$E$161,1)*10</f>
        <v>46584</v>
      </c>
      <c r="V166" s="123">
        <f t="shared" ref="V166" si="130">100*U166/T166</f>
        <v>26.159029649595688</v>
      </c>
      <c r="W166" s="80">
        <f>(1-V166/100)/(1-R166/100)*(1-$E$163)/(1-$D$163)</f>
        <v>1.1362505184570717</v>
      </c>
      <c r="X166" s="3">
        <f>P166*$F$162/$D$162</f>
        <v>362880</v>
      </c>
      <c r="Y166" s="128">
        <f>SUM(E166:G166)*$F$162/$D$162+H166+I166+12*CEILING($F$162*2*$D$161/$F$161,1)*10</f>
        <v>81144</v>
      </c>
      <c r="Z166" s="123">
        <f t="shared" ref="Z166" si="131">100*Y166/X166</f>
        <v>22.361111111111111</v>
      </c>
      <c r="AA166" s="80">
        <f>(1-Z166/100)/(1-R166/100)*(1-$F$163)/(1-$D$163)</f>
        <v>1.217233513065118</v>
      </c>
    </row>
    <row r="178" spans="1:23" ht="13.8">
      <c r="B178" s="106" t="s">
        <v>591</v>
      </c>
      <c r="C178" s="106"/>
    </row>
    <row r="179" spans="1:23" ht="13.8">
      <c r="B179" s="106" t="s">
        <v>592</v>
      </c>
      <c r="C179" s="106"/>
      <c r="D179" s="3" t="s">
        <v>565</v>
      </c>
      <c r="E179" s="3" t="s">
        <v>566</v>
      </c>
      <c r="F179" s="3" t="s">
        <v>567</v>
      </c>
    </row>
    <row r="180" spans="1:23" ht="13.8">
      <c r="B180" s="106" t="s">
        <v>568</v>
      </c>
      <c r="D180" s="3">
        <v>20</v>
      </c>
      <c r="E180" s="3">
        <v>40</v>
      </c>
      <c r="F180" s="3">
        <v>100</v>
      </c>
    </row>
    <row r="181" spans="1:23" ht="13.8">
      <c r="B181" s="106" t="s">
        <v>593</v>
      </c>
      <c r="C181" s="106"/>
      <c r="D181" s="3">
        <v>106</v>
      </c>
      <c r="E181" s="3">
        <v>216</v>
      </c>
      <c r="F181" s="3" t="s">
        <v>210</v>
      </c>
    </row>
    <row r="182" spans="1:23" ht="13.8">
      <c r="B182" s="106" t="s">
        <v>570</v>
      </c>
      <c r="D182" s="107">
        <v>4.5999999999999999E-2</v>
      </c>
      <c r="E182" s="107">
        <v>2.8000000000000001E-2</v>
      </c>
      <c r="F182" s="3" t="s">
        <v>210</v>
      </c>
    </row>
    <row r="183" spans="1:23" ht="40.200000000000003">
      <c r="B183" s="98"/>
      <c r="C183" s="98" t="s">
        <v>571</v>
      </c>
      <c r="D183" s="98" t="s">
        <v>594</v>
      </c>
      <c r="E183" s="98" t="s">
        <v>503</v>
      </c>
      <c r="F183" s="98" t="s">
        <v>572</v>
      </c>
      <c r="G183" s="98" t="s">
        <v>573</v>
      </c>
      <c r="H183" s="98" t="s">
        <v>509</v>
      </c>
      <c r="I183" s="98" t="s">
        <v>480</v>
      </c>
      <c r="J183" s="98" t="s">
        <v>477</v>
      </c>
      <c r="K183" s="98" t="s">
        <v>595</v>
      </c>
      <c r="L183" s="100"/>
      <c r="M183" s="100" t="s">
        <v>574</v>
      </c>
      <c r="N183" s="100" t="s">
        <v>575</v>
      </c>
      <c r="O183" s="100" t="s">
        <v>576</v>
      </c>
      <c r="P183" s="116" t="s">
        <v>577</v>
      </c>
      <c r="Q183" s="116" t="s">
        <v>578</v>
      </c>
      <c r="R183" s="127" t="s">
        <v>579</v>
      </c>
      <c r="S183" s="103" t="s">
        <v>580</v>
      </c>
      <c r="T183" s="116" t="s">
        <v>596</v>
      </c>
      <c r="U183" s="116" t="s">
        <v>597</v>
      </c>
      <c r="V183" s="127" t="s">
        <v>598</v>
      </c>
      <c r="W183" s="103" t="s">
        <v>584</v>
      </c>
    </row>
    <row r="184" spans="1:23" s="104" customFormat="1">
      <c r="A184" s="104">
        <v>1</v>
      </c>
      <c r="B184" s="82" t="s">
        <v>895</v>
      </c>
      <c r="C184" s="82" t="s">
        <v>896</v>
      </c>
      <c r="D184" s="39" t="s">
        <v>607</v>
      </c>
      <c r="E184" s="110">
        <f>2*12*D162*8</f>
        <v>9984</v>
      </c>
      <c r="F184" s="110">
        <f>32*D181*2</f>
        <v>6784</v>
      </c>
      <c r="G184" s="110">
        <f>4*D181*2</f>
        <v>848</v>
      </c>
      <c r="H184" s="39">
        <f>4*3*52*10/20</f>
        <v>312</v>
      </c>
      <c r="I184" s="39">
        <f>4*240*1/2</f>
        <v>480</v>
      </c>
      <c r="J184" s="119">
        <f>12*2*8*D181</f>
        <v>20352</v>
      </c>
      <c r="K184" s="121">
        <f>12*2*D181</f>
        <v>2544</v>
      </c>
      <c r="M184" s="121">
        <f>D181*(12*14*6+12*10*2+12*1*2)</f>
        <v>134832</v>
      </c>
      <c r="N184" s="39">
        <f>SUM(E184:K184)</f>
        <v>41304</v>
      </c>
      <c r="O184" s="118">
        <f>100*N184/M184</f>
        <v>30.633677465290138</v>
      </c>
      <c r="P184" s="121">
        <f>D181*(12*14*6+12*10*2+12*1*2)</f>
        <v>134832</v>
      </c>
      <c r="Q184" s="39">
        <f t="shared" ref="Q184" si="132">SUM(E184:K184)</f>
        <v>41304</v>
      </c>
      <c r="R184" s="118">
        <f t="shared" ref="R184" si="133">100*Q184/P184</f>
        <v>30.633677465290138</v>
      </c>
      <c r="S184" s="80">
        <f t="shared" ref="S184" si="134">(1-R184/100)/(1-O184/100)</f>
        <v>1</v>
      </c>
      <c r="T184" s="3">
        <f>P184*$E$181/$D$181</f>
        <v>274752</v>
      </c>
      <c r="U184" s="128">
        <f>SUM(E184:G184,K184)*$E$181/$D$181+H184+I184+12*CEILING($E$181*2*$D$180/$E$180,1)*8</f>
        <v>62608.75471698113</v>
      </c>
      <c r="V184" s="123">
        <f t="shared" ref="V184" si="135">100*U184/T184</f>
        <v>22.787369961631263</v>
      </c>
      <c r="W184" s="80">
        <f t="shared" ref="W184" si="136">(1-V184/100)/(1-R184/100)*(1-$E$29)/(1-$D$29)</f>
        <v>1.134116228739088</v>
      </c>
    </row>
    <row r="195" spans="1:27" ht="13.8">
      <c r="B195" s="106" t="s">
        <v>591</v>
      </c>
      <c r="C195" s="106"/>
    </row>
    <row r="196" spans="1:27" ht="13.8">
      <c r="B196" s="106" t="s">
        <v>610</v>
      </c>
      <c r="C196" s="106"/>
      <c r="D196" s="3" t="s">
        <v>565</v>
      </c>
      <c r="E196" s="3" t="s">
        <v>566</v>
      </c>
      <c r="F196" s="3" t="s">
        <v>567</v>
      </c>
    </row>
    <row r="197" spans="1:27" ht="13.8">
      <c r="B197" s="106" t="s">
        <v>611</v>
      </c>
      <c r="D197" s="3">
        <v>20</v>
      </c>
      <c r="E197" s="3">
        <v>40</v>
      </c>
      <c r="F197" s="3">
        <v>100</v>
      </c>
    </row>
    <row r="198" spans="1:27" ht="13.8">
      <c r="B198" s="106" t="s">
        <v>593</v>
      </c>
      <c r="C198" s="106"/>
      <c r="D198" s="3">
        <v>51</v>
      </c>
      <c r="E198" s="3">
        <v>106</v>
      </c>
      <c r="F198" s="3">
        <v>273</v>
      </c>
    </row>
    <row r="199" spans="1:27" ht="13.8">
      <c r="B199" s="106" t="s">
        <v>570</v>
      </c>
      <c r="D199" s="107">
        <v>8.2000000000000003E-2</v>
      </c>
      <c r="E199" s="107">
        <v>4.5999999999999999E-2</v>
      </c>
      <c r="F199" s="107">
        <v>1.72E-2</v>
      </c>
    </row>
    <row r="200" spans="1:27" ht="40.200000000000003">
      <c r="B200" s="98"/>
      <c r="C200" s="98" t="s">
        <v>571</v>
      </c>
      <c r="D200" s="98" t="s">
        <v>594</v>
      </c>
      <c r="E200" s="98" t="s">
        <v>503</v>
      </c>
      <c r="F200" s="98" t="s">
        <v>572</v>
      </c>
      <c r="G200" s="98" t="s">
        <v>573</v>
      </c>
      <c r="H200" s="98" t="s">
        <v>509</v>
      </c>
      <c r="I200" s="98" t="s">
        <v>480</v>
      </c>
      <c r="J200" s="98" t="s">
        <v>477</v>
      </c>
      <c r="K200" s="98" t="s">
        <v>595</v>
      </c>
      <c r="L200" s="98"/>
      <c r="M200" s="100" t="s">
        <v>574</v>
      </c>
      <c r="N200" s="100" t="s">
        <v>575</v>
      </c>
      <c r="O200" s="100" t="s">
        <v>576</v>
      </c>
      <c r="P200" s="116" t="s">
        <v>577</v>
      </c>
      <c r="Q200" s="116" t="s">
        <v>578</v>
      </c>
      <c r="R200" s="127" t="s">
        <v>579</v>
      </c>
      <c r="S200" s="103" t="s">
        <v>580</v>
      </c>
      <c r="T200" s="116" t="s">
        <v>596</v>
      </c>
      <c r="U200" s="116" t="s">
        <v>597</v>
      </c>
      <c r="V200" s="127" t="s">
        <v>598</v>
      </c>
      <c r="W200" s="103" t="s">
        <v>584</v>
      </c>
      <c r="X200" s="116" t="s">
        <v>612</v>
      </c>
      <c r="Y200" s="116" t="s">
        <v>613</v>
      </c>
      <c r="Z200" s="127" t="s">
        <v>614</v>
      </c>
      <c r="AA200" s="103" t="s">
        <v>588</v>
      </c>
    </row>
    <row r="201" spans="1:27" ht="26.4">
      <c r="A201" s="104">
        <v>2</v>
      </c>
      <c r="B201" s="82" t="s">
        <v>33</v>
      </c>
      <c r="C201" s="82" t="s">
        <v>589</v>
      </c>
      <c r="D201" s="159" t="s">
        <v>648</v>
      </c>
      <c r="E201" s="160">
        <f>2*12*D198*7*2</f>
        <v>17136</v>
      </c>
      <c r="F201" s="126">
        <f>32*D198*2</f>
        <v>3264</v>
      </c>
      <c r="G201" s="126">
        <v>0</v>
      </c>
      <c r="H201" s="126">
        <f>6*50*10/20</f>
        <v>150</v>
      </c>
      <c r="I201" s="126">
        <f>8*4*240/2</f>
        <v>3840</v>
      </c>
      <c r="J201" s="126">
        <f>12*2*7*D198*2</f>
        <v>17136</v>
      </c>
      <c r="K201" s="124">
        <f>12*2*D198*2</f>
        <v>2448</v>
      </c>
      <c r="L201" s="160"/>
      <c r="M201" s="126">
        <f>12*D198*14*5*2+12*D198*10*2*2</f>
        <v>110160</v>
      </c>
      <c r="N201" s="126">
        <f t="shared" ref="N201:N202" si="137">SUM(E201:J201)</f>
        <v>41526</v>
      </c>
      <c r="O201" s="162">
        <f t="shared" ref="O201:O202" si="138">100*N201/M201</f>
        <v>37.696078431372548</v>
      </c>
      <c r="P201" s="92">
        <f>D198*12*(14*5+10*2+1*2)*2</f>
        <v>112608</v>
      </c>
      <c r="Q201" s="92">
        <f>SUM(E201:K201)</f>
        <v>43974</v>
      </c>
      <c r="R201" s="123">
        <f>100*Q201/P201</f>
        <v>39.050511508951409</v>
      </c>
      <c r="S201" s="80">
        <f>(1-R201/100)/(1-O201/100)</f>
        <v>0.97826086956521741</v>
      </c>
      <c r="T201" s="3">
        <f>P201*$E$198/$D$198</f>
        <v>234048</v>
      </c>
      <c r="U201" s="128">
        <f>SUM(E201:G201,K201)*$E$198/$D$198+H201+I201+12*CEILING($E$198*2*$D$197/$E$197,1)*7*2</f>
        <v>69286</v>
      </c>
      <c r="V201" s="123">
        <f>100*U201/T201</f>
        <v>29.603329231610608</v>
      </c>
      <c r="W201" s="80">
        <f>(1-V201/100)/(1-R201/100)*(1-$E$199)/(1-$D$199)</f>
        <v>1.2002943147711045</v>
      </c>
      <c r="X201" s="3">
        <f>P201*$F$198/$D$198</f>
        <v>602784</v>
      </c>
      <c r="Y201" s="128">
        <f>SUM(E201:G201,K201)*$F$198/$D$198+H201+I201+12*CEILING($F$198*2*$D$197/$F$197,1)*7*2</f>
        <v>144774</v>
      </c>
      <c r="Z201" s="123">
        <f>100*Y201/X201</f>
        <v>24.017558528428093</v>
      </c>
      <c r="AA201" s="80">
        <f>(1-Z201/100)/(1-R201/100)*(1-$F$199)/(1-$D$199)</f>
        <v>1.3346446367689482</v>
      </c>
    </row>
    <row r="202" spans="1:27" ht="26.4">
      <c r="A202" s="104">
        <v>3</v>
      </c>
      <c r="B202" s="82" t="s">
        <v>33</v>
      </c>
      <c r="C202" s="82" t="s">
        <v>589</v>
      </c>
      <c r="D202" s="90" t="s">
        <v>649</v>
      </c>
      <c r="E202" s="160">
        <f>2*12*D198*8*2</f>
        <v>19584</v>
      </c>
      <c r="F202" s="126">
        <f>32*D198*2</f>
        <v>3264</v>
      </c>
      <c r="G202" s="126">
        <v>0</v>
      </c>
      <c r="H202" s="126">
        <f>6*50*10/20</f>
        <v>150</v>
      </c>
      <c r="I202" s="126">
        <f>8*4*240/2</f>
        <v>3840</v>
      </c>
      <c r="J202" s="126">
        <f>12*2*8*D198*2</f>
        <v>19584</v>
      </c>
      <c r="K202" s="124">
        <f>12*2*D198*2</f>
        <v>2448</v>
      </c>
      <c r="L202" s="160"/>
      <c r="M202" s="126">
        <f>12*D198*14*7*2+12*D198*6*1*2</f>
        <v>127296</v>
      </c>
      <c r="N202" s="126">
        <f t="shared" si="137"/>
        <v>46422</v>
      </c>
      <c r="O202" s="162">
        <f t="shared" si="138"/>
        <v>36.467760180995477</v>
      </c>
      <c r="P202" s="92">
        <f>D198*12*(14*7+6*1+2*1)*2</f>
        <v>129744</v>
      </c>
      <c r="Q202" s="92">
        <f>SUM(E202:K202)</f>
        <v>48870</v>
      </c>
      <c r="R202" s="123">
        <f>100*Q202/P202</f>
        <v>37.666481687014425</v>
      </c>
      <c r="S202" s="80">
        <f>(1-R202/100)/(1-O202/100)</f>
        <v>0.98113207547169812</v>
      </c>
      <c r="T202" s="3">
        <f>P202*$E$198/$D$198</f>
        <v>269664</v>
      </c>
      <c r="U202" s="128">
        <f>SUM(E202:G202,K202)*$E$198/$D$198+H202+I202+12*CEILING($E$198*2*$D$197/$E$197,1)*8*2</f>
        <v>76918</v>
      </c>
      <c r="V202" s="123">
        <f>100*U202/T202</f>
        <v>28.523644238756379</v>
      </c>
      <c r="W202" s="80">
        <f>(1-V202/100)/(1-R202/100)*(1-$E$199)/(1-$D$199)</f>
        <v>1.191643791577021</v>
      </c>
      <c r="X202" s="3">
        <f>P202*$F$198/$D$198</f>
        <v>694512</v>
      </c>
      <c r="Y202" s="128">
        <f>SUM(E202:G202,K202)*$F$198/$D$198+H202+I202+12*CEILING($F$198*2*$D$197/$F$197,1)*8*2</f>
        <v>160518</v>
      </c>
      <c r="Z202" s="123">
        <f>100*Y202/X202</f>
        <v>23.112343631211555</v>
      </c>
      <c r="AA202" s="80">
        <f>(1-Z202/100)/(1-R202/100)*(1-$F$199)/(1-$D$199)</f>
        <v>1.3205579048890868</v>
      </c>
    </row>
    <row r="203" spans="1:27" s="104" customFormat="1">
      <c r="A203" s="104">
        <v>1</v>
      </c>
      <c r="B203" s="82" t="s">
        <v>895</v>
      </c>
      <c r="C203" s="82" t="s">
        <v>896</v>
      </c>
      <c r="D203" s="39" t="s">
        <v>607</v>
      </c>
      <c r="E203" s="110">
        <f>2*12*D198*8*2</f>
        <v>19584</v>
      </c>
      <c r="F203" s="110">
        <f>32*D198*2*2</f>
        <v>6528</v>
      </c>
      <c r="G203" s="110">
        <f>4*D198*2*2</f>
        <v>816</v>
      </c>
      <c r="H203" s="39">
        <f>4*3*52*10/20</f>
        <v>312</v>
      </c>
      <c r="I203" s="39">
        <f>4*240*1/2</f>
        <v>480</v>
      </c>
      <c r="J203" s="119">
        <f>12*2*8*D198*2</f>
        <v>19584</v>
      </c>
      <c r="K203" s="121">
        <f>12*2*D198*2</f>
        <v>2448</v>
      </c>
      <c r="M203" s="121">
        <f>D198*(12*14*6+12*10*2+12*1*2)*2</f>
        <v>129744</v>
      </c>
      <c r="N203" s="39">
        <f>SUM(E203:K203)</f>
        <v>49752</v>
      </c>
      <c r="O203" s="118">
        <f>100*N203/M203</f>
        <v>38.346281908990008</v>
      </c>
      <c r="P203" s="121">
        <f>D198*(12*14*6+12*10*2+12*1*2)*2</f>
        <v>129744</v>
      </c>
      <c r="Q203" s="39">
        <f t="shared" ref="Q203" si="139">SUM(E203:K203)</f>
        <v>49752</v>
      </c>
      <c r="R203" s="118">
        <f t="shared" ref="R203" si="140">100*Q203/P203</f>
        <v>38.346281908990008</v>
      </c>
      <c r="S203" s="80">
        <f t="shared" ref="S203" si="141">(1-R203/100)/(1-O203/100)</f>
        <v>1</v>
      </c>
      <c r="T203" s="3">
        <f>P203*$E$198/$D$198</f>
        <v>269664</v>
      </c>
      <c r="U203" s="128">
        <f>SUM(E203:G203,K203)*$E$198/$D$198+H203+I203+12*CEILING($E$198*2*$D$197/$E$197,1)*8*2</f>
        <v>82200</v>
      </c>
      <c r="V203" s="123">
        <f>100*U203/T203</f>
        <v>30.482378070487719</v>
      </c>
      <c r="W203" s="80">
        <f>(1-V203/100)/(1-R203/100)*(1-$E$199)/(1-$D$199)</f>
        <v>1.1717671767176714</v>
      </c>
      <c r="X203" s="3">
        <f>P203*$F$198/$D$198</f>
        <v>694512</v>
      </c>
      <c r="Y203" s="128">
        <f>SUM(E203:G203,K203)*$F$198/$D$198+H203+I203+12*CEILING($F$198*2*$D$197/$F$197,1)*8*2</f>
        <v>179160</v>
      </c>
      <c r="Z203" s="123">
        <f>100*Y203/X203</f>
        <v>25.796530513511645</v>
      </c>
      <c r="AA203" s="80">
        <f>(1-Z203/100)/(1-R203/100)*(1-$F$199)/(1-$D$199)</f>
        <v>1.2885088508850886</v>
      </c>
    </row>
    <row r="211" spans="1:25" ht="13.8">
      <c r="B211" s="106" t="s">
        <v>620</v>
      </c>
      <c r="C211" s="106"/>
      <c r="D211" s="97"/>
      <c r="E211"/>
      <c r="F211"/>
      <c r="G211"/>
      <c r="H211"/>
      <c r="I211"/>
      <c r="J211"/>
      <c r="K211"/>
      <c r="N211"/>
      <c r="O211"/>
      <c r="R211" s="151"/>
    </row>
    <row r="212" spans="1:25" ht="13.8">
      <c r="B212" s="106" t="s">
        <v>634</v>
      </c>
      <c r="C212" s="106"/>
      <c r="D212" s="3" t="s">
        <v>565</v>
      </c>
      <c r="E212" s="3" t="s">
        <v>566</v>
      </c>
      <c r="F212"/>
      <c r="G212"/>
      <c r="H212"/>
      <c r="I212"/>
      <c r="J212"/>
      <c r="K212"/>
      <c r="N212"/>
      <c r="O212"/>
      <c r="R212" s="151"/>
    </row>
    <row r="213" spans="1:25" ht="13.8">
      <c r="B213" s="106" t="s">
        <v>611</v>
      </c>
      <c r="D213" s="3">
        <v>80</v>
      </c>
      <c r="E213" s="3">
        <v>200</v>
      </c>
      <c r="F213"/>
      <c r="G213"/>
      <c r="H213"/>
      <c r="I213"/>
      <c r="J213"/>
      <c r="K213"/>
      <c r="N213"/>
      <c r="O213"/>
      <c r="R213" s="151"/>
    </row>
    <row r="214" spans="1:25" ht="13.8">
      <c r="B214" s="106" t="s">
        <v>569</v>
      </c>
      <c r="C214" s="106"/>
      <c r="D214" s="3">
        <v>105</v>
      </c>
      <c r="E214" s="3">
        <v>264</v>
      </c>
      <c r="F214"/>
      <c r="G214"/>
      <c r="H214"/>
      <c r="I214"/>
      <c r="J214"/>
      <c r="K214"/>
      <c r="N214"/>
      <c r="O214"/>
      <c r="R214" s="151"/>
    </row>
    <row r="215" spans="1:25" ht="13.8">
      <c r="B215" s="106" t="s">
        <v>570</v>
      </c>
      <c r="D215" s="107">
        <v>5.5E-2</v>
      </c>
      <c r="E215" s="107">
        <v>4.9599999999999998E-2</v>
      </c>
      <c r="F215"/>
      <c r="G215"/>
      <c r="H215"/>
      <c r="I215"/>
      <c r="J215"/>
      <c r="K215"/>
      <c r="N215"/>
      <c r="O215"/>
      <c r="R215" s="151"/>
    </row>
    <row r="216" spans="1:25" ht="40.200000000000003">
      <c r="B216" s="98"/>
      <c r="C216" s="98"/>
      <c r="D216" s="99" t="s">
        <v>594</v>
      </c>
      <c r="E216" s="98" t="s">
        <v>503</v>
      </c>
      <c r="F216" s="98" t="s">
        <v>572</v>
      </c>
      <c r="G216" s="98" t="s">
        <v>573</v>
      </c>
      <c r="H216" s="98" t="s">
        <v>509</v>
      </c>
      <c r="I216" s="98" t="s">
        <v>480</v>
      </c>
      <c r="J216" s="98" t="s">
        <v>477</v>
      </c>
      <c r="K216" s="98" t="s">
        <v>534</v>
      </c>
      <c r="L216" s="98" t="s">
        <v>623</v>
      </c>
      <c r="M216" s="98" t="s">
        <v>595</v>
      </c>
      <c r="N216" s="98"/>
      <c r="O216" s="100" t="s">
        <v>574</v>
      </c>
      <c r="P216" s="100" t="s">
        <v>575</v>
      </c>
      <c r="Q216" s="100" t="s">
        <v>576</v>
      </c>
      <c r="R216" s="152" t="s">
        <v>577</v>
      </c>
      <c r="S216" s="116" t="s">
        <v>578</v>
      </c>
      <c r="T216" s="127" t="s">
        <v>579</v>
      </c>
      <c r="U216" s="103" t="s">
        <v>580</v>
      </c>
      <c r="V216" s="116" t="s">
        <v>624</v>
      </c>
      <c r="W216" s="116" t="s">
        <v>625</v>
      </c>
      <c r="X216" s="127" t="s">
        <v>626</v>
      </c>
      <c r="Y216" s="103" t="s">
        <v>584</v>
      </c>
    </row>
    <row r="217" spans="1:25" s="3" customFormat="1">
      <c r="B217" s="92" t="s">
        <v>5</v>
      </c>
      <c r="C217" s="92" t="s">
        <v>638</v>
      </c>
      <c r="D217" s="92" t="s">
        <v>607</v>
      </c>
      <c r="E217" s="3">
        <v>33600</v>
      </c>
      <c r="F217" s="3">
        <f>20*D214*2*4</f>
        <v>16800</v>
      </c>
      <c r="G217" s="3">
        <f>4*D214*2*4</f>
        <v>3360</v>
      </c>
      <c r="H217" s="3">
        <f>4*3*52*10/20</f>
        <v>312</v>
      </c>
      <c r="I217" s="3">
        <f>12*4*240*10/20</f>
        <v>5760</v>
      </c>
      <c r="J217" s="3">
        <f>2*12*D214*8*4</f>
        <v>80640</v>
      </c>
      <c r="K217" s="3">
        <f>INT(D214/4)*INT((14-2-1))*2*6*4+INT(D214/4)*INT((10-2-1))*2*2*4</f>
        <v>16640</v>
      </c>
      <c r="L217" s="3">
        <v>0</v>
      </c>
      <c r="M217" s="92">
        <f>12*D214*1*2*4</f>
        <v>10080</v>
      </c>
      <c r="O217" s="92">
        <f>12*D214*(14*6+10*2+1*2)*4</f>
        <v>534240</v>
      </c>
      <c r="P217" s="3">
        <f>SUM(E217:M217)</f>
        <v>167192</v>
      </c>
      <c r="Q217" s="154">
        <f t="shared" ref="Q217" si="142">100*P217/O217</f>
        <v>31.2952979934112</v>
      </c>
      <c r="R217" s="151">
        <f>12*D214*(14*6+10*2+1*2)*4</f>
        <v>534240</v>
      </c>
      <c r="S217" s="3">
        <f>SUM(E217:M217)</f>
        <v>167192</v>
      </c>
      <c r="T217" s="154">
        <f t="shared" ref="T217:T219" si="143">100*S217/R217</f>
        <v>31.2952979934112</v>
      </c>
      <c r="U217" s="80">
        <f t="shared" ref="U217:U219" si="144">(1-T217/100)/(1-Q217/100)</f>
        <v>1</v>
      </c>
      <c r="V217" s="3">
        <f>R217*$E$214/$D$214</f>
        <v>1343232</v>
      </c>
      <c r="W217" s="128">
        <f>SUM(E217:G217,K217,M217)*$E$214/$D$214+H217+I217+12*CEILING($E$214*2*$D$213/$E$213,1)*8*4</f>
        <v>289829.71428571432</v>
      </c>
      <c r="X217" s="123">
        <f>100*W217/V217</f>
        <v>21.577040621851946</v>
      </c>
      <c r="Y217" s="80">
        <f>(1-X217/100)/(1-T217/100)*(1-$E$215)/(1-$D$215)</f>
        <v>1.1479722387418383</v>
      </c>
    </row>
    <row r="218" spans="1:25">
      <c r="A218">
        <v>6</v>
      </c>
      <c r="B218" s="50" t="s">
        <v>846</v>
      </c>
      <c r="C218" s="92" t="s">
        <v>638</v>
      </c>
      <c r="D218" s="3" t="s">
        <v>367</v>
      </c>
      <c r="E218" s="3">
        <f>12*D214*10*4</f>
        <v>50400</v>
      </c>
      <c r="F218" s="3">
        <f>32*D214*2*4</f>
        <v>26880</v>
      </c>
      <c r="G218" s="3">
        <f>4*D214*2*4</f>
        <v>3360</v>
      </c>
      <c r="H218" s="3">
        <f>4*3*52*10/20</f>
        <v>312</v>
      </c>
      <c r="I218" s="3">
        <f>4*240*8*10/20</f>
        <v>3840</v>
      </c>
      <c r="J218" s="3">
        <f>2*12*D214*8*4</f>
        <v>80640</v>
      </c>
      <c r="K218" s="3">
        <f>INT(D214/4)*INT((14-2-1))*2*6*4+INT(D214/4)*INT((10-2-1))*2*2*4</f>
        <v>16640</v>
      </c>
      <c r="L218" s="3">
        <v>0</v>
      </c>
      <c r="M218" s="3">
        <f>12*D214*1*2*4</f>
        <v>10080</v>
      </c>
      <c r="O218" s="3">
        <f>12*D214*(14*6+10*2+1*2)*4</f>
        <v>534240</v>
      </c>
      <c r="P218" s="92">
        <f>SUM(E218:M218)</f>
        <v>192152</v>
      </c>
      <c r="Q218" s="154">
        <f t="shared" ref="Q218:Q219" si="145">100*P218/O218</f>
        <v>35.96735549565738</v>
      </c>
      <c r="R218" s="3">
        <f>12*D214*(14*6+10*2+1*2)*4</f>
        <v>534240</v>
      </c>
      <c r="S218" s="3">
        <f>SUM(E218:M218)</f>
        <v>192152</v>
      </c>
      <c r="T218" s="153">
        <f t="shared" si="143"/>
        <v>35.96735549565738</v>
      </c>
      <c r="U218" s="80">
        <f t="shared" si="144"/>
        <v>1</v>
      </c>
      <c r="V218" s="3">
        <f>R218*$E$108/100</f>
        <v>1410393.6</v>
      </c>
      <c r="W218" s="128">
        <f>(S218-100*12*2*10*4)*E214/100+12*CEILING($E$214*2*$D$213/$E$213,1)*10*4</f>
        <v>355601.28</v>
      </c>
      <c r="X218" s="123">
        <f t="shared" ref="X218:X219" si="146">100*W218/V218</f>
        <v>25.212910778948512</v>
      </c>
      <c r="Y218" s="80">
        <f>(1-X218/100)/(1-T218/100)*(1-$E$109)/(1-0.1)</f>
        <v>1.2333578728280441</v>
      </c>
    </row>
    <row r="219" spans="1:25">
      <c r="A219">
        <v>7</v>
      </c>
      <c r="B219" s="50" t="s">
        <v>847</v>
      </c>
      <c r="C219" s="92" t="s">
        <v>638</v>
      </c>
      <c r="D219" s="134" t="s">
        <v>607</v>
      </c>
      <c r="E219" s="3">
        <f>12*D214*8*4</f>
        <v>40320</v>
      </c>
      <c r="F219" s="3">
        <f>32*D214*2*4</f>
        <v>26880</v>
      </c>
      <c r="G219" s="3">
        <f>4*D214*2*4</f>
        <v>3360</v>
      </c>
      <c r="H219" s="3">
        <f>4*3*52*10/20</f>
        <v>312</v>
      </c>
      <c r="I219" s="3">
        <f>4*240*8*10/20</f>
        <v>3840</v>
      </c>
      <c r="J219" s="3">
        <f>2*12*D214*8*4</f>
        <v>80640</v>
      </c>
      <c r="K219" s="3">
        <f>INT(D214/4)*INT((14-2-1))*2*6*4+INT(D214/4)*INT((10-2-1))*2*2*4</f>
        <v>16640</v>
      </c>
      <c r="L219" s="3">
        <v>0</v>
      </c>
      <c r="M219" s="3">
        <f>12*D214*1*2*4</f>
        <v>10080</v>
      </c>
      <c r="N219"/>
      <c r="O219" s="92">
        <f>12*D214*(14*6+10*2+1*2)*4</f>
        <v>534240</v>
      </c>
      <c r="P219" s="92">
        <f>SUM(E219:M219)</f>
        <v>182072</v>
      </c>
      <c r="Q219" s="154">
        <f t="shared" si="145"/>
        <v>34.080563042827194</v>
      </c>
      <c r="R219" s="151">
        <f>12*D214*(14*6+10*2+1*2)*4</f>
        <v>534240</v>
      </c>
      <c r="S219" s="3">
        <f>SUM(E219:M219)</f>
        <v>182072</v>
      </c>
      <c r="T219" s="153">
        <f t="shared" si="143"/>
        <v>34.080563042827194</v>
      </c>
      <c r="U219" s="80">
        <f t="shared" si="144"/>
        <v>1</v>
      </c>
      <c r="V219" s="3">
        <f>R219*$E$108/100</f>
        <v>1410393.6</v>
      </c>
      <c r="W219" s="128">
        <f>(S219-100*12*2*8*4)*E214/100+12*CEILING($E$214*2*$D$213/$E$213,1)*8*4</f>
        <v>359326.08</v>
      </c>
      <c r="X219" s="123">
        <f t="shared" si="146"/>
        <v>25.477007269460099</v>
      </c>
      <c r="Y219" s="80">
        <f>(1-X219/100)/(1-T219/100)*(1-$E$109)/(1-0.1)</f>
        <v>1.1938251289157449</v>
      </c>
    </row>
    <row r="230" spans="1:29" ht="39.75" customHeight="1">
      <c r="B230" s="137" t="s">
        <v>639</v>
      </c>
      <c r="C230" s="106"/>
      <c r="D230" s="3" t="s">
        <v>565</v>
      </c>
      <c r="E230" s="3" t="s">
        <v>566</v>
      </c>
      <c r="F230" s="3" t="s">
        <v>567</v>
      </c>
      <c r="G230"/>
      <c r="H230"/>
      <c r="I230"/>
      <c r="J230"/>
      <c r="K230"/>
      <c r="N230"/>
      <c r="O230"/>
      <c r="R230" s="151"/>
    </row>
    <row r="231" spans="1:29">
      <c r="B231" s="133"/>
      <c r="D231" s="3">
        <v>80</v>
      </c>
      <c r="E231" s="3">
        <v>200</v>
      </c>
      <c r="F231" s="3">
        <v>400</v>
      </c>
      <c r="G231"/>
      <c r="H231"/>
      <c r="I231"/>
      <c r="J231"/>
      <c r="K231"/>
      <c r="N231"/>
      <c r="O231"/>
      <c r="R231" s="151"/>
    </row>
    <row r="232" spans="1:29" ht="13.8">
      <c r="B232" s="106" t="s">
        <v>569</v>
      </c>
      <c r="C232" s="106"/>
      <c r="D232" s="3">
        <v>53</v>
      </c>
      <c r="E232" s="3">
        <v>132</v>
      </c>
      <c r="F232" s="3">
        <v>264</v>
      </c>
      <c r="G232"/>
      <c r="H232"/>
      <c r="I232"/>
      <c r="J232"/>
      <c r="K232"/>
      <c r="N232"/>
      <c r="O232"/>
      <c r="R232" s="151"/>
    </row>
    <row r="233" spans="1:29" ht="13.8">
      <c r="B233" s="106" t="s">
        <v>570</v>
      </c>
      <c r="D233" s="138">
        <v>5.5E-2</v>
      </c>
      <c r="E233" s="107">
        <v>4.9599999999999998E-2</v>
      </c>
      <c r="F233" s="107">
        <v>4.9599999999999998E-2</v>
      </c>
      <c r="G233"/>
      <c r="H233"/>
      <c r="I233"/>
      <c r="J233"/>
      <c r="K233"/>
      <c r="N233"/>
      <c r="O233"/>
      <c r="R233" s="151"/>
    </row>
    <row r="234" spans="1:29" ht="53.4">
      <c r="B234" s="98"/>
      <c r="C234" s="98"/>
      <c r="D234" s="98" t="s">
        <v>594</v>
      </c>
      <c r="E234" s="98" t="s">
        <v>503</v>
      </c>
      <c r="F234" s="98" t="s">
        <v>572</v>
      </c>
      <c r="G234" s="98" t="s">
        <v>573</v>
      </c>
      <c r="H234" s="98" t="s">
        <v>509</v>
      </c>
      <c r="I234" s="98" t="s">
        <v>480</v>
      </c>
      <c r="J234" s="98" t="s">
        <v>477</v>
      </c>
      <c r="K234" s="98" t="s">
        <v>534</v>
      </c>
      <c r="L234" s="100" t="s">
        <v>623</v>
      </c>
      <c r="M234" s="98" t="s">
        <v>595</v>
      </c>
      <c r="N234" s="99"/>
      <c r="O234" s="100" t="s">
        <v>574</v>
      </c>
      <c r="P234" s="100" t="s">
        <v>575</v>
      </c>
      <c r="Q234" s="100" t="s">
        <v>576</v>
      </c>
      <c r="R234" s="152" t="s">
        <v>577</v>
      </c>
      <c r="S234" s="116" t="s">
        <v>578</v>
      </c>
      <c r="T234" s="127" t="s">
        <v>579</v>
      </c>
      <c r="U234" s="103" t="s">
        <v>580</v>
      </c>
      <c r="V234" s="116" t="s">
        <v>624</v>
      </c>
      <c r="W234" s="116" t="s">
        <v>625</v>
      </c>
      <c r="X234" s="127" t="s">
        <v>626</v>
      </c>
      <c r="Y234" s="103" t="s">
        <v>584</v>
      </c>
      <c r="Z234" s="116" t="s">
        <v>627</v>
      </c>
      <c r="AA234" s="116" t="s">
        <v>628</v>
      </c>
      <c r="AB234" s="127" t="s">
        <v>629</v>
      </c>
      <c r="AC234" s="103" t="s">
        <v>588</v>
      </c>
    </row>
    <row r="235" spans="1:29" s="104" customFormat="1">
      <c r="A235" s="104">
        <v>1</v>
      </c>
      <c r="B235" s="82" t="s">
        <v>93</v>
      </c>
      <c r="C235" s="92" t="s">
        <v>590</v>
      </c>
      <c r="D235" s="134" t="s">
        <v>607</v>
      </c>
      <c r="E235" s="92">
        <f>12*D232*8*8</f>
        <v>40704</v>
      </c>
      <c r="F235" s="92">
        <f>20*D232*2*8</f>
        <v>16960</v>
      </c>
      <c r="G235" s="92">
        <f>2*D232*2*8</f>
        <v>1696</v>
      </c>
      <c r="H235" s="92">
        <f>4*3*52*10/20</f>
        <v>312</v>
      </c>
      <c r="I235" s="92">
        <f>4*240*10/20</f>
        <v>480</v>
      </c>
      <c r="J235" s="92">
        <f>2*12*D232*8*8</f>
        <v>81408</v>
      </c>
      <c r="K235" s="92">
        <f>INT(D232/4)*INT((14-2-1))*2*6*4+INT(D232/4)*INT((10-2-1))*2*2*4</f>
        <v>8320</v>
      </c>
      <c r="L235" s="92">
        <v>0</v>
      </c>
      <c r="M235" s="92">
        <f>12*D232*1*2*8</f>
        <v>10176</v>
      </c>
      <c r="O235" s="92">
        <f>12*D232*(14*6+10*2+1*2)*8</f>
        <v>539328</v>
      </c>
      <c r="P235" s="92">
        <f>SUM(E235:M235)</f>
        <v>160056</v>
      </c>
      <c r="Q235" s="154">
        <f t="shared" ref="Q235:Q236" si="147">100*P235/O235</f>
        <v>29.67693129227483</v>
      </c>
      <c r="R235" s="145">
        <f>12*D232*(14*6+10*2+1*2)*8</f>
        <v>539328</v>
      </c>
      <c r="S235" s="92">
        <f>SUM(E235:M235)</f>
        <v>160056</v>
      </c>
      <c r="T235" s="154">
        <f t="shared" ref="T235:T236" si="148">100*S235/R235</f>
        <v>29.67693129227483</v>
      </c>
      <c r="U235" s="80">
        <f t="shared" ref="U235:U236" si="149">(1-T235/100)/(1-Q235/100)</f>
        <v>1</v>
      </c>
      <c r="V235" s="3">
        <f>R235*$E$232/$D$232</f>
        <v>1343232</v>
      </c>
      <c r="W235" s="128">
        <f>SUM(E235:G235,K235,M235)*$E$232/$D$232+H235+I235+12*CEILING($E$232*2*$D$231/$E$231,1)*8*8</f>
        <v>276105.50943396229</v>
      </c>
      <c r="X235" s="123">
        <f t="shared" ref="X235" si="150">100*W235/V235</f>
        <v>20.555310581787978</v>
      </c>
      <c r="Y235" s="80">
        <f>(1-X235/100)/(1-T235/100)*(1-$E$233)/(1-$D$233)</f>
        <v>1.1361657069332827</v>
      </c>
      <c r="Z235" s="3">
        <f>R235*$F$232/$D$232</f>
        <v>2686464</v>
      </c>
      <c r="AA235" s="128">
        <f>SUM(E235:G235,K235,M235)*$F$232/$D$232+H235+I235+12*CEILING($F$232*2*$D$231/$F$231,1)*8*8</f>
        <v>470011.01886792452</v>
      </c>
      <c r="AB235" s="123">
        <f>100*AA235/Z235</f>
        <v>17.495526419409472</v>
      </c>
      <c r="AC235" s="80">
        <f>(1-AB235/100)/(1-T235/100)*(1-$F$233)/(1-$D$233)</f>
        <v>1.1799247279750982</v>
      </c>
    </row>
    <row r="236" spans="1:29">
      <c r="A236">
        <v>2</v>
      </c>
      <c r="B236" s="50" t="s">
        <v>845</v>
      </c>
      <c r="C236" s="460" t="s">
        <v>848</v>
      </c>
      <c r="D236" s="134" t="s">
        <v>607</v>
      </c>
      <c r="E236" s="3">
        <f>12*D232*8*8</f>
        <v>40704</v>
      </c>
      <c r="F236" s="3">
        <f>32*D232*2*8</f>
        <v>27136</v>
      </c>
      <c r="G236" s="3">
        <f>4*D232*2*8</f>
        <v>3392</v>
      </c>
      <c r="H236" s="3">
        <f>4*3*52*10/20</f>
        <v>312</v>
      </c>
      <c r="I236" s="3">
        <f>4*240*8*10/20</f>
        <v>3840</v>
      </c>
      <c r="J236" s="3">
        <f>2*12*D232*8*8</f>
        <v>81408</v>
      </c>
      <c r="K236" s="3">
        <f>INT(D232/4)*INT((14-2-1))*2*6*8+INT(D232/4)*INT((10-2-1))*2*2*8</f>
        <v>16640</v>
      </c>
      <c r="L236" s="3">
        <v>0</v>
      </c>
      <c r="M236" s="3">
        <f>12*D232*1*2*8</f>
        <v>10176</v>
      </c>
      <c r="O236" s="92">
        <f>12*D232*(14*6+10*2+1*2)*8</f>
        <v>539328</v>
      </c>
      <c r="P236" s="92">
        <f>SUM(E236:M236)</f>
        <v>183608</v>
      </c>
      <c r="Q236" s="154">
        <f t="shared" si="147"/>
        <v>34.043847157944704</v>
      </c>
      <c r="R236" s="80">
        <f>12*D232*(14*6+10*2+1*2)*8</f>
        <v>539328</v>
      </c>
      <c r="S236" s="92">
        <f>SUM(E236:M236)</f>
        <v>183608</v>
      </c>
      <c r="T236" s="154">
        <f t="shared" si="148"/>
        <v>34.043847157944704</v>
      </c>
      <c r="U236" s="80">
        <f t="shared" si="149"/>
        <v>1</v>
      </c>
      <c r="V236" s="3">
        <f>R236*$E$232/$D$232</f>
        <v>1343232</v>
      </c>
      <c r="W236" s="128">
        <f>SUM(E236:G236,K236,M236)*$E$232/$D$232+H236+I236+12*CEILING($E$232*2*$D$231/$E$231,1)*8*8</f>
        <v>329755.01886792452</v>
      </c>
      <c r="X236" s="123">
        <f t="shared" ref="X236" si="151">100*W236/V236</f>
        <v>24.549371878270062</v>
      </c>
      <c r="Y236" s="80">
        <f>(1-X236/100)/(1-T236/100)*(1-$E$233)/(1-$D$233)</f>
        <v>1.1504881849287563</v>
      </c>
      <c r="Z236" s="3">
        <f>R236*$F$232/$D$232</f>
        <v>2686464</v>
      </c>
      <c r="AA236" s="128">
        <f>SUM(E236:G236,K236,M236)*$F$232/$D$232+H236+I236+12*CEILING($F$232*2*$D$231/$F$231,1)*8*8</f>
        <v>573950.03773584904</v>
      </c>
      <c r="AB236" s="123">
        <f>100*AA236/Z236</f>
        <v>21.364516246480466</v>
      </c>
      <c r="AC236" s="80">
        <f>(1-AB236/100)/(1-T236/100)*(1-$F$233)/(1-$D$233)</f>
        <v>1.1990515815006992</v>
      </c>
    </row>
    <row r="253" spans="2:20" ht="13.8">
      <c r="B253" s="161" t="s">
        <v>650</v>
      </c>
      <c r="C253" s="161"/>
      <c r="T253" s="3"/>
    </row>
    <row r="254" spans="2:20" ht="13.8">
      <c r="B254" s="161" t="s">
        <v>564</v>
      </c>
      <c r="C254" s="161"/>
      <c r="D254" s="3" t="s">
        <v>565</v>
      </c>
      <c r="T254" s="3"/>
    </row>
    <row r="255" spans="2:20" ht="13.8">
      <c r="B255" s="161" t="s">
        <v>568</v>
      </c>
      <c r="D255" s="3">
        <v>10</v>
      </c>
      <c r="T255" s="3"/>
    </row>
    <row r="256" spans="2:20" ht="13.8">
      <c r="B256" s="161" t="s">
        <v>569</v>
      </c>
      <c r="C256" s="161"/>
      <c r="D256" s="3">
        <v>50</v>
      </c>
      <c r="T256" s="3"/>
    </row>
    <row r="257" spans="2:20" ht="13.8">
      <c r="B257" s="161" t="s">
        <v>570</v>
      </c>
      <c r="D257" s="107">
        <v>0.1</v>
      </c>
      <c r="E257" s="107"/>
      <c r="F257" s="107"/>
      <c r="T257" s="3"/>
    </row>
    <row r="258" spans="2:20" ht="64.5" customHeight="1">
      <c r="B258" s="98"/>
      <c r="C258" s="98" t="s">
        <v>571</v>
      </c>
      <c r="D258" s="98"/>
      <c r="E258" s="98" t="s">
        <v>503</v>
      </c>
      <c r="F258" s="98" t="s">
        <v>572</v>
      </c>
      <c r="G258" s="98" t="s">
        <v>573</v>
      </c>
      <c r="H258" s="98" t="s">
        <v>651</v>
      </c>
      <c r="I258" s="98" t="s">
        <v>652</v>
      </c>
      <c r="J258" s="98" t="s">
        <v>477</v>
      </c>
      <c r="K258" s="98" t="s">
        <v>653</v>
      </c>
      <c r="L258" s="98"/>
      <c r="M258" s="100" t="s">
        <v>574</v>
      </c>
      <c r="N258" s="100" t="s">
        <v>575</v>
      </c>
      <c r="O258" s="100" t="s">
        <v>576</v>
      </c>
      <c r="P258" s="101" t="s">
        <v>577</v>
      </c>
      <c r="Q258" s="101" t="s">
        <v>578</v>
      </c>
      <c r="R258" s="102" t="s">
        <v>579</v>
      </c>
      <c r="S258" s="103" t="s">
        <v>580</v>
      </c>
    </row>
    <row r="259" spans="2:20" ht="13.8">
      <c r="B259" s="161" t="s">
        <v>16</v>
      </c>
      <c r="C259" t="s">
        <v>589</v>
      </c>
      <c r="E259" s="3">
        <f>12*D256*10</f>
        <v>6000</v>
      </c>
      <c r="F259" s="122">
        <f>32*D256</f>
        <v>1600</v>
      </c>
      <c r="G259" s="122">
        <v>0</v>
      </c>
      <c r="H259" s="122">
        <v>288</v>
      </c>
      <c r="I259" s="122">
        <v>240</v>
      </c>
      <c r="J259" s="122">
        <f>12*D256*2*10</f>
        <v>12000</v>
      </c>
      <c r="K259" s="122">
        <f>16*D256*(10-6)</f>
        <v>3200</v>
      </c>
      <c r="M259" s="92">
        <f>12*D256*14*10</f>
        <v>84000</v>
      </c>
      <c r="N259" s="92">
        <f>SUM(E259:K259)</f>
        <v>23328</v>
      </c>
      <c r="O259" s="123">
        <f t="shared" ref="O259" si="152">100*N259/M259</f>
        <v>27.771428571428572</v>
      </c>
      <c r="P259" s="92">
        <f>M259</f>
        <v>84000</v>
      </c>
      <c r="Q259" s="92">
        <f>SUM(D259:K259)</f>
        <v>23328</v>
      </c>
      <c r="R259" s="123">
        <f t="shared" ref="R259" si="153">100*Q259/P259</f>
        <v>27.771428571428572</v>
      </c>
      <c r="S259" s="80">
        <f t="shared" ref="S259" si="154">(1-R259/100)/(1-O259/100)</f>
        <v>1</v>
      </c>
      <c r="T259" s="3"/>
    </row>
    <row r="260" spans="2:20">
      <c r="T260" s="3"/>
    </row>
    <row r="261" spans="2:20">
      <c r="T261" s="3"/>
    </row>
    <row r="262" spans="2:20">
      <c r="T262" s="3"/>
    </row>
    <row r="263" spans="2:20">
      <c r="T263" s="3"/>
    </row>
    <row r="264" spans="2:20">
      <c r="T264" s="3"/>
    </row>
    <row r="265" spans="2:20">
      <c r="T265" s="3"/>
    </row>
    <row r="266" spans="2:20">
      <c r="T266" s="3"/>
    </row>
    <row r="267" spans="2:20">
      <c r="T267" s="3"/>
    </row>
    <row r="268" spans="2:20" ht="13.8">
      <c r="B268" s="161" t="s">
        <v>654</v>
      </c>
      <c r="C268" s="161"/>
      <c r="S268" s="164"/>
      <c r="T268" s="3"/>
    </row>
    <row r="269" spans="2:20" ht="13.8">
      <c r="B269" s="161" t="s">
        <v>592</v>
      </c>
      <c r="C269" s="161"/>
      <c r="D269" s="3" t="s">
        <v>565</v>
      </c>
      <c r="S269" s="164"/>
      <c r="T269" s="3"/>
    </row>
    <row r="270" spans="2:20" ht="13.8">
      <c r="B270" s="161" t="s">
        <v>568</v>
      </c>
      <c r="D270" s="3">
        <v>20</v>
      </c>
      <c r="S270" s="164"/>
      <c r="T270" s="3"/>
    </row>
    <row r="271" spans="2:20" ht="13.8">
      <c r="B271" s="161" t="s">
        <v>593</v>
      </c>
      <c r="C271" s="161"/>
      <c r="D271" s="3">
        <v>100</v>
      </c>
      <c r="S271" s="164"/>
      <c r="T271" s="3"/>
    </row>
    <row r="272" spans="2:20" ht="13.8">
      <c r="B272" s="161" t="s">
        <v>570</v>
      </c>
      <c r="D272" s="107">
        <v>0.1</v>
      </c>
      <c r="E272" s="107"/>
      <c r="S272" s="164"/>
      <c r="T272" s="3"/>
    </row>
    <row r="273" spans="1:26" ht="58.5" customHeight="1">
      <c r="B273" s="98"/>
      <c r="C273" s="98" t="s">
        <v>571</v>
      </c>
      <c r="D273" s="98" t="s">
        <v>594</v>
      </c>
      <c r="E273" s="98" t="s">
        <v>503</v>
      </c>
      <c r="F273" s="98" t="s">
        <v>572</v>
      </c>
      <c r="G273" s="98" t="s">
        <v>573</v>
      </c>
      <c r="H273" s="98" t="s">
        <v>651</v>
      </c>
      <c r="I273" s="98" t="s">
        <v>652</v>
      </c>
      <c r="J273" s="98" t="s">
        <v>477</v>
      </c>
      <c r="K273" s="98" t="s">
        <v>653</v>
      </c>
      <c r="L273" s="98" t="s">
        <v>595</v>
      </c>
      <c r="N273" s="100" t="s">
        <v>574</v>
      </c>
      <c r="O273" s="100" t="s">
        <v>575</v>
      </c>
      <c r="P273" s="100" t="s">
        <v>576</v>
      </c>
      <c r="Q273" s="101" t="s">
        <v>577</v>
      </c>
      <c r="R273" s="101" t="s">
        <v>578</v>
      </c>
      <c r="S273" s="102" t="s">
        <v>579</v>
      </c>
      <c r="T273" s="103" t="s">
        <v>580</v>
      </c>
      <c r="X273" s="3"/>
      <c r="Y273" s="128"/>
      <c r="Z273" s="123"/>
    </row>
    <row r="274" spans="1:26" ht="13.8">
      <c r="A274">
        <v>1</v>
      </c>
      <c r="B274" s="163" t="s">
        <v>5</v>
      </c>
      <c r="C274" s="28" t="s">
        <v>655</v>
      </c>
      <c r="D274" s="29" t="s">
        <v>656</v>
      </c>
      <c r="E274" s="3">
        <f>12*D271*8</f>
        <v>9600</v>
      </c>
      <c r="F274" s="122">
        <f>40*D271*2</f>
        <v>8000</v>
      </c>
      <c r="G274" s="122">
        <f>4*D271*2</f>
        <v>800</v>
      </c>
      <c r="H274" s="122">
        <v>288</v>
      </c>
      <c r="I274" s="122">
        <v>240</v>
      </c>
      <c r="J274" s="122">
        <f>12*D271*2*8</f>
        <v>19200</v>
      </c>
      <c r="K274" s="122">
        <f>12*D271*(8-4)-4*D271*2</f>
        <v>4000</v>
      </c>
      <c r="L274" s="122">
        <f>12*D271*2</f>
        <v>2400</v>
      </c>
      <c r="M274" s="122"/>
      <c r="N274" s="92">
        <f>12*D271*14*6+12*D271*10*2+12*D271*2</f>
        <v>127200</v>
      </c>
      <c r="O274" s="92">
        <f>SUM(E274:L274)</f>
        <v>44528</v>
      </c>
      <c r="P274" s="123">
        <f t="shared" ref="P274" si="155">100*O274/N274</f>
        <v>35.0062893081761</v>
      </c>
      <c r="Q274" s="92">
        <f>N274</f>
        <v>127200</v>
      </c>
      <c r="R274" s="92">
        <f>SUM(E274:L274)</f>
        <v>44528</v>
      </c>
      <c r="S274" s="123">
        <f t="shared" ref="S274" si="156">100*R274/Q274</f>
        <v>35.0062893081761</v>
      </c>
      <c r="T274" s="80">
        <f t="shared" ref="T274" si="157">(1-S274/100)/(1-P274/100)</f>
        <v>1</v>
      </c>
    </row>
    <row r="275" spans="1:26" ht="13.8">
      <c r="A275">
        <v>2</v>
      </c>
      <c r="B275" s="163" t="s">
        <v>16</v>
      </c>
      <c r="C275" s="28" t="s">
        <v>657</v>
      </c>
      <c r="D275" s="29" t="s">
        <v>658</v>
      </c>
      <c r="E275" s="3">
        <f>12*D271*6</f>
        <v>7200</v>
      </c>
      <c r="F275" s="122">
        <f>32*D271</f>
        <v>3200</v>
      </c>
      <c r="G275" s="122">
        <v>0</v>
      </c>
      <c r="H275" s="122">
        <v>288</v>
      </c>
      <c r="I275" s="122">
        <v>240</v>
      </c>
      <c r="J275" s="122">
        <f>12*D271*2*6</f>
        <v>14400</v>
      </c>
      <c r="K275" s="122">
        <f>16*D271*(6)-4*D271*2</f>
        <v>8800</v>
      </c>
      <c r="L275" s="122">
        <f>12*D271*1</f>
        <v>1200</v>
      </c>
      <c r="M275" s="122"/>
      <c r="N275" s="92">
        <f>12*D271*14*4+12*D271*11*2+12*D271*1</f>
        <v>94800</v>
      </c>
      <c r="O275" s="92">
        <f>SUM(E275:L275)</f>
        <v>35328</v>
      </c>
      <c r="P275" s="123">
        <f t="shared" ref="P275:P276" si="158">100*O275/N275</f>
        <v>37.265822784810126</v>
      </c>
      <c r="Q275" s="92">
        <f>N275</f>
        <v>94800</v>
      </c>
      <c r="R275" s="92">
        <f>SUM(E275:L275)</f>
        <v>35328</v>
      </c>
      <c r="S275" s="123">
        <f t="shared" ref="S275:S276" si="159">100*R275/Q275</f>
        <v>37.265822784810126</v>
      </c>
      <c r="T275" s="80">
        <f t="shared" ref="T275:T276" si="160">(1-S275/100)/(1-P275/100)</f>
        <v>1</v>
      </c>
    </row>
    <row r="276" spans="1:26" ht="13.8">
      <c r="A276">
        <v>3</v>
      </c>
      <c r="B276" s="84" t="s">
        <v>850</v>
      </c>
      <c r="C276" s="28" t="s">
        <v>873</v>
      </c>
      <c r="D276" s="460" t="s">
        <v>874</v>
      </c>
      <c r="E276" s="3">
        <f>12*D271*6</f>
        <v>7200</v>
      </c>
      <c r="F276" s="3">
        <f>32*D271</f>
        <v>3200</v>
      </c>
      <c r="G276" s="3">
        <v>0</v>
      </c>
      <c r="H276" s="122">
        <v>288</v>
      </c>
      <c r="I276" s="122">
        <v>240</v>
      </c>
      <c r="J276" s="122">
        <f>12*D271*2*6</f>
        <v>14400</v>
      </c>
      <c r="K276" s="3">
        <f>16*D271*(6)-8*D271*2</f>
        <v>8000</v>
      </c>
      <c r="L276" s="3">
        <f>12*D271*2</f>
        <v>2400</v>
      </c>
      <c r="N276" s="3">
        <f>12*D271*14*4+12*D271*6*2</f>
        <v>81600</v>
      </c>
      <c r="O276" s="92">
        <f>SUM(E276:K276)</f>
        <v>33328</v>
      </c>
      <c r="P276" s="123">
        <f t="shared" si="158"/>
        <v>40.843137254901961</v>
      </c>
      <c r="Q276" s="3">
        <f>12*D271*14*4+12*D271*6*2+12*D271*2</f>
        <v>84000</v>
      </c>
      <c r="R276" s="92">
        <f>SUM(E276:L276)</f>
        <v>35728</v>
      </c>
      <c r="S276" s="123">
        <f t="shared" si="159"/>
        <v>42.533333333333331</v>
      </c>
      <c r="T276" s="80">
        <f t="shared" si="160"/>
        <v>0.97142857142857142</v>
      </c>
    </row>
  </sheetData>
  <mergeCells count="1">
    <mergeCell ref="B1:K1"/>
  </mergeCells>
  <phoneticPr fontId="21" type="noConversion"/>
  <pageMargins left="0.69930555555555596" right="0.69930555555555596"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V245"/>
  <sheetViews>
    <sheetView zoomScale="85" zoomScaleNormal="85" workbookViewId="0">
      <selection activeCell="B15" sqref="B15"/>
    </sheetView>
  </sheetViews>
  <sheetFormatPr defaultColWidth="8.88671875" defaultRowHeight="13.2"/>
  <cols>
    <col min="1" max="1" width="10.44140625" style="28" customWidth="1"/>
    <col min="2" max="2" width="47.109375" style="29" customWidth="1"/>
    <col min="3" max="3" width="25.5546875" style="30" customWidth="1"/>
    <col min="4" max="4" width="10.109375" style="29" customWidth="1"/>
    <col min="5" max="6" width="8.88671875" style="29"/>
    <col min="7" max="7" width="10.44140625" style="28" customWidth="1"/>
    <col min="8" max="8" width="11.109375" style="28" customWidth="1"/>
    <col min="9" max="9" width="10.109375" style="28" customWidth="1"/>
    <col min="10" max="11" width="8.88671875" style="28"/>
    <col min="12" max="12" width="11.109375" style="29" customWidth="1"/>
    <col min="13" max="13" width="11" style="29" customWidth="1"/>
    <col min="14" max="14" width="11.88671875" style="29" customWidth="1"/>
    <col min="15" max="17" width="8.88671875" style="28"/>
    <col min="18" max="18" width="15.109375" style="28" customWidth="1"/>
    <col min="19" max="16384" width="8.88671875" style="28"/>
  </cols>
  <sheetData>
    <row r="1" spans="1:18">
      <c r="B1" s="581" t="s">
        <v>659</v>
      </c>
      <c r="C1" s="581"/>
      <c r="D1" s="581"/>
      <c r="E1" s="581"/>
      <c r="F1" s="581"/>
      <c r="G1" s="581"/>
      <c r="H1" s="581"/>
      <c r="I1" s="581"/>
      <c r="J1" s="581"/>
      <c r="K1" s="581"/>
    </row>
    <row r="2" spans="1:18" ht="13.8">
      <c r="B2" s="31" t="s">
        <v>563</v>
      </c>
    </row>
    <row r="3" spans="1:18" ht="13.8">
      <c r="B3" s="31" t="s">
        <v>660</v>
      </c>
    </row>
    <row r="5" spans="1:18" ht="13.8">
      <c r="B5" s="31" t="s">
        <v>569</v>
      </c>
      <c r="C5" s="30">
        <v>52</v>
      </c>
    </row>
    <row r="7" spans="1:18" ht="48" customHeight="1">
      <c r="B7" s="32"/>
      <c r="C7" s="33"/>
      <c r="D7" s="32" t="s">
        <v>503</v>
      </c>
      <c r="E7" s="32" t="s">
        <v>553</v>
      </c>
      <c r="F7" s="32" t="s">
        <v>540</v>
      </c>
      <c r="G7" s="32"/>
      <c r="H7" s="32"/>
      <c r="I7" s="32"/>
      <c r="J7" s="32"/>
      <c r="K7" s="32"/>
      <c r="L7" s="53" t="s">
        <v>574</v>
      </c>
      <c r="M7" s="53" t="s">
        <v>575</v>
      </c>
      <c r="N7" s="53" t="s">
        <v>576</v>
      </c>
      <c r="O7" s="54" t="s">
        <v>577</v>
      </c>
      <c r="P7" s="54" t="s">
        <v>578</v>
      </c>
      <c r="Q7" s="62" t="s">
        <v>579</v>
      </c>
      <c r="R7" s="63" t="s">
        <v>580</v>
      </c>
    </row>
    <row r="8" spans="1:18" ht="13.8">
      <c r="A8" s="28">
        <v>1</v>
      </c>
      <c r="B8" s="34" t="s">
        <v>8</v>
      </c>
      <c r="C8" s="35"/>
      <c r="D8" s="34">
        <f>24*C5*10</f>
        <v>12480</v>
      </c>
      <c r="E8" s="34">
        <f>12*C5</f>
        <v>624</v>
      </c>
      <c r="F8" s="34">
        <f>8*12*2*5</f>
        <v>960</v>
      </c>
      <c r="G8" s="34"/>
      <c r="H8" s="34"/>
      <c r="I8" s="34"/>
      <c r="J8" s="34"/>
      <c r="K8" s="34"/>
      <c r="L8" s="34">
        <f>C5*12*10*14</f>
        <v>87360</v>
      </c>
      <c r="M8" s="34">
        <f>SUM(D8:H8)</f>
        <v>14064</v>
      </c>
      <c r="N8" s="55">
        <f t="shared" ref="N8:N15" si="0">100*M8/L8</f>
        <v>16.098901098901099</v>
      </c>
      <c r="O8" s="26">
        <f>L8</f>
        <v>87360</v>
      </c>
      <c r="P8" s="26">
        <f>M8-(F8-F10)</f>
        <v>13824</v>
      </c>
      <c r="Q8" s="64">
        <f t="shared" ref="Q8:Q9" si="1">100*P8/O8</f>
        <v>15.824175824175825</v>
      </c>
      <c r="R8" s="65">
        <f>(1-Q8/100)/(1-N8/100)</f>
        <v>1.0032743942370661</v>
      </c>
    </row>
    <row r="9" spans="1:18" ht="13.8">
      <c r="A9" s="28">
        <v>2</v>
      </c>
      <c r="B9" s="36" t="s">
        <v>12</v>
      </c>
      <c r="C9" s="37"/>
      <c r="D9" s="36">
        <f>24*C5*10</f>
        <v>12480</v>
      </c>
      <c r="E9" s="36">
        <f>12*C5</f>
        <v>624</v>
      </c>
      <c r="F9" s="36">
        <f>2*12*14*10</f>
        <v>3360</v>
      </c>
      <c r="G9" s="36"/>
      <c r="H9" s="36"/>
      <c r="I9" s="36"/>
      <c r="J9" s="36"/>
      <c r="K9" s="36"/>
      <c r="L9" s="36">
        <f>C5*12*10*14</f>
        <v>87360</v>
      </c>
      <c r="M9" s="36">
        <f>SUM(D9:H9)</f>
        <v>16464</v>
      </c>
      <c r="N9" s="56">
        <f t="shared" si="0"/>
        <v>18.846153846153847</v>
      </c>
      <c r="O9" s="26">
        <f>L9</f>
        <v>87360</v>
      </c>
      <c r="P9" s="26">
        <f>D9+E9+12*3*14*2+12*1*2*8</f>
        <v>14304</v>
      </c>
      <c r="Q9" s="64">
        <f t="shared" si="1"/>
        <v>16.373626373626372</v>
      </c>
      <c r="R9" s="65">
        <f t="shared" ref="R9:R15" si="2">(1-Q9/100)/(1-N9/100)</f>
        <v>1.0304671631685849</v>
      </c>
    </row>
    <row r="10" spans="1:18">
      <c r="A10" s="28">
        <v>3</v>
      </c>
      <c r="B10" s="36" t="s">
        <v>16</v>
      </c>
      <c r="C10" s="37"/>
      <c r="D10" s="36">
        <f>24*(C5-3)*1+24*C5*9</f>
        <v>12408</v>
      </c>
      <c r="E10" s="36">
        <f>2*12*C5</f>
        <v>1248</v>
      </c>
      <c r="F10" s="36">
        <f>12*14*3*1+12*2*1*9</f>
        <v>720</v>
      </c>
      <c r="G10" s="36"/>
      <c r="H10" s="36"/>
      <c r="I10" s="36"/>
      <c r="J10" s="36"/>
      <c r="K10" s="36"/>
      <c r="L10" s="36">
        <f>12*C5*14*10</f>
        <v>87360</v>
      </c>
      <c r="M10" s="36">
        <f>SUM(D10:F10)</f>
        <v>14376</v>
      </c>
      <c r="N10" s="57">
        <f t="shared" si="0"/>
        <v>16.456043956043956</v>
      </c>
      <c r="O10" s="38">
        <v>87360</v>
      </c>
      <c r="P10" s="38">
        <v>14376</v>
      </c>
      <c r="Q10" s="59">
        <v>16.456043956043999</v>
      </c>
      <c r="R10" s="65">
        <f t="shared" si="2"/>
        <v>0.99999999999999944</v>
      </c>
    </row>
    <row r="11" spans="1:18" s="26" customFormat="1" ht="13.8">
      <c r="A11" s="28">
        <v>4</v>
      </c>
      <c r="B11" s="36" t="s">
        <v>5</v>
      </c>
      <c r="C11" s="37"/>
      <c r="D11" s="36">
        <f>8*(C5-2)*10</f>
        <v>4000</v>
      </c>
      <c r="E11" s="36">
        <f>2*12*C5</f>
        <v>1248</v>
      </c>
      <c r="F11" s="36">
        <f>2*12*(14*8+12*2)</f>
        <v>3264</v>
      </c>
      <c r="G11" s="38"/>
      <c r="H11" s="38"/>
      <c r="I11" s="38"/>
      <c r="J11" s="38"/>
      <c r="K11" s="38"/>
      <c r="L11" s="36">
        <f>12*C5*14*10</f>
        <v>87360</v>
      </c>
      <c r="M11" s="36">
        <f>SUM(D11:F11)</f>
        <v>8512</v>
      </c>
      <c r="N11" s="57">
        <f t="shared" si="0"/>
        <v>9.7435897435897427</v>
      </c>
      <c r="O11" s="26">
        <f t="shared" ref="O11:O16" si="3">L11</f>
        <v>87360</v>
      </c>
      <c r="P11" s="26">
        <f>D11+E11+12*3*14*2+12*1*2*8</f>
        <v>6448</v>
      </c>
      <c r="Q11" s="64">
        <f t="shared" ref="Q11:Q15" si="4">100*P11/O11</f>
        <v>7.3809523809523814</v>
      </c>
      <c r="R11" s="65">
        <f t="shared" si="2"/>
        <v>1.026176948051948</v>
      </c>
    </row>
    <row r="12" spans="1:18" ht="13.8">
      <c r="A12" s="28">
        <v>5</v>
      </c>
      <c r="B12" s="36" t="s">
        <v>24</v>
      </c>
      <c r="C12" s="37"/>
      <c r="D12" s="36">
        <f>2*12*C5*10</f>
        <v>12480</v>
      </c>
      <c r="E12" s="36">
        <f>2*12*C5</f>
        <v>1248</v>
      </c>
      <c r="F12" s="36">
        <f>2*12*14*10</f>
        <v>3360</v>
      </c>
      <c r="G12" s="38"/>
      <c r="H12" s="38"/>
      <c r="I12" s="38"/>
      <c r="J12" s="38"/>
      <c r="K12" s="38"/>
      <c r="L12" s="36">
        <f>12*C5*14*10</f>
        <v>87360</v>
      </c>
      <c r="M12" s="36">
        <f>SUM(D12:H12)</f>
        <v>17088</v>
      </c>
      <c r="N12" s="58">
        <f t="shared" si="0"/>
        <v>19.560439560439562</v>
      </c>
      <c r="O12" s="26">
        <f t="shared" si="3"/>
        <v>87360</v>
      </c>
      <c r="P12" s="26">
        <f>D12+E12+12*3*14*2+12*1*2*8</f>
        <v>14928</v>
      </c>
      <c r="Q12" s="64">
        <f t="shared" si="4"/>
        <v>17.087912087912088</v>
      </c>
      <c r="R12" s="65">
        <f t="shared" si="2"/>
        <v>1.0307377049180326</v>
      </c>
    </row>
    <row r="13" spans="1:18" ht="13.8">
      <c r="A13" s="28">
        <v>6</v>
      </c>
      <c r="B13" s="36" t="s">
        <v>26</v>
      </c>
      <c r="C13" s="37"/>
      <c r="D13" s="39">
        <f>2*12*C5*10</f>
        <v>12480</v>
      </c>
      <c r="E13" s="39">
        <f>2*12*C5*2</f>
        <v>2496</v>
      </c>
      <c r="F13" s="39">
        <f>2*12*(14*8+12*2)</f>
        <v>3264</v>
      </c>
      <c r="G13" s="26"/>
      <c r="H13" s="26"/>
      <c r="I13" s="26"/>
      <c r="J13" s="26"/>
      <c r="K13" s="26"/>
      <c r="L13" s="39">
        <f>12*C5*14*10</f>
        <v>87360</v>
      </c>
      <c r="M13" s="39">
        <f>SUM(D13:F13)</f>
        <v>18240</v>
      </c>
      <c r="N13" s="59">
        <f t="shared" si="0"/>
        <v>20.87912087912088</v>
      </c>
      <c r="O13" s="26">
        <f t="shared" si="3"/>
        <v>87360</v>
      </c>
      <c r="P13" s="26">
        <f>D13+E13+12*3*14*2+12*1*2*8</f>
        <v>16176</v>
      </c>
      <c r="Q13" s="64">
        <f t="shared" si="4"/>
        <v>18.516483516483518</v>
      </c>
      <c r="R13" s="65">
        <f t="shared" si="2"/>
        <v>1.0298611111111111</v>
      </c>
    </row>
    <row r="14" spans="1:18" ht="13.8">
      <c r="A14" s="28">
        <v>7</v>
      </c>
      <c r="B14" s="36" t="s">
        <v>21</v>
      </c>
      <c r="C14" s="37"/>
      <c r="D14" s="36">
        <v>6240</v>
      </c>
      <c r="E14" s="36">
        <v>2496</v>
      </c>
      <c r="F14" s="36">
        <v>3360</v>
      </c>
      <c r="G14" s="38"/>
      <c r="H14" s="38"/>
      <c r="I14" s="38"/>
      <c r="J14" s="38"/>
      <c r="K14" s="38"/>
      <c r="L14" s="36">
        <v>87360</v>
      </c>
      <c r="M14" s="36">
        <f>SUM(D14:H14)</f>
        <v>12096</v>
      </c>
      <c r="N14" s="58">
        <f t="shared" si="0"/>
        <v>13.846153846153847</v>
      </c>
      <c r="O14" s="26">
        <f t="shared" si="3"/>
        <v>87360</v>
      </c>
      <c r="P14" s="26">
        <f>D14+E14+12*3*14*2+12*1*2*8</f>
        <v>9936</v>
      </c>
      <c r="Q14" s="64">
        <f t="shared" si="4"/>
        <v>11.373626373626374</v>
      </c>
      <c r="R14" s="65">
        <f t="shared" si="2"/>
        <v>1.0286989795918366</v>
      </c>
    </row>
    <row r="15" spans="1:18" ht="13.8">
      <c r="A15" s="28">
        <v>8</v>
      </c>
      <c r="B15" s="36" t="s">
        <v>39</v>
      </c>
      <c r="C15" s="37"/>
      <c r="D15" s="36">
        <f>2*12*$C$5*10</f>
        <v>12480</v>
      </c>
      <c r="E15" s="36"/>
      <c r="F15" s="36">
        <v>0</v>
      </c>
      <c r="G15" s="38"/>
      <c r="H15" s="38"/>
      <c r="I15" s="38"/>
      <c r="J15" s="38"/>
      <c r="K15" s="38"/>
      <c r="L15" s="36">
        <f>14*12*$C$5*10</f>
        <v>87360</v>
      </c>
      <c r="M15" s="36">
        <f>SUM(D15:H15)</f>
        <v>12480</v>
      </c>
      <c r="N15" s="58">
        <f t="shared" si="0"/>
        <v>14.285714285714286</v>
      </c>
      <c r="O15" s="26">
        <f t="shared" si="3"/>
        <v>87360</v>
      </c>
      <c r="P15" s="26">
        <f>D15+E15+12*3*14*1+12*1*2*9</f>
        <v>13200</v>
      </c>
      <c r="Q15" s="64">
        <f t="shared" si="4"/>
        <v>15.109890109890109</v>
      </c>
      <c r="R15" s="65">
        <f t="shared" si="2"/>
        <v>0.99038461538461542</v>
      </c>
    </row>
    <row r="16" spans="1:18" ht="13.8">
      <c r="A16" s="28">
        <v>9</v>
      </c>
      <c r="B16" s="40" t="s">
        <v>93</v>
      </c>
      <c r="C16" s="41"/>
      <c r="D16" s="42">
        <v>6240</v>
      </c>
      <c r="E16" s="42">
        <v>2496</v>
      </c>
      <c r="F16" s="42">
        <v>3264</v>
      </c>
      <c r="G16" s="43"/>
      <c r="H16" s="43"/>
      <c r="I16" s="43"/>
      <c r="J16" s="43"/>
      <c r="K16" s="43"/>
      <c r="L16" s="36">
        <f>14*12*$C$5*10</f>
        <v>87360</v>
      </c>
      <c r="M16" s="36">
        <f>SUM(D16:H16)</f>
        <v>12000</v>
      </c>
      <c r="N16" s="58">
        <f t="shared" ref="N16" si="5">100*M16/L16</f>
        <v>13.736263736263735</v>
      </c>
      <c r="O16" s="26">
        <f t="shared" si="3"/>
        <v>87360</v>
      </c>
      <c r="P16" s="26">
        <f>D16+E16+12*3*14*1+12*1*2*9</f>
        <v>9456</v>
      </c>
      <c r="Q16" s="64">
        <f t="shared" ref="Q16" si="6">100*P16/O16</f>
        <v>10.824175824175825</v>
      </c>
      <c r="R16" s="65">
        <f t="shared" ref="R16" si="7">(1-Q16/100)/(1-N16/100)</f>
        <v>1.0337579617834394</v>
      </c>
    </row>
    <row r="20" spans="1:18" ht="13.8">
      <c r="B20" s="31" t="s">
        <v>591</v>
      </c>
    </row>
    <row r="21" spans="1:18" ht="13.8">
      <c r="B21" s="31" t="s">
        <v>592</v>
      </c>
    </row>
    <row r="23" spans="1:18" ht="13.8">
      <c r="B23" s="31" t="s">
        <v>569</v>
      </c>
      <c r="C23" s="30">
        <v>106</v>
      </c>
    </row>
    <row r="25" spans="1:18" ht="41.4">
      <c r="B25" s="32"/>
      <c r="C25" s="33" t="s">
        <v>594</v>
      </c>
      <c r="D25" s="32" t="s">
        <v>503</v>
      </c>
      <c r="E25" s="32" t="s">
        <v>553</v>
      </c>
      <c r="F25" s="32" t="s">
        <v>540</v>
      </c>
      <c r="G25" s="32" t="s">
        <v>595</v>
      </c>
      <c r="H25" s="32"/>
      <c r="I25" s="32"/>
      <c r="J25" s="32"/>
      <c r="K25" s="32"/>
      <c r="L25" s="53" t="s">
        <v>574</v>
      </c>
      <c r="M25" s="53" t="s">
        <v>575</v>
      </c>
      <c r="N25" s="53" t="s">
        <v>576</v>
      </c>
      <c r="O25" s="54" t="s">
        <v>577</v>
      </c>
      <c r="P25" s="54" t="s">
        <v>578</v>
      </c>
      <c r="Q25" s="62" t="s">
        <v>579</v>
      </c>
      <c r="R25" s="63" t="s">
        <v>580</v>
      </c>
    </row>
    <row r="26" spans="1:18" ht="13.8">
      <c r="A26" s="28">
        <v>1</v>
      </c>
      <c r="B26" s="44" t="s">
        <v>8</v>
      </c>
      <c r="C26" s="45" t="s">
        <v>600</v>
      </c>
      <c r="D26" s="34">
        <f>24*C23*6</f>
        <v>15264</v>
      </c>
      <c r="E26" s="34">
        <f>12*C23</f>
        <v>1272</v>
      </c>
      <c r="F26" s="34">
        <f>8*12*2*3</f>
        <v>576</v>
      </c>
      <c r="G26" s="39">
        <f>2*12*C23</f>
        <v>2544</v>
      </c>
      <c r="H26" s="34"/>
      <c r="I26" s="34"/>
      <c r="J26" s="34"/>
      <c r="K26" s="34"/>
      <c r="L26" s="34">
        <f>C23*(12*14*4+12*6*2)</f>
        <v>86496</v>
      </c>
      <c r="M26" s="34">
        <f>SUM(D26:F26)</f>
        <v>17112</v>
      </c>
      <c r="N26" s="55">
        <f>100*M26/L26</f>
        <v>19.783573806881243</v>
      </c>
      <c r="O26" s="26">
        <f>L26+G26</f>
        <v>89040</v>
      </c>
      <c r="P26" s="26">
        <f>D26+E26+12*14*3*1+12*2*1*3+G26</f>
        <v>19656</v>
      </c>
      <c r="Q26" s="66">
        <f>100*P26/O26</f>
        <v>22.075471698113208</v>
      </c>
      <c r="R26" s="65">
        <f>(1-Q26/100)/(1-N26/100)</f>
        <v>0.97142857142857142</v>
      </c>
    </row>
    <row r="27" spans="1:18">
      <c r="A27" s="28">
        <v>2</v>
      </c>
      <c r="B27" s="39" t="s">
        <v>16</v>
      </c>
      <c r="C27" s="46" t="s">
        <v>602</v>
      </c>
      <c r="D27" s="39">
        <f>24*(C23-3)*1+24*C23*3</f>
        <v>10104</v>
      </c>
      <c r="E27" s="39">
        <f>2*12*C23</f>
        <v>2544</v>
      </c>
      <c r="F27" s="39">
        <f>12*14*3*1+12*2*1*3</f>
        <v>576</v>
      </c>
      <c r="G27" s="39">
        <f>12*C23</f>
        <v>1272</v>
      </c>
      <c r="H27" s="39"/>
      <c r="I27" s="39"/>
      <c r="J27" s="39"/>
      <c r="K27" s="39"/>
      <c r="L27" s="39">
        <v>77592</v>
      </c>
      <c r="M27" s="39">
        <v>14496</v>
      </c>
      <c r="N27" s="59">
        <v>18.682338385400602</v>
      </c>
      <c r="O27" s="26">
        <f>12*14*C23*4+12*2*C23*2+12*C23</f>
        <v>77592</v>
      </c>
      <c r="P27" s="26">
        <f>SUM(D27:G27)</f>
        <v>14496</v>
      </c>
      <c r="Q27" s="66">
        <f>100*P27/O27</f>
        <v>18.682338385400556</v>
      </c>
      <c r="R27" s="65">
        <f t="shared" ref="R27:R28" si="8">(1-Q27/100)/(1-N27/100)</f>
        <v>1.0000000000000004</v>
      </c>
    </row>
    <row r="28" spans="1:18">
      <c r="A28" s="28">
        <v>3</v>
      </c>
      <c r="B28" s="39" t="s">
        <v>5</v>
      </c>
      <c r="C28" s="39" t="s">
        <v>607</v>
      </c>
      <c r="D28" s="39">
        <f>8*(C23-4)*2</f>
        <v>1632</v>
      </c>
      <c r="E28" s="39">
        <f>2*12*C23*2</f>
        <v>5088</v>
      </c>
      <c r="F28" s="39">
        <f>4*12*14*2</f>
        <v>1344</v>
      </c>
      <c r="G28" s="39">
        <f>12*C23*2</f>
        <v>2544</v>
      </c>
      <c r="H28" s="26"/>
      <c r="I28" s="26"/>
      <c r="J28" s="26"/>
      <c r="K28" s="26"/>
      <c r="L28" s="39">
        <f>C23*12*(14+2)*2</f>
        <v>40704</v>
      </c>
      <c r="M28" s="39">
        <f>SUM(D28:F28)</f>
        <v>8064</v>
      </c>
      <c r="N28" s="59">
        <f>100*M28/L28</f>
        <v>19.811320754716981</v>
      </c>
      <c r="O28" s="26">
        <f>L28+G28</f>
        <v>43248</v>
      </c>
      <c r="P28" s="26">
        <f>SUM(D28,E28,G28)+12*14*3*2</f>
        <v>10272</v>
      </c>
      <c r="Q28" s="66">
        <f>100*P28/O28</f>
        <v>23.751387347391788</v>
      </c>
      <c r="R28" s="65">
        <f t="shared" si="8"/>
        <v>0.95086505190311421</v>
      </c>
    </row>
    <row r="30" spans="1:18" ht="13.8">
      <c r="B30" s="31" t="s">
        <v>591</v>
      </c>
    </row>
    <row r="31" spans="1:18" ht="13.8">
      <c r="B31" s="31" t="s">
        <v>610</v>
      </c>
    </row>
    <row r="33" spans="1:18" ht="13.8">
      <c r="B33" s="31" t="s">
        <v>569</v>
      </c>
      <c r="C33" s="30">
        <v>51</v>
      </c>
    </row>
    <row r="35" spans="1:18" ht="41.4">
      <c r="B35" s="32"/>
      <c r="C35" s="33" t="s">
        <v>594</v>
      </c>
      <c r="D35" s="32" t="s">
        <v>503</v>
      </c>
      <c r="E35" s="32" t="s">
        <v>553</v>
      </c>
      <c r="F35" s="32" t="s">
        <v>540</v>
      </c>
      <c r="G35" s="32" t="s">
        <v>595</v>
      </c>
      <c r="H35" s="32"/>
      <c r="I35" s="32"/>
      <c r="J35" s="32"/>
      <c r="K35" s="32"/>
      <c r="L35" s="53" t="s">
        <v>574</v>
      </c>
      <c r="M35" s="53" t="s">
        <v>575</v>
      </c>
      <c r="N35" s="53" t="s">
        <v>576</v>
      </c>
      <c r="O35" s="54" t="s">
        <v>577</v>
      </c>
      <c r="P35" s="54" t="s">
        <v>578</v>
      </c>
      <c r="Q35" s="62" t="s">
        <v>579</v>
      </c>
      <c r="R35" s="63" t="s">
        <v>580</v>
      </c>
    </row>
    <row r="36" spans="1:18" ht="13.8">
      <c r="A36" s="28">
        <v>1</v>
      </c>
      <c r="B36" s="47" t="s">
        <v>33</v>
      </c>
      <c r="C36" s="48" t="s">
        <v>600</v>
      </c>
      <c r="D36" s="49">
        <f>4*2*(C33-4)*6*2</f>
        <v>4512</v>
      </c>
      <c r="E36" s="49">
        <f>12*2*(C33-4)*2</f>
        <v>2256</v>
      </c>
      <c r="F36" s="49">
        <f>(4*12*14*4)*2+(4*12*6*2)*2</f>
        <v>6528</v>
      </c>
      <c r="G36" s="39">
        <f>12*C33*2*2</f>
        <v>2448</v>
      </c>
      <c r="H36" s="49"/>
      <c r="I36" s="49"/>
      <c r="J36" s="49"/>
      <c r="K36" s="49"/>
      <c r="L36" s="49">
        <f>C33*2*(12*14*4+12*6*2)</f>
        <v>83232</v>
      </c>
      <c r="M36" s="60">
        <f>SUM(D36:F36)</f>
        <v>13296</v>
      </c>
      <c r="N36" s="61">
        <f t="shared" ref="N36:N38" si="9">100*M36/L36</f>
        <v>15.974625144175317</v>
      </c>
      <c r="O36" s="26">
        <f>L36+G36</f>
        <v>85680</v>
      </c>
      <c r="P36" s="26">
        <f>SUM(D36,E36,G36)+(12*14*3*1+12*2*1*3)*2</f>
        <v>10368</v>
      </c>
      <c r="Q36" s="67">
        <f>100*P36/O36</f>
        <v>12.100840336134453</v>
      </c>
      <c r="R36" s="65">
        <f>(1-Q36/100)/(1-N36/100)</f>
        <v>1.0461025590744191</v>
      </c>
    </row>
    <row r="37" spans="1:18">
      <c r="A37" s="28">
        <v>2</v>
      </c>
      <c r="B37" s="39" t="s">
        <v>16</v>
      </c>
      <c r="C37" s="46" t="s">
        <v>602</v>
      </c>
      <c r="D37" s="39">
        <f>(24*(C33-3)*1+24*C33*3)*2</f>
        <v>9648</v>
      </c>
      <c r="E37" s="39">
        <f>2*12*C33*2</f>
        <v>2448</v>
      </c>
      <c r="F37" s="39">
        <f>(12*14*3*1+12*2*1*3)*2</f>
        <v>1152</v>
      </c>
      <c r="G37" s="39">
        <f>12*C33*2</f>
        <v>1224</v>
      </c>
      <c r="H37" s="39"/>
      <c r="I37" s="39"/>
      <c r="J37" s="39"/>
      <c r="K37" s="39"/>
      <c r="L37" s="39">
        <f>12*14*C33*4*2+12*2*C33*2*2</f>
        <v>73440</v>
      </c>
      <c r="M37" s="39">
        <f>SUM(D37:F37)</f>
        <v>13248</v>
      </c>
      <c r="N37" s="59">
        <f t="shared" si="9"/>
        <v>18.03921568627451</v>
      </c>
      <c r="O37" s="26">
        <f>12*14*C33*4*2+12*2*C33*2*2+12*C33*2</f>
        <v>74664</v>
      </c>
      <c r="P37" s="26">
        <f>SUM(D37:G37)</f>
        <v>14472</v>
      </c>
      <c r="Q37" s="59">
        <f>100*P37/O37</f>
        <v>19.382835101253615</v>
      </c>
      <c r="R37" s="65">
        <f t="shared" ref="R37:R39" si="10">(1-Q37/100)/(1-N37/100)</f>
        <v>0.98360655737704927</v>
      </c>
    </row>
    <row r="38" spans="1:18">
      <c r="A38" s="28">
        <v>4</v>
      </c>
      <c r="B38" s="39" t="s">
        <v>5</v>
      </c>
      <c r="C38" s="39" t="s">
        <v>607</v>
      </c>
      <c r="D38" s="39">
        <f>8*(C33-2)*2*2</f>
        <v>1568</v>
      </c>
      <c r="E38" s="39">
        <f>2*12*C33*2*2</f>
        <v>4896</v>
      </c>
      <c r="F38" s="39">
        <f>2*12*14*4</f>
        <v>1344</v>
      </c>
      <c r="G38" s="39">
        <f>12*C33*4</f>
        <v>2448</v>
      </c>
      <c r="H38" s="26"/>
      <c r="I38" s="26"/>
      <c r="J38" s="26"/>
      <c r="K38" s="26"/>
      <c r="L38" s="39">
        <f>C33*12*(14+2)*4</f>
        <v>39168</v>
      </c>
      <c r="M38" s="39">
        <f>SUM(D38:F38)</f>
        <v>7808</v>
      </c>
      <c r="N38" s="59">
        <f t="shared" si="9"/>
        <v>19.934640522875817</v>
      </c>
      <c r="O38" s="26">
        <f>L38+G38</f>
        <v>41616</v>
      </c>
      <c r="P38" s="26">
        <f>SUM(D38,E38,G38)+(12*14*3*2)*2</f>
        <v>10928</v>
      </c>
      <c r="Q38" s="67">
        <f>100*P38/O38</f>
        <v>26.259131103421762</v>
      </c>
      <c r="R38" s="65">
        <f t="shared" si="10"/>
        <v>0.92100840336134449</v>
      </c>
    </row>
    <row r="39" spans="1:18">
      <c r="A39" s="28">
        <v>5</v>
      </c>
      <c r="B39" s="39" t="s">
        <v>33</v>
      </c>
      <c r="C39" s="49" t="s">
        <v>604</v>
      </c>
      <c r="D39" s="49">
        <f>4*2*(C33-4)*4*2</f>
        <v>3008</v>
      </c>
      <c r="E39" s="49">
        <f>12*(C33-4)*2*2</f>
        <v>2256</v>
      </c>
      <c r="F39" s="49">
        <f>(4*12*14*2)*2+(4*12*2*2)*2</f>
        <v>3072</v>
      </c>
      <c r="G39" s="39">
        <f>12*C33*2*2</f>
        <v>2448</v>
      </c>
      <c r="H39" s="49"/>
      <c r="I39" s="49"/>
      <c r="J39" s="49"/>
      <c r="K39" s="49"/>
      <c r="L39" s="49">
        <f>C33*2*(12*14*2+12*2*2)</f>
        <v>39168</v>
      </c>
      <c r="M39" s="49">
        <f>SUM(D39:F39)</f>
        <v>8336</v>
      </c>
      <c r="N39" s="49">
        <f t="shared" ref="N39:N40" si="11">100*M39/L39</f>
        <v>21.282679738562091</v>
      </c>
      <c r="O39" s="26">
        <f>L39+G39</f>
        <v>41616</v>
      </c>
      <c r="P39" s="26">
        <f>SUM(D39,E39,G39)+(12*14*3*1+12*2)*2</f>
        <v>8768</v>
      </c>
      <c r="Q39" s="67">
        <f>100*P39/O39</f>
        <v>21.068819684736638</v>
      </c>
      <c r="R39" s="65">
        <f t="shared" si="10"/>
        <v>1.0027168106474558</v>
      </c>
    </row>
    <row r="40" spans="1:18">
      <c r="A40" s="28">
        <v>6</v>
      </c>
      <c r="B40" s="50" t="s">
        <v>93</v>
      </c>
      <c r="C40" s="49" t="s">
        <v>604</v>
      </c>
      <c r="D40" s="29">
        <v>1568</v>
      </c>
      <c r="E40" s="29">
        <v>4896</v>
      </c>
      <c r="F40" s="29">
        <v>1344</v>
      </c>
      <c r="G40" s="29">
        <v>2448</v>
      </c>
      <c r="L40" s="39">
        <f>C33*12*(14+2)*4</f>
        <v>39168</v>
      </c>
      <c r="M40" s="39">
        <f>SUM(D40:F40)</f>
        <v>7808</v>
      </c>
      <c r="N40" s="59">
        <f t="shared" si="11"/>
        <v>19.934640522875817</v>
      </c>
      <c r="O40" s="26">
        <f>L40+G40</f>
        <v>41616</v>
      </c>
      <c r="P40" s="26">
        <f>SUM(D40,E40,G40)+(12*14*3*2)*2</f>
        <v>10928</v>
      </c>
      <c r="Q40" s="67">
        <f>100*P40/O40</f>
        <v>26.259131103421762</v>
      </c>
      <c r="R40" s="65">
        <f t="shared" ref="R40" si="12">(1-Q40/100)/(1-N40/100)</f>
        <v>0.92100840336134449</v>
      </c>
    </row>
    <row r="44" spans="1:18" ht="13.8">
      <c r="B44" s="51" t="s">
        <v>620</v>
      </c>
      <c r="D44" s="28"/>
      <c r="E44" s="28"/>
      <c r="F44" s="28"/>
      <c r="L44" s="28"/>
      <c r="M44" s="28"/>
      <c r="N44" s="28"/>
    </row>
    <row r="45" spans="1:18" ht="13.8">
      <c r="B45" s="51" t="s">
        <v>621</v>
      </c>
      <c r="D45" s="28"/>
      <c r="E45" s="28"/>
      <c r="F45" s="28"/>
      <c r="L45" s="28"/>
      <c r="M45" s="28"/>
      <c r="N45" s="28"/>
    </row>
    <row r="46" spans="1:18">
      <c r="B46" s="28"/>
      <c r="D46" s="28"/>
      <c r="E46" s="28"/>
      <c r="F46" s="28"/>
      <c r="L46" s="28"/>
      <c r="M46" s="28"/>
      <c r="N46" s="28"/>
    </row>
    <row r="47" spans="1:18" ht="13.8">
      <c r="B47" s="51" t="s">
        <v>569</v>
      </c>
      <c r="C47" s="30">
        <v>66</v>
      </c>
      <c r="D47" s="28"/>
      <c r="E47" s="28"/>
      <c r="F47" s="28"/>
      <c r="L47" s="28"/>
      <c r="M47" s="28"/>
      <c r="N47" s="28"/>
    </row>
    <row r="48" spans="1:18">
      <c r="B48" s="28"/>
      <c r="D48" s="28"/>
      <c r="E48" s="28"/>
      <c r="F48" s="28"/>
      <c r="L48" s="28"/>
      <c r="M48" s="28"/>
      <c r="N48" s="28"/>
    </row>
    <row r="49" spans="1:18" ht="41.4">
      <c r="B49" s="32"/>
      <c r="C49" s="33" t="s">
        <v>594</v>
      </c>
      <c r="D49" s="32" t="s">
        <v>503</v>
      </c>
      <c r="E49" s="32" t="s">
        <v>553</v>
      </c>
      <c r="F49" s="32" t="s">
        <v>540</v>
      </c>
      <c r="G49" s="32" t="s">
        <v>534</v>
      </c>
      <c r="H49" s="32" t="s">
        <v>595</v>
      </c>
      <c r="I49" s="32"/>
      <c r="J49" s="32"/>
      <c r="K49" s="32"/>
      <c r="L49" s="53" t="s">
        <v>574</v>
      </c>
      <c r="M49" s="53" t="s">
        <v>575</v>
      </c>
      <c r="N49" s="53" t="s">
        <v>576</v>
      </c>
      <c r="O49" s="54" t="s">
        <v>577</v>
      </c>
      <c r="P49" s="54" t="s">
        <v>578</v>
      </c>
      <c r="Q49" s="62" t="s">
        <v>579</v>
      </c>
      <c r="R49" s="63" t="s">
        <v>580</v>
      </c>
    </row>
    <row r="50" spans="1:18" ht="13.8">
      <c r="A50" s="28">
        <v>1</v>
      </c>
      <c r="B50" s="34" t="s">
        <v>8</v>
      </c>
      <c r="C50" s="45" t="s">
        <v>600</v>
      </c>
      <c r="D50" s="34">
        <f>12*C47*6*8</f>
        <v>38016</v>
      </c>
      <c r="E50" s="34">
        <f>12*C47*24</f>
        <v>19008</v>
      </c>
      <c r="F50" s="34">
        <f>8*12*2*24</f>
        <v>4608</v>
      </c>
      <c r="G50" s="34">
        <f>12*C47*6*8</f>
        <v>38016</v>
      </c>
      <c r="H50" s="39">
        <f>12*1*C47*2*8</f>
        <v>12672</v>
      </c>
      <c r="I50" s="34"/>
      <c r="J50" s="34"/>
      <c r="K50" s="34"/>
      <c r="L50" s="34">
        <f>C47*8*(12*14*4+12*6*2)</f>
        <v>430848</v>
      </c>
      <c r="M50" s="34">
        <f>SUM(D50:G50)</f>
        <v>99648</v>
      </c>
      <c r="N50" s="55">
        <f>100*M50/L50</f>
        <v>23.128342245989305</v>
      </c>
      <c r="O50" s="26">
        <f>L50+H50</f>
        <v>443520</v>
      </c>
      <c r="P50" s="26">
        <f>D50+E50+(12*14*3*1+12*2*1*3)*8+G50+H50</f>
        <v>112320</v>
      </c>
      <c r="Q50" s="67">
        <f>100*P50/O50</f>
        <v>25.324675324675326</v>
      </c>
      <c r="R50" s="65">
        <f>(1-Q50/100)/(1-N50/100)</f>
        <v>0.97142857142857142</v>
      </c>
    </row>
    <row r="51" spans="1:18">
      <c r="A51" s="28">
        <v>2</v>
      </c>
      <c r="D51" s="28"/>
      <c r="E51" s="28"/>
      <c r="F51" s="28"/>
      <c r="L51" s="28"/>
      <c r="M51" s="28"/>
      <c r="N51" s="28"/>
    </row>
    <row r="52" spans="1:18">
      <c r="B52" s="28"/>
      <c r="D52" s="28"/>
      <c r="E52" s="28"/>
      <c r="F52" s="28"/>
      <c r="L52" s="28"/>
      <c r="M52" s="28"/>
      <c r="N52" s="28"/>
    </row>
    <row r="53" spans="1:18">
      <c r="B53" s="28"/>
      <c r="D53" s="28"/>
      <c r="E53" s="28"/>
      <c r="F53" s="28"/>
      <c r="L53" s="28"/>
      <c r="M53" s="28"/>
      <c r="N53" s="28"/>
    </row>
    <row r="54" spans="1:18">
      <c r="B54" s="28"/>
      <c r="D54" s="28"/>
      <c r="E54" s="28"/>
      <c r="F54" s="28"/>
      <c r="L54" s="28"/>
      <c r="M54" s="28"/>
      <c r="N54" s="28"/>
    </row>
    <row r="55" spans="1:18">
      <c r="B55" s="28"/>
      <c r="D55" s="28"/>
      <c r="E55" s="28"/>
      <c r="F55" s="28"/>
      <c r="L55" s="28"/>
      <c r="M55" s="28"/>
      <c r="N55" s="28"/>
    </row>
    <row r="56" spans="1:18">
      <c r="B56" s="28"/>
      <c r="D56" s="28"/>
      <c r="E56" s="28"/>
      <c r="F56" s="28"/>
      <c r="L56" s="28"/>
      <c r="M56" s="28"/>
      <c r="N56" s="28"/>
    </row>
    <row r="57" spans="1:18" ht="13.8">
      <c r="B57" s="51" t="s">
        <v>620</v>
      </c>
      <c r="D57" s="28" t="s">
        <v>661</v>
      </c>
      <c r="E57" s="28"/>
      <c r="F57" s="28"/>
      <c r="L57" s="28"/>
      <c r="M57" s="28"/>
      <c r="N57" s="28"/>
    </row>
    <row r="58" spans="1:18" ht="13.8">
      <c r="B58" s="51" t="s">
        <v>631</v>
      </c>
      <c r="D58" s="28"/>
      <c r="E58" s="28"/>
      <c r="F58" s="28"/>
      <c r="L58" s="28"/>
      <c r="M58" s="28"/>
      <c r="N58" s="28"/>
    </row>
    <row r="59" spans="1:18">
      <c r="B59" s="28"/>
      <c r="D59" s="28"/>
      <c r="E59" s="28"/>
      <c r="F59" s="28"/>
      <c r="L59" s="28"/>
      <c r="M59" s="28"/>
      <c r="N59" s="28"/>
    </row>
    <row r="60" spans="1:18" ht="13.8">
      <c r="B60" s="51" t="s">
        <v>569</v>
      </c>
      <c r="C60" s="30">
        <v>53</v>
      </c>
      <c r="D60" s="28"/>
      <c r="E60" s="28"/>
      <c r="F60" s="28"/>
      <c r="L60" s="28"/>
      <c r="M60" s="28"/>
      <c r="N60" s="28"/>
    </row>
    <row r="61" spans="1:18">
      <c r="B61" s="28"/>
      <c r="D61" s="28"/>
      <c r="E61" s="28"/>
      <c r="F61" s="28"/>
      <c r="L61" s="28"/>
      <c r="M61" s="28"/>
      <c r="N61" s="28"/>
    </row>
    <row r="62" spans="1:18" ht="41.4">
      <c r="B62" s="32"/>
      <c r="C62" s="33" t="s">
        <v>594</v>
      </c>
      <c r="D62" s="32" t="s">
        <v>503</v>
      </c>
      <c r="E62" s="32" t="s">
        <v>553</v>
      </c>
      <c r="F62" s="32" t="s">
        <v>540</v>
      </c>
      <c r="G62" s="32" t="s">
        <v>534</v>
      </c>
      <c r="H62" s="32" t="s">
        <v>595</v>
      </c>
      <c r="I62" s="32"/>
      <c r="J62" s="32"/>
      <c r="K62" s="32"/>
      <c r="L62" s="53" t="s">
        <v>574</v>
      </c>
      <c r="M62" s="53" t="s">
        <v>575</v>
      </c>
      <c r="N62" s="53" t="s">
        <v>576</v>
      </c>
      <c r="O62" s="54" t="s">
        <v>577</v>
      </c>
      <c r="P62" s="54" t="s">
        <v>578</v>
      </c>
      <c r="Q62" s="62" t="s">
        <v>579</v>
      </c>
      <c r="R62" s="63" t="s">
        <v>580</v>
      </c>
    </row>
    <row r="63" spans="1:18" ht="13.8">
      <c r="A63" s="28">
        <v>1</v>
      </c>
      <c r="B63" s="52"/>
      <c r="D63" s="28"/>
      <c r="E63" s="28"/>
      <c r="F63" s="28"/>
      <c r="L63" s="28"/>
      <c r="M63" s="28"/>
      <c r="N63" s="28"/>
    </row>
    <row r="64" spans="1:18">
      <c r="A64" s="28">
        <v>2</v>
      </c>
      <c r="D64" s="28"/>
      <c r="E64" s="28"/>
      <c r="F64" s="28"/>
      <c r="L64" s="28"/>
      <c r="M64" s="28"/>
      <c r="N64" s="28"/>
    </row>
    <row r="65" spans="1:18">
      <c r="B65" s="28"/>
      <c r="D65" s="28"/>
      <c r="E65" s="28"/>
      <c r="F65" s="28"/>
      <c r="L65" s="28"/>
      <c r="M65" s="28"/>
      <c r="N65" s="28"/>
    </row>
    <row r="66" spans="1:18" ht="13.8">
      <c r="B66" s="51" t="s">
        <v>620</v>
      </c>
      <c r="D66" s="28"/>
      <c r="E66" s="28"/>
      <c r="F66" s="28"/>
      <c r="L66" s="28"/>
      <c r="M66" s="28"/>
      <c r="N66" s="28"/>
    </row>
    <row r="67" spans="1:18" ht="13.8">
      <c r="B67" s="51" t="s">
        <v>633</v>
      </c>
      <c r="D67" s="28"/>
      <c r="E67" s="28"/>
      <c r="F67" s="28"/>
      <c r="L67" s="28"/>
      <c r="M67" s="28"/>
      <c r="N67" s="28"/>
    </row>
    <row r="68" spans="1:18">
      <c r="B68" s="28"/>
      <c r="D68" s="28"/>
      <c r="E68" s="28"/>
      <c r="F68" s="28"/>
      <c r="L68" s="28"/>
      <c r="M68" s="28"/>
      <c r="N68" s="28"/>
    </row>
    <row r="69" spans="1:18" ht="13.8">
      <c r="B69" s="51" t="s">
        <v>569</v>
      </c>
      <c r="C69" s="30">
        <v>132</v>
      </c>
      <c r="D69" s="28"/>
      <c r="E69" s="28"/>
      <c r="F69" s="28"/>
      <c r="L69" s="28"/>
      <c r="M69" s="28"/>
      <c r="N69" s="28"/>
    </row>
    <row r="70" spans="1:18">
      <c r="B70" s="28"/>
      <c r="D70" s="28"/>
      <c r="E70" s="28"/>
      <c r="F70" s="28"/>
      <c r="L70" s="28"/>
      <c r="M70" s="28"/>
      <c r="N70" s="28"/>
    </row>
    <row r="71" spans="1:18" ht="41.4">
      <c r="B71" s="32"/>
      <c r="C71" s="33" t="s">
        <v>594</v>
      </c>
      <c r="D71" s="32" t="s">
        <v>503</v>
      </c>
      <c r="E71" s="32" t="s">
        <v>553</v>
      </c>
      <c r="F71" s="32" t="s">
        <v>540</v>
      </c>
      <c r="G71" s="32" t="s">
        <v>534</v>
      </c>
      <c r="H71" s="32" t="s">
        <v>595</v>
      </c>
      <c r="I71" s="32"/>
      <c r="J71" s="32"/>
      <c r="K71" s="32"/>
      <c r="L71" s="53" t="s">
        <v>574</v>
      </c>
      <c r="M71" s="53" t="s">
        <v>575</v>
      </c>
      <c r="N71" s="53" t="s">
        <v>576</v>
      </c>
      <c r="O71" s="54" t="s">
        <v>577</v>
      </c>
      <c r="P71" s="54" t="s">
        <v>578</v>
      </c>
      <c r="Q71" s="62" t="s">
        <v>579</v>
      </c>
      <c r="R71" s="63" t="s">
        <v>580</v>
      </c>
    </row>
    <row r="72" spans="1:18">
      <c r="A72" s="28">
        <v>1</v>
      </c>
      <c r="B72" s="39" t="s">
        <v>16</v>
      </c>
      <c r="C72" s="46" t="s">
        <v>602</v>
      </c>
      <c r="D72" s="39">
        <f>(24*(C69-3)*1+24*C69*3)*4</f>
        <v>50400</v>
      </c>
      <c r="E72" s="39">
        <f>2*12*C69*4</f>
        <v>12672</v>
      </c>
      <c r="F72" s="39">
        <f>(12*14*3*1+12*2*1*3)*4</f>
        <v>2304</v>
      </c>
      <c r="G72" s="39">
        <f>INT(C69/4)*INT((14-2)/4)*4*2*4</f>
        <v>3168</v>
      </c>
      <c r="H72" s="39">
        <f>12*C69*4</f>
        <v>6336</v>
      </c>
      <c r="I72" s="26"/>
      <c r="J72" s="26"/>
      <c r="K72" s="26"/>
      <c r="L72" s="39">
        <v>386496</v>
      </c>
      <c r="M72" s="39">
        <v>74880</v>
      </c>
      <c r="N72" s="59">
        <v>19.374068554396398</v>
      </c>
      <c r="O72" s="26">
        <f>12*14*C69*4*4+12*2*C69*2*4+12*C69*4</f>
        <v>386496</v>
      </c>
      <c r="P72" s="26">
        <f>SUM(D72:H72)</f>
        <v>74880</v>
      </c>
      <c r="Q72" s="59">
        <f>100*P72/O72</f>
        <v>19.374068554396423</v>
      </c>
      <c r="R72" s="65">
        <f>(1-Q72/100)/(1-N72/100)</f>
        <v>0.99999999999999956</v>
      </c>
    </row>
    <row r="73" spans="1:18">
      <c r="A73" s="28">
        <v>2</v>
      </c>
      <c r="B73" s="39" t="s">
        <v>5</v>
      </c>
      <c r="C73" s="46" t="s">
        <v>607</v>
      </c>
      <c r="D73" s="39">
        <f>16*(C69-4)*2*4</f>
        <v>16384</v>
      </c>
      <c r="E73" s="39">
        <f>2*12*C69*2*4</f>
        <v>25344</v>
      </c>
      <c r="F73" s="39">
        <f>4*12*14*2*4</f>
        <v>5376</v>
      </c>
      <c r="G73" s="39">
        <f>INT(C69/4)*INT((14-2))*2*2*4</f>
        <v>6336</v>
      </c>
      <c r="H73" s="39">
        <f>12*2*C69*4</f>
        <v>12672</v>
      </c>
      <c r="I73" s="26"/>
      <c r="J73" s="26"/>
      <c r="K73" s="26"/>
      <c r="L73" s="39">
        <f>12*C69*16*2*4</f>
        <v>202752</v>
      </c>
      <c r="M73" s="39">
        <f>SUM(D73:G73)</f>
        <v>53440</v>
      </c>
      <c r="N73" s="59">
        <f>100*M73/L73</f>
        <v>26.357323232323232</v>
      </c>
      <c r="O73" s="26">
        <f>L73+H73</f>
        <v>215424</v>
      </c>
      <c r="P73" s="26">
        <f>SUM(D73,E73,G73,H73)+(12*14*3*2)*4</f>
        <v>64768</v>
      </c>
      <c r="Q73" s="67">
        <f>100*P73/O73</f>
        <v>30.065359477124183</v>
      </c>
      <c r="R73" s="65">
        <f>(1-Q73/100)/(1-N73/100)</f>
        <v>0.94964826908045674</v>
      </c>
    </row>
    <row r="74" spans="1:18">
      <c r="B74" s="39"/>
      <c r="C74" s="46"/>
      <c r="D74" s="68"/>
      <c r="E74" s="68"/>
      <c r="F74" s="68"/>
      <c r="G74" s="69"/>
      <c r="H74" s="70"/>
      <c r="L74" s="28"/>
      <c r="M74" s="28"/>
      <c r="N74" s="28"/>
    </row>
    <row r="75" spans="1:18">
      <c r="B75" s="28"/>
      <c r="D75" s="28"/>
      <c r="E75" s="28"/>
      <c r="F75" s="28"/>
      <c r="L75" s="28"/>
      <c r="M75" s="28"/>
      <c r="N75" s="28"/>
    </row>
    <row r="76" spans="1:18" ht="13.8">
      <c r="B76" s="51" t="s">
        <v>620</v>
      </c>
      <c r="D76" s="28"/>
      <c r="E76" s="28"/>
      <c r="F76" s="28"/>
      <c r="L76" s="28"/>
      <c r="M76" s="28"/>
      <c r="N76" s="28"/>
    </row>
    <row r="77" spans="1:18" ht="13.8">
      <c r="B77" s="51" t="s">
        <v>631</v>
      </c>
      <c r="D77" s="28"/>
      <c r="E77" s="28"/>
      <c r="F77" s="28"/>
      <c r="L77" s="28"/>
      <c r="M77" s="28"/>
      <c r="N77" s="28"/>
    </row>
    <row r="78" spans="1:18">
      <c r="B78" s="28"/>
      <c r="D78" s="28"/>
      <c r="E78" s="28"/>
      <c r="F78" s="28"/>
      <c r="L78" s="28"/>
      <c r="M78" s="28"/>
      <c r="N78" s="28"/>
    </row>
    <row r="79" spans="1:18" ht="13.8">
      <c r="B79" s="51" t="s">
        <v>569</v>
      </c>
      <c r="C79" s="30">
        <v>50</v>
      </c>
      <c r="D79" s="28"/>
      <c r="E79" s="28"/>
      <c r="F79" s="28"/>
      <c r="L79" s="28"/>
      <c r="M79" s="28"/>
      <c r="N79" s="28"/>
    </row>
    <row r="80" spans="1:18">
      <c r="B80" s="28"/>
      <c r="D80" s="28"/>
      <c r="E80" s="28"/>
      <c r="F80" s="28"/>
      <c r="L80" s="28"/>
      <c r="M80" s="28"/>
      <c r="N80" s="28"/>
    </row>
    <row r="81" spans="1:18" s="27" customFormat="1" ht="41.4">
      <c r="B81" s="53"/>
      <c r="C81" s="53" t="s">
        <v>594</v>
      </c>
      <c r="D81" s="53" t="s">
        <v>503</v>
      </c>
      <c r="E81" s="53" t="s">
        <v>553</v>
      </c>
      <c r="F81" s="53" t="s">
        <v>540</v>
      </c>
      <c r="G81" s="53" t="s">
        <v>534</v>
      </c>
      <c r="H81" s="53" t="s">
        <v>595</v>
      </c>
      <c r="I81" s="53"/>
      <c r="J81" s="53"/>
      <c r="K81" s="53"/>
      <c r="L81" s="53" t="s">
        <v>574</v>
      </c>
      <c r="M81" s="53" t="s">
        <v>575</v>
      </c>
      <c r="N81" s="53" t="s">
        <v>576</v>
      </c>
      <c r="O81" s="54" t="s">
        <v>577</v>
      </c>
      <c r="P81" s="54" t="s">
        <v>578</v>
      </c>
      <c r="Q81" s="62" t="s">
        <v>579</v>
      </c>
      <c r="R81" s="63" t="s">
        <v>580</v>
      </c>
    </row>
    <row r="82" spans="1:18">
      <c r="A82" s="28">
        <v>1</v>
      </c>
      <c r="B82" s="29" t="s">
        <v>42</v>
      </c>
      <c r="C82" s="41" t="s">
        <v>368</v>
      </c>
      <c r="D82" s="71">
        <v>15360</v>
      </c>
      <c r="E82" s="72">
        <v>3840</v>
      </c>
      <c r="F82" s="72">
        <v>3840</v>
      </c>
      <c r="G82" s="72">
        <v>3136</v>
      </c>
      <c r="H82" s="43"/>
      <c r="I82" s="43"/>
      <c r="J82" s="43"/>
      <c r="K82" s="43"/>
      <c r="L82" s="72">
        <v>215040</v>
      </c>
      <c r="M82" s="72">
        <v>44608</v>
      </c>
      <c r="N82" s="74">
        <v>20.74</v>
      </c>
      <c r="O82" s="72">
        <v>215040</v>
      </c>
      <c r="P82" s="72">
        <v>44608</v>
      </c>
      <c r="Q82" s="74">
        <v>20.74</v>
      </c>
      <c r="R82" s="78">
        <f>(1-Q82/100)/(1-N82/100)</f>
        <v>1</v>
      </c>
    </row>
    <row r="83" spans="1:18">
      <c r="B83" s="28"/>
      <c r="D83" s="28"/>
      <c r="E83" s="28"/>
      <c r="F83" s="28"/>
      <c r="L83" s="28"/>
      <c r="M83" s="28"/>
      <c r="N83" s="28"/>
    </row>
    <row r="84" spans="1:18">
      <c r="B84" s="28"/>
      <c r="D84" s="28"/>
      <c r="E84" s="28"/>
      <c r="F84" s="28"/>
      <c r="L84" s="28"/>
      <c r="M84" s="28"/>
      <c r="N84" s="28"/>
    </row>
    <row r="85" spans="1:18">
      <c r="B85" s="28"/>
      <c r="D85" s="28"/>
      <c r="E85" s="28"/>
      <c r="F85" s="28"/>
      <c r="L85" s="28"/>
      <c r="M85" s="28"/>
      <c r="N85" s="28"/>
    </row>
    <row r="86" spans="1:18">
      <c r="B86" s="28"/>
      <c r="D86" s="28"/>
      <c r="E86" s="28"/>
      <c r="F86" s="28"/>
      <c r="L86" s="28"/>
      <c r="M86" s="28"/>
      <c r="N86" s="28"/>
    </row>
    <row r="87" spans="1:18" ht="13.8">
      <c r="B87" s="51" t="s">
        <v>620</v>
      </c>
      <c r="D87" s="28" t="s">
        <v>661</v>
      </c>
      <c r="E87" s="28"/>
      <c r="F87" s="28"/>
      <c r="L87" s="28"/>
      <c r="M87" s="28"/>
      <c r="N87" s="28"/>
    </row>
    <row r="88" spans="1:18" ht="13.8">
      <c r="B88" s="51" t="s">
        <v>634</v>
      </c>
      <c r="D88" s="28"/>
      <c r="E88" s="28"/>
      <c r="F88" s="28"/>
      <c r="L88" s="28"/>
      <c r="M88" s="28"/>
      <c r="N88" s="28"/>
    </row>
    <row r="89" spans="1:18">
      <c r="B89" s="28"/>
      <c r="D89" s="28"/>
      <c r="E89" s="28"/>
      <c r="F89" s="28"/>
      <c r="L89" s="28"/>
      <c r="M89" s="28"/>
      <c r="N89" s="28"/>
    </row>
    <row r="90" spans="1:18" ht="13.8">
      <c r="B90" s="51" t="s">
        <v>569</v>
      </c>
      <c r="C90" s="30">
        <v>105</v>
      </c>
      <c r="D90" s="28"/>
      <c r="E90" s="28"/>
      <c r="F90" s="28"/>
      <c r="L90" s="28"/>
      <c r="M90" s="28"/>
      <c r="N90" s="28"/>
    </row>
    <row r="91" spans="1:18">
      <c r="B91" s="28"/>
      <c r="D91" s="28"/>
      <c r="E91" s="28"/>
      <c r="F91" s="28"/>
      <c r="L91" s="28"/>
      <c r="M91" s="28"/>
      <c r="N91" s="28"/>
    </row>
    <row r="92" spans="1:18" ht="41.4">
      <c r="B92" s="32"/>
      <c r="C92" s="33" t="s">
        <v>594</v>
      </c>
      <c r="D92" s="32" t="s">
        <v>503</v>
      </c>
      <c r="E92" s="32" t="s">
        <v>553</v>
      </c>
      <c r="F92" s="32" t="s">
        <v>540</v>
      </c>
      <c r="G92" s="32" t="s">
        <v>534</v>
      </c>
      <c r="H92" s="32" t="s">
        <v>595</v>
      </c>
      <c r="I92" s="32"/>
      <c r="J92" s="32"/>
      <c r="K92" s="32"/>
      <c r="L92" s="53" t="s">
        <v>662</v>
      </c>
      <c r="M92" s="53" t="s">
        <v>663</v>
      </c>
      <c r="N92" s="53" t="s">
        <v>664</v>
      </c>
      <c r="O92" s="54" t="s">
        <v>665</v>
      </c>
      <c r="P92" s="54" t="s">
        <v>666</v>
      </c>
      <c r="Q92" s="62" t="s">
        <v>579</v>
      </c>
      <c r="R92" s="63" t="s">
        <v>580</v>
      </c>
    </row>
    <row r="93" spans="1:18">
      <c r="A93" s="28">
        <v>1</v>
      </c>
      <c r="B93" s="39" t="s">
        <v>16</v>
      </c>
      <c r="C93" s="46" t="s">
        <v>602</v>
      </c>
      <c r="D93" s="39">
        <f>(24*(C90-3)*1+24*C90*3)*4</f>
        <v>40032</v>
      </c>
      <c r="E93" s="39">
        <f>2*12*C90*4</f>
        <v>10080</v>
      </c>
      <c r="F93" s="39">
        <f>(12*14*3*1+12*2*1*3)*4</f>
        <v>2304</v>
      </c>
      <c r="G93" s="39">
        <f>INT(C90/4)*INT((14-2)/4)*4*2*4</f>
        <v>2496</v>
      </c>
      <c r="H93" s="39">
        <f>12*C90*4</f>
        <v>5040</v>
      </c>
      <c r="I93" s="26"/>
      <c r="J93" s="26"/>
      <c r="K93" s="26"/>
      <c r="L93" s="39">
        <v>307440</v>
      </c>
      <c r="M93" s="39">
        <v>59952</v>
      </c>
      <c r="N93" s="59">
        <v>19.5003903200625</v>
      </c>
      <c r="O93" s="26">
        <f>12*14*C90*4*4+12*2*C90*2*4+12*C90*4</f>
        <v>307440</v>
      </c>
      <c r="P93" s="26">
        <f>SUM(D93:H93)</f>
        <v>59952</v>
      </c>
      <c r="Q93" s="59">
        <f>100*P93/O93</f>
        <v>19.500390320062451</v>
      </c>
      <c r="R93" s="65">
        <f>(1-Q93/100)/(1-N93/100)</f>
        <v>1.0000000000000004</v>
      </c>
    </row>
    <row r="94" spans="1:18">
      <c r="A94" s="28">
        <v>2</v>
      </c>
      <c r="B94" s="39" t="s">
        <v>5</v>
      </c>
      <c r="C94" s="46" t="s">
        <v>607</v>
      </c>
      <c r="D94" s="39">
        <f>16*(C90-4)*2*4</f>
        <v>12928</v>
      </c>
      <c r="E94" s="39">
        <f>2*12*C90*2*4</f>
        <v>20160</v>
      </c>
      <c r="F94" s="39">
        <f>4*12*14*2*4</f>
        <v>5376</v>
      </c>
      <c r="G94" s="39">
        <f>INT(C90/4)*INT((14-2))*2*2*4</f>
        <v>4992</v>
      </c>
      <c r="H94" s="39">
        <f>12*2*C90*4</f>
        <v>10080</v>
      </c>
      <c r="I94" s="26"/>
      <c r="J94" s="26"/>
      <c r="K94" s="26"/>
      <c r="L94" s="39">
        <f>12*C90*16*2*4</f>
        <v>161280</v>
      </c>
      <c r="M94" s="39">
        <f>SUM(D94:G94)</f>
        <v>43456</v>
      </c>
      <c r="N94" s="59">
        <f>100*M94/L94</f>
        <v>26.944444444444443</v>
      </c>
      <c r="O94" s="26">
        <f>L94+H94</f>
        <v>171360</v>
      </c>
      <c r="P94" s="26">
        <f>SUM(D94,E94,G94,H94)+(12*14*3*2)*4</f>
        <v>52192</v>
      </c>
      <c r="Q94" s="67">
        <f>100*P94/O94</f>
        <v>30.457516339869279</v>
      </c>
      <c r="R94" s="65">
        <f>(1-Q94/100)/(1-N94/100)</f>
        <v>0.9519123238649071</v>
      </c>
    </row>
    <row r="95" spans="1:18">
      <c r="A95" s="28">
        <v>3</v>
      </c>
      <c r="B95" s="39" t="s">
        <v>12</v>
      </c>
      <c r="C95" s="26" t="s">
        <v>607</v>
      </c>
      <c r="D95" s="39">
        <f>2*12*(C90-2)*2*4</f>
        <v>19776</v>
      </c>
      <c r="E95" s="39">
        <f>2*12*C90*2*4</f>
        <v>20160</v>
      </c>
      <c r="F95" s="39">
        <f>2*12*14*10</f>
        <v>3360</v>
      </c>
      <c r="G95" s="39">
        <v>0</v>
      </c>
      <c r="H95" s="39">
        <f>12*2*C90*4</f>
        <v>10080</v>
      </c>
      <c r="I95" s="26"/>
      <c r="J95" s="26"/>
      <c r="K95" s="26"/>
      <c r="L95" s="39">
        <f>12*C90*16*2*4</f>
        <v>161280</v>
      </c>
      <c r="M95" s="39">
        <f>SUM(D95:G95)</f>
        <v>43296</v>
      </c>
      <c r="N95" s="75">
        <f>100*M95/L95</f>
        <v>26.845238095238095</v>
      </c>
      <c r="O95" s="26">
        <f>L95+H95</f>
        <v>171360</v>
      </c>
      <c r="P95" s="26">
        <f>SUM(D95,E95,G95,H95)+(12*14*3*2)*4</f>
        <v>54048</v>
      </c>
      <c r="Q95" s="67">
        <f>100*P95/O95</f>
        <v>31.540616246498601</v>
      </c>
      <c r="R95" s="65">
        <f t="shared" ref="R95:R97" si="13">(1-Q95/100)/(1-N95/100)</f>
        <v>0.93581582348154879</v>
      </c>
    </row>
    <row r="96" spans="1:18">
      <c r="A96" s="28">
        <v>4</v>
      </c>
      <c r="B96" s="39" t="s">
        <v>667</v>
      </c>
      <c r="C96" s="46" t="s">
        <v>271</v>
      </c>
      <c r="D96" s="39"/>
      <c r="E96" s="39"/>
      <c r="F96" s="39"/>
      <c r="G96" s="26"/>
      <c r="H96" s="26"/>
      <c r="I96" s="26"/>
      <c r="J96" s="26"/>
      <c r="K96" s="26"/>
      <c r="L96" s="39">
        <f>100*12*14*40</f>
        <v>672000</v>
      </c>
      <c r="M96" s="39">
        <f>100*30*40</f>
        <v>120000</v>
      </c>
      <c r="N96" s="75">
        <f>100*M96/L96</f>
        <v>17.857142857142858</v>
      </c>
      <c r="O96" s="26">
        <v>672000</v>
      </c>
      <c r="P96" s="26">
        <v>120000</v>
      </c>
      <c r="Q96" s="26">
        <v>17.8571428571429</v>
      </c>
      <c r="R96" s="65">
        <f t="shared" si="13"/>
        <v>0.99999999999999944</v>
      </c>
    </row>
    <row r="97" spans="1:18">
      <c r="A97" s="28">
        <v>5</v>
      </c>
      <c r="B97" s="39" t="s">
        <v>667</v>
      </c>
      <c r="C97" s="26" t="s">
        <v>607</v>
      </c>
      <c r="H97" s="39">
        <f>12*2*100*4</f>
        <v>9600</v>
      </c>
      <c r="L97" s="39">
        <f>100*12*(14+2)*2*4</f>
        <v>153600</v>
      </c>
      <c r="M97" s="39">
        <f>100*30*2*4</f>
        <v>24000</v>
      </c>
      <c r="N97" s="75">
        <f>100*M97/L97</f>
        <v>15.625</v>
      </c>
      <c r="O97" s="76">
        <f>L97+H97</f>
        <v>163200</v>
      </c>
      <c r="P97" s="77">
        <f>M97+H97</f>
        <v>33600</v>
      </c>
      <c r="Q97" s="79">
        <f>100*P97/O97</f>
        <v>20.588235294117649</v>
      </c>
      <c r="R97" s="80">
        <f t="shared" si="13"/>
        <v>0.94117647058823528</v>
      </c>
    </row>
    <row r="98" spans="1:18">
      <c r="A98" s="28">
        <v>6</v>
      </c>
      <c r="B98" s="39" t="s">
        <v>33</v>
      </c>
      <c r="C98" s="46" t="s">
        <v>668</v>
      </c>
      <c r="D98" s="29">
        <f>(12*2*(C90-3)*2+12*2*(C90-1)*2)*4</f>
        <v>39552</v>
      </c>
      <c r="E98" s="29">
        <f>12*2*C90*4</f>
        <v>10080</v>
      </c>
      <c r="F98" s="29">
        <f>(12*14*3*1+12*7*3*1+12*2*1*2)*4</f>
        <v>3216</v>
      </c>
      <c r="G98" s="39">
        <f>INT(C90/4)*INT((14-2))*2*2*4</f>
        <v>4992</v>
      </c>
      <c r="H98" s="39">
        <f>2*12*C90*4</f>
        <v>10080</v>
      </c>
      <c r="L98" s="39">
        <f>(12*14*4+12*6*2)*C90*4</f>
        <v>342720</v>
      </c>
      <c r="M98" s="39">
        <f>SUM(D98:G98)</f>
        <v>57840</v>
      </c>
      <c r="N98" s="75">
        <f>100*M98/L98</f>
        <v>16.876750700280112</v>
      </c>
      <c r="O98" s="76">
        <f>L98+H98</f>
        <v>352800</v>
      </c>
      <c r="P98" s="77">
        <f>M98+H98</f>
        <v>67920</v>
      </c>
      <c r="Q98" s="79">
        <f>P98/O98*100</f>
        <v>19.251700680272108</v>
      </c>
      <c r="R98" s="81">
        <f>(1-Q98/100)/(1-N98/100)</f>
        <v>0.97142857142857153</v>
      </c>
    </row>
    <row r="99" spans="1:18">
      <c r="B99" s="39"/>
      <c r="C99" s="26"/>
      <c r="H99" s="39"/>
      <c r="L99" s="39"/>
      <c r="M99" s="39"/>
      <c r="N99" s="75"/>
      <c r="O99" s="76"/>
      <c r="P99" s="77"/>
      <c r="Q99" s="79"/>
      <c r="R99" s="80"/>
    </row>
    <row r="100" spans="1:18" ht="13.8">
      <c r="B100" s="51" t="s">
        <v>641</v>
      </c>
      <c r="D100" s="28"/>
      <c r="E100" s="28"/>
      <c r="F100" s="28"/>
      <c r="L100" s="28"/>
      <c r="M100" s="28"/>
      <c r="N100" s="28"/>
    </row>
    <row r="101" spans="1:18" ht="13.8">
      <c r="B101" s="51" t="s">
        <v>621</v>
      </c>
      <c r="D101" s="28"/>
      <c r="E101" s="28"/>
      <c r="F101" s="28"/>
      <c r="L101" s="28"/>
      <c r="M101" s="28"/>
      <c r="N101" s="28"/>
    </row>
    <row r="102" spans="1:18">
      <c r="B102" s="28"/>
      <c r="D102" s="28"/>
      <c r="E102" s="28"/>
      <c r="F102" s="28"/>
      <c r="L102" s="28"/>
      <c r="M102" s="28"/>
      <c r="N102" s="28"/>
    </row>
    <row r="103" spans="1:18" ht="13.8">
      <c r="B103" s="51" t="s">
        <v>569</v>
      </c>
      <c r="C103" s="73">
        <v>33</v>
      </c>
      <c r="D103" s="28"/>
      <c r="E103" s="28"/>
      <c r="F103" s="28"/>
      <c r="L103" s="28"/>
      <c r="M103" s="28"/>
      <c r="N103" s="28"/>
    </row>
    <row r="104" spans="1:18">
      <c r="B104" s="28"/>
      <c r="D104" s="28"/>
      <c r="E104" s="28"/>
      <c r="F104" s="28"/>
      <c r="L104" s="28"/>
      <c r="M104" s="28"/>
      <c r="N104" s="28"/>
    </row>
    <row r="105" spans="1:18" ht="41.4">
      <c r="B105" s="32"/>
      <c r="C105" s="33"/>
      <c r="D105" s="32" t="s">
        <v>503</v>
      </c>
      <c r="E105" s="32" t="s">
        <v>553</v>
      </c>
      <c r="F105" s="32" t="s">
        <v>540</v>
      </c>
      <c r="G105" s="32" t="s">
        <v>534</v>
      </c>
      <c r="H105" s="32"/>
      <c r="I105" s="32"/>
      <c r="J105" s="32"/>
      <c r="K105" s="32"/>
      <c r="L105" s="53" t="s">
        <v>574</v>
      </c>
      <c r="M105" s="53" t="s">
        <v>575</v>
      </c>
      <c r="N105" s="53" t="s">
        <v>576</v>
      </c>
      <c r="O105" s="54" t="s">
        <v>577</v>
      </c>
      <c r="P105" s="54" t="s">
        <v>578</v>
      </c>
      <c r="Q105" s="62" t="s">
        <v>579</v>
      </c>
      <c r="R105" s="63" t="s">
        <v>580</v>
      </c>
    </row>
    <row r="106" spans="1:18">
      <c r="A106" s="28">
        <v>1</v>
      </c>
      <c r="D106" s="28"/>
      <c r="E106" s="28"/>
      <c r="F106" s="28"/>
      <c r="L106" s="28"/>
      <c r="M106" s="28"/>
      <c r="N106" s="28"/>
    </row>
    <row r="107" spans="1:18">
      <c r="B107" s="28"/>
      <c r="D107" s="28"/>
      <c r="E107" s="28"/>
      <c r="F107" s="28"/>
      <c r="L107" s="28"/>
      <c r="M107" s="28"/>
      <c r="N107" s="28"/>
    </row>
    <row r="108" spans="1:18">
      <c r="B108" s="28"/>
      <c r="D108" s="28"/>
      <c r="E108" s="28"/>
      <c r="F108" s="28"/>
      <c r="L108" s="28"/>
      <c r="M108" s="28"/>
      <c r="N108" s="28"/>
    </row>
    <row r="109" spans="1:18">
      <c r="B109" s="28"/>
      <c r="D109" s="28"/>
      <c r="E109" s="28"/>
      <c r="F109" s="28"/>
      <c r="L109" s="28"/>
      <c r="M109" s="28"/>
      <c r="N109" s="28"/>
    </row>
    <row r="110" spans="1:18">
      <c r="B110" s="28"/>
      <c r="D110" s="28"/>
      <c r="E110" s="28"/>
      <c r="F110" s="28"/>
      <c r="L110" s="28"/>
      <c r="M110" s="28"/>
      <c r="N110" s="28"/>
    </row>
    <row r="111" spans="1:18">
      <c r="B111" s="28"/>
      <c r="D111" s="28"/>
      <c r="E111" s="28"/>
      <c r="F111" s="28"/>
      <c r="L111" s="28"/>
      <c r="M111" s="28"/>
      <c r="N111" s="28"/>
    </row>
    <row r="112" spans="1:18" ht="13.8">
      <c r="B112" s="51" t="s">
        <v>641</v>
      </c>
      <c r="D112" s="28" t="s">
        <v>661</v>
      </c>
      <c r="E112" s="28"/>
      <c r="F112" s="28"/>
      <c r="L112" s="28"/>
      <c r="M112" s="28"/>
      <c r="N112" s="28"/>
    </row>
    <row r="113" spans="1:18" ht="13.8">
      <c r="B113" s="51" t="s">
        <v>631</v>
      </c>
      <c r="D113" s="28"/>
      <c r="E113" s="28"/>
      <c r="F113" s="28"/>
      <c r="L113" s="28"/>
      <c r="M113" s="28"/>
      <c r="N113" s="28"/>
    </row>
    <row r="114" spans="1:18">
      <c r="B114" s="28"/>
      <c r="D114" s="28"/>
      <c r="E114" s="28"/>
      <c r="F114" s="28"/>
      <c r="L114" s="28"/>
      <c r="M114" s="28"/>
      <c r="N114" s="28"/>
    </row>
    <row r="115" spans="1:18" ht="13.8">
      <c r="B115" s="51" t="s">
        <v>569</v>
      </c>
      <c r="C115" s="73">
        <v>26</v>
      </c>
      <c r="D115" s="28"/>
      <c r="E115" s="28"/>
      <c r="F115" s="28"/>
      <c r="L115" s="28"/>
      <c r="M115" s="28"/>
      <c r="N115" s="28"/>
    </row>
    <row r="116" spans="1:18">
      <c r="B116" s="28"/>
      <c r="D116" s="28"/>
      <c r="E116" s="28"/>
      <c r="F116" s="28"/>
      <c r="L116" s="28"/>
      <c r="M116" s="28"/>
      <c r="N116" s="28"/>
    </row>
    <row r="117" spans="1:18" ht="41.4">
      <c r="B117" s="32"/>
      <c r="C117" s="33"/>
      <c r="D117" s="32" t="s">
        <v>503</v>
      </c>
      <c r="E117" s="32" t="s">
        <v>553</v>
      </c>
      <c r="F117" s="32" t="s">
        <v>540</v>
      </c>
      <c r="G117" s="32" t="s">
        <v>534</v>
      </c>
      <c r="H117" s="32"/>
      <c r="I117" s="32"/>
      <c r="J117" s="32"/>
      <c r="K117" s="32"/>
      <c r="L117" s="53" t="s">
        <v>574</v>
      </c>
      <c r="M117" s="53" t="s">
        <v>575</v>
      </c>
      <c r="N117" s="53" t="s">
        <v>576</v>
      </c>
      <c r="O117" s="54" t="s">
        <v>577</v>
      </c>
      <c r="P117" s="54" t="s">
        <v>578</v>
      </c>
      <c r="Q117" s="62" t="s">
        <v>579</v>
      </c>
      <c r="R117" s="63" t="s">
        <v>580</v>
      </c>
    </row>
    <row r="118" spans="1:18" ht="13.8">
      <c r="A118" s="28">
        <v>1</v>
      </c>
      <c r="B118" s="34" t="s">
        <v>21</v>
      </c>
      <c r="C118" s="46"/>
      <c r="D118" s="26">
        <v>24960</v>
      </c>
      <c r="E118" s="26">
        <v>9984</v>
      </c>
      <c r="F118" s="26">
        <v>26880</v>
      </c>
      <c r="G118" s="39">
        <v>960</v>
      </c>
      <c r="H118" s="26"/>
      <c r="I118" s="26"/>
      <c r="J118" s="26"/>
      <c r="K118" s="26"/>
      <c r="L118" s="39">
        <v>349440</v>
      </c>
      <c r="M118" s="39">
        <f>SUM(D118:G118)</f>
        <v>62784</v>
      </c>
      <c r="N118" s="75">
        <f>100*M118/L118</f>
        <v>17.967032967032967</v>
      </c>
      <c r="O118" s="26">
        <f>L118</f>
        <v>349440</v>
      </c>
      <c r="P118" s="26">
        <f>D118+E118+(12*3*14*2+12*1*2*8)*8+G118</f>
        <v>45504</v>
      </c>
      <c r="Q118" s="64">
        <f t="shared" ref="Q118:Q119" si="14">100*P118/O118</f>
        <v>13.021978021978022</v>
      </c>
      <c r="R118" s="65">
        <f>(1-Q118/100)/(1-N118/100)</f>
        <v>1.0602813127930342</v>
      </c>
    </row>
    <row r="119" spans="1:18" ht="13.8">
      <c r="A119" s="28">
        <v>2</v>
      </c>
      <c r="B119" s="39" t="s">
        <v>37</v>
      </c>
      <c r="C119" s="46"/>
      <c r="D119" s="26">
        <v>24960</v>
      </c>
      <c r="E119" s="26">
        <v>9984</v>
      </c>
      <c r="F119" s="26">
        <v>24960</v>
      </c>
      <c r="G119" s="39">
        <v>960</v>
      </c>
      <c r="H119" s="26"/>
      <c r="I119" s="26"/>
      <c r="J119" s="26"/>
      <c r="K119" s="26"/>
      <c r="L119" s="39">
        <v>349440</v>
      </c>
      <c r="M119" s="39">
        <f>SUM(D119:G119)</f>
        <v>60864</v>
      </c>
      <c r="N119" s="75">
        <f>100*M119/L119</f>
        <v>17.417582417582416</v>
      </c>
      <c r="O119" s="26">
        <f>L119</f>
        <v>349440</v>
      </c>
      <c r="P119" s="26">
        <f>D119+E119+(12*3*14*2+12*1*2*8)*8+G119</f>
        <v>45504</v>
      </c>
      <c r="Q119" s="64">
        <f t="shared" si="14"/>
        <v>13.021978021978022</v>
      </c>
      <c r="R119" s="65">
        <f t="shared" ref="R119" si="15">(1-Q119/100)/(1-N119/100)</f>
        <v>1.053226879574185</v>
      </c>
    </row>
    <row r="123" spans="1:18" ht="13.8">
      <c r="B123" s="51" t="s">
        <v>641</v>
      </c>
      <c r="D123" s="28" t="s">
        <v>661</v>
      </c>
      <c r="E123" s="28"/>
      <c r="F123" s="28"/>
      <c r="L123" s="28"/>
      <c r="M123" s="28"/>
      <c r="N123" s="28"/>
    </row>
    <row r="124" spans="1:18" ht="13.8">
      <c r="B124" s="51" t="s">
        <v>634</v>
      </c>
      <c r="D124" s="28"/>
      <c r="E124" s="28"/>
      <c r="F124" s="28"/>
      <c r="L124" s="28"/>
      <c r="M124" s="28"/>
      <c r="N124" s="28"/>
    </row>
    <row r="125" spans="1:18">
      <c r="B125" s="28"/>
      <c r="D125" s="28"/>
      <c r="E125" s="28"/>
      <c r="F125" s="28"/>
      <c r="L125" s="28"/>
      <c r="M125" s="28"/>
      <c r="N125" s="28"/>
    </row>
    <row r="126" spans="1:18" ht="13.8">
      <c r="B126" s="51" t="s">
        <v>569</v>
      </c>
      <c r="C126" s="30">
        <v>105</v>
      </c>
      <c r="D126" s="28"/>
      <c r="E126" s="28"/>
      <c r="F126" s="28"/>
      <c r="L126" s="28"/>
      <c r="M126" s="28"/>
      <c r="N126" s="28"/>
    </row>
    <row r="127" spans="1:18">
      <c r="B127" s="28"/>
      <c r="D127" s="28"/>
      <c r="E127" s="28"/>
      <c r="F127" s="28"/>
      <c r="L127" s="28"/>
      <c r="M127" s="28"/>
      <c r="N127" s="28"/>
    </row>
    <row r="128" spans="1:18" ht="41.4">
      <c r="B128" s="32"/>
      <c r="C128" s="33"/>
      <c r="D128" s="32" t="s">
        <v>503</v>
      </c>
      <c r="E128" s="32" t="s">
        <v>553</v>
      </c>
      <c r="F128" s="32" t="s">
        <v>540</v>
      </c>
      <c r="G128" s="32" t="s">
        <v>534</v>
      </c>
      <c r="H128" s="32"/>
      <c r="I128" s="32"/>
      <c r="J128" s="32"/>
      <c r="K128" s="32"/>
      <c r="L128" s="53" t="s">
        <v>662</v>
      </c>
      <c r="M128" s="53" t="s">
        <v>663</v>
      </c>
      <c r="N128" s="53" t="s">
        <v>664</v>
      </c>
      <c r="O128" s="54" t="s">
        <v>665</v>
      </c>
      <c r="P128" s="54" t="s">
        <v>666</v>
      </c>
      <c r="Q128" s="62" t="s">
        <v>579</v>
      </c>
      <c r="R128" s="63" t="s">
        <v>580</v>
      </c>
    </row>
    <row r="129" spans="1:18">
      <c r="B129" s="82" t="s">
        <v>12</v>
      </c>
      <c r="C129" s="83"/>
      <c r="D129" s="82">
        <f>24*C126*10*4</f>
        <v>100800</v>
      </c>
      <c r="E129" s="82">
        <f>2*12*C126*4</f>
        <v>10080</v>
      </c>
      <c r="F129" s="82">
        <f>2*12*14*10*4</f>
        <v>13440</v>
      </c>
      <c r="G129" s="82">
        <f>INT(C126/4)*INT((14-2))*2*2*4</f>
        <v>4992</v>
      </c>
      <c r="H129" s="82"/>
      <c r="I129" s="83"/>
      <c r="J129" s="83"/>
      <c r="K129" s="83"/>
      <c r="L129" s="82">
        <f>12*14*C126*10*4</f>
        <v>705600</v>
      </c>
      <c r="M129" s="82">
        <f>SUM(D129:G129)</f>
        <v>129312</v>
      </c>
      <c r="N129" s="91">
        <f>100*M129/L129</f>
        <v>18.326530612244898</v>
      </c>
      <c r="O129" s="83">
        <f>L129+H129</f>
        <v>705600</v>
      </c>
      <c r="P129" s="463">
        <f>D129+E129+G129+12*3*14*2+12*1*2*8</f>
        <v>117072</v>
      </c>
      <c r="Q129" s="93">
        <f>100*P129/O129</f>
        <v>16.591836734693878</v>
      </c>
      <c r="R129" s="94">
        <f t="shared" ref="R129" si="16">(1-Q129/100)/(1-N129/100)</f>
        <v>1.021239380309845</v>
      </c>
    </row>
    <row r="133" spans="1:18">
      <c r="B133" s="84" t="s">
        <v>647</v>
      </c>
    </row>
    <row r="134" spans="1:18" ht="13.8">
      <c r="B134" s="85" t="s">
        <v>563</v>
      </c>
    </row>
    <row r="135" spans="1:18" ht="13.8">
      <c r="B135" s="31" t="s">
        <v>660</v>
      </c>
    </row>
    <row r="137" spans="1:18" ht="13.8">
      <c r="B137" s="31" t="s">
        <v>569</v>
      </c>
      <c r="C137" s="30">
        <v>52</v>
      </c>
    </row>
    <row r="139" spans="1:18" ht="48" customHeight="1">
      <c r="B139" s="32"/>
      <c r="C139" s="33"/>
      <c r="D139" s="32" t="s">
        <v>503</v>
      </c>
      <c r="E139" s="32" t="s">
        <v>553</v>
      </c>
      <c r="F139" s="32" t="s">
        <v>540</v>
      </c>
      <c r="G139" s="32"/>
      <c r="H139" s="32"/>
      <c r="I139" s="32"/>
      <c r="J139" s="32"/>
      <c r="K139" s="32"/>
      <c r="L139" s="53" t="s">
        <v>574</v>
      </c>
      <c r="M139" s="53" t="s">
        <v>575</v>
      </c>
      <c r="N139" s="53" t="s">
        <v>576</v>
      </c>
      <c r="O139" s="54" t="s">
        <v>577</v>
      </c>
      <c r="P139" s="54" t="s">
        <v>578</v>
      </c>
      <c r="Q139" s="62" t="s">
        <v>579</v>
      </c>
      <c r="R139" s="63" t="s">
        <v>580</v>
      </c>
    </row>
    <row r="140" spans="1:18" customFormat="1">
      <c r="A140">
        <v>1</v>
      </c>
      <c r="B140" s="86" t="s">
        <v>80</v>
      </c>
      <c r="C140" s="87"/>
      <c r="D140" s="88">
        <f>4*(C137-2)*10</f>
        <v>2000</v>
      </c>
      <c r="E140" s="88">
        <f>2*12*C137*2</f>
        <v>2496</v>
      </c>
      <c r="F140" s="88">
        <f>12*14*2*10</f>
        <v>3360</v>
      </c>
      <c r="G140" s="88"/>
      <c r="H140" s="88"/>
      <c r="I140" s="88"/>
      <c r="J140" s="88"/>
      <c r="K140" s="92"/>
      <c r="L140" s="39">
        <f>12*C137*14*10</f>
        <v>87360</v>
      </c>
      <c r="M140" s="39">
        <f>SUM(D140:F140)</f>
        <v>7856</v>
      </c>
      <c r="N140" s="59">
        <f t="shared" ref="N140" si="17">100*M140/L140</f>
        <v>8.9926739926739927</v>
      </c>
      <c r="O140" s="26">
        <v>87360</v>
      </c>
      <c r="P140" s="26">
        <f>D140+E140+12*3*14*2+12*1*2*8</f>
        <v>5696</v>
      </c>
      <c r="Q140" s="59">
        <f t="shared" ref="Q140" si="18">100*P140/O140</f>
        <v>6.5201465201465201</v>
      </c>
      <c r="R140" s="80">
        <f t="shared" ref="R140" si="19">(1-Q140/100)/(1-N140/100)</f>
        <v>1.0271684443550011</v>
      </c>
    </row>
    <row r="141" spans="1:18" ht="13.8">
      <c r="A141" s="28">
        <v>2</v>
      </c>
      <c r="B141" s="36"/>
      <c r="C141" s="37"/>
      <c r="D141" s="36"/>
      <c r="E141" s="36"/>
      <c r="F141" s="36"/>
      <c r="G141" s="36"/>
      <c r="H141" s="36"/>
      <c r="I141" s="36"/>
      <c r="J141" s="36"/>
      <c r="K141" s="36"/>
      <c r="L141" s="36"/>
      <c r="M141" s="36"/>
      <c r="N141" s="56"/>
      <c r="O141" s="26"/>
      <c r="P141" s="26"/>
      <c r="Q141" s="64"/>
      <c r="R141" s="65"/>
    </row>
    <row r="142" spans="1:18">
      <c r="A142" s="28">
        <v>3</v>
      </c>
      <c r="B142" s="36"/>
      <c r="C142" s="37"/>
      <c r="D142" s="36"/>
      <c r="E142" s="36"/>
      <c r="F142" s="36"/>
      <c r="G142" s="36"/>
      <c r="H142" s="36"/>
      <c r="I142" s="36"/>
      <c r="J142" s="36"/>
      <c r="K142" s="36"/>
      <c r="L142" s="36"/>
      <c r="M142" s="36"/>
      <c r="N142" s="57"/>
      <c r="O142" s="38"/>
      <c r="P142" s="38"/>
      <c r="Q142" s="59"/>
      <c r="R142" s="65"/>
    </row>
    <row r="143" spans="1:18" s="26" customFormat="1" ht="13.8">
      <c r="A143" s="28">
        <v>4</v>
      </c>
      <c r="B143" s="36"/>
      <c r="C143" s="37"/>
      <c r="D143" s="36"/>
      <c r="E143" s="36"/>
      <c r="F143" s="36"/>
      <c r="G143" s="38"/>
      <c r="H143" s="38"/>
      <c r="I143" s="38"/>
      <c r="J143" s="38"/>
      <c r="K143" s="38"/>
      <c r="L143" s="36"/>
      <c r="M143" s="36"/>
      <c r="N143" s="57"/>
      <c r="Q143" s="64"/>
      <c r="R143" s="65"/>
    </row>
    <row r="144" spans="1:18" ht="13.8">
      <c r="A144" s="28">
        <v>5</v>
      </c>
      <c r="B144" s="36"/>
      <c r="C144" s="37"/>
      <c r="D144" s="36"/>
      <c r="E144" s="36"/>
      <c r="F144" s="36"/>
      <c r="G144" s="38"/>
      <c r="H144" s="38"/>
      <c r="I144" s="38"/>
      <c r="J144" s="38"/>
      <c r="K144" s="38"/>
      <c r="L144" s="36"/>
      <c r="M144" s="36"/>
      <c r="N144" s="58"/>
      <c r="O144" s="26"/>
      <c r="P144" s="26"/>
      <c r="Q144" s="64"/>
      <c r="R144" s="65"/>
    </row>
    <row r="145" spans="1:22" ht="13.8">
      <c r="A145" s="28">
        <v>6</v>
      </c>
      <c r="B145" s="36"/>
      <c r="C145" s="37"/>
      <c r="D145" s="39"/>
      <c r="E145" s="39"/>
      <c r="F145" s="39"/>
      <c r="G145" s="26"/>
      <c r="H145" s="26"/>
      <c r="I145" s="26"/>
      <c r="J145" s="26"/>
      <c r="K145" s="26"/>
      <c r="L145" s="39"/>
      <c r="M145" s="39"/>
      <c r="N145" s="59"/>
      <c r="O145" s="26"/>
      <c r="P145" s="26"/>
      <c r="Q145" s="64"/>
      <c r="R145" s="65"/>
    </row>
    <row r="148" spans="1:22" ht="13.8">
      <c r="B148" s="85" t="s">
        <v>591</v>
      </c>
    </row>
    <row r="149" spans="1:22" ht="13.8">
      <c r="B149" s="31" t="s">
        <v>592</v>
      </c>
    </row>
    <row r="151" spans="1:22" ht="13.8">
      <c r="B151" s="31" t="s">
        <v>569</v>
      </c>
      <c r="C151" s="30">
        <v>106</v>
      </c>
    </row>
    <row r="153" spans="1:22" ht="42" thickBot="1">
      <c r="B153" s="32"/>
      <c r="C153" s="33" t="s">
        <v>594</v>
      </c>
      <c r="D153" s="32" t="s">
        <v>503</v>
      </c>
      <c r="E153" s="32" t="s">
        <v>553</v>
      </c>
      <c r="F153" s="32" t="s">
        <v>540</v>
      </c>
      <c r="G153" s="32" t="s">
        <v>595</v>
      </c>
      <c r="H153" s="32"/>
      <c r="I153" s="32"/>
      <c r="J153" s="32"/>
      <c r="K153" s="32"/>
      <c r="L153" s="53" t="s">
        <v>574</v>
      </c>
      <c r="M153" s="53" t="s">
        <v>575</v>
      </c>
      <c r="N153" s="53" t="s">
        <v>576</v>
      </c>
      <c r="O153" s="54" t="s">
        <v>577</v>
      </c>
      <c r="P153" s="54" t="s">
        <v>578</v>
      </c>
      <c r="Q153" s="62" t="s">
        <v>579</v>
      </c>
      <c r="R153" s="63" t="s">
        <v>580</v>
      </c>
    </row>
    <row r="154" spans="1:22" s="409" customFormat="1" ht="16.2" thickTop="1">
      <c r="A154" s="409">
        <v>1</v>
      </c>
      <c r="B154" s="410" t="s">
        <v>795</v>
      </c>
      <c r="C154" s="411" t="s">
        <v>798</v>
      </c>
      <c r="D154" s="410">
        <f>12*(C151-2)*4</f>
        <v>4992</v>
      </c>
      <c r="E154" s="411">
        <f>2*12*(C151-2)*2</f>
        <v>4992</v>
      </c>
      <c r="F154" s="411">
        <f>2*12*14*4</f>
        <v>1344</v>
      </c>
      <c r="G154" s="411">
        <f>12*C151</f>
        <v>1272</v>
      </c>
      <c r="H154" s="411"/>
      <c r="I154" s="410"/>
      <c r="J154" s="417"/>
      <c r="L154" s="411">
        <f>12*C151*4*14</f>
        <v>71232</v>
      </c>
      <c r="M154" s="411">
        <f>SUM(D154:G154)</f>
        <v>12600</v>
      </c>
      <c r="N154" s="418">
        <f>100*M154/L154</f>
        <v>17.688679245283019</v>
      </c>
      <c r="O154" s="419"/>
      <c r="P154" s="419"/>
      <c r="Q154" s="419"/>
      <c r="R154" s="420"/>
      <c r="S154" s="421"/>
      <c r="T154" s="410"/>
      <c r="U154" s="422"/>
      <c r="V154" s="421"/>
    </row>
    <row r="155" spans="1:22" ht="13.8">
      <c r="B155" s="44"/>
      <c r="C155" s="45"/>
      <c r="D155" s="34"/>
      <c r="E155" s="34"/>
      <c r="F155" s="34"/>
      <c r="G155" s="39"/>
      <c r="H155" s="34"/>
      <c r="I155" s="34"/>
      <c r="J155" s="34"/>
      <c r="K155" s="34"/>
      <c r="L155" s="34"/>
      <c r="M155" s="34"/>
      <c r="N155" s="55"/>
      <c r="O155" s="26"/>
      <c r="P155" s="26"/>
      <c r="Q155" s="66"/>
      <c r="R155" s="65"/>
    </row>
    <row r="156" spans="1:22" ht="13.8">
      <c r="B156" s="44"/>
      <c r="C156" s="45"/>
      <c r="D156" s="34"/>
      <c r="E156" s="34"/>
      <c r="F156" s="34"/>
      <c r="G156" s="39"/>
      <c r="H156" s="34"/>
      <c r="I156" s="34"/>
      <c r="J156" s="34"/>
      <c r="K156" s="34"/>
      <c r="L156" s="34"/>
      <c r="M156" s="34"/>
      <c r="N156" s="55"/>
      <c r="O156" s="26"/>
      <c r="P156" s="26"/>
      <c r="Q156" s="66"/>
      <c r="R156" s="65"/>
    </row>
    <row r="157" spans="1:22">
      <c r="B157" s="39"/>
      <c r="C157" s="46"/>
      <c r="D157" s="39"/>
      <c r="E157" s="39"/>
      <c r="F157" s="39"/>
      <c r="G157" s="39"/>
      <c r="H157" s="39"/>
      <c r="I157" s="39"/>
      <c r="J157" s="39"/>
      <c r="K157" s="39"/>
      <c r="L157" s="39"/>
      <c r="M157" s="39"/>
      <c r="N157" s="59"/>
      <c r="O157" s="26"/>
      <c r="P157" s="26"/>
      <c r="Q157" s="66"/>
      <c r="R157" s="65"/>
    </row>
    <row r="158" spans="1:22">
      <c r="B158" s="39"/>
      <c r="C158" s="46"/>
      <c r="D158" s="39"/>
      <c r="E158" s="39"/>
      <c r="F158" s="39"/>
      <c r="G158" s="39"/>
      <c r="H158" s="39"/>
      <c r="I158" s="39"/>
      <c r="J158" s="39"/>
      <c r="K158" s="39"/>
      <c r="L158" s="39"/>
      <c r="M158" s="39"/>
      <c r="N158" s="59"/>
      <c r="O158" s="26"/>
      <c r="P158" s="26"/>
      <c r="Q158" s="66"/>
      <c r="R158" s="65"/>
    </row>
    <row r="159" spans="1:22">
      <c r="B159" s="39"/>
      <c r="C159" s="39"/>
      <c r="D159" s="39"/>
      <c r="E159" s="39"/>
      <c r="F159" s="39"/>
      <c r="G159" s="39"/>
      <c r="H159" s="26"/>
      <c r="I159" s="26"/>
      <c r="J159" s="26"/>
      <c r="K159" s="26"/>
      <c r="L159" s="39"/>
      <c r="M159" s="39"/>
      <c r="N159" s="59"/>
      <c r="O159" s="26"/>
      <c r="P159" s="26"/>
      <c r="Q159" s="66"/>
      <c r="R159" s="65"/>
    </row>
    <row r="160" spans="1:22">
      <c r="B160" s="39"/>
      <c r="C160" s="39"/>
      <c r="D160" s="39"/>
      <c r="E160" s="39"/>
      <c r="F160" s="39"/>
      <c r="G160" s="39"/>
      <c r="H160" s="26"/>
      <c r="I160" s="26"/>
      <c r="J160" s="26"/>
      <c r="K160" s="26"/>
      <c r="L160" s="39"/>
      <c r="M160" s="39"/>
      <c r="N160" s="59"/>
      <c r="O160" s="26"/>
      <c r="P160" s="26"/>
      <c r="Q160" s="66"/>
      <c r="R160" s="65"/>
    </row>
    <row r="161" spans="1:18">
      <c r="B161" s="39"/>
      <c r="C161" s="39"/>
      <c r="D161" s="39"/>
      <c r="E161" s="39"/>
      <c r="F161" s="39"/>
      <c r="G161" s="39"/>
      <c r="H161" s="26"/>
      <c r="I161" s="26"/>
      <c r="J161" s="26"/>
      <c r="K161" s="26"/>
      <c r="L161" s="39"/>
      <c r="M161" s="39"/>
      <c r="N161" s="59"/>
      <c r="O161" s="26"/>
      <c r="P161" s="26"/>
      <c r="Q161" s="66"/>
      <c r="R161" s="65"/>
    </row>
    <row r="163" spans="1:18" ht="13.8">
      <c r="B163" s="85" t="s">
        <v>591</v>
      </c>
    </row>
    <row r="164" spans="1:18" ht="13.8">
      <c r="B164" s="31" t="s">
        <v>610</v>
      </c>
    </row>
    <row r="166" spans="1:18" ht="13.8">
      <c r="B166" s="31" t="s">
        <v>569</v>
      </c>
      <c r="C166" s="30">
        <v>51</v>
      </c>
    </row>
    <row r="168" spans="1:18" ht="42" thickBot="1">
      <c r="B168" s="32"/>
      <c r="C168" s="33" t="s">
        <v>594</v>
      </c>
      <c r="D168" s="32" t="s">
        <v>503</v>
      </c>
      <c r="E168" s="32" t="s">
        <v>553</v>
      </c>
      <c r="F168" s="32" t="s">
        <v>540</v>
      </c>
      <c r="G168" s="32" t="s">
        <v>595</v>
      </c>
      <c r="H168" s="32"/>
      <c r="I168" s="32"/>
      <c r="J168" s="32"/>
      <c r="K168" s="32"/>
      <c r="L168" s="53" t="s">
        <v>574</v>
      </c>
      <c r="M168" s="53" t="s">
        <v>575</v>
      </c>
      <c r="N168" s="53" t="s">
        <v>576</v>
      </c>
      <c r="O168" s="54" t="s">
        <v>577</v>
      </c>
      <c r="P168" s="54" t="s">
        <v>578</v>
      </c>
      <c r="Q168" s="62" t="s">
        <v>579</v>
      </c>
      <c r="R168" s="63" t="s">
        <v>580</v>
      </c>
    </row>
    <row r="169" spans="1:18" ht="27" thickTop="1">
      <c r="A169" s="28">
        <v>1</v>
      </c>
      <c r="B169" s="89" t="s">
        <v>33</v>
      </c>
      <c r="C169" s="90" t="s">
        <v>669</v>
      </c>
      <c r="D169" s="39">
        <f>(4*(C166-3)+4*C166*2)*2</f>
        <v>1200</v>
      </c>
      <c r="E169" s="39">
        <f>2*12*C166*2</f>
        <v>2448</v>
      </c>
      <c r="F169" s="39">
        <f>(12*14*3*1+12*7*3*1+12*2*1*2)*2</f>
        <v>1608</v>
      </c>
      <c r="G169" s="39">
        <f>12*C166*2</f>
        <v>1224</v>
      </c>
      <c r="H169" s="39"/>
      <c r="I169" s="26"/>
      <c r="J169" s="26"/>
      <c r="K169" s="26"/>
      <c r="L169" s="49">
        <f>C166*2*(12*14*3+12*2*2+12*2*2)</f>
        <v>61200</v>
      </c>
      <c r="M169" s="60">
        <f>SUM(D169:G169)</f>
        <v>6480</v>
      </c>
      <c r="N169" s="61">
        <f t="shared" ref="N169" si="20">100*M169/L169</f>
        <v>10.588235294117647</v>
      </c>
      <c r="O169" s="26">
        <f>L169</f>
        <v>61200</v>
      </c>
      <c r="P169" s="26">
        <f>SUM(D169,E169,G169)+(12*14*3*1+12*2*1*2)*2</f>
        <v>5976</v>
      </c>
      <c r="Q169" s="67">
        <f>100*P169/O169</f>
        <v>9.764705882352942</v>
      </c>
      <c r="R169" s="65">
        <f>(1-Q169/100)/(1-N169/100)</f>
        <v>1.0092105263157893</v>
      </c>
    </row>
    <row r="170" spans="1:18" ht="26.4">
      <c r="A170" s="28">
        <v>1</v>
      </c>
      <c r="B170" s="89" t="s">
        <v>33</v>
      </c>
      <c r="C170" s="90" t="s">
        <v>649</v>
      </c>
      <c r="D170" s="39">
        <f>(4*(C166-3)*1+4*C166*1)*2</f>
        <v>792</v>
      </c>
      <c r="E170" s="39">
        <f>2*12*C166*2</f>
        <v>2448</v>
      </c>
      <c r="F170" s="39">
        <f>(12*14*3*1+12*7*1)*2</f>
        <v>1176</v>
      </c>
      <c r="G170" s="39">
        <f>12*C166*2</f>
        <v>1224</v>
      </c>
      <c r="H170" s="39"/>
      <c r="I170" s="26"/>
      <c r="J170" s="26"/>
      <c r="K170" s="26"/>
      <c r="L170" s="49">
        <f>C166*2*(12*14*2+12*4*1+12*2*1)</f>
        <v>41616</v>
      </c>
      <c r="M170" s="60">
        <f>SUM(D170:G170)</f>
        <v>5640</v>
      </c>
      <c r="N170" s="61">
        <f t="shared" ref="N170" si="21">100*M170/L170</f>
        <v>13.552479815455595</v>
      </c>
      <c r="O170" s="26">
        <f>L170</f>
        <v>41616</v>
      </c>
      <c r="P170" s="26">
        <f>SUM(D170,E170,G170)+(12*14*3*1+12*2*1*1)*2</f>
        <v>5520</v>
      </c>
      <c r="Q170" s="67">
        <f>100*P170/O170</f>
        <v>13.264129181084199</v>
      </c>
      <c r="R170" s="65">
        <f>(1-Q170/100)/(1-N170/100)</f>
        <v>1.0033355570380253</v>
      </c>
    </row>
    <row r="171" spans="1:18">
      <c r="B171" s="39"/>
      <c r="C171" s="39"/>
      <c r="D171" s="39"/>
      <c r="E171" s="39"/>
      <c r="F171" s="39"/>
      <c r="G171" s="39"/>
      <c r="H171" s="26"/>
      <c r="I171" s="26"/>
      <c r="J171" s="26"/>
      <c r="K171" s="26"/>
      <c r="L171" s="39"/>
      <c r="M171" s="39"/>
      <c r="N171" s="59"/>
      <c r="O171" s="26"/>
      <c r="P171" s="26"/>
      <c r="Q171" s="67"/>
      <c r="R171" s="65"/>
    </row>
    <row r="172" spans="1:18">
      <c r="B172" s="39"/>
      <c r="C172" s="49"/>
      <c r="D172" s="49"/>
      <c r="E172" s="49"/>
      <c r="F172" s="49"/>
      <c r="G172" s="39"/>
      <c r="H172" s="49"/>
      <c r="I172" s="49"/>
      <c r="J172" s="49"/>
      <c r="K172" s="49"/>
      <c r="L172" s="49"/>
      <c r="M172" s="49"/>
      <c r="N172" s="49"/>
      <c r="O172" s="26"/>
      <c r="P172" s="26"/>
      <c r="Q172" s="67"/>
      <c r="R172" s="65"/>
    </row>
    <row r="183" spans="1:18" ht="13.8">
      <c r="B183" s="51" t="s">
        <v>620</v>
      </c>
      <c r="D183" s="28" t="s">
        <v>661</v>
      </c>
      <c r="E183" s="28"/>
      <c r="F183" s="28"/>
      <c r="L183" s="28"/>
      <c r="M183" s="28"/>
      <c r="N183" s="28"/>
    </row>
    <row r="184" spans="1:18" ht="13.8">
      <c r="B184" s="51" t="s">
        <v>634</v>
      </c>
      <c r="D184" s="28"/>
      <c r="E184" s="28"/>
      <c r="F184" s="28"/>
      <c r="L184" s="28"/>
      <c r="M184" s="28"/>
      <c r="N184" s="28"/>
    </row>
    <row r="185" spans="1:18">
      <c r="B185" s="28"/>
      <c r="D185" s="28"/>
      <c r="E185" s="28"/>
      <c r="F185" s="28"/>
      <c r="L185" s="28"/>
      <c r="M185" s="28"/>
      <c r="N185" s="28"/>
    </row>
    <row r="186" spans="1:18" ht="13.8">
      <c r="B186" s="51" t="s">
        <v>569</v>
      </c>
      <c r="C186" s="30">
        <v>105</v>
      </c>
      <c r="D186" s="28"/>
      <c r="E186" s="28"/>
      <c r="F186" s="28"/>
      <c r="L186" s="28"/>
      <c r="M186" s="28"/>
      <c r="N186" s="28"/>
    </row>
    <row r="187" spans="1:18">
      <c r="B187" s="28"/>
      <c r="D187" s="28"/>
      <c r="E187" s="28"/>
      <c r="F187" s="28"/>
      <c r="L187" s="28"/>
      <c r="M187" s="28"/>
      <c r="N187" s="28"/>
    </row>
    <row r="188" spans="1:18" ht="42" thickBot="1">
      <c r="B188" s="32"/>
      <c r="C188" s="33" t="s">
        <v>594</v>
      </c>
      <c r="D188" s="32" t="s">
        <v>503</v>
      </c>
      <c r="E188" s="32" t="s">
        <v>553</v>
      </c>
      <c r="F188" s="32" t="s">
        <v>540</v>
      </c>
      <c r="G188" s="32" t="s">
        <v>534</v>
      </c>
      <c r="H188" s="32" t="s">
        <v>595</v>
      </c>
      <c r="I188" s="32"/>
      <c r="J188" s="32"/>
      <c r="K188" s="32"/>
      <c r="L188" s="53" t="s">
        <v>662</v>
      </c>
      <c r="M188" s="53" t="s">
        <v>663</v>
      </c>
      <c r="N188" s="53" t="s">
        <v>664</v>
      </c>
      <c r="O188" s="54" t="s">
        <v>665</v>
      </c>
      <c r="P188" s="54" t="s">
        <v>666</v>
      </c>
      <c r="Q188" s="62" t="s">
        <v>579</v>
      </c>
      <c r="R188" s="63" t="s">
        <v>580</v>
      </c>
    </row>
    <row r="189" spans="1:18" ht="13.8" thickTop="1">
      <c r="A189" s="28">
        <v>1</v>
      </c>
      <c r="B189" s="39" t="s">
        <v>5</v>
      </c>
      <c r="C189" s="46" t="s">
        <v>607</v>
      </c>
      <c r="D189" s="39">
        <f>12*(C186-3)*2*4</f>
        <v>9792</v>
      </c>
      <c r="E189" s="39">
        <f>2*12*C186*2*4</f>
        <v>20160</v>
      </c>
      <c r="F189" s="39">
        <f>3*12*14*2*4</f>
        <v>4032</v>
      </c>
      <c r="G189" s="39">
        <f>INT(C186/4)*INT((14-2))*2*2*4</f>
        <v>4992</v>
      </c>
      <c r="H189" s="39">
        <f>12*2*C186*4</f>
        <v>10080</v>
      </c>
      <c r="I189" s="26"/>
      <c r="J189" s="26"/>
      <c r="K189" s="26"/>
      <c r="L189" s="39">
        <f>12*C186*16*2*4</f>
        <v>161280</v>
      </c>
      <c r="M189" s="39">
        <f>SUM(D189:H189)</f>
        <v>49056</v>
      </c>
      <c r="N189" s="59">
        <f>100*M189/L189</f>
        <v>30.416666666666668</v>
      </c>
      <c r="O189" s="26">
        <f>L189</f>
        <v>161280</v>
      </c>
      <c r="P189" s="26">
        <f>SUM(D189,E189,G189,H189)+(12*14*3*2)*4</f>
        <v>49056</v>
      </c>
      <c r="Q189" s="67">
        <f>100*P189/O189</f>
        <v>30.416666666666668</v>
      </c>
      <c r="R189" s="65">
        <f t="shared" ref="R189" si="22">(1-Q189/100)/(1-N189/100)</f>
        <v>1</v>
      </c>
    </row>
    <row r="190" spans="1:18">
      <c r="B190" s="39"/>
      <c r="C190" s="46"/>
      <c r="D190" s="39"/>
      <c r="E190" s="39"/>
      <c r="F190" s="39"/>
      <c r="G190" s="26"/>
      <c r="H190" s="26"/>
      <c r="I190" s="26"/>
      <c r="J190" s="26"/>
      <c r="K190" s="26"/>
      <c r="L190" s="39"/>
      <c r="M190" s="39"/>
      <c r="N190" s="75"/>
      <c r="O190" s="26"/>
      <c r="P190" s="26"/>
      <c r="Q190" s="26"/>
      <c r="R190" s="65"/>
    </row>
    <row r="191" spans="1:18">
      <c r="B191" s="39"/>
      <c r="C191" s="26"/>
      <c r="H191" s="39"/>
      <c r="L191" s="39"/>
      <c r="M191" s="39"/>
      <c r="N191" s="75"/>
      <c r="O191" s="76"/>
      <c r="P191" s="77"/>
      <c r="Q191" s="79"/>
      <c r="R191" s="80"/>
    </row>
    <row r="192" spans="1:18">
      <c r="B192" s="39"/>
      <c r="C192" s="26"/>
      <c r="H192" s="39"/>
      <c r="L192" s="39"/>
      <c r="M192" s="39"/>
      <c r="N192" s="75"/>
      <c r="O192" s="76"/>
      <c r="P192" s="77"/>
      <c r="Q192" s="79"/>
      <c r="R192" s="80"/>
    </row>
    <row r="193" spans="1:18">
      <c r="B193" s="39"/>
      <c r="C193" s="26"/>
      <c r="H193" s="39"/>
      <c r="L193" s="39"/>
      <c r="M193" s="39"/>
      <c r="N193" s="75"/>
      <c r="O193" s="76"/>
      <c r="P193" s="77"/>
      <c r="Q193" s="79"/>
      <c r="R193" s="80"/>
    </row>
    <row r="194" spans="1:18">
      <c r="B194" s="39"/>
      <c r="C194" s="26"/>
      <c r="H194" s="39"/>
      <c r="L194" s="39"/>
      <c r="M194" s="39"/>
      <c r="N194" s="75"/>
      <c r="O194" s="76"/>
      <c r="P194" s="77"/>
      <c r="Q194" s="79"/>
      <c r="R194" s="80"/>
    </row>
    <row r="195" spans="1:18">
      <c r="B195" s="39"/>
      <c r="C195" s="26"/>
      <c r="H195" s="39"/>
      <c r="L195" s="39"/>
      <c r="M195" s="39"/>
      <c r="N195" s="75"/>
      <c r="O195" s="76"/>
      <c r="P195" s="77"/>
      <c r="Q195" s="79"/>
      <c r="R195" s="80"/>
    </row>
    <row r="199" spans="1:18" ht="13.8">
      <c r="B199" s="51" t="s">
        <v>849</v>
      </c>
      <c r="D199" s="28" t="s">
        <v>661</v>
      </c>
      <c r="E199" s="28"/>
      <c r="F199" s="28"/>
      <c r="L199" s="28"/>
      <c r="M199" s="28"/>
      <c r="N199" s="28"/>
    </row>
    <row r="200" spans="1:18" ht="13.8">
      <c r="B200" s="51" t="s">
        <v>631</v>
      </c>
      <c r="D200" s="28"/>
      <c r="E200" s="28"/>
      <c r="F200" s="28"/>
      <c r="L200" s="28"/>
      <c r="M200" s="28"/>
      <c r="N200" s="28"/>
    </row>
    <row r="201" spans="1:18">
      <c r="B201" s="28"/>
      <c r="D201" s="28"/>
      <c r="E201" s="28"/>
      <c r="F201" s="28"/>
      <c r="L201" s="28"/>
      <c r="M201" s="28"/>
      <c r="N201" s="28"/>
    </row>
    <row r="202" spans="1:18" ht="13.8">
      <c r="B202" s="51" t="s">
        <v>569</v>
      </c>
      <c r="C202" s="30">
        <v>53</v>
      </c>
      <c r="D202" s="28"/>
      <c r="E202" s="28"/>
      <c r="F202" s="28"/>
      <c r="L202" s="28"/>
      <c r="M202" s="28"/>
      <c r="N202" s="28"/>
    </row>
    <row r="203" spans="1:18">
      <c r="B203" s="28"/>
      <c r="D203" s="28"/>
      <c r="E203" s="28"/>
      <c r="F203" s="28"/>
      <c r="L203" s="28"/>
      <c r="M203" s="28"/>
      <c r="N203" s="28"/>
    </row>
    <row r="204" spans="1:18" ht="42" thickBot="1">
      <c r="B204" s="32"/>
      <c r="C204" s="33" t="s">
        <v>594</v>
      </c>
      <c r="D204" s="32" t="s">
        <v>503</v>
      </c>
      <c r="E204" s="32" t="s">
        <v>553</v>
      </c>
      <c r="F204" s="32" t="s">
        <v>540</v>
      </c>
      <c r="G204" s="32" t="s">
        <v>534</v>
      </c>
      <c r="H204" s="32" t="s">
        <v>595</v>
      </c>
      <c r="I204" s="32"/>
      <c r="J204" s="32"/>
      <c r="K204" s="32"/>
      <c r="L204" s="53" t="s">
        <v>574</v>
      </c>
      <c r="M204" s="53" t="s">
        <v>575</v>
      </c>
      <c r="N204" s="53" t="s">
        <v>576</v>
      </c>
      <c r="O204" s="54" t="s">
        <v>577</v>
      </c>
      <c r="P204" s="54" t="s">
        <v>578</v>
      </c>
      <c r="Q204" s="62" t="s">
        <v>579</v>
      </c>
      <c r="R204" s="63" t="s">
        <v>580</v>
      </c>
    </row>
    <row r="205" spans="1:18" ht="14.4" thickTop="1">
      <c r="A205" s="28">
        <v>1</v>
      </c>
      <c r="B205" s="95" t="s">
        <v>93</v>
      </c>
      <c r="C205" s="46" t="s">
        <v>607</v>
      </c>
      <c r="D205" s="39">
        <f>12*(C202-2)*2*8</f>
        <v>9792</v>
      </c>
      <c r="E205" s="39">
        <f>12*C202*2*8</f>
        <v>10176</v>
      </c>
      <c r="F205" s="39">
        <f>2*12*14*2*8</f>
        <v>5376</v>
      </c>
      <c r="G205" s="39">
        <f>INT(C202/4)*INT((14-2))*2*2*8</f>
        <v>4992</v>
      </c>
      <c r="H205" s="39">
        <f>12*2*C202*8</f>
        <v>10176</v>
      </c>
      <c r="I205" s="26"/>
      <c r="J205" s="26"/>
      <c r="K205" s="26"/>
      <c r="L205" s="39">
        <f>12*C202*16*2*8</f>
        <v>162816</v>
      </c>
      <c r="M205" s="39">
        <f>SUM(D205:H205)</f>
        <v>40512</v>
      </c>
      <c r="N205" s="59">
        <f>100*M205/L205</f>
        <v>24.882075471698112</v>
      </c>
      <c r="O205" s="26">
        <f>L205</f>
        <v>162816</v>
      </c>
      <c r="P205" s="26">
        <f>SUM(D205,E205,G205,H205)+(12*14*3*2)*8</f>
        <v>43200</v>
      </c>
      <c r="Q205" s="67">
        <f>100*P205/O205</f>
        <v>26.533018867924529</v>
      </c>
      <c r="R205" s="65">
        <f t="shared" ref="R205" si="23">(1-Q205/100)/(1-N205/100)</f>
        <v>0.9780219780219781</v>
      </c>
    </row>
    <row r="224" spans="2:17" customFormat="1" ht="13.8">
      <c r="B224" s="96" t="s">
        <v>650</v>
      </c>
      <c r="C224" s="97"/>
      <c r="D224" s="3"/>
      <c r="E224" s="3"/>
      <c r="F224" s="3"/>
      <c r="L224" s="29"/>
      <c r="M224" s="29"/>
      <c r="N224" s="29"/>
      <c r="O224" s="28"/>
      <c r="P224" s="28"/>
      <c r="Q224" s="28"/>
    </row>
    <row r="225" spans="1:18" customFormat="1" ht="13.8">
      <c r="B225" s="96" t="s">
        <v>592</v>
      </c>
      <c r="C225" s="97"/>
      <c r="D225" s="3"/>
      <c r="E225" s="3"/>
      <c r="F225" s="3"/>
      <c r="L225" s="29"/>
      <c r="M225" s="29"/>
      <c r="N225" s="29"/>
      <c r="O225" s="28"/>
      <c r="P225" s="28"/>
      <c r="Q225" s="28"/>
    </row>
    <row r="226" spans="1:18" customFormat="1">
      <c r="B226" s="3"/>
      <c r="C226" s="97"/>
      <c r="D226" s="3"/>
      <c r="E226" s="3"/>
      <c r="F226" s="3"/>
      <c r="L226" s="29"/>
      <c r="M226" s="29"/>
      <c r="N226" s="29"/>
      <c r="O226" s="28"/>
      <c r="P226" s="28"/>
      <c r="Q226" s="28"/>
    </row>
    <row r="227" spans="1:18" customFormat="1" ht="13.8">
      <c r="B227" s="96" t="s">
        <v>569</v>
      </c>
      <c r="C227" s="97">
        <v>50</v>
      </c>
      <c r="D227" s="3"/>
      <c r="E227" s="3"/>
      <c r="F227" s="3"/>
      <c r="L227" s="29"/>
      <c r="M227" s="29"/>
      <c r="N227" s="29"/>
      <c r="O227" s="28"/>
      <c r="P227" s="28"/>
      <c r="Q227" s="28"/>
    </row>
    <row r="228" spans="1:18" customFormat="1">
      <c r="B228" s="3"/>
      <c r="C228" s="97"/>
      <c r="D228" s="3"/>
      <c r="E228" s="3"/>
      <c r="F228" s="3"/>
      <c r="L228" s="29"/>
      <c r="M228" s="29"/>
      <c r="N228" s="29"/>
      <c r="O228" s="28"/>
      <c r="P228" s="28"/>
      <c r="Q228" s="28"/>
    </row>
    <row r="229" spans="1:18" customFormat="1" ht="28.2" thickBot="1">
      <c r="B229" s="98"/>
      <c r="C229" s="99"/>
      <c r="D229" s="98" t="s">
        <v>503</v>
      </c>
      <c r="E229" s="98" t="s">
        <v>553</v>
      </c>
      <c r="F229" s="98" t="s">
        <v>540</v>
      </c>
      <c r="G229" s="98"/>
      <c r="H229" s="98"/>
      <c r="I229" s="100"/>
      <c r="J229" s="98"/>
      <c r="K229" s="98"/>
      <c r="L229" s="53" t="s">
        <v>574</v>
      </c>
      <c r="M229" s="53" t="s">
        <v>575</v>
      </c>
      <c r="N229" s="53" t="s">
        <v>576</v>
      </c>
    </row>
    <row r="230" spans="1:18" customFormat="1" ht="13.8" thickTop="1">
      <c r="A230">
        <v>1</v>
      </c>
      <c r="B230" s="50" t="s">
        <v>16</v>
      </c>
      <c r="C230" s="29"/>
      <c r="D230" s="3">
        <f>24*(C227-2)*9+24*(C227-4)</f>
        <v>11472</v>
      </c>
      <c r="E230" s="3">
        <f>1*12*(C227-2)*2</f>
        <v>1152</v>
      </c>
      <c r="F230" s="3">
        <f>12*14*2*9+12*14*4*1</f>
        <v>3696</v>
      </c>
      <c r="G230" s="3"/>
      <c r="L230" s="39">
        <f>C227*12*14*10</f>
        <v>84000</v>
      </c>
      <c r="M230" s="39">
        <f>SUM(D230:F230)</f>
        <v>16320</v>
      </c>
      <c r="N230" s="59">
        <f>100*M230/L230</f>
        <v>19.428571428571427</v>
      </c>
      <c r="Q230" s="59"/>
      <c r="R230" s="80"/>
    </row>
    <row r="231" spans="1:18" customFormat="1">
      <c r="B231" s="3"/>
      <c r="C231" s="97"/>
      <c r="D231" s="3"/>
      <c r="E231" s="3"/>
      <c r="F231" s="3"/>
      <c r="L231" s="3"/>
      <c r="M231" s="3"/>
      <c r="N231" s="3"/>
      <c r="O231" s="28"/>
      <c r="P231" s="28"/>
      <c r="Q231" s="28"/>
      <c r="R231" s="28"/>
    </row>
    <row r="232" spans="1:18" customFormat="1">
      <c r="B232" s="3"/>
      <c r="C232" s="97"/>
      <c r="D232" s="3"/>
      <c r="E232" s="3"/>
      <c r="F232" s="3"/>
      <c r="L232" s="3"/>
      <c r="M232" s="3"/>
      <c r="N232" s="3"/>
      <c r="O232" s="28"/>
      <c r="P232" s="28"/>
      <c r="Q232" s="28"/>
      <c r="R232" s="28"/>
    </row>
    <row r="233" spans="1:18" customFormat="1">
      <c r="B233" s="3"/>
      <c r="C233" s="97"/>
      <c r="D233" s="3"/>
      <c r="E233" s="3"/>
      <c r="F233" s="3"/>
      <c r="L233" s="3"/>
      <c r="M233" s="3"/>
      <c r="N233" s="3"/>
      <c r="O233" s="28"/>
      <c r="P233" s="28"/>
      <c r="Q233" s="28"/>
      <c r="R233" s="28"/>
    </row>
    <row r="234" spans="1:18" customFormat="1">
      <c r="B234" s="3"/>
      <c r="C234" s="97"/>
      <c r="D234" s="3"/>
      <c r="E234" s="3"/>
      <c r="F234" s="3"/>
      <c r="L234" s="3"/>
      <c r="M234" s="3"/>
      <c r="N234" s="3"/>
      <c r="O234" s="28"/>
      <c r="P234" s="28"/>
      <c r="Q234" s="28"/>
      <c r="R234" s="28"/>
    </row>
    <row r="235" spans="1:18" customFormat="1">
      <c r="B235" s="3"/>
      <c r="C235" s="97"/>
      <c r="D235" s="3"/>
      <c r="E235" s="3"/>
      <c r="F235" s="3"/>
      <c r="L235" s="3"/>
      <c r="M235" s="3"/>
      <c r="N235" s="3"/>
      <c r="O235" s="28"/>
      <c r="P235" s="28"/>
      <c r="Q235" s="28"/>
      <c r="R235" s="28"/>
    </row>
    <row r="236" spans="1:18" customFormat="1">
      <c r="B236" s="3"/>
      <c r="C236" s="97"/>
      <c r="D236" s="3"/>
      <c r="E236" s="3"/>
      <c r="F236" s="3"/>
      <c r="L236" s="3"/>
      <c r="M236" s="3"/>
      <c r="N236" s="3"/>
      <c r="O236" s="28"/>
      <c r="P236" s="28"/>
      <c r="Q236" s="28"/>
      <c r="R236" s="28"/>
    </row>
    <row r="237" spans="1:18" customFormat="1" ht="13.8">
      <c r="B237" s="96" t="s">
        <v>654</v>
      </c>
      <c r="C237" s="97"/>
      <c r="D237" s="3"/>
      <c r="E237" s="3"/>
      <c r="F237" s="3"/>
      <c r="L237" s="29"/>
      <c r="M237" s="29"/>
      <c r="N237" s="29"/>
      <c r="O237" s="28"/>
      <c r="P237" s="28"/>
      <c r="Q237" s="28"/>
      <c r="R237" s="28"/>
    </row>
    <row r="238" spans="1:18" customFormat="1" ht="13.8">
      <c r="B238" s="96" t="s">
        <v>592</v>
      </c>
      <c r="C238" s="97"/>
      <c r="D238" s="3"/>
      <c r="E238" s="3"/>
      <c r="F238" s="3"/>
      <c r="L238" s="29"/>
      <c r="M238" s="29"/>
      <c r="N238" s="29"/>
      <c r="O238" s="28"/>
      <c r="P238" s="28"/>
      <c r="Q238" s="28"/>
      <c r="R238" s="28"/>
    </row>
    <row r="239" spans="1:18" customFormat="1">
      <c r="B239" s="3"/>
      <c r="C239" s="97"/>
      <c r="D239" s="3"/>
      <c r="E239" s="3"/>
      <c r="F239" s="3"/>
      <c r="L239" s="29"/>
      <c r="M239" s="29"/>
      <c r="N239" s="29"/>
      <c r="O239" s="28"/>
      <c r="P239" s="28"/>
      <c r="Q239" s="28"/>
      <c r="R239" s="28"/>
    </row>
    <row r="240" spans="1:18" customFormat="1" ht="13.8">
      <c r="B240" s="96" t="s">
        <v>569</v>
      </c>
      <c r="C240" s="97">
        <v>100</v>
      </c>
      <c r="D240" s="3"/>
      <c r="E240" s="3"/>
      <c r="F240" s="3"/>
      <c r="L240" s="29"/>
      <c r="M240" s="29"/>
      <c r="N240" s="29"/>
      <c r="O240" s="28"/>
      <c r="P240" s="28"/>
      <c r="Q240" s="28"/>
      <c r="R240" s="28"/>
    </row>
    <row r="241" spans="1:18" customFormat="1">
      <c r="B241" s="3"/>
      <c r="C241" s="97"/>
      <c r="D241" s="3"/>
      <c r="E241" s="3"/>
      <c r="F241" s="3"/>
      <c r="L241" s="29"/>
      <c r="M241" s="29"/>
      <c r="N241" s="29"/>
      <c r="O241" s="28"/>
      <c r="P241" s="28"/>
      <c r="Q241" s="28"/>
      <c r="R241" s="28"/>
    </row>
    <row r="242" spans="1:18" customFormat="1" ht="40.799999999999997" thickBot="1">
      <c r="B242" s="98"/>
      <c r="C242" s="99" t="s">
        <v>594</v>
      </c>
      <c r="D242" s="98" t="s">
        <v>503</v>
      </c>
      <c r="E242" s="98" t="s">
        <v>553</v>
      </c>
      <c r="F242" s="98" t="s">
        <v>540</v>
      </c>
      <c r="G242" s="98" t="s">
        <v>595</v>
      </c>
      <c r="H242" s="98"/>
      <c r="I242" s="100"/>
      <c r="J242" s="98"/>
      <c r="K242" s="98"/>
      <c r="L242" s="53" t="s">
        <v>574</v>
      </c>
      <c r="M242" s="53" t="s">
        <v>575</v>
      </c>
      <c r="N242" s="53" t="s">
        <v>576</v>
      </c>
      <c r="O242" s="101" t="s">
        <v>577</v>
      </c>
      <c r="P242" s="101" t="s">
        <v>578</v>
      </c>
      <c r="Q242" s="102" t="s">
        <v>579</v>
      </c>
      <c r="R242" s="103" t="s">
        <v>580</v>
      </c>
    </row>
    <row r="243" spans="1:18" customFormat="1" ht="13.8" thickTop="1">
      <c r="A243">
        <v>1</v>
      </c>
      <c r="B243" s="50" t="s">
        <v>5</v>
      </c>
      <c r="C243" s="29" t="s">
        <v>656</v>
      </c>
      <c r="D243" s="3">
        <f>24*(C240-4)*2</f>
        <v>4608</v>
      </c>
      <c r="E243" s="3">
        <f>2*12*C240*2</f>
        <v>4800</v>
      </c>
      <c r="F243" s="3">
        <f>4*12*14*2</f>
        <v>1344</v>
      </c>
      <c r="G243" s="3">
        <f>2*12*C240</f>
        <v>2400</v>
      </c>
      <c r="L243" s="39">
        <f>C240*12*(14+2)*2</f>
        <v>38400</v>
      </c>
      <c r="M243" s="39">
        <f>SUM(D243:G243)</f>
        <v>13152</v>
      </c>
      <c r="N243" s="59">
        <f>100*M243/L243</f>
        <v>34.25</v>
      </c>
      <c r="O243">
        <f>L243</f>
        <v>38400</v>
      </c>
      <c r="P243">
        <f>M243</f>
        <v>13152</v>
      </c>
      <c r="Q243" s="59">
        <f>100*P243/O243</f>
        <v>34.25</v>
      </c>
      <c r="R243" s="80">
        <f t="shared" ref="R243" si="24">(1-Q243/100)/(1-N243/100)</f>
        <v>1</v>
      </c>
    </row>
    <row r="244" spans="1:18">
      <c r="A244" s="28">
        <v>2</v>
      </c>
      <c r="B244" s="50" t="s">
        <v>16</v>
      </c>
      <c r="C244" s="29" t="s">
        <v>658</v>
      </c>
      <c r="D244" s="29">
        <f>24*(C240-2)*3+24*(C240-4)</f>
        <v>9360</v>
      </c>
      <c r="E244" s="29">
        <f>12*2*C240*1</f>
        <v>2400</v>
      </c>
      <c r="F244" s="29">
        <f>12*14*2*3+12*14*4*1</f>
        <v>1680</v>
      </c>
      <c r="G244" s="29">
        <f>1*12*C240</f>
        <v>1200</v>
      </c>
      <c r="L244" s="29">
        <f>C240*12*(14*2+2+0.5)*2</f>
        <v>73200</v>
      </c>
      <c r="M244" s="39">
        <f>SUM(D244:G244)</f>
        <v>14640</v>
      </c>
      <c r="N244" s="59">
        <f>100*M244/L244</f>
        <v>20</v>
      </c>
      <c r="O244">
        <f>L244</f>
        <v>73200</v>
      </c>
      <c r="P244">
        <f>M244</f>
        <v>14640</v>
      </c>
      <c r="Q244" s="59">
        <f>100*P244/O244</f>
        <v>20</v>
      </c>
      <c r="R244" s="80">
        <f t="shared" ref="R244:R245" si="25">(1-Q244/100)/(1-N244/100)</f>
        <v>1</v>
      </c>
    </row>
    <row r="245" spans="1:18">
      <c r="A245" s="28">
        <v>3</v>
      </c>
      <c r="B245" s="50" t="s">
        <v>850</v>
      </c>
      <c r="C245" s="460" t="s">
        <v>874</v>
      </c>
      <c r="D245" s="29">
        <f>24*(C240-3)*2+24*(C240-2)*2</f>
        <v>9360</v>
      </c>
      <c r="E245" s="29">
        <f>12*2*C240</f>
        <v>2400</v>
      </c>
      <c r="F245" s="29">
        <f>12*14*3*2+12*7*3*1+12*14*1</f>
        <v>1428</v>
      </c>
      <c r="G245" s="29">
        <f>2*12*C240</f>
        <v>2400</v>
      </c>
      <c r="L245" s="29">
        <f>C240*12*(14*2+6)*2</f>
        <v>81600</v>
      </c>
      <c r="M245" s="39">
        <f>SUM(D245:F245)</f>
        <v>13188</v>
      </c>
      <c r="N245" s="59">
        <f>100*M245/L245</f>
        <v>16.161764705882351</v>
      </c>
      <c r="O245" s="28">
        <f>L245+G245</f>
        <v>84000</v>
      </c>
      <c r="P245">
        <f>SUM(D245:G245)</f>
        <v>15588</v>
      </c>
      <c r="Q245" s="59">
        <f>100*P245/O245</f>
        <v>18.557142857142857</v>
      </c>
      <c r="R245" s="80">
        <f t="shared" si="25"/>
        <v>0.97142857142857142</v>
      </c>
    </row>
  </sheetData>
  <mergeCells count="1">
    <mergeCell ref="B1:K1"/>
  </mergeCells>
  <phoneticPr fontId="21" type="noConversion"/>
  <pageMargins left="0.69930555555555596" right="0.69930555555555596"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126"/>
  <sheetViews>
    <sheetView zoomScale="55" zoomScaleNormal="55" workbookViewId="0">
      <pane xSplit="8" ySplit="2" topLeftCell="I98" activePane="bottomRight" state="frozen"/>
      <selection pane="topRight"/>
      <selection pane="bottomLeft"/>
      <selection pane="bottomRight" activeCell="A109" sqref="A109:AA126"/>
    </sheetView>
  </sheetViews>
  <sheetFormatPr defaultColWidth="9.44140625" defaultRowHeight="13.2"/>
  <cols>
    <col min="1" max="1" width="10.44140625" style="2" customWidth="1"/>
    <col min="2" max="2" width="5.109375" style="2" customWidth="1"/>
    <col min="3" max="3" width="22.5546875" style="2" customWidth="1"/>
    <col min="4" max="4" width="19.109375" style="2" customWidth="1"/>
    <col min="5" max="5" width="11.44140625" style="2" customWidth="1"/>
    <col min="6" max="6" width="9.109375" style="2" customWidth="1"/>
    <col min="7" max="7" width="14.44140625" style="2" customWidth="1"/>
    <col min="8" max="8" width="6.44140625" style="2" customWidth="1"/>
    <col min="9" max="15" width="9.44140625" style="2" customWidth="1"/>
    <col min="16" max="17" width="9.44140625" style="2"/>
    <col min="18" max="18" width="10.5546875" style="2" customWidth="1"/>
    <col min="19" max="26" width="9.44140625" style="2" customWidth="1"/>
    <col min="27" max="16384" width="9.44140625" style="2"/>
  </cols>
  <sheetData>
    <row r="1" spans="1:26" s="1" customFormat="1" ht="40.5" customHeight="1" thickBot="1">
      <c r="A1" s="4" t="s">
        <v>670</v>
      </c>
      <c r="B1" s="1" t="s">
        <v>671</v>
      </c>
      <c r="C1" s="20" t="s">
        <v>672</v>
      </c>
      <c r="D1" s="1" t="s">
        <v>673</v>
      </c>
      <c r="E1" s="1" t="s">
        <v>112</v>
      </c>
      <c r="F1" s="1" t="s">
        <v>128</v>
      </c>
      <c r="G1" s="584" t="s">
        <v>674</v>
      </c>
      <c r="H1" s="584"/>
      <c r="I1" s="1" t="s">
        <v>5</v>
      </c>
      <c r="J1" s="1" t="s">
        <v>25</v>
      </c>
      <c r="K1" s="1" t="s">
        <v>21</v>
      </c>
      <c r="L1" s="1" t="s">
        <v>675</v>
      </c>
      <c r="M1" s="1" t="s">
        <v>676</v>
      </c>
      <c r="N1" s="1" t="s">
        <v>677</v>
      </c>
      <c r="O1" s="1" t="s">
        <v>908</v>
      </c>
      <c r="R1" s="4" t="s">
        <v>678</v>
      </c>
      <c r="S1" s="1" t="s">
        <v>17</v>
      </c>
      <c r="T1" s="1" t="s">
        <v>5</v>
      </c>
      <c r="U1" s="1" t="s">
        <v>25</v>
      </c>
      <c r="V1" s="1" t="s">
        <v>21</v>
      </c>
      <c r="W1" s="1" t="s">
        <v>675</v>
      </c>
      <c r="X1" s="1" t="s">
        <v>676</v>
      </c>
      <c r="Y1" s="1" t="s">
        <v>677</v>
      </c>
      <c r="Z1" s="1" t="s">
        <v>927</v>
      </c>
    </row>
    <row r="2" spans="1:26" ht="13.35" customHeight="1">
      <c r="A2" s="585" t="s">
        <v>960</v>
      </c>
      <c r="B2" s="11" t="s">
        <v>103</v>
      </c>
      <c r="C2" s="11"/>
      <c r="D2" s="11"/>
      <c r="E2" s="11"/>
      <c r="F2" s="11"/>
      <c r="G2" s="11"/>
      <c r="H2" s="11"/>
      <c r="I2" s="6"/>
      <c r="J2" s="6"/>
      <c r="K2" s="6"/>
      <c r="L2" s="6"/>
      <c r="M2" s="6"/>
      <c r="N2" s="6"/>
      <c r="O2" s="6"/>
      <c r="R2" s="587" t="s">
        <v>679</v>
      </c>
      <c r="S2" s="6"/>
      <c r="T2" s="6"/>
      <c r="U2" s="6"/>
      <c r="V2" s="6"/>
      <c r="W2" s="6"/>
      <c r="X2" s="6"/>
      <c r="Y2" s="6"/>
      <c r="Z2" s="6"/>
    </row>
    <row r="3" spans="1:26" ht="36" customHeight="1">
      <c r="A3" s="586"/>
      <c r="B3" s="2" t="s">
        <v>680</v>
      </c>
      <c r="C3" s="2" t="s">
        <v>681</v>
      </c>
      <c r="D3" s="2" t="s">
        <v>682</v>
      </c>
      <c r="E3" s="2" t="s">
        <v>683</v>
      </c>
      <c r="G3" s="2" t="s">
        <v>684</v>
      </c>
      <c r="H3" s="2">
        <v>9</v>
      </c>
      <c r="I3" s="2">
        <v>11.287000000000001</v>
      </c>
      <c r="L3" s="2">
        <f>AVERAGE(I3:K3)</f>
        <v>11.287000000000001</v>
      </c>
      <c r="N3" s="2">
        <f>COUNT(I3:K3)</f>
        <v>1</v>
      </c>
      <c r="O3" s="2" t="s">
        <v>909</v>
      </c>
      <c r="R3" s="588"/>
      <c r="S3" s="2">
        <v>9.1850000000000005</v>
      </c>
      <c r="T3" s="2">
        <v>11.307</v>
      </c>
      <c r="W3" s="2">
        <f>AVERAGE(S3:V3)</f>
        <v>10.246</v>
      </c>
      <c r="X3" s="2">
        <f>_xlfn.STDEV.S(S3:V3)</f>
        <v>1.500480589677853</v>
      </c>
      <c r="Y3" s="2">
        <f>COUNT(S3:V3)</f>
        <v>2</v>
      </c>
      <c r="Z3" s="2" t="s">
        <v>910</v>
      </c>
    </row>
    <row r="4" spans="1:26" ht="26.4">
      <c r="A4" s="586"/>
      <c r="G4" s="10" t="s">
        <v>685</v>
      </c>
      <c r="H4" s="10">
        <v>0.3</v>
      </c>
      <c r="I4" s="10">
        <v>0.35599999999999998</v>
      </c>
      <c r="J4" s="10"/>
      <c r="K4" s="10"/>
      <c r="L4" s="10">
        <f>AVERAGE(I4:K4)</f>
        <v>0.35599999999999998</v>
      </c>
      <c r="M4" s="10"/>
      <c r="N4" s="10">
        <f>COUNT(I4:K4)</f>
        <v>1</v>
      </c>
      <c r="O4" s="10" t="s">
        <v>910</v>
      </c>
      <c r="R4" s="588"/>
      <c r="S4" s="10">
        <v>0.32300000000000001</v>
      </c>
      <c r="T4" s="10">
        <v>0.34399999999999997</v>
      </c>
      <c r="U4" s="10"/>
      <c r="V4" s="10"/>
      <c r="W4" s="10">
        <f>AVERAGE(S4:V4)</f>
        <v>0.33350000000000002</v>
      </c>
      <c r="X4" s="10">
        <f>_xlfn.STDEV.S(S4:V4)</f>
        <v>1.4849242404917471E-2</v>
      </c>
      <c r="Y4" s="10">
        <f>COUNT(S4:V4)</f>
        <v>2</v>
      </c>
      <c r="Z4" s="10" t="s">
        <v>909</v>
      </c>
    </row>
    <row r="5" spans="1:26">
      <c r="A5" s="586"/>
      <c r="R5" s="588"/>
    </row>
    <row r="6" spans="1:26" ht="26.4">
      <c r="A6" s="586"/>
      <c r="B6" s="2" t="s">
        <v>680</v>
      </c>
      <c r="C6" s="2" t="s">
        <v>681</v>
      </c>
      <c r="D6" s="2" t="s">
        <v>686</v>
      </c>
      <c r="E6" s="2" t="s">
        <v>683</v>
      </c>
      <c r="G6" s="2" t="s">
        <v>684</v>
      </c>
      <c r="H6" s="2">
        <v>9</v>
      </c>
      <c r="J6" s="2">
        <v>11.5</v>
      </c>
      <c r="L6" s="2">
        <f>AVERAGE(I6:K6)</f>
        <v>11.5</v>
      </c>
      <c r="N6" s="2">
        <f>COUNT(I6:K6)</f>
        <v>1</v>
      </c>
      <c r="O6" s="2" t="s">
        <v>910</v>
      </c>
      <c r="R6" s="588"/>
      <c r="Y6" s="2">
        <f>COUNT(S6:V6)</f>
        <v>0</v>
      </c>
      <c r="Z6" s="2" t="s">
        <v>921</v>
      </c>
    </row>
    <row r="7" spans="1:26" ht="26.4">
      <c r="A7" s="586"/>
      <c r="G7" s="10" t="s">
        <v>685</v>
      </c>
      <c r="H7" s="10">
        <v>0.3</v>
      </c>
      <c r="I7" s="10"/>
      <c r="J7" s="10">
        <v>0.31</v>
      </c>
      <c r="K7" s="10"/>
      <c r="L7" s="10">
        <f>AVERAGE(I7:K7)</f>
        <v>0.31</v>
      </c>
      <c r="M7" s="10"/>
      <c r="N7" s="10">
        <f>COUNT(I7:K7)</f>
        <v>1</v>
      </c>
      <c r="O7" s="10" t="s">
        <v>909</v>
      </c>
      <c r="R7" s="588"/>
      <c r="S7" s="10"/>
      <c r="T7" s="10"/>
      <c r="U7" s="10"/>
      <c r="V7" s="10"/>
      <c r="W7" s="10"/>
      <c r="X7" s="10"/>
      <c r="Y7" s="10">
        <f>COUNT(S7:V7)</f>
        <v>0</v>
      </c>
      <c r="Z7" s="10" t="s">
        <v>916</v>
      </c>
    </row>
    <row r="8" spans="1:26">
      <c r="A8" s="586"/>
      <c r="R8" s="588"/>
    </row>
    <row r="9" spans="1:26" ht="26.4">
      <c r="A9" s="586"/>
      <c r="B9" s="2" t="s">
        <v>680</v>
      </c>
      <c r="C9" s="2" t="s">
        <v>681</v>
      </c>
      <c r="D9" s="2" t="s">
        <v>687</v>
      </c>
      <c r="E9" s="2" t="s">
        <v>683</v>
      </c>
      <c r="G9" s="2" t="s">
        <v>684</v>
      </c>
      <c r="H9" s="2">
        <v>9</v>
      </c>
      <c r="N9" s="2">
        <f>COUNT(I9:K9)</f>
        <v>0</v>
      </c>
      <c r="O9" s="2" t="s">
        <v>911</v>
      </c>
      <c r="R9" s="588"/>
      <c r="Y9" s="2">
        <f>COUNT(S9:V9)</f>
        <v>0</v>
      </c>
      <c r="Z9" s="2" t="s">
        <v>928</v>
      </c>
    </row>
    <row r="10" spans="1:26" ht="26.4">
      <c r="A10" s="586"/>
      <c r="G10" s="10" t="s">
        <v>685</v>
      </c>
      <c r="H10" s="10">
        <v>0.3</v>
      </c>
      <c r="I10" s="10"/>
      <c r="J10" s="10"/>
      <c r="K10" s="10"/>
      <c r="L10" s="10"/>
      <c r="M10" s="10"/>
      <c r="N10" s="10">
        <f>COUNT(I10:K10)</f>
        <v>0</v>
      </c>
      <c r="O10" s="10" t="s">
        <v>911</v>
      </c>
      <c r="R10" s="588"/>
      <c r="S10" s="10"/>
      <c r="T10" s="10"/>
      <c r="U10" s="10"/>
      <c r="V10" s="10"/>
      <c r="W10" s="10"/>
      <c r="X10" s="10"/>
      <c r="Y10" s="10">
        <f>COUNT(S10:V10)</f>
        <v>0</v>
      </c>
      <c r="Z10" s="10" t="s">
        <v>928</v>
      </c>
    </row>
    <row r="11" spans="1:26">
      <c r="A11" s="586"/>
      <c r="R11" s="588"/>
    </row>
    <row r="12" spans="1:26" ht="26.4">
      <c r="A12" s="586"/>
      <c r="B12" s="2" t="s">
        <v>680</v>
      </c>
      <c r="C12" s="2" t="s">
        <v>681</v>
      </c>
      <c r="D12" s="2" t="s">
        <v>688</v>
      </c>
      <c r="E12" s="2" t="s">
        <v>683</v>
      </c>
      <c r="G12" s="2" t="s">
        <v>684</v>
      </c>
      <c r="H12" s="2">
        <v>9</v>
      </c>
      <c r="N12" s="2">
        <f>COUNT(I12:K12)</f>
        <v>0</v>
      </c>
      <c r="O12" s="2" t="s">
        <v>911</v>
      </c>
      <c r="R12" s="588"/>
      <c r="Y12" s="2">
        <f>COUNT(S12:V12)</f>
        <v>0</v>
      </c>
      <c r="Z12" s="2" t="s">
        <v>916</v>
      </c>
    </row>
    <row r="13" spans="1:26" ht="26.4">
      <c r="A13" s="586"/>
      <c r="G13" s="10" t="s">
        <v>685</v>
      </c>
      <c r="H13" s="10">
        <v>0.3</v>
      </c>
      <c r="I13" s="10"/>
      <c r="J13" s="10"/>
      <c r="K13" s="10"/>
      <c r="L13" s="10"/>
      <c r="M13" s="10"/>
      <c r="N13" s="10">
        <f>COUNT(I13:K13)</f>
        <v>0</v>
      </c>
      <c r="O13" s="10" t="s">
        <v>912</v>
      </c>
      <c r="R13" s="588"/>
      <c r="S13" s="10"/>
      <c r="T13" s="10"/>
      <c r="U13" s="10"/>
      <c r="V13" s="10"/>
      <c r="W13" s="10"/>
      <c r="X13" s="10"/>
      <c r="Y13" s="10">
        <f>COUNT(S13:V13)</f>
        <v>0</v>
      </c>
      <c r="Z13" s="10" t="s">
        <v>920</v>
      </c>
    </row>
    <row r="14" spans="1:26" ht="39.6">
      <c r="A14" s="586"/>
      <c r="B14" s="13" t="s">
        <v>689</v>
      </c>
      <c r="C14" s="13" t="s">
        <v>690</v>
      </c>
      <c r="D14" s="13" t="s">
        <v>778</v>
      </c>
      <c r="E14" s="13" t="s">
        <v>683</v>
      </c>
      <c r="G14" s="2" t="s">
        <v>684</v>
      </c>
      <c r="H14" s="2">
        <v>9</v>
      </c>
      <c r="N14" s="2">
        <f>COUNT(I14:K14)</f>
        <v>0</v>
      </c>
      <c r="O14" s="2" t="s">
        <v>911</v>
      </c>
      <c r="R14" s="588"/>
      <c r="Y14" s="2">
        <f>COUNT(S14:V14)</f>
        <v>0</v>
      </c>
      <c r="Z14" s="2" t="s">
        <v>921</v>
      </c>
    </row>
    <row r="15" spans="1:26" ht="26.4">
      <c r="A15" s="586"/>
      <c r="G15" s="10" t="s">
        <v>685</v>
      </c>
      <c r="H15" s="10">
        <v>0.3</v>
      </c>
      <c r="I15" s="10"/>
      <c r="J15" s="10"/>
      <c r="K15" s="10"/>
      <c r="L15" s="10"/>
      <c r="M15" s="10"/>
      <c r="N15" s="10">
        <f>COUNT(I15:K15)</f>
        <v>0</v>
      </c>
      <c r="O15" s="10" t="s">
        <v>911</v>
      </c>
      <c r="R15" s="588"/>
      <c r="S15" s="10"/>
      <c r="T15" s="10"/>
      <c r="U15" s="10"/>
      <c r="V15" s="10"/>
      <c r="W15" s="10"/>
      <c r="X15" s="10"/>
      <c r="Y15" s="10">
        <f>COUNT(S15:V15)</f>
        <v>0</v>
      </c>
      <c r="Z15" s="10" t="s">
        <v>916</v>
      </c>
    </row>
    <row r="16" spans="1:26">
      <c r="A16" s="586"/>
      <c r="R16" s="588"/>
    </row>
    <row r="17" spans="1:26">
      <c r="A17" s="586"/>
      <c r="B17" s="11" t="s">
        <v>104</v>
      </c>
      <c r="C17" s="11"/>
      <c r="D17" s="11"/>
      <c r="E17" s="11"/>
      <c r="F17" s="11"/>
      <c r="G17" s="6"/>
      <c r="H17" s="6"/>
      <c r="I17" s="6"/>
      <c r="J17" s="6"/>
      <c r="K17" s="6"/>
      <c r="L17" s="6"/>
      <c r="M17" s="6"/>
      <c r="N17" s="6"/>
      <c r="O17" s="6"/>
      <c r="R17" s="588"/>
      <c r="S17" s="6"/>
      <c r="T17" s="6"/>
      <c r="U17" s="6"/>
      <c r="V17" s="6"/>
      <c r="W17" s="6"/>
      <c r="X17" s="6"/>
      <c r="Y17" s="6"/>
      <c r="Z17" s="6"/>
    </row>
    <row r="18" spans="1:26" ht="31.5" customHeight="1">
      <c r="A18" s="586"/>
      <c r="B18" s="2" t="s">
        <v>680</v>
      </c>
      <c r="C18" s="2" t="s">
        <v>681</v>
      </c>
      <c r="D18" s="2" t="s">
        <v>692</v>
      </c>
      <c r="E18" s="2" t="s">
        <v>693</v>
      </c>
      <c r="F18" s="2" t="s">
        <v>130</v>
      </c>
      <c r="G18" s="2" t="s">
        <v>684</v>
      </c>
      <c r="H18" s="2">
        <v>9</v>
      </c>
      <c r="I18" s="2">
        <v>12.965094339622643</v>
      </c>
      <c r="L18" s="2">
        <f>AVERAGE(I18:K18)</f>
        <v>12.965094339622643</v>
      </c>
      <c r="N18" s="2">
        <f>COUNT(I18:K18)</f>
        <v>1</v>
      </c>
      <c r="O18" s="2" t="s">
        <v>913</v>
      </c>
      <c r="R18" s="588"/>
      <c r="S18" s="2">
        <v>10.72</v>
      </c>
      <c r="T18" s="2">
        <v>13.0211320754717</v>
      </c>
      <c r="W18" s="2">
        <f>AVERAGE(S18:V18)</f>
        <v>11.87056603773585</v>
      </c>
      <c r="X18" s="2">
        <f>_xlfn.STDEV.S(S18:V18)</f>
        <v>1.6271460949719128</v>
      </c>
      <c r="Y18" s="2">
        <f>COUNT(S18:V18)</f>
        <v>2</v>
      </c>
      <c r="Z18" s="2" t="s">
        <v>929</v>
      </c>
    </row>
    <row r="19" spans="1:26" ht="26.4">
      <c r="A19" s="586"/>
      <c r="G19" s="10" t="s">
        <v>685</v>
      </c>
      <c r="H19" s="10">
        <v>0.3</v>
      </c>
      <c r="I19" s="10">
        <v>0.37698113207547179</v>
      </c>
      <c r="J19" s="10"/>
      <c r="K19" s="10"/>
      <c r="L19" s="10">
        <f>AVERAGE(I19:K19)</f>
        <v>0.37698113207547179</v>
      </c>
      <c r="M19" s="10"/>
      <c r="N19" s="10">
        <f>COUNT(I19:K19)</f>
        <v>1</v>
      </c>
      <c r="O19" s="10" t="s">
        <v>914</v>
      </c>
      <c r="R19" s="588"/>
      <c r="S19" s="10">
        <v>0.35599999999999998</v>
      </c>
      <c r="T19" s="10">
        <v>0.39226415094339634</v>
      </c>
      <c r="U19" s="10"/>
      <c r="V19" s="10"/>
      <c r="W19" s="10">
        <f>AVERAGE(S19:V19)</f>
        <v>0.37413207547169813</v>
      </c>
      <c r="X19" s="10">
        <f>_xlfn.STDEV.S(S19:V19)</f>
        <v>2.5642627046048101E-2</v>
      </c>
      <c r="Y19" s="10">
        <f>COUNT(S19:V19)</f>
        <v>2</v>
      </c>
      <c r="Z19" s="10" t="s">
        <v>929</v>
      </c>
    </row>
    <row r="20" spans="1:26">
      <c r="A20" s="586"/>
      <c r="R20" s="588"/>
    </row>
    <row r="21" spans="1:26" ht="31.5" customHeight="1">
      <c r="A21" s="586"/>
      <c r="B21" s="2" t="s">
        <v>680</v>
      </c>
      <c r="C21" s="2" t="s">
        <v>681</v>
      </c>
      <c r="D21" s="2" t="s">
        <v>692</v>
      </c>
      <c r="E21" s="2" t="s">
        <v>683</v>
      </c>
      <c r="F21" s="2" t="s">
        <v>130</v>
      </c>
      <c r="G21" s="2" t="s">
        <v>684</v>
      </c>
      <c r="H21" s="2">
        <v>9</v>
      </c>
      <c r="I21" s="2">
        <v>12.772528301886792</v>
      </c>
      <c r="L21" s="2">
        <f>AVERAGE(I21:K21)</f>
        <v>12.772528301886792</v>
      </c>
      <c r="N21" s="2">
        <f>COUNT(I21:K21)</f>
        <v>1</v>
      </c>
      <c r="O21" s="2" t="s">
        <v>909</v>
      </c>
      <c r="R21" s="588"/>
      <c r="S21" s="2">
        <v>10.791</v>
      </c>
      <c r="T21" s="2">
        <v>12.766415094339623</v>
      </c>
      <c r="W21" s="2">
        <f>AVERAGE(S21:V21)</f>
        <v>11.778707547169812</v>
      </c>
      <c r="X21" s="2">
        <f>_xlfn.STDEV.S(S21:V21)</f>
        <v>1.3968294088658104</v>
      </c>
      <c r="Y21" s="2">
        <f>COUNT(S21:V21)</f>
        <v>2</v>
      </c>
      <c r="Z21" s="2" t="s">
        <v>929</v>
      </c>
    </row>
    <row r="22" spans="1:26" ht="26.4">
      <c r="A22" s="586"/>
      <c r="G22" s="10" t="s">
        <v>685</v>
      </c>
      <c r="H22" s="10">
        <v>0.3</v>
      </c>
      <c r="I22" s="10">
        <v>0.39430188679245282</v>
      </c>
      <c r="J22" s="10"/>
      <c r="K22" s="10"/>
      <c r="L22" s="10">
        <f>AVERAGE(I22:K22)</f>
        <v>0.39430188679245282</v>
      </c>
      <c r="M22" s="10"/>
      <c r="N22" s="10">
        <f>COUNT(I22:K22)</f>
        <v>1</v>
      </c>
      <c r="O22" s="10" t="s">
        <v>909</v>
      </c>
      <c r="R22" s="588"/>
      <c r="S22" s="10">
        <v>0.36399999999999999</v>
      </c>
      <c r="T22" s="10">
        <v>0.40143396226415096</v>
      </c>
      <c r="U22" s="10"/>
      <c r="V22" s="10"/>
      <c r="W22" s="10">
        <f>AVERAGE(S22:V22)</f>
        <v>0.38271698113207547</v>
      </c>
      <c r="X22" s="10">
        <f>_xlfn.STDEV.S(S22:V22)</f>
        <v>2.6469808563662475E-2</v>
      </c>
      <c r="Y22" s="10">
        <f>COUNT(S22:V22)</f>
        <v>2</v>
      </c>
      <c r="Z22" s="10" t="s">
        <v>929</v>
      </c>
    </row>
    <row r="23" spans="1:26">
      <c r="A23" s="586"/>
      <c r="R23" s="588"/>
    </row>
    <row r="24" spans="1:26" ht="45" customHeight="1">
      <c r="A24" s="586"/>
      <c r="B24" s="2" t="s">
        <v>680</v>
      </c>
      <c r="C24" s="2" t="s">
        <v>681</v>
      </c>
      <c r="D24" s="2" t="s">
        <v>694</v>
      </c>
      <c r="E24" s="2" t="s">
        <v>683</v>
      </c>
      <c r="F24" s="2" t="s">
        <v>132</v>
      </c>
      <c r="G24" s="2" t="s">
        <v>684</v>
      </c>
      <c r="H24" s="2">
        <v>9</v>
      </c>
      <c r="N24" s="2">
        <f>COUNT(I24:K24)</f>
        <v>0</v>
      </c>
      <c r="O24" s="2" t="s">
        <v>915</v>
      </c>
      <c r="R24" s="588"/>
      <c r="Y24" s="2">
        <f>COUNT(S24:V24)</f>
        <v>0</v>
      </c>
      <c r="Z24" s="2" t="s">
        <v>928</v>
      </c>
    </row>
    <row r="25" spans="1:26" ht="26.4">
      <c r="A25" s="586"/>
      <c r="G25" s="10" t="s">
        <v>685</v>
      </c>
      <c r="H25" s="10">
        <v>0.3</v>
      </c>
      <c r="I25" s="10"/>
      <c r="J25" s="10"/>
      <c r="K25" s="10"/>
      <c r="L25" s="10"/>
      <c r="M25" s="10"/>
      <c r="N25" s="10">
        <f>COUNT(I25:K25)</f>
        <v>0</v>
      </c>
      <c r="O25" s="10" t="s">
        <v>915</v>
      </c>
      <c r="R25" s="588"/>
      <c r="S25" s="10"/>
      <c r="T25" s="10"/>
      <c r="U25" s="10"/>
      <c r="V25" s="10"/>
      <c r="W25" s="10"/>
      <c r="X25" s="10"/>
      <c r="Y25" s="10">
        <f>COUNT(S25:V25)</f>
        <v>0</v>
      </c>
      <c r="Z25" s="10" t="s">
        <v>916</v>
      </c>
    </row>
    <row r="26" spans="1:26">
      <c r="A26" s="586"/>
      <c r="R26" s="588"/>
    </row>
    <row r="27" spans="1:26" ht="45" customHeight="1">
      <c r="A27" s="586"/>
      <c r="B27" s="2" t="s">
        <v>680</v>
      </c>
      <c r="C27" s="2" t="s">
        <v>681</v>
      </c>
      <c r="D27" s="2" t="s">
        <v>695</v>
      </c>
      <c r="E27" s="2" t="s">
        <v>683</v>
      </c>
      <c r="F27" s="2" t="s">
        <v>132</v>
      </c>
      <c r="G27" s="2" t="s">
        <v>684</v>
      </c>
      <c r="H27" s="2">
        <v>9</v>
      </c>
      <c r="N27" s="2">
        <f>COUNT(I27:K27)</f>
        <v>0</v>
      </c>
      <c r="O27" s="2" t="s">
        <v>911</v>
      </c>
      <c r="R27" s="588"/>
      <c r="Y27" s="2">
        <f>COUNT(S27:V27)</f>
        <v>0</v>
      </c>
      <c r="Z27" s="2" t="s">
        <v>911</v>
      </c>
    </row>
    <row r="28" spans="1:26" ht="26.4">
      <c r="A28" s="586"/>
      <c r="G28" s="10" t="s">
        <v>685</v>
      </c>
      <c r="H28" s="10">
        <v>0.3</v>
      </c>
      <c r="I28" s="10"/>
      <c r="J28" s="10"/>
      <c r="K28" s="10"/>
      <c r="L28" s="10"/>
      <c r="M28" s="10"/>
      <c r="N28" s="10">
        <f>COUNT(I28:K28)</f>
        <v>0</v>
      </c>
      <c r="O28" s="10" t="s">
        <v>911</v>
      </c>
      <c r="R28" s="588"/>
      <c r="S28" s="10"/>
      <c r="T28" s="10"/>
      <c r="U28" s="10"/>
      <c r="V28" s="10"/>
      <c r="W28" s="10"/>
      <c r="X28" s="10"/>
      <c r="Y28" s="10">
        <f>COUNT(S28:V28)</f>
        <v>0</v>
      </c>
      <c r="Z28" s="10" t="s">
        <v>928</v>
      </c>
    </row>
    <row r="29" spans="1:26">
      <c r="A29" s="586"/>
      <c r="R29" s="588"/>
    </row>
    <row r="30" spans="1:26" ht="26.4">
      <c r="A30" s="586"/>
      <c r="B30" s="2" t="s">
        <v>680</v>
      </c>
      <c r="C30" s="2" t="s">
        <v>681</v>
      </c>
      <c r="D30" s="15" t="s">
        <v>692</v>
      </c>
      <c r="E30" s="15" t="s">
        <v>693</v>
      </c>
      <c r="F30" s="2" t="s">
        <v>132</v>
      </c>
      <c r="G30" s="2" t="s">
        <v>684</v>
      </c>
      <c r="H30" s="2">
        <v>9</v>
      </c>
      <c r="N30" s="2">
        <f>COUNT(I30:K30)</f>
        <v>0</v>
      </c>
      <c r="O30" s="2" t="s">
        <v>916</v>
      </c>
      <c r="R30" s="588"/>
      <c r="Y30" s="2">
        <f>COUNT(S30:V30)</f>
        <v>0</v>
      </c>
      <c r="Z30" s="2" t="s">
        <v>916</v>
      </c>
    </row>
    <row r="31" spans="1:26" ht="26.4">
      <c r="A31" s="586"/>
      <c r="G31" s="10" t="s">
        <v>685</v>
      </c>
      <c r="H31" s="10">
        <v>0.3</v>
      </c>
      <c r="I31" s="10"/>
      <c r="J31" s="10"/>
      <c r="K31" s="10"/>
      <c r="L31" s="10"/>
      <c r="M31" s="10"/>
      <c r="N31" s="10">
        <f>COUNT(I31:K31)</f>
        <v>0</v>
      </c>
      <c r="O31" s="10" t="s">
        <v>916</v>
      </c>
      <c r="R31" s="588"/>
      <c r="S31" s="10"/>
      <c r="T31" s="10"/>
      <c r="U31" s="10"/>
      <c r="V31" s="10"/>
      <c r="W31" s="10"/>
      <c r="X31" s="10"/>
      <c r="Y31" s="10">
        <f>COUNT(S31:V31)</f>
        <v>0</v>
      </c>
      <c r="Z31" s="10" t="s">
        <v>916</v>
      </c>
    </row>
    <row r="32" spans="1:26">
      <c r="A32" s="586"/>
      <c r="R32" s="588"/>
    </row>
    <row r="33" spans="1:26" ht="45.75" customHeight="1">
      <c r="A33" s="586"/>
      <c r="B33" s="2" t="s">
        <v>680</v>
      </c>
      <c r="C33" s="2" t="s">
        <v>681</v>
      </c>
      <c r="D33" s="15" t="s">
        <v>692</v>
      </c>
      <c r="E33" s="15" t="s">
        <v>683</v>
      </c>
      <c r="F33" s="2" t="s">
        <v>132</v>
      </c>
      <c r="G33" s="2" t="s">
        <v>684</v>
      </c>
      <c r="H33" s="2">
        <v>9</v>
      </c>
      <c r="J33" s="2">
        <v>10.959493670886072</v>
      </c>
      <c r="L33" s="2">
        <f>AVERAGE(I33:K33)</f>
        <v>10.959493670886072</v>
      </c>
      <c r="N33" s="2">
        <f>COUNT(I33:K33)</f>
        <v>1</v>
      </c>
      <c r="O33" s="2" t="s">
        <v>909</v>
      </c>
      <c r="R33" s="588"/>
      <c r="V33" s="2">
        <v>10.694000000000001</v>
      </c>
      <c r="W33" s="2">
        <f>AVERAGE(S33:V33)</f>
        <v>10.694000000000001</v>
      </c>
      <c r="Y33" s="2">
        <f>COUNT(S33:V33)</f>
        <v>1</v>
      </c>
      <c r="Z33" s="2" t="s">
        <v>913</v>
      </c>
    </row>
    <row r="34" spans="1:26" ht="26.4">
      <c r="A34" s="586"/>
      <c r="G34" s="10" t="s">
        <v>685</v>
      </c>
      <c r="H34" s="10">
        <v>0.3</v>
      </c>
      <c r="I34" s="10"/>
      <c r="J34" s="10">
        <v>0.37518987341772142</v>
      </c>
      <c r="K34" s="10"/>
      <c r="L34" s="10">
        <f>AVERAGE(I34:K34)</f>
        <v>0.37518987341772142</v>
      </c>
      <c r="M34" s="10"/>
      <c r="N34" s="10">
        <f>COUNT(I34:K34)</f>
        <v>1</v>
      </c>
      <c r="O34" s="10" t="s">
        <v>917</v>
      </c>
      <c r="R34" s="588"/>
      <c r="S34" s="10"/>
      <c r="T34" s="10"/>
      <c r="U34" s="10"/>
      <c r="V34" s="10">
        <v>0.38600000000000001</v>
      </c>
      <c r="W34" s="10">
        <f>AVERAGE(S34:V34)</f>
        <v>0.38600000000000001</v>
      </c>
      <c r="X34" s="10"/>
      <c r="Y34" s="10">
        <f>COUNT(S34:V34)</f>
        <v>1</v>
      </c>
      <c r="Z34" s="10" t="s">
        <v>910</v>
      </c>
    </row>
    <row r="35" spans="1:26">
      <c r="A35" s="586"/>
      <c r="R35" s="588"/>
    </row>
    <row r="36" spans="1:26" ht="26.4">
      <c r="A36" s="586"/>
      <c r="B36" s="2" t="s">
        <v>680</v>
      </c>
      <c r="C36" s="2" t="s">
        <v>681</v>
      </c>
      <c r="D36" s="2" t="s">
        <v>692</v>
      </c>
      <c r="E36" s="2" t="s">
        <v>693</v>
      </c>
      <c r="F36" s="2" t="s">
        <v>696</v>
      </c>
      <c r="G36" s="2" t="s">
        <v>684</v>
      </c>
      <c r="H36" s="2">
        <v>9</v>
      </c>
      <c r="N36" s="2">
        <f>COUNT(I36:K36)</f>
        <v>0</v>
      </c>
      <c r="O36" s="2" t="s">
        <v>911</v>
      </c>
      <c r="R36" s="588"/>
      <c r="Y36" s="2">
        <f>COUNT(S36:V36)</f>
        <v>0</v>
      </c>
      <c r="Z36" s="2" t="s">
        <v>926</v>
      </c>
    </row>
    <row r="37" spans="1:26" ht="26.4">
      <c r="A37" s="586"/>
      <c r="G37" s="10" t="s">
        <v>685</v>
      </c>
      <c r="H37" s="10">
        <v>0.3</v>
      </c>
      <c r="I37" s="10"/>
      <c r="J37" s="10"/>
      <c r="K37" s="10"/>
      <c r="L37" s="10"/>
      <c r="M37" s="10"/>
      <c r="N37" s="10">
        <f>COUNT(I37:K37)</f>
        <v>0</v>
      </c>
      <c r="O37" s="10" t="s">
        <v>911</v>
      </c>
      <c r="R37" s="588"/>
      <c r="S37" s="10"/>
      <c r="T37" s="10"/>
      <c r="U37" s="10"/>
      <c r="V37" s="10"/>
      <c r="W37" s="10"/>
      <c r="X37" s="10"/>
      <c r="Y37" s="10">
        <f>COUNT(S37:V37)</f>
        <v>0</v>
      </c>
      <c r="Z37" s="10" t="s">
        <v>916</v>
      </c>
    </row>
    <row r="38" spans="1:26">
      <c r="A38" s="586"/>
      <c r="R38" s="588"/>
    </row>
    <row r="39" spans="1:26" ht="26.4">
      <c r="A39" s="586"/>
      <c r="B39" s="2" t="s">
        <v>680</v>
      </c>
      <c r="C39" s="13" t="s">
        <v>681</v>
      </c>
      <c r="D39" s="13" t="s">
        <v>883</v>
      </c>
      <c r="E39" s="13" t="s">
        <v>683</v>
      </c>
      <c r="F39" s="13" t="s">
        <v>132</v>
      </c>
      <c r="G39" s="2" t="s">
        <v>684</v>
      </c>
      <c r="H39" s="2">
        <v>9</v>
      </c>
      <c r="N39" s="2">
        <f t="shared" ref="N39:N52" si="0">COUNT(I39:K39)</f>
        <v>0</v>
      </c>
      <c r="O39" s="2" t="s">
        <v>918</v>
      </c>
      <c r="R39" s="588"/>
      <c r="Y39" s="2">
        <f t="shared" ref="Y39:Y52" si="1">COUNT(S39:V39)</f>
        <v>0</v>
      </c>
      <c r="Z39" s="2" t="s">
        <v>916</v>
      </c>
    </row>
    <row r="40" spans="1:26" ht="26.4">
      <c r="A40" s="586"/>
      <c r="G40" s="10" t="s">
        <v>685</v>
      </c>
      <c r="H40" s="10">
        <v>0.3</v>
      </c>
      <c r="I40" s="10"/>
      <c r="J40" s="10"/>
      <c r="K40" s="10"/>
      <c r="L40" s="10"/>
      <c r="M40" s="10"/>
      <c r="N40" s="10">
        <f t="shared" si="0"/>
        <v>0</v>
      </c>
      <c r="O40" s="10" t="s">
        <v>919</v>
      </c>
      <c r="R40" s="588"/>
      <c r="S40" s="10"/>
      <c r="T40" s="10"/>
      <c r="U40" s="10"/>
      <c r="V40" s="10"/>
      <c r="W40" s="10"/>
      <c r="X40" s="10"/>
      <c r="Y40" s="10">
        <f t="shared" si="1"/>
        <v>0</v>
      </c>
      <c r="Z40" s="10" t="s">
        <v>921</v>
      </c>
    </row>
    <row r="41" spans="1:26" ht="26.4">
      <c r="A41" s="586"/>
      <c r="B41" s="13" t="s">
        <v>680</v>
      </c>
      <c r="C41" s="13" t="s">
        <v>681</v>
      </c>
      <c r="D41" s="13" t="s">
        <v>692</v>
      </c>
      <c r="E41" s="13" t="s">
        <v>693</v>
      </c>
      <c r="F41" s="13" t="s">
        <v>697</v>
      </c>
      <c r="G41" s="2" t="s">
        <v>684</v>
      </c>
      <c r="H41" s="2">
        <v>9</v>
      </c>
      <c r="N41" s="2">
        <f t="shared" si="0"/>
        <v>0</v>
      </c>
      <c r="O41" s="2" t="s">
        <v>911</v>
      </c>
      <c r="R41" s="588"/>
      <c r="Y41" s="2">
        <f t="shared" si="1"/>
        <v>0</v>
      </c>
      <c r="Z41" s="2" t="s">
        <v>916</v>
      </c>
    </row>
    <row r="42" spans="1:26" ht="26.4">
      <c r="A42" s="586"/>
      <c r="B42" s="13"/>
      <c r="C42" s="13"/>
      <c r="D42" s="13"/>
      <c r="E42" s="13"/>
      <c r="F42" s="13"/>
      <c r="G42" s="10" t="s">
        <v>685</v>
      </c>
      <c r="H42" s="10">
        <v>0.3</v>
      </c>
      <c r="I42" s="10"/>
      <c r="J42" s="10"/>
      <c r="K42" s="10"/>
      <c r="L42" s="10"/>
      <c r="M42" s="10"/>
      <c r="N42" s="10">
        <f t="shared" si="0"/>
        <v>0</v>
      </c>
      <c r="O42" s="10" t="s">
        <v>920</v>
      </c>
      <c r="R42" s="588"/>
      <c r="S42" s="10"/>
      <c r="T42" s="10"/>
      <c r="U42" s="10"/>
      <c r="V42" s="10"/>
      <c r="W42" s="10"/>
      <c r="X42" s="10"/>
      <c r="Y42" s="10">
        <f t="shared" si="1"/>
        <v>0</v>
      </c>
      <c r="Z42" s="10" t="s">
        <v>921</v>
      </c>
    </row>
    <row r="43" spans="1:26" ht="26.4">
      <c r="A43" s="586"/>
      <c r="B43" s="13" t="s">
        <v>680</v>
      </c>
      <c r="C43" s="13" t="s">
        <v>681</v>
      </c>
      <c r="D43" s="13" t="s">
        <v>700</v>
      </c>
      <c r="E43" s="13" t="s">
        <v>693</v>
      </c>
      <c r="F43" s="13" t="s">
        <v>130</v>
      </c>
      <c r="G43" s="2" t="s">
        <v>684</v>
      </c>
      <c r="H43" s="2">
        <v>9</v>
      </c>
      <c r="N43" s="2">
        <f t="shared" si="0"/>
        <v>0</v>
      </c>
      <c r="O43" s="2" t="s">
        <v>921</v>
      </c>
      <c r="R43" s="588"/>
      <c r="Y43" s="2">
        <f t="shared" si="1"/>
        <v>0</v>
      </c>
      <c r="Z43" s="2" t="s">
        <v>921</v>
      </c>
    </row>
    <row r="44" spans="1:26" ht="26.4">
      <c r="A44" s="586"/>
      <c r="G44" s="10" t="s">
        <v>685</v>
      </c>
      <c r="H44" s="10">
        <v>0.3</v>
      </c>
      <c r="I44" s="10"/>
      <c r="J44" s="10"/>
      <c r="K44" s="10"/>
      <c r="L44" s="10"/>
      <c r="M44" s="10"/>
      <c r="N44" s="10">
        <f t="shared" si="0"/>
        <v>0</v>
      </c>
      <c r="O44" s="10" t="s">
        <v>921</v>
      </c>
      <c r="R44" s="588"/>
      <c r="S44" s="10"/>
      <c r="T44" s="10"/>
      <c r="U44" s="10"/>
      <c r="V44" s="10"/>
      <c r="W44" s="10"/>
      <c r="X44" s="10"/>
      <c r="Y44" s="10">
        <f t="shared" si="1"/>
        <v>0</v>
      </c>
      <c r="Z44" s="10" t="s">
        <v>921</v>
      </c>
    </row>
    <row r="45" spans="1:26" ht="31.5" customHeight="1">
      <c r="A45" s="586"/>
      <c r="B45" s="13" t="s">
        <v>689</v>
      </c>
      <c r="C45" s="13" t="s">
        <v>698</v>
      </c>
      <c r="D45" s="13" t="s">
        <v>699</v>
      </c>
      <c r="E45" s="13" t="s">
        <v>683</v>
      </c>
      <c r="F45" s="13" t="s">
        <v>131</v>
      </c>
      <c r="G45" s="2" t="s">
        <v>684</v>
      </c>
      <c r="H45" s="2">
        <v>9</v>
      </c>
      <c r="I45" s="2">
        <v>9.2479999999999993</v>
      </c>
      <c r="L45" s="2">
        <f>AVERAGE(I45:K45)</f>
        <v>9.2479999999999993</v>
      </c>
      <c r="N45" s="2">
        <f t="shared" si="0"/>
        <v>1</v>
      </c>
      <c r="O45" s="2" t="s">
        <v>917</v>
      </c>
      <c r="R45" s="588"/>
      <c r="T45" s="2">
        <v>9.61</v>
      </c>
      <c r="W45" s="2">
        <f>AVERAGE(S45:V45)</f>
        <v>9.61</v>
      </c>
      <c r="Y45" s="2">
        <f t="shared" si="1"/>
        <v>1</v>
      </c>
      <c r="Z45" s="2" t="s">
        <v>910</v>
      </c>
    </row>
    <row r="46" spans="1:26" ht="26.4">
      <c r="A46" s="586"/>
      <c r="G46" s="10" t="s">
        <v>685</v>
      </c>
      <c r="H46" s="10">
        <v>0.3</v>
      </c>
      <c r="I46" s="10">
        <v>0.33</v>
      </c>
      <c r="J46" s="10"/>
      <c r="K46" s="10"/>
      <c r="L46" s="10">
        <f>AVERAGE(I46:K46)</f>
        <v>0.33</v>
      </c>
      <c r="M46" s="10"/>
      <c r="N46" s="10">
        <f t="shared" si="0"/>
        <v>1</v>
      </c>
      <c r="O46" s="10" t="s">
        <v>913</v>
      </c>
      <c r="R46" s="588"/>
      <c r="S46" s="10"/>
      <c r="T46" s="10">
        <v>0.33700000000000002</v>
      </c>
      <c r="U46" s="10"/>
      <c r="V46" s="10"/>
      <c r="W46" s="10">
        <f>AVERAGE(S46:V46)</f>
        <v>0.33700000000000002</v>
      </c>
      <c r="X46" s="10"/>
      <c r="Y46" s="10">
        <f t="shared" si="1"/>
        <v>1</v>
      </c>
      <c r="Z46" s="10" t="s">
        <v>913</v>
      </c>
    </row>
    <row r="47" spans="1:26" ht="39.6">
      <c r="A47" s="586"/>
      <c r="B47" s="13" t="s">
        <v>689</v>
      </c>
      <c r="C47" s="13" t="s">
        <v>690</v>
      </c>
      <c r="D47" s="13" t="s">
        <v>779</v>
      </c>
      <c r="E47" s="13" t="s">
        <v>683</v>
      </c>
      <c r="F47" s="13" t="s">
        <v>132</v>
      </c>
      <c r="G47" s="2" t="s">
        <v>684</v>
      </c>
      <c r="H47" s="2">
        <v>9</v>
      </c>
      <c r="N47" s="2">
        <f t="shared" si="0"/>
        <v>0</v>
      </c>
      <c r="O47" s="2" t="s">
        <v>911</v>
      </c>
      <c r="R47" s="588"/>
      <c r="Y47" s="2">
        <f t="shared" si="1"/>
        <v>0</v>
      </c>
      <c r="Z47" s="2" t="s">
        <v>921</v>
      </c>
    </row>
    <row r="48" spans="1:26" ht="26.4">
      <c r="A48" s="586"/>
      <c r="G48" s="10" t="s">
        <v>685</v>
      </c>
      <c r="H48" s="10">
        <v>0.3</v>
      </c>
      <c r="I48" s="10"/>
      <c r="J48" s="10"/>
      <c r="K48" s="10"/>
      <c r="L48" s="10"/>
      <c r="M48" s="10"/>
      <c r="N48" s="10">
        <f t="shared" si="0"/>
        <v>0</v>
      </c>
      <c r="O48" s="10" t="s">
        <v>911</v>
      </c>
      <c r="R48" s="588"/>
      <c r="S48" s="10"/>
      <c r="T48" s="10"/>
      <c r="U48" s="10"/>
      <c r="V48" s="10"/>
      <c r="W48" s="10"/>
      <c r="X48" s="10"/>
      <c r="Y48" s="10">
        <f t="shared" si="1"/>
        <v>0</v>
      </c>
      <c r="Z48" s="10" t="s">
        <v>926</v>
      </c>
    </row>
    <row r="49" spans="1:26" ht="26.4">
      <c r="A49" s="586"/>
      <c r="B49" s="13" t="s">
        <v>689</v>
      </c>
      <c r="C49" s="13" t="s">
        <v>690</v>
      </c>
      <c r="D49" s="13" t="s">
        <v>780</v>
      </c>
      <c r="E49" s="13" t="s">
        <v>683</v>
      </c>
      <c r="F49" s="13" t="s">
        <v>132</v>
      </c>
      <c r="G49" s="2" t="s">
        <v>684</v>
      </c>
      <c r="H49" s="2">
        <v>9</v>
      </c>
      <c r="N49" s="2">
        <f t="shared" si="0"/>
        <v>0</v>
      </c>
      <c r="O49" s="2" t="s">
        <v>911</v>
      </c>
      <c r="R49" s="588"/>
      <c r="Y49" s="2">
        <f t="shared" si="1"/>
        <v>0</v>
      </c>
      <c r="Z49" s="2" t="s">
        <v>916</v>
      </c>
    </row>
    <row r="50" spans="1:26" ht="26.4">
      <c r="A50" s="586"/>
      <c r="G50" s="10" t="s">
        <v>685</v>
      </c>
      <c r="H50" s="10">
        <v>0.3</v>
      </c>
      <c r="I50" s="10"/>
      <c r="J50" s="10"/>
      <c r="K50" s="10"/>
      <c r="L50" s="10"/>
      <c r="M50" s="10"/>
      <c r="N50" s="10">
        <f t="shared" si="0"/>
        <v>0</v>
      </c>
      <c r="O50" s="10" t="s">
        <v>911</v>
      </c>
      <c r="R50" s="588"/>
      <c r="S50" s="10"/>
      <c r="T50" s="10"/>
      <c r="U50" s="10"/>
      <c r="V50" s="10"/>
      <c r="W50" s="10"/>
      <c r="X50" s="10"/>
      <c r="Y50" s="10">
        <f t="shared" si="1"/>
        <v>0</v>
      </c>
      <c r="Z50" s="10" t="s">
        <v>916</v>
      </c>
    </row>
    <row r="51" spans="1:26" ht="26.4">
      <c r="A51" s="586"/>
      <c r="B51" s="13" t="s">
        <v>689</v>
      </c>
      <c r="C51" s="13" t="s">
        <v>690</v>
      </c>
      <c r="D51" s="13" t="s">
        <v>875</v>
      </c>
      <c r="E51" s="13" t="s">
        <v>683</v>
      </c>
      <c r="F51" s="13" t="s">
        <v>132</v>
      </c>
      <c r="G51" s="2" t="s">
        <v>684</v>
      </c>
      <c r="H51" s="2">
        <v>9</v>
      </c>
      <c r="N51" s="2">
        <f t="shared" si="0"/>
        <v>0</v>
      </c>
      <c r="O51" s="2" t="s">
        <v>911</v>
      </c>
      <c r="R51" s="588"/>
      <c r="Y51" s="2">
        <f t="shared" si="1"/>
        <v>0</v>
      </c>
      <c r="Z51" s="2" t="s">
        <v>921</v>
      </c>
    </row>
    <row r="52" spans="1:26" ht="26.4">
      <c r="A52" s="586"/>
      <c r="G52" s="10" t="s">
        <v>685</v>
      </c>
      <c r="H52" s="10">
        <v>0.3</v>
      </c>
      <c r="I52" s="10"/>
      <c r="J52" s="10"/>
      <c r="K52" s="10"/>
      <c r="L52" s="10"/>
      <c r="M52" s="10"/>
      <c r="N52" s="10">
        <f t="shared" si="0"/>
        <v>0</v>
      </c>
      <c r="O52" s="10" t="s">
        <v>911</v>
      </c>
      <c r="R52" s="588"/>
      <c r="S52" s="10"/>
      <c r="T52" s="10"/>
      <c r="U52" s="10"/>
      <c r="V52" s="10"/>
      <c r="W52" s="10"/>
      <c r="X52" s="10"/>
      <c r="Y52" s="10">
        <f t="shared" si="1"/>
        <v>0</v>
      </c>
      <c r="Z52" s="10" t="s">
        <v>921</v>
      </c>
    </row>
    <row r="53" spans="1:26">
      <c r="A53" s="9"/>
    </row>
    <row r="54" spans="1:26" ht="26.4" customHeight="1">
      <c r="A54" s="589" t="s">
        <v>961</v>
      </c>
      <c r="B54" s="11" t="s">
        <v>103</v>
      </c>
      <c r="C54" s="11"/>
      <c r="D54" s="11"/>
      <c r="E54" s="11"/>
      <c r="F54" s="11"/>
      <c r="G54" s="6"/>
      <c r="H54" s="6"/>
      <c r="I54" s="6"/>
      <c r="J54" s="6"/>
      <c r="K54" s="6"/>
      <c r="L54" s="6"/>
      <c r="M54" s="6"/>
      <c r="N54" s="6"/>
      <c r="O54" s="6"/>
      <c r="R54" s="590" t="s">
        <v>701</v>
      </c>
      <c r="S54" s="6"/>
      <c r="T54" s="6"/>
      <c r="U54" s="6"/>
      <c r="V54" s="6"/>
      <c r="W54" s="6"/>
      <c r="X54" s="6"/>
      <c r="Y54" s="6"/>
      <c r="Z54" s="6"/>
    </row>
    <row r="55" spans="1:26" ht="26.4">
      <c r="A55" s="589"/>
      <c r="B55" s="2" t="s">
        <v>680</v>
      </c>
      <c r="C55" s="2" t="s">
        <v>681</v>
      </c>
      <c r="D55" s="2" t="s">
        <v>702</v>
      </c>
      <c r="E55" s="2" t="s">
        <v>683</v>
      </c>
      <c r="G55" s="2" t="s">
        <v>684</v>
      </c>
      <c r="H55" s="2">
        <v>6.75</v>
      </c>
      <c r="I55" s="2">
        <v>8.8333311688311689</v>
      </c>
      <c r="L55" s="2">
        <f>AVERAGE(I55:K55)</f>
        <v>8.8333311688311689</v>
      </c>
      <c r="N55" s="2">
        <f>COUNT(I55:K55)</f>
        <v>1</v>
      </c>
      <c r="O55" s="2" t="s">
        <v>922</v>
      </c>
      <c r="R55" s="590"/>
      <c r="T55" s="2">
        <v>8.8692473620129881</v>
      </c>
      <c r="W55" s="2">
        <f>AVERAGE(S55:V55)</f>
        <v>8.8692473620129881</v>
      </c>
      <c r="Y55" s="2">
        <f>COUNT(S55:V55)</f>
        <v>1</v>
      </c>
      <c r="Z55" s="2" t="s">
        <v>929</v>
      </c>
    </row>
    <row r="56" spans="1:26" ht="26.4">
      <c r="A56" s="589"/>
      <c r="G56" s="10" t="s">
        <v>685</v>
      </c>
      <c r="H56" s="10">
        <v>0.21</v>
      </c>
      <c r="I56" s="10">
        <v>0.55413555194805197</v>
      </c>
      <c r="J56" s="10"/>
      <c r="K56" s="10"/>
      <c r="L56" s="10">
        <f>AVERAGE(I56:K56)</f>
        <v>0.55413555194805197</v>
      </c>
      <c r="M56" s="10"/>
      <c r="N56" s="10">
        <f>COUNT(I56:K56)</f>
        <v>1</v>
      </c>
      <c r="O56" s="10" t="s">
        <v>910</v>
      </c>
      <c r="R56" s="590"/>
      <c r="S56" s="10"/>
      <c r="T56" s="10">
        <v>0.55105702110389609</v>
      </c>
      <c r="U56" s="10"/>
      <c r="V56" s="10"/>
      <c r="W56" s="10">
        <f>AVERAGE(S56:V56)</f>
        <v>0.55105702110389609</v>
      </c>
      <c r="X56" s="10"/>
      <c r="Y56" s="10">
        <f>COUNT(S56:V56)</f>
        <v>1</v>
      </c>
      <c r="Z56" s="10" t="s">
        <v>929</v>
      </c>
    </row>
    <row r="57" spans="1:26">
      <c r="A57" s="589"/>
      <c r="R57" s="590"/>
    </row>
    <row r="58" spans="1:26" ht="26.4">
      <c r="A58" s="589"/>
      <c r="B58" s="2" t="s">
        <v>680</v>
      </c>
      <c r="C58" s="2" t="s">
        <v>681</v>
      </c>
      <c r="D58" s="2" t="s">
        <v>703</v>
      </c>
      <c r="E58" s="2" t="s">
        <v>683</v>
      </c>
      <c r="G58" s="2" t="s">
        <v>684</v>
      </c>
      <c r="H58" s="2">
        <v>6.75</v>
      </c>
      <c r="N58" s="2">
        <f>COUNT(I58:K58)</f>
        <v>0</v>
      </c>
      <c r="O58" s="2" t="s">
        <v>916</v>
      </c>
      <c r="R58" s="590"/>
      <c r="Y58" s="2">
        <f>COUNT(S58:V58)</f>
        <v>0</v>
      </c>
      <c r="Z58" s="2" t="s">
        <v>928</v>
      </c>
    </row>
    <row r="59" spans="1:26" ht="26.4">
      <c r="A59" s="589"/>
      <c r="G59" s="10" t="s">
        <v>685</v>
      </c>
      <c r="H59" s="10">
        <v>0.21</v>
      </c>
      <c r="I59" s="10"/>
      <c r="J59" s="10"/>
      <c r="K59" s="10"/>
      <c r="L59" s="10"/>
      <c r="M59" s="10"/>
      <c r="N59" s="10">
        <f>COUNT(I59:K59)</f>
        <v>0</v>
      </c>
      <c r="O59" s="10" t="s">
        <v>911</v>
      </c>
      <c r="R59" s="590"/>
      <c r="S59" s="10"/>
      <c r="T59" s="10"/>
      <c r="U59" s="10"/>
      <c r="V59" s="10"/>
      <c r="W59" s="10"/>
      <c r="X59" s="10"/>
      <c r="Y59" s="10">
        <f>COUNT(S59:V59)</f>
        <v>0</v>
      </c>
      <c r="Z59" s="10" t="s">
        <v>911</v>
      </c>
    </row>
    <row r="60" spans="1:26">
      <c r="A60" s="589"/>
      <c r="R60" s="590"/>
    </row>
    <row r="61" spans="1:26" ht="26.4">
      <c r="A61" s="589"/>
      <c r="B61" s="2" t="s">
        <v>680</v>
      </c>
      <c r="C61" s="2" t="s">
        <v>681</v>
      </c>
      <c r="D61" s="15" t="s">
        <v>704</v>
      </c>
      <c r="E61" s="2" t="s">
        <v>683</v>
      </c>
      <c r="G61" s="2" t="s">
        <v>684</v>
      </c>
      <c r="H61" s="2">
        <v>6.75</v>
      </c>
      <c r="I61" s="2">
        <v>9.3967023133116889</v>
      </c>
      <c r="L61" s="2">
        <f>AVERAGE(I61:K61)</f>
        <v>9.3967023133116889</v>
      </c>
      <c r="N61" s="2">
        <f>COUNT(I61:K61)</f>
        <v>1</v>
      </c>
      <c r="O61" s="2" t="s">
        <v>910</v>
      </c>
      <c r="R61" s="590"/>
      <c r="T61" s="2">
        <v>9.4387755681818177</v>
      </c>
      <c r="W61" s="2">
        <f>AVERAGE(S61:V61)</f>
        <v>9.4387755681818177</v>
      </c>
      <c r="Y61" s="2">
        <f>COUNT(S61:V61)</f>
        <v>1</v>
      </c>
      <c r="Z61" s="2" t="s">
        <v>929</v>
      </c>
    </row>
    <row r="62" spans="1:26" ht="26.4">
      <c r="A62" s="589"/>
      <c r="G62" s="10" t="s">
        <v>685</v>
      </c>
      <c r="H62" s="10">
        <v>0.21</v>
      </c>
      <c r="I62" s="10">
        <v>0.58594703733766229</v>
      </c>
      <c r="J62" s="10"/>
      <c r="K62" s="10"/>
      <c r="L62" s="10">
        <f>AVERAGE(I62:K62)</f>
        <v>0.58594703733766229</v>
      </c>
      <c r="M62" s="10"/>
      <c r="N62" s="10">
        <f>COUNT(I62:K62)</f>
        <v>1</v>
      </c>
      <c r="O62" s="10" t="s">
        <v>922</v>
      </c>
      <c r="R62" s="590"/>
      <c r="S62" s="10"/>
      <c r="T62" s="10">
        <v>0.58697321428571425</v>
      </c>
      <c r="U62" s="10"/>
      <c r="V62" s="10"/>
      <c r="W62" s="10">
        <f>AVERAGE(S62:V62)</f>
        <v>0.58697321428571425</v>
      </c>
      <c r="X62" s="10"/>
      <c r="Y62" s="10">
        <f>COUNT(S62:V62)</f>
        <v>1</v>
      </c>
      <c r="Z62" s="10" t="s">
        <v>930</v>
      </c>
    </row>
    <row r="63" spans="1:26" ht="26.4">
      <c r="A63" s="589"/>
      <c r="B63" s="13" t="s">
        <v>689</v>
      </c>
      <c r="C63" s="13" t="s">
        <v>690</v>
      </c>
      <c r="D63" s="13" t="s">
        <v>705</v>
      </c>
      <c r="E63" s="13" t="s">
        <v>683</v>
      </c>
      <c r="G63" s="2" t="s">
        <v>684</v>
      </c>
      <c r="H63" s="2">
        <v>6.75</v>
      </c>
      <c r="N63" s="2">
        <f>COUNT(I63:K63)</f>
        <v>0</v>
      </c>
      <c r="O63" s="2" t="s">
        <v>911</v>
      </c>
      <c r="R63" s="590"/>
      <c r="Y63" s="2">
        <f>COUNT(S63:V63)</f>
        <v>0</v>
      </c>
      <c r="Z63" s="2" t="s">
        <v>926</v>
      </c>
    </row>
    <row r="64" spans="1:26" ht="26.4">
      <c r="A64" s="589"/>
      <c r="G64" s="10" t="s">
        <v>685</v>
      </c>
      <c r="H64" s="10">
        <v>0.21</v>
      </c>
      <c r="I64" s="10"/>
      <c r="J64" s="10"/>
      <c r="K64" s="10"/>
      <c r="L64" s="10"/>
      <c r="M64" s="10"/>
      <c r="N64" s="10">
        <f>COUNT(I64:K64)</f>
        <v>0</v>
      </c>
      <c r="O64" s="10" t="s">
        <v>921</v>
      </c>
      <c r="R64" s="590"/>
      <c r="S64" s="10"/>
      <c r="T64" s="10"/>
      <c r="U64" s="10"/>
      <c r="V64" s="10"/>
      <c r="W64" s="10"/>
      <c r="X64" s="10"/>
      <c r="Y64" s="10">
        <f>COUNT(S64:V64)</f>
        <v>0</v>
      </c>
      <c r="Z64" s="10" t="s">
        <v>916</v>
      </c>
    </row>
    <row r="65" spans="1:26">
      <c r="A65" s="589"/>
      <c r="R65" s="590"/>
    </row>
    <row r="66" spans="1:26">
      <c r="A66" s="589"/>
      <c r="B66" s="11" t="s">
        <v>104</v>
      </c>
      <c r="C66" s="11"/>
      <c r="D66" s="11"/>
      <c r="E66" s="11"/>
      <c r="F66" s="11"/>
      <c r="G66" s="6"/>
      <c r="H66" s="6"/>
      <c r="I66" s="6"/>
      <c r="J66" s="6"/>
      <c r="K66" s="6"/>
      <c r="L66" s="6"/>
      <c r="M66" s="6"/>
      <c r="N66" s="6"/>
      <c r="O66" s="6"/>
      <c r="R66" s="590"/>
      <c r="S66" s="6"/>
      <c r="T66" s="6"/>
      <c r="U66" s="6"/>
      <c r="V66" s="6"/>
      <c r="W66" s="6"/>
      <c r="X66" s="6"/>
      <c r="Y66" s="6"/>
      <c r="Z66" s="6"/>
    </row>
    <row r="67" spans="1:26" ht="39.6">
      <c r="A67" s="589"/>
      <c r="B67" s="2" t="s">
        <v>680</v>
      </c>
      <c r="C67" s="2" t="s">
        <v>681</v>
      </c>
      <c r="D67" s="2" t="s">
        <v>707</v>
      </c>
      <c r="E67" s="2" t="s">
        <v>693</v>
      </c>
      <c r="F67" s="2" t="s">
        <v>130</v>
      </c>
      <c r="G67" s="2" t="s">
        <v>684</v>
      </c>
      <c r="H67" s="2">
        <v>6.75</v>
      </c>
      <c r="I67" s="2">
        <v>6.9545344537815126</v>
      </c>
      <c r="L67" s="2">
        <f>AVERAGE(I67:K67)</f>
        <v>6.9545344537815126</v>
      </c>
      <c r="N67" s="2">
        <f>COUNT(I67:K67)</f>
        <v>1</v>
      </c>
      <c r="O67" s="2" t="s">
        <v>910</v>
      </c>
      <c r="R67" s="590"/>
      <c r="T67" s="2">
        <v>7.0033478991596638</v>
      </c>
      <c r="W67" s="2">
        <f>AVERAGE(S67:V67)</f>
        <v>7.0033478991596638</v>
      </c>
      <c r="Y67" s="2">
        <f>COUNT(S67:V67)</f>
        <v>1</v>
      </c>
      <c r="Z67" s="2" t="s">
        <v>923</v>
      </c>
    </row>
    <row r="68" spans="1:26" ht="26.4">
      <c r="A68" s="589"/>
      <c r="G68" s="10" t="s">
        <v>685</v>
      </c>
      <c r="H68" s="10">
        <v>0.21</v>
      </c>
      <c r="I68" s="10">
        <v>0.38682352941176468</v>
      </c>
      <c r="J68" s="10"/>
      <c r="K68" s="10"/>
      <c r="L68" s="10">
        <f>AVERAGE(I68:K68)</f>
        <v>0.38682352941176468</v>
      </c>
      <c r="M68" s="10"/>
      <c r="N68" s="10">
        <f>COUNT(I68:K68)</f>
        <v>1</v>
      </c>
      <c r="O68" s="10" t="s">
        <v>923</v>
      </c>
      <c r="R68" s="590"/>
      <c r="S68" s="10"/>
      <c r="T68" s="10">
        <v>0.38958655462184871</v>
      </c>
      <c r="U68" s="10"/>
      <c r="V68" s="10"/>
      <c r="W68" s="10">
        <f>AVERAGE(S68:V68)</f>
        <v>0.38958655462184871</v>
      </c>
      <c r="X68" s="10"/>
      <c r="Y68" s="10">
        <f>COUNT(S68:V68)</f>
        <v>1</v>
      </c>
      <c r="Z68" s="10" t="s">
        <v>913</v>
      </c>
    </row>
    <row r="69" spans="1:26">
      <c r="A69" s="589"/>
      <c r="R69" s="590"/>
    </row>
    <row r="70" spans="1:26" ht="39.6">
      <c r="A70" s="589"/>
      <c r="B70" s="2" t="s">
        <v>680</v>
      </c>
      <c r="C70" s="2" t="s">
        <v>681</v>
      </c>
      <c r="D70" s="2" t="s">
        <v>707</v>
      </c>
      <c r="E70" s="2" t="s">
        <v>683</v>
      </c>
      <c r="F70" s="2" t="s">
        <v>130</v>
      </c>
      <c r="G70" s="2" t="s">
        <v>684</v>
      </c>
      <c r="H70" s="2">
        <v>6.75</v>
      </c>
      <c r="I70" s="2">
        <v>7.1742768166089963</v>
      </c>
      <c r="L70" s="2">
        <f>AVERAGE(I70:K70)</f>
        <v>7.1742768166089963</v>
      </c>
      <c r="N70" s="2">
        <f>COUNT(I70:K70)</f>
        <v>1</v>
      </c>
      <c r="O70" s="2" t="s">
        <v>922</v>
      </c>
      <c r="R70" s="590"/>
      <c r="T70" s="2">
        <v>7.2560512110726645</v>
      </c>
      <c r="W70" s="2">
        <f>AVERAGE(S70:V70)</f>
        <v>7.2560512110726645</v>
      </c>
      <c r="Y70" s="2">
        <f>COUNT(S70:V70)</f>
        <v>1</v>
      </c>
      <c r="Z70" s="2" t="s">
        <v>917</v>
      </c>
    </row>
    <row r="71" spans="1:26" ht="26.4">
      <c r="A71" s="589"/>
      <c r="G71" s="10" t="s">
        <v>685</v>
      </c>
      <c r="H71" s="10">
        <v>0.21</v>
      </c>
      <c r="I71" s="10">
        <v>0.39841245674740483</v>
      </c>
      <c r="J71" s="10"/>
      <c r="K71" s="10"/>
      <c r="L71" s="10">
        <f>AVERAGE(I71:K71)</f>
        <v>0.39841245674740483</v>
      </c>
      <c r="M71" s="10"/>
      <c r="N71" s="10">
        <f>COUNT(I71:K71)</f>
        <v>1</v>
      </c>
      <c r="O71" s="10" t="s">
        <v>923</v>
      </c>
      <c r="R71" s="590"/>
      <c r="S71" s="10"/>
      <c r="T71" s="10">
        <v>0.40697024221453287</v>
      </c>
      <c r="U71" s="10"/>
      <c r="V71" s="10"/>
      <c r="W71" s="10">
        <f>AVERAGE(S71:V71)</f>
        <v>0.40697024221453287</v>
      </c>
      <c r="X71" s="10"/>
      <c r="Y71" s="10">
        <f>COUNT(S71:V71)</f>
        <v>1</v>
      </c>
      <c r="Z71" s="10" t="s">
        <v>913</v>
      </c>
    </row>
    <row r="72" spans="1:26">
      <c r="A72" s="589"/>
      <c r="R72" s="590"/>
    </row>
    <row r="73" spans="1:26" ht="39.6">
      <c r="A73" s="589"/>
      <c r="B73" s="2" t="s">
        <v>680</v>
      </c>
      <c r="C73" s="2" t="s">
        <v>681</v>
      </c>
      <c r="D73" s="2" t="s">
        <v>708</v>
      </c>
      <c r="E73" s="2" t="s">
        <v>693</v>
      </c>
      <c r="F73" s="2" t="s">
        <v>130</v>
      </c>
      <c r="G73" s="2" t="s">
        <v>684</v>
      </c>
      <c r="H73" s="2">
        <v>6.75</v>
      </c>
      <c r="I73" s="2">
        <v>7.5835831932773106</v>
      </c>
      <c r="L73" s="2">
        <f>AVERAGE(I73:K73)</f>
        <v>7.5835831932773106</v>
      </c>
      <c r="N73" s="2">
        <f>COUNT(I73:K73)</f>
        <v>1</v>
      </c>
      <c r="O73" s="2" t="s">
        <v>909</v>
      </c>
      <c r="R73" s="590"/>
      <c r="T73" s="2">
        <v>7.6231865546218476</v>
      </c>
      <c r="W73" s="2">
        <f>AVERAGE(S73:V73)</f>
        <v>7.6231865546218476</v>
      </c>
      <c r="Y73" s="2">
        <f>COUNT(S73:V73)</f>
        <v>1</v>
      </c>
      <c r="Z73" s="2" t="s">
        <v>913</v>
      </c>
    </row>
    <row r="74" spans="1:26" ht="26.4">
      <c r="A74" s="589"/>
      <c r="G74" s="10" t="s">
        <v>685</v>
      </c>
      <c r="H74" s="10">
        <v>0.21</v>
      </c>
      <c r="I74" s="10">
        <v>0.43379495798319323</v>
      </c>
      <c r="J74" s="10"/>
      <c r="K74" s="10"/>
      <c r="L74" s="10">
        <f>AVERAGE(I74:K74)</f>
        <v>0.43379495798319323</v>
      </c>
      <c r="M74" s="10"/>
      <c r="N74" s="10">
        <f>COUNT(I74:K74)</f>
        <v>1</v>
      </c>
      <c r="O74" s="10" t="s">
        <v>909</v>
      </c>
      <c r="R74" s="590"/>
      <c r="S74" s="10"/>
      <c r="T74" s="10">
        <v>0.43195294117647054</v>
      </c>
      <c r="U74" s="10"/>
      <c r="V74" s="10"/>
      <c r="W74" s="10">
        <f>AVERAGE(S74:V74)</f>
        <v>0.43195294117647054</v>
      </c>
      <c r="X74" s="10"/>
      <c r="Y74" s="10">
        <f>COUNT(S74:V74)</f>
        <v>1</v>
      </c>
      <c r="Z74" s="10" t="s">
        <v>913</v>
      </c>
    </row>
    <row r="75" spans="1:26">
      <c r="A75" s="589"/>
      <c r="R75" s="590"/>
    </row>
    <row r="76" spans="1:26" ht="39.6">
      <c r="A76" s="589"/>
      <c r="B76" s="2" t="s">
        <v>680</v>
      </c>
      <c r="C76" s="2" t="s">
        <v>681</v>
      </c>
      <c r="D76" s="2" t="s">
        <v>708</v>
      </c>
      <c r="E76" s="2" t="s">
        <v>683</v>
      </c>
      <c r="F76" s="2" t="s">
        <v>130</v>
      </c>
      <c r="G76" s="2" t="s">
        <v>684</v>
      </c>
      <c r="H76" s="2">
        <v>6.75</v>
      </c>
      <c r="I76" s="2">
        <v>7.8722117647058827</v>
      </c>
      <c r="L76" s="2">
        <f>AVERAGE(I76:K76)</f>
        <v>7.8722117647058827</v>
      </c>
      <c r="N76" s="2">
        <f>COUNT(I76:K76)</f>
        <v>1</v>
      </c>
      <c r="O76" s="2" t="s">
        <v>909</v>
      </c>
      <c r="R76" s="590"/>
      <c r="T76" s="2">
        <v>7.952084429065744</v>
      </c>
      <c r="W76" s="2">
        <f>AVERAGE(S76:V76)</f>
        <v>7.952084429065744</v>
      </c>
      <c r="Y76" s="2">
        <f>COUNT(S76:V76)</f>
        <v>1</v>
      </c>
      <c r="Z76" s="2" t="s">
        <v>910</v>
      </c>
    </row>
    <row r="77" spans="1:26" ht="26.4">
      <c r="A77" s="589"/>
      <c r="G77" s="10" t="s">
        <v>685</v>
      </c>
      <c r="H77" s="10">
        <v>0.21</v>
      </c>
      <c r="I77" s="10">
        <v>0.43644705882352947</v>
      </c>
      <c r="J77" s="10"/>
      <c r="K77" s="10"/>
      <c r="L77" s="10">
        <f>AVERAGE(I77:K77)</f>
        <v>0.43644705882352947</v>
      </c>
      <c r="M77" s="10"/>
      <c r="N77" s="10">
        <f>COUNT(I77:K77)</f>
        <v>1</v>
      </c>
      <c r="O77" s="10" t="s">
        <v>909</v>
      </c>
      <c r="R77" s="590"/>
      <c r="S77" s="10"/>
      <c r="T77" s="10">
        <v>0.45261176470588232</v>
      </c>
      <c r="U77" s="10"/>
      <c r="V77" s="10"/>
      <c r="W77" s="10">
        <f>AVERAGE(S77:V77)</f>
        <v>0.45261176470588232</v>
      </c>
      <c r="X77" s="10"/>
      <c r="Y77" s="10">
        <f>COUNT(S77:V77)</f>
        <v>1</v>
      </c>
      <c r="Z77" s="10" t="s">
        <v>917</v>
      </c>
    </row>
    <row r="78" spans="1:26">
      <c r="A78" s="589"/>
      <c r="R78" s="590"/>
    </row>
    <row r="79" spans="1:26" ht="39.6">
      <c r="A79" s="589"/>
      <c r="B79" s="2" t="s">
        <v>680</v>
      </c>
      <c r="C79" s="2" t="s">
        <v>681</v>
      </c>
      <c r="D79" s="2" t="s">
        <v>709</v>
      </c>
      <c r="E79" s="2" t="s">
        <v>683</v>
      </c>
      <c r="F79" s="2" t="s">
        <v>132</v>
      </c>
      <c r="G79" s="2" t="s">
        <v>684</v>
      </c>
      <c r="H79" s="2">
        <v>6.75</v>
      </c>
      <c r="N79" s="2">
        <f>COUNT(I79:K79)</f>
        <v>0</v>
      </c>
      <c r="O79" s="2" t="s">
        <v>911</v>
      </c>
      <c r="R79" s="590"/>
      <c r="Y79" s="2">
        <f>COUNT(S79:V79)</f>
        <v>0</v>
      </c>
      <c r="Z79" s="2" t="s">
        <v>921</v>
      </c>
    </row>
    <row r="80" spans="1:26" ht="26.4">
      <c r="A80" s="589"/>
      <c r="G80" s="10" t="s">
        <v>685</v>
      </c>
      <c r="H80" s="10">
        <v>0.21</v>
      </c>
      <c r="I80" s="10"/>
      <c r="J80" s="10"/>
      <c r="K80" s="10"/>
      <c r="L80" s="10"/>
      <c r="M80" s="10"/>
      <c r="N80" s="10">
        <f>COUNT(I80:K80)</f>
        <v>0</v>
      </c>
      <c r="O80" s="10" t="s">
        <v>911</v>
      </c>
      <c r="R80" s="590"/>
      <c r="S80" s="10"/>
      <c r="T80" s="10"/>
      <c r="U80" s="10"/>
      <c r="V80" s="10"/>
      <c r="W80" s="10"/>
      <c r="X80" s="10"/>
      <c r="Y80" s="10">
        <f>COUNT(S80:V80)</f>
        <v>0</v>
      </c>
      <c r="Z80" s="10" t="s">
        <v>928</v>
      </c>
    </row>
    <row r="81" spans="1:26">
      <c r="A81" s="589"/>
      <c r="R81" s="590"/>
    </row>
    <row r="82" spans="1:26" ht="39.6">
      <c r="A82" s="589"/>
      <c r="B82" s="2" t="s">
        <v>680</v>
      </c>
      <c r="C82" s="2" t="s">
        <v>681</v>
      </c>
      <c r="D82" s="15" t="s">
        <v>710</v>
      </c>
      <c r="E82" s="2" t="s">
        <v>683</v>
      </c>
      <c r="F82" s="2" t="s">
        <v>132</v>
      </c>
      <c r="G82" s="2" t="s">
        <v>684</v>
      </c>
      <c r="H82" s="2">
        <v>6.75</v>
      </c>
      <c r="N82" s="2">
        <f>COUNT(I82:K82)</f>
        <v>0</v>
      </c>
      <c r="O82" s="2" t="s">
        <v>918</v>
      </c>
      <c r="R82" s="590"/>
      <c r="V82" s="2">
        <v>9.42</v>
      </c>
      <c r="W82" s="2">
        <f>AVERAGE(S82:V82)</f>
        <v>9.42</v>
      </c>
      <c r="Y82" s="2">
        <f>COUNT(S82:V82)</f>
        <v>1</v>
      </c>
      <c r="Z82" s="2" t="s">
        <v>931</v>
      </c>
    </row>
    <row r="83" spans="1:26" ht="26.4">
      <c r="A83" s="589"/>
      <c r="G83" s="10" t="s">
        <v>685</v>
      </c>
      <c r="H83" s="10">
        <v>0.21</v>
      </c>
      <c r="I83" s="10"/>
      <c r="J83" s="10"/>
      <c r="K83" s="10"/>
      <c r="L83" s="10"/>
      <c r="M83" s="10"/>
      <c r="N83" s="10">
        <f>COUNT(I83:K83)</f>
        <v>0</v>
      </c>
      <c r="O83" s="10" t="s">
        <v>924</v>
      </c>
      <c r="R83" s="590"/>
      <c r="S83" s="10"/>
      <c r="T83" s="10"/>
      <c r="U83" s="10"/>
      <c r="V83" s="10">
        <v>0.44500000000000001</v>
      </c>
      <c r="W83" s="10">
        <f>AVERAGE(S83:V83)</f>
        <v>0.44500000000000001</v>
      </c>
      <c r="X83" s="10"/>
      <c r="Y83" s="10">
        <f>COUNT(S83:V83)</f>
        <v>1</v>
      </c>
      <c r="Z83" s="10" t="s">
        <v>909</v>
      </c>
    </row>
    <row r="84" spans="1:26">
      <c r="A84" s="589"/>
      <c r="R84" s="590"/>
    </row>
    <row r="85" spans="1:26" ht="39.6">
      <c r="A85" s="589"/>
      <c r="B85" s="2" t="s">
        <v>680</v>
      </c>
      <c r="C85" s="2" t="s">
        <v>681</v>
      </c>
      <c r="D85" s="15" t="s">
        <v>710</v>
      </c>
      <c r="E85" s="15" t="s">
        <v>693</v>
      </c>
      <c r="F85" s="2" t="s">
        <v>132</v>
      </c>
      <c r="G85" s="2" t="s">
        <v>684</v>
      </c>
      <c r="H85" s="2">
        <v>6.75</v>
      </c>
      <c r="N85" s="2">
        <f>COUNT(I85:K85)</f>
        <v>0</v>
      </c>
      <c r="O85" s="2" t="s">
        <v>916</v>
      </c>
      <c r="R85" s="590"/>
      <c r="Y85" s="2">
        <f>COUNT(S85:V85)</f>
        <v>0</v>
      </c>
      <c r="Z85" s="2" t="s">
        <v>924</v>
      </c>
    </row>
    <row r="86" spans="1:26" ht="26.4">
      <c r="A86" s="589"/>
      <c r="G86" s="10" t="s">
        <v>685</v>
      </c>
      <c r="H86" s="10">
        <v>0.21</v>
      </c>
      <c r="I86" s="10"/>
      <c r="J86" s="10"/>
      <c r="K86" s="10"/>
      <c r="L86" s="10"/>
      <c r="M86" s="10"/>
      <c r="N86" s="10">
        <f>COUNT(I86:K86)</f>
        <v>0</v>
      </c>
      <c r="O86" s="10" t="s">
        <v>916</v>
      </c>
      <c r="R86" s="590"/>
      <c r="S86" s="10"/>
      <c r="T86" s="10"/>
      <c r="U86" s="10"/>
      <c r="V86" s="10"/>
      <c r="W86" s="10"/>
      <c r="X86" s="10"/>
      <c r="Y86" s="10">
        <f>COUNT(S86:V86)</f>
        <v>0</v>
      </c>
      <c r="Z86" s="10" t="s">
        <v>924</v>
      </c>
    </row>
    <row r="87" spans="1:26">
      <c r="A87" s="589"/>
      <c r="R87" s="590"/>
    </row>
    <row r="88" spans="1:26" ht="39.6">
      <c r="A88" s="589"/>
      <c r="B88" s="2" t="s">
        <v>680</v>
      </c>
      <c r="C88" s="2" t="s">
        <v>681</v>
      </c>
      <c r="D88" s="15" t="s">
        <v>708</v>
      </c>
      <c r="E88" s="2" t="s">
        <v>683</v>
      </c>
      <c r="F88" s="2" t="s">
        <v>132</v>
      </c>
      <c r="G88" s="2" t="s">
        <v>684</v>
      </c>
      <c r="H88" s="2">
        <v>6.75</v>
      </c>
      <c r="N88" s="2">
        <f>COUNT(I88:K88)</f>
        <v>0</v>
      </c>
      <c r="O88" s="2" t="s">
        <v>916</v>
      </c>
      <c r="R88" s="590"/>
      <c r="Y88" s="2">
        <f>COUNT(S88:V88)</f>
        <v>0</v>
      </c>
      <c r="Z88" s="2" t="s">
        <v>924</v>
      </c>
    </row>
    <row r="89" spans="1:26" ht="26.4">
      <c r="A89" s="589"/>
      <c r="G89" s="10" t="s">
        <v>685</v>
      </c>
      <c r="H89" s="10">
        <v>0.21</v>
      </c>
      <c r="I89" s="10"/>
      <c r="J89" s="10"/>
      <c r="K89" s="10"/>
      <c r="L89" s="10"/>
      <c r="M89" s="10"/>
      <c r="N89" s="10">
        <f>COUNT(I89:K89)</f>
        <v>0</v>
      </c>
      <c r="O89" s="10" t="s">
        <v>921</v>
      </c>
      <c r="R89" s="590"/>
      <c r="S89" s="10"/>
      <c r="T89" s="10"/>
      <c r="U89" s="10"/>
      <c r="V89" s="10"/>
      <c r="W89" s="10"/>
      <c r="X89" s="10"/>
      <c r="Y89" s="10">
        <f>COUNT(S89:V89)</f>
        <v>0</v>
      </c>
      <c r="Z89" s="10" t="s">
        <v>925</v>
      </c>
    </row>
    <row r="90" spans="1:26">
      <c r="A90" s="589"/>
      <c r="R90" s="590"/>
    </row>
    <row r="91" spans="1:26" ht="39.6">
      <c r="A91" s="589"/>
      <c r="B91" s="2" t="s">
        <v>680</v>
      </c>
      <c r="C91" s="2" t="s">
        <v>681</v>
      </c>
      <c r="D91" s="15" t="s">
        <v>708</v>
      </c>
      <c r="E91" s="15" t="s">
        <v>693</v>
      </c>
      <c r="F91" s="2" t="s">
        <v>132</v>
      </c>
      <c r="G91" s="2" t="s">
        <v>684</v>
      </c>
      <c r="H91" s="2">
        <v>6.75</v>
      </c>
      <c r="N91" s="2">
        <f>COUNT(I91:K91)</f>
        <v>0</v>
      </c>
      <c r="O91" s="2" t="s">
        <v>916</v>
      </c>
      <c r="R91" s="590"/>
      <c r="Y91" s="2">
        <f>COUNT(S91:V91)</f>
        <v>0</v>
      </c>
      <c r="Z91" s="2" t="s">
        <v>916</v>
      </c>
    </row>
    <row r="92" spans="1:26" ht="26.4">
      <c r="A92" s="589"/>
      <c r="G92" s="10" t="s">
        <v>685</v>
      </c>
      <c r="H92" s="10">
        <v>0.21</v>
      </c>
      <c r="I92" s="10"/>
      <c r="J92" s="10"/>
      <c r="K92" s="10"/>
      <c r="L92" s="10"/>
      <c r="M92" s="10"/>
      <c r="N92" s="10">
        <f>COUNT(I92:K92)</f>
        <v>0</v>
      </c>
      <c r="O92" s="10" t="s">
        <v>925</v>
      </c>
      <c r="R92" s="590"/>
      <c r="S92" s="10"/>
      <c r="T92" s="10"/>
      <c r="U92" s="10"/>
      <c r="V92" s="10"/>
      <c r="W92" s="10"/>
      <c r="X92" s="10"/>
      <c r="Y92" s="10">
        <f>COUNT(S92:V92)</f>
        <v>0</v>
      </c>
      <c r="Z92" s="10" t="s">
        <v>916</v>
      </c>
    </row>
    <row r="93" spans="1:26">
      <c r="A93" s="589"/>
      <c r="R93" s="590"/>
    </row>
    <row r="94" spans="1:26" ht="39.6">
      <c r="A94" s="589"/>
      <c r="B94" s="2" t="s">
        <v>680</v>
      </c>
      <c r="C94" s="2" t="s">
        <v>681</v>
      </c>
      <c r="D94" s="2" t="s">
        <v>707</v>
      </c>
      <c r="E94" s="2" t="s">
        <v>693</v>
      </c>
      <c r="F94" s="15" t="s">
        <v>132</v>
      </c>
      <c r="G94" s="2" t="s">
        <v>684</v>
      </c>
      <c r="H94" s="2">
        <v>6.75</v>
      </c>
      <c r="N94" s="2">
        <f t="shared" ref="N94:N107" si="2">COUNT(I94:K94)</f>
        <v>0</v>
      </c>
      <c r="O94" s="2" t="s">
        <v>921</v>
      </c>
      <c r="R94" s="590"/>
      <c r="Y94" s="2">
        <f t="shared" ref="Y94:Y107" si="3">COUNT(S94:V94)</f>
        <v>0</v>
      </c>
      <c r="Z94" s="2" t="s">
        <v>925</v>
      </c>
    </row>
    <row r="95" spans="1:26" ht="26.4">
      <c r="A95" s="589"/>
      <c r="G95" s="10" t="s">
        <v>685</v>
      </c>
      <c r="H95" s="10">
        <v>0.21</v>
      </c>
      <c r="I95" s="10"/>
      <c r="J95" s="10"/>
      <c r="K95" s="10"/>
      <c r="L95" s="10"/>
      <c r="M95" s="10"/>
      <c r="N95" s="10">
        <f t="shared" si="2"/>
        <v>0</v>
      </c>
      <c r="O95" s="10" t="s">
        <v>926</v>
      </c>
      <c r="R95" s="590"/>
      <c r="S95" s="10"/>
      <c r="T95" s="10"/>
      <c r="U95" s="10"/>
      <c r="V95" s="10"/>
      <c r="W95" s="10"/>
      <c r="X95" s="10"/>
      <c r="Y95" s="10">
        <f t="shared" si="3"/>
        <v>0</v>
      </c>
      <c r="Z95" s="10" t="s">
        <v>911</v>
      </c>
    </row>
    <row r="96" spans="1:26" ht="39.6">
      <c r="A96" s="589"/>
      <c r="B96" s="13" t="s">
        <v>680</v>
      </c>
      <c r="C96" s="13" t="s">
        <v>681</v>
      </c>
      <c r="D96" s="13" t="s">
        <v>707</v>
      </c>
      <c r="E96" s="13" t="s">
        <v>693</v>
      </c>
      <c r="F96" s="13" t="s">
        <v>711</v>
      </c>
      <c r="G96" s="2" t="s">
        <v>684</v>
      </c>
      <c r="H96" s="2">
        <v>6.75</v>
      </c>
      <c r="N96" s="2">
        <f t="shared" si="2"/>
        <v>0</v>
      </c>
      <c r="O96" s="2" t="s">
        <v>916</v>
      </c>
      <c r="R96" s="590"/>
      <c r="Y96" s="2">
        <f t="shared" si="3"/>
        <v>0</v>
      </c>
      <c r="Z96" s="2" t="s">
        <v>911</v>
      </c>
    </row>
    <row r="97" spans="1:26" ht="26.4">
      <c r="A97" s="589"/>
      <c r="G97" s="10" t="s">
        <v>685</v>
      </c>
      <c r="H97" s="10">
        <v>0.21</v>
      </c>
      <c r="I97" s="10"/>
      <c r="J97" s="10"/>
      <c r="K97" s="10"/>
      <c r="L97" s="10"/>
      <c r="M97" s="10"/>
      <c r="N97" s="10">
        <f t="shared" si="2"/>
        <v>0</v>
      </c>
      <c r="O97" s="10" t="s">
        <v>916</v>
      </c>
      <c r="R97" s="590"/>
      <c r="S97" s="10"/>
      <c r="T97" s="10"/>
      <c r="U97" s="10"/>
      <c r="V97" s="10"/>
      <c r="W97" s="10"/>
      <c r="X97" s="10"/>
      <c r="Y97" s="10">
        <f t="shared" si="3"/>
        <v>0</v>
      </c>
      <c r="Z97" s="10" t="s">
        <v>916</v>
      </c>
    </row>
    <row r="98" spans="1:26" ht="39.6">
      <c r="A98" s="589"/>
      <c r="B98" s="13" t="s">
        <v>680</v>
      </c>
      <c r="C98" s="13" t="s">
        <v>681</v>
      </c>
      <c r="D98" s="13" t="s">
        <v>707</v>
      </c>
      <c r="E98" s="13" t="s">
        <v>693</v>
      </c>
      <c r="F98" s="13" t="s">
        <v>712</v>
      </c>
      <c r="G98" s="2" t="s">
        <v>684</v>
      </c>
      <c r="H98" s="2">
        <v>6.75</v>
      </c>
      <c r="N98" s="2">
        <f t="shared" si="2"/>
        <v>0</v>
      </c>
      <c r="O98" s="2" t="s">
        <v>925</v>
      </c>
      <c r="R98" s="590"/>
      <c r="Y98" s="2">
        <f t="shared" si="3"/>
        <v>0</v>
      </c>
      <c r="Z98" s="2" t="s">
        <v>925</v>
      </c>
    </row>
    <row r="99" spans="1:26" ht="26.4">
      <c r="A99" s="589"/>
      <c r="G99" s="10" t="s">
        <v>685</v>
      </c>
      <c r="H99" s="10">
        <v>0.21</v>
      </c>
      <c r="I99" s="10"/>
      <c r="J99" s="10"/>
      <c r="K99" s="10"/>
      <c r="L99" s="10"/>
      <c r="M99" s="10"/>
      <c r="N99" s="10">
        <f t="shared" si="2"/>
        <v>0</v>
      </c>
      <c r="O99" s="10" t="s">
        <v>921</v>
      </c>
      <c r="R99" s="590"/>
      <c r="S99" s="10"/>
      <c r="T99" s="10"/>
      <c r="U99" s="10"/>
      <c r="V99" s="10"/>
      <c r="W99" s="10"/>
      <c r="X99" s="10"/>
      <c r="Y99" s="10">
        <f t="shared" si="3"/>
        <v>0</v>
      </c>
      <c r="Z99" s="10" t="s">
        <v>911</v>
      </c>
    </row>
    <row r="100" spans="1:26" ht="39.6">
      <c r="A100" s="589"/>
      <c r="B100" s="13" t="s">
        <v>680</v>
      </c>
      <c r="C100" s="13" t="s">
        <v>690</v>
      </c>
      <c r="D100" s="13" t="s">
        <v>709</v>
      </c>
      <c r="E100" s="13" t="s">
        <v>693</v>
      </c>
      <c r="F100" s="13" t="s">
        <v>130</v>
      </c>
      <c r="G100" s="2" t="s">
        <v>684</v>
      </c>
      <c r="H100" s="2">
        <v>6.75</v>
      </c>
      <c r="N100" s="2">
        <f t="shared" si="2"/>
        <v>0</v>
      </c>
      <c r="O100" s="2" t="s">
        <v>921</v>
      </c>
      <c r="R100" s="590"/>
      <c r="Y100" s="2">
        <f t="shared" si="3"/>
        <v>0</v>
      </c>
      <c r="Z100" s="2" t="s">
        <v>928</v>
      </c>
    </row>
    <row r="101" spans="1:26" ht="26.4">
      <c r="A101" s="589"/>
      <c r="G101" s="10" t="s">
        <v>685</v>
      </c>
      <c r="H101" s="10">
        <v>0.21</v>
      </c>
      <c r="I101" s="10"/>
      <c r="J101" s="10"/>
      <c r="K101" s="10"/>
      <c r="L101" s="10"/>
      <c r="M101" s="10"/>
      <c r="N101" s="10">
        <f t="shared" si="2"/>
        <v>0</v>
      </c>
      <c r="O101" s="10" t="s">
        <v>921</v>
      </c>
      <c r="R101" s="590"/>
      <c r="S101" s="10"/>
      <c r="T101" s="10"/>
      <c r="U101" s="10"/>
      <c r="V101" s="10"/>
      <c r="W101" s="10"/>
      <c r="X101" s="10"/>
      <c r="Y101" s="10">
        <f t="shared" si="3"/>
        <v>0</v>
      </c>
      <c r="Z101" s="10" t="s">
        <v>928</v>
      </c>
    </row>
    <row r="102" spans="1:26" ht="42.75" customHeight="1">
      <c r="A102" s="589"/>
      <c r="B102" s="13" t="s">
        <v>689</v>
      </c>
      <c r="C102" s="13" t="s">
        <v>690</v>
      </c>
      <c r="D102" s="13" t="s">
        <v>713</v>
      </c>
      <c r="E102" s="13" t="s">
        <v>683</v>
      </c>
      <c r="F102" s="13" t="s">
        <v>131</v>
      </c>
      <c r="G102" s="2" t="s">
        <v>684</v>
      </c>
      <c r="H102" s="2">
        <v>6.75</v>
      </c>
      <c r="I102" s="2">
        <v>7.3659999999999997</v>
      </c>
      <c r="L102" s="2">
        <f>AVERAGE(I102:K102)</f>
        <v>7.3659999999999997</v>
      </c>
      <c r="N102" s="2">
        <f t="shared" si="2"/>
        <v>1</v>
      </c>
      <c r="O102" s="2" t="s">
        <v>913</v>
      </c>
      <c r="R102" s="590"/>
      <c r="T102" s="2">
        <v>7.4249999999999998</v>
      </c>
      <c r="W102" s="2">
        <f>AVERAGE(S102:V102)</f>
        <v>7.4249999999999998</v>
      </c>
      <c r="Y102" s="2">
        <f t="shared" si="3"/>
        <v>1</v>
      </c>
      <c r="Z102" s="2" t="s">
        <v>910</v>
      </c>
    </row>
    <row r="103" spans="1:26" ht="26.4">
      <c r="A103" s="589"/>
      <c r="G103" s="10" t="s">
        <v>685</v>
      </c>
      <c r="H103" s="10">
        <v>0.21</v>
      </c>
      <c r="I103" s="10">
        <v>0.38100000000000001</v>
      </c>
      <c r="J103" s="10"/>
      <c r="K103" s="10"/>
      <c r="L103" s="10">
        <f>AVERAGE(I103:K103)</f>
        <v>0.38100000000000001</v>
      </c>
      <c r="M103" s="10"/>
      <c r="N103" s="10">
        <f t="shared" si="2"/>
        <v>1</v>
      </c>
      <c r="O103" s="10" t="s">
        <v>917</v>
      </c>
      <c r="R103" s="590"/>
      <c r="S103" s="10"/>
      <c r="T103" s="10">
        <v>0.39500000000000002</v>
      </c>
      <c r="U103" s="10"/>
      <c r="V103" s="10"/>
      <c r="W103" s="10">
        <f>AVERAGE(S103:V103)</f>
        <v>0.39500000000000002</v>
      </c>
      <c r="X103" s="10"/>
      <c r="Y103" s="10">
        <f t="shared" si="3"/>
        <v>1</v>
      </c>
      <c r="Z103" s="10" t="s">
        <v>917</v>
      </c>
    </row>
    <row r="104" spans="1:26" ht="42.75" customHeight="1">
      <c r="A104" s="589"/>
      <c r="B104" s="13" t="s">
        <v>689</v>
      </c>
      <c r="C104" s="13" t="s">
        <v>690</v>
      </c>
      <c r="D104" s="13" t="s">
        <v>714</v>
      </c>
      <c r="E104" s="13" t="s">
        <v>683</v>
      </c>
      <c r="F104" s="13" t="s">
        <v>132</v>
      </c>
      <c r="G104" s="2" t="s">
        <v>684</v>
      </c>
      <c r="H104" s="2">
        <v>6.75</v>
      </c>
      <c r="N104" s="2">
        <f t="shared" si="2"/>
        <v>0</v>
      </c>
      <c r="O104" s="2" t="s">
        <v>921</v>
      </c>
      <c r="R104" s="590"/>
      <c r="Y104" s="2">
        <f t="shared" si="3"/>
        <v>0</v>
      </c>
      <c r="Z104" s="2" t="s">
        <v>928</v>
      </c>
    </row>
    <row r="105" spans="1:26" ht="26.4">
      <c r="A105" s="589"/>
      <c r="G105" s="10" t="s">
        <v>685</v>
      </c>
      <c r="H105" s="10">
        <v>0.21</v>
      </c>
      <c r="I105" s="10"/>
      <c r="J105" s="10"/>
      <c r="K105" s="10"/>
      <c r="L105" s="10"/>
      <c r="M105" s="10"/>
      <c r="N105" s="10">
        <f t="shared" si="2"/>
        <v>0</v>
      </c>
      <c r="O105" s="10" t="s">
        <v>925</v>
      </c>
      <c r="R105" s="590"/>
      <c r="S105" s="10"/>
      <c r="T105" s="10"/>
      <c r="U105" s="10"/>
      <c r="V105" s="10"/>
      <c r="W105" s="10"/>
      <c r="X105" s="10"/>
      <c r="Y105" s="10">
        <f t="shared" si="3"/>
        <v>0</v>
      </c>
      <c r="Z105" s="10" t="s">
        <v>924</v>
      </c>
    </row>
    <row r="106" spans="1:26" ht="42.75" customHeight="1">
      <c r="A106" s="589"/>
      <c r="B106" s="13" t="s">
        <v>689</v>
      </c>
      <c r="C106" s="13" t="s">
        <v>877</v>
      </c>
      <c r="D106" s="13" t="s">
        <v>876</v>
      </c>
      <c r="E106" s="13" t="s">
        <v>683</v>
      </c>
      <c r="F106" s="13" t="s">
        <v>132</v>
      </c>
      <c r="G106" s="2" t="s">
        <v>684</v>
      </c>
      <c r="H106" s="2">
        <v>6.75</v>
      </c>
      <c r="N106" s="2">
        <f t="shared" si="2"/>
        <v>0</v>
      </c>
      <c r="O106" s="2" t="s">
        <v>921</v>
      </c>
      <c r="R106" s="590"/>
      <c r="Y106" s="2">
        <f t="shared" si="3"/>
        <v>0</v>
      </c>
      <c r="Z106" s="2" t="s">
        <v>924</v>
      </c>
    </row>
    <row r="107" spans="1:26" ht="26.4">
      <c r="A107" s="589"/>
      <c r="G107" s="10" t="s">
        <v>685</v>
      </c>
      <c r="H107" s="10">
        <v>0.21</v>
      </c>
      <c r="I107" s="10"/>
      <c r="J107" s="10"/>
      <c r="K107" s="10"/>
      <c r="L107" s="10"/>
      <c r="M107" s="10"/>
      <c r="N107" s="10">
        <f t="shared" si="2"/>
        <v>0</v>
      </c>
      <c r="O107" s="10" t="s">
        <v>921</v>
      </c>
      <c r="R107" s="590"/>
      <c r="S107" s="10"/>
      <c r="T107" s="10"/>
      <c r="U107" s="10"/>
      <c r="V107" s="10"/>
      <c r="W107" s="10"/>
      <c r="X107" s="10"/>
      <c r="Y107" s="10">
        <f t="shared" si="3"/>
        <v>0</v>
      </c>
      <c r="Z107" s="10" t="s">
        <v>925</v>
      </c>
    </row>
    <row r="109" spans="1:26">
      <c r="A109" s="481" t="str">
        <f>"MAX-MIN={" &amp; A111 &amp;"," &amp; A120 &amp; "},{" &amp; B111 &amp; "," &amp; B126 &amp; "},{" &amp; B110 &amp; "," &amp; B113 &amp; "},{" &amp; G111 &amp; "}"</f>
        <v>MAX-MIN={DL Spectral efficiency,UL Spectral Efficiency},{NR,LTE},{FDD,TDD},{5th percentile [bit/s/Hz]}</v>
      </c>
      <c r="V109" s="479"/>
    </row>
    <row r="110" spans="1:26">
      <c r="B110" s="481" t="s">
        <v>971</v>
      </c>
      <c r="K110" s="479" t="s">
        <v>964</v>
      </c>
      <c r="V110" s="479" t="s">
        <v>964</v>
      </c>
    </row>
    <row r="111" spans="1:26">
      <c r="A111" s="482" t="s">
        <v>969</v>
      </c>
      <c r="B111" s="479" t="s">
        <v>972</v>
      </c>
      <c r="G111" s="480" t="s">
        <v>685</v>
      </c>
      <c r="J111" s="582" t="s">
        <v>967</v>
      </c>
      <c r="K111" s="484" t="s">
        <v>962</v>
      </c>
      <c r="L111" s="255"/>
      <c r="S111" s="479"/>
      <c r="U111" s="582" t="s">
        <v>967</v>
      </c>
      <c r="V111" s="484" t="s">
        <v>962</v>
      </c>
      <c r="W111" s="255"/>
    </row>
    <row r="112" spans="1:26">
      <c r="A112" s="482" t="s">
        <v>969</v>
      </c>
      <c r="B112" s="479" t="s">
        <v>972</v>
      </c>
      <c r="G112" s="480" t="s">
        <v>685</v>
      </c>
      <c r="J112" s="583"/>
      <c r="K112" s="484" t="s">
        <v>963</v>
      </c>
      <c r="L112" s="255"/>
      <c r="S112" s="479"/>
      <c r="U112" s="583"/>
      <c r="V112" s="484" t="s">
        <v>963</v>
      </c>
      <c r="W112" s="255"/>
    </row>
    <row r="113" spans="1:23">
      <c r="B113" s="481" t="s">
        <v>973</v>
      </c>
      <c r="K113" s="479" t="s">
        <v>966</v>
      </c>
      <c r="V113" s="479" t="s">
        <v>966</v>
      </c>
    </row>
    <row r="114" spans="1:23">
      <c r="A114" s="482" t="s">
        <v>969</v>
      </c>
      <c r="B114" s="479" t="s">
        <v>972</v>
      </c>
      <c r="G114" s="480" t="s">
        <v>685</v>
      </c>
      <c r="J114" s="582" t="s">
        <v>968</v>
      </c>
      <c r="K114" s="484" t="s">
        <v>962</v>
      </c>
      <c r="L114" s="255"/>
      <c r="U114" s="582" t="s">
        <v>968</v>
      </c>
      <c r="V114" s="484" t="s">
        <v>962</v>
      </c>
      <c r="W114" s="255"/>
    </row>
    <row r="115" spans="1:23">
      <c r="A115" s="482" t="s">
        <v>969</v>
      </c>
      <c r="B115" s="479" t="s">
        <v>972</v>
      </c>
      <c r="G115" s="480" t="s">
        <v>685</v>
      </c>
      <c r="J115" s="583"/>
      <c r="K115" s="484" t="s">
        <v>963</v>
      </c>
      <c r="L115" s="255"/>
      <c r="U115" s="583"/>
      <c r="V115" s="484" t="s">
        <v>963</v>
      </c>
      <c r="W115" s="255"/>
    </row>
    <row r="116" spans="1:23">
      <c r="B116" s="481"/>
    </row>
    <row r="117" spans="1:23">
      <c r="B117" s="481"/>
    </row>
    <row r="119" spans="1:23">
      <c r="B119" s="481" t="s">
        <v>974</v>
      </c>
      <c r="K119" s="479" t="s">
        <v>965</v>
      </c>
      <c r="V119" s="479" t="s">
        <v>965</v>
      </c>
    </row>
    <row r="120" spans="1:23">
      <c r="A120" s="483" t="s">
        <v>970</v>
      </c>
      <c r="B120" s="479" t="s">
        <v>972</v>
      </c>
      <c r="G120" s="480" t="s">
        <v>685</v>
      </c>
      <c r="J120" s="582" t="s">
        <v>967</v>
      </c>
      <c r="K120" s="484" t="s">
        <v>962</v>
      </c>
      <c r="L120" s="255"/>
      <c r="S120" s="479"/>
      <c r="U120" s="582" t="s">
        <v>967</v>
      </c>
      <c r="V120" s="484" t="s">
        <v>962</v>
      </c>
      <c r="W120" s="255"/>
    </row>
    <row r="121" spans="1:23">
      <c r="A121" s="483" t="s">
        <v>970</v>
      </c>
      <c r="B121" s="479" t="s">
        <v>972</v>
      </c>
      <c r="G121" s="480" t="s">
        <v>685</v>
      </c>
      <c r="J121" s="583"/>
      <c r="K121" s="484" t="s">
        <v>963</v>
      </c>
      <c r="L121" s="255"/>
      <c r="S121" s="479"/>
      <c r="U121" s="583"/>
      <c r="V121" s="484" t="s">
        <v>963</v>
      </c>
      <c r="W121" s="255"/>
    </row>
    <row r="122" spans="1:23">
      <c r="B122" s="481" t="s">
        <v>973</v>
      </c>
    </row>
    <row r="123" spans="1:23">
      <c r="A123" s="483" t="s">
        <v>970</v>
      </c>
      <c r="B123" s="479" t="s">
        <v>972</v>
      </c>
      <c r="G123" s="480" t="s">
        <v>685</v>
      </c>
      <c r="J123" s="582" t="s">
        <v>968</v>
      </c>
      <c r="K123" s="484" t="s">
        <v>962</v>
      </c>
      <c r="L123" s="255"/>
      <c r="U123" s="582" t="s">
        <v>968</v>
      </c>
      <c r="V123" s="484" t="s">
        <v>962</v>
      </c>
      <c r="W123" s="255"/>
    </row>
    <row r="124" spans="1:23">
      <c r="A124" s="483" t="s">
        <v>970</v>
      </c>
      <c r="B124" s="479" t="s">
        <v>972</v>
      </c>
      <c r="G124" s="480" t="s">
        <v>685</v>
      </c>
      <c r="J124" s="583"/>
      <c r="K124" s="484" t="s">
        <v>963</v>
      </c>
      <c r="L124" s="255"/>
      <c r="U124" s="583"/>
      <c r="V124" s="484" t="s">
        <v>963</v>
      </c>
      <c r="W124" s="255"/>
    </row>
    <row r="126" spans="1:23">
      <c r="B126" s="479" t="s">
        <v>975</v>
      </c>
    </row>
  </sheetData>
  <mergeCells count="13">
    <mergeCell ref="G1:H1"/>
    <mergeCell ref="A2:A52"/>
    <mergeCell ref="R2:R52"/>
    <mergeCell ref="A54:A107"/>
    <mergeCell ref="R54:R107"/>
    <mergeCell ref="J111:J112"/>
    <mergeCell ref="J114:J115"/>
    <mergeCell ref="J120:J121"/>
    <mergeCell ref="J123:J124"/>
    <mergeCell ref="U111:U112"/>
    <mergeCell ref="U114:U115"/>
    <mergeCell ref="U120:U121"/>
    <mergeCell ref="U123:U124"/>
  </mergeCells>
  <phoneticPr fontId="21" type="noConversion"/>
  <pageMargins left="0.69930555555555596" right="0.69930555555555596"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W69"/>
  <sheetViews>
    <sheetView zoomScale="85" zoomScaleNormal="85" workbookViewId="0">
      <pane xSplit="8" ySplit="2" topLeftCell="I59" activePane="bottomRight" state="frozen"/>
      <selection pane="topRight"/>
      <selection pane="bottomLeft"/>
      <selection pane="bottomRight" activeCell="A52" sqref="A52:AA69"/>
    </sheetView>
  </sheetViews>
  <sheetFormatPr defaultColWidth="9.44140625" defaultRowHeight="13.2"/>
  <cols>
    <col min="1" max="1" width="10.88671875" style="2" customWidth="1"/>
    <col min="2" max="2" width="5.44140625" style="2" customWidth="1"/>
    <col min="3" max="3" width="21.44140625" style="2" customWidth="1"/>
    <col min="4" max="4" width="22.44140625" style="2" customWidth="1"/>
    <col min="5" max="5" width="11.44140625" style="2" customWidth="1"/>
    <col min="6" max="6" width="9.109375" style="2" customWidth="1"/>
    <col min="7" max="7" width="16.44140625" style="2" customWidth="1"/>
    <col min="8" max="8" width="6.44140625" style="2" customWidth="1"/>
    <col min="9" max="14" width="9.44140625" style="2" customWidth="1"/>
    <col min="15" max="16" width="9.44140625" style="2"/>
    <col min="17" max="17" width="10.5546875" style="2" customWidth="1"/>
    <col min="18" max="23" width="9.44140625" style="2" customWidth="1"/>
    <col min="24" max="16384" width="9.44140625" style="2"/>
  </cols>
  <sheetData>
    <row r="1" spans="1:23" s="1" customFormat="1" ht="26.25" customHeight="1">
      <c r="A1" s="4" t="s">
        <v>670</v>
      </c>
      <c r="B1" s="1" t="s">
        <v>671</v>
      </c>
      <c r="C1" s="20" t="s">
        <v>672</v>
      </c>
      <c r="D1" s="20" t="s">
        <v>673</v>
      </c>
      <c r="E1" s="1" t="s">
        <v>112</v>
      </c>
      <c r="F1" s="1" t="s">
        <v>128</v>
      </c>
      <c r="G1" s="584" t="s">
        <v>674</v>
      </c>
      <c r="H1" s="584"/>
      <c r="I1" s="1" t="s">
        <v>5</v>
      </c>
      <c r="J1" s="1" t="s">
        <v>21</v>
      </c>
      <c r="K1" s="1" t="s">
        <v>675</v>
      </c>
      <c r="L1" s="1" t="s">
        <v>676</v>
      </c>
      <c r="M1" s="1" t="s">
        <v>677</v>
      </c>
      <c r="N1" s="1" t="s">
        <v>932</v>
      </c>
      <c r="Q1" s="4" t="s">
        <v>678</v>
      </c>
      <c r="R1" s="1" t="s">
        <v>5</v>
      </c>
      <c r="S1" s="1" t="s">
        <v>21</v>
      </c>
      <c r="T1" s="1" t="s">
        <v>675</v>
      </c>
      <c r="U1" s="1" t="s">
        <v>676</v>
      </c>
      <c r="V1" s="1" t="s">
        <v>677</v>
      </c>
      <c r="W1" s="1" t="s">
        <v>935</v>
      </c>
    </row>
    <row r="2" spans="1:23" ht="12.75" customHeight="1">
      <c r="A2" s="22" t="s">
        <v>679</v>
      </c>
      <c r="B2" s="11" t="s">
        <v>103</v>
      </c>
      <c r="C2" s="11"/>
      <c r="D2" s="11"/>
      <c r="E2" s="11"/>
      <c r="F2" s="11"/>
      <c r="G2" s="11"/>
      <c r="H2" s="11"/>
      <c r="I2" s="6"/>
      <c r="J2" s="6"/>
      <c r="K2" s="6"/>
      <c r="L2" s="6"/>
      <c r="M2" s="6"/>
      <c r="N2" s="6"/>
      <c r="Q2" s="22" t="s">
        <v>679</v>
      </c>
      <c r="R2" s="6"/>
      <c r="S2" s="6"/>
      <c r="T2" s="6"/>
      <c r="U2" s="6"/>
      <c r="V2" s="6"/>
      <c r="W2" s="6"/>
    </row>
    <row r="3" spans="1:23" ht="39.6">
      <c r="A3" s="14"/>
      <c r="B3" s="2" t="s">
        <v>680</v>
      </c>
      <c r="C3" s="2" t="s">
        <v>715</v>
      </c>
      <c r="D3" s="2" t="s">
        <v>716</v>
      </c>
      <c r="E3" s="2" t="s">
        <v>683</v>
      </c>
      <c r="G3" s="2" t="s">
        <v>684</v>
      </c>
      <c r="H3" s="2">
        <v>9</v>
      </c>
      <c r="I3" s="2">
        <v>13.34</v>
      </c>
      <c r="K3" s="2">
        <f>AVERAGE(I3:J3)</f>
        <v>13.34</v>
      </c>
      <c r="M3" s="2">
        <f>COUNT(I3:J3)</f>
        <v>1</v>
      </c>
      <c r="N3" s="2" t="s">
        <v>910</v>
      </c>
      <c r="Q3" s="14"/>
      <c r="R3" s="2">
        <v>13.499000000000001</v>
      </c>
      <c r="T3" s="2">
        <f>AVERAGE(R3:S3)</f>
        <v>13.499000000000001</v>
      </c>
      <c r="V3" s="2">
        <f>COUNT(R3:S3)</f>
        <v>1</v>
      </c>
      <c r="W3" s="2" t="s">
        <v>914</v>
      </c>
    </row>
    <row r="4" spans="1:23" ht="26.4">
      <c r="A4" s="14"/>
      <c r="G4" s="10" t="s">
        <v>685</v>
      </c>
      <c r="H4" s="10">
        <v>0.3</v>
      </c>
      <c r="I4" s="10">
        <v>0.312</v>
      </c>
      <c r="J4" s="10"/>
      <c r="K4" s="10">
        <f>AVERAGE(I4:J4)</f>
        <v>0.312</v>
      </c>
      <c r="L4" s="10"/>
      <c r="M4" s="10">
        <f>COUNT(I4:J4)</f>
        <v>1</v>
      </c>
      <c r="N4" s="10" t="s">
        <v>933</v>
      </c>
      <c r="Q4" s="588"/>
      <c r="R4" s="10">
        <v>0.31900000000000001</v>
      </c>
      <c r="S4" s="10"/>
      <c r="T4" s="10">
        <f>AVERAGE(R4:S4)</f>
        <v>0.31900000000000001</v>
      </c>
      <c r="U4" s="10"/>
      <c r="V4" s="10">
        <f>COUNT(R4:S4)</f>
        <v>1</v>
      </c>
      <c r="W4" s="10" t="s">
        <v>931</v>
      </c>
    </row>
    <row r="5" spans="1:23">
      <c r="A5" s="14"/>
      <c r="Q5" s="588"/>
    </row>
    <row r="6" spans="1:23" ht="26.4">
      <c r="A6" s="5"/>
      <c r="B6" s="2" t="s">
        <v>680</v>
      </c>
      <c r="C6" s="2" t="s">
        <v>717</v>
      </c>
      <c r="D6" s="2" t="s">
        <v>718</v>
      </c>
      <c r="E6" s="2" t="s">
        <v>683</v>
      </c>
      <c r="G6" s="2" t="s">
        <v>684</v>
      </c>
      <c r="H6" s="2">
        <v>9</v>
      </c>
      <c r="M6" s="2">
        <f>COUNT(I6:J6)</f>
        <v>0</v>
      </c>
      <c r="N6" s="2" t="s">
        <v>934</v>
      </c>
      <c r="Q6" s="588"/>
      <c r="V6" s="2">
        <f>COUNT(R6:S6)</f>
        <v>0</v>
      </c>
      <c r="W6" s="2" t="s">
        <v>916</v>
      </c>
    </row>
    <row r="7" spans="1:23" ht="26.4">
      <c r="A7" s="5"/>
      <c r="G7" s="10" t="s">
        <v>685</v>
      </c>
      <c r="H7" s="10">
        <v>0.3</v>
      </c>
      <c r="I7" s="10"/>
      <c r="J7" s="10"/>
      <c r="K7" s="10"/>
      <c r="L7" s="10"/>
      <c r="M7" s="10">
        <f>COUNT(I7:J7)</f>
        <v>0</v>
      </c>
      <c r="N7" s="10" t="s">
        <v>934</v>
      </c>
      <c r="Q7" s="588"/>
      <c r="R7" s="10"/>
      <c r="S7" s="10"/>
      <c r="T7" s="10"/>
      <c r="U7" s="10"/>
      <c r="V7" s="10">
        <f>COUNT(R7:S7)</f>
        <v>0</v>
      </c>
      <c r="W7" s="10" t="s">
        <v>928</v>
      </c>
    </row>
    <row r="8" spans="1:23">
      <c r="A8" s="14"/>
      <c r="Q8" s="588"/>
    </row>
    <row r="9" spans="1:23" ht="26.4">
      <c r="A9" s="14"/>
      <c r="B9" s="2" t="s">
        <v>680</v>
      </c>
      <c r="C9" s="2" t="s">
        <v>681</v>
      </c>
      <c r="D9" s="2" t="s">
        <v>719</v>
      </c>
      <c r="E9" s="2" t="s">
        <v>683</v>
      </c>
      <c r="G9" s="2" t="s">
        <v>684</v>
      </c>
      <c r="H9" s="2">
        <v>9</v>
      </c>
      <c r="M9" s="2">
        <f>COUNT(I9:J9)</f>
        <v>0</v>
      </c>
      <c r="N9" s="2" t="s">
        <v>916</v>
      </c>
      <c r="Q9" s="588"/>
      <c r="V9" s="2">
        <f>COUNT(R9:S9)</f>
        <v>0</v>
      </c>
      <c r="W9" s="2" t="s">
        <v>928</v>
      </c>
    </row>
    <row r="10" spans="1:23" ht="26.4">
      <c r="A10" s="14"/>
      <c r="G10" s="10" t="s">
        <v>685</v>
      </c>
      <c r="H10" s="10">
        <v>0.3</v>
      </c>
      <c r="I10" s="10"/>
      <c r="J10" s="10"/>
      <c r="K10" s="10"/>
      <c r="L10" s="10"/>
      <c r="M10" s="10">
        <f>COUNT(I10:J10)</f>
        <v>0</v>
      </c>
      <c r="N10" s="10" t="s">
        <v>928</v>
      </c>
      <c r="Q10" s="14"/>
      <c r="R10" s="10"/>
      <c r="S10" s="10"/>
      <c r="T10" s="10"/>
      <c r="U10" s="10"/>
      <c r="V10" s="10">
        <f>COUNT(R10:S10)</f>
        <v>0</v>
      </c>
      <c r="W10" s="10" t="s">
        <v>916</v>
      </c>
    </row>
    <row r="11" spans="1:23">
      <c r="A11" s="14"/>
      <c r="Q11" s="14"/>
    </row>
    <row r="12" spans="1:23">
      <c r="A12" s="14"/>
      <c r="B12" s="11" t="s">
        <v>104</v>
      </c>
      <c r="C12" s="11"/>
      <c r="D12" s="11"/>
      <c r="E12" s="11"/>
      <c r="F12" s="11"/>
      <c r="G12" s="6"/>
      <c r="H12" s="6"/>
      <c r="I12" s="6"/>
      <c r="J12" s="6"/>
      <c r="K12" s="6"/>
      <c r="L12" s="6"/>
      <c r="M12" s="6"/>
      <c r="N12" s="6"/>
      <c r="Q12" s="14"/>
      <c r="R12" s="6"/>
      <c r="S12" s="6"/>
      <c r="T12" s="6"/>
      <c r="U12" s="6"/>
      <c r="V12" s="6"/>
      <c r="W12" s="6"/>
    </row>
    <row r="13" spans="1:23" ht="40.5" customHeight="1">
      <c r="A13" s="14"/>
      <c r="B13" s="2" t="s">
        <v>680</v>
      </c>
      <c r="C13" s="2" t="s">
        <v>715</v>
      </c>
      <c r="D13" s="15" t="s">
        <v>720</v>
      </c>
      <c r="E13" s="2" t="s">
        <v>693</v>
      </c>
      <c r="F13" s="2" t="s">
        <v>130</v>
      </c>
      <c r="G13" s="2" t="s">
        <v>684</v>
      </c>
      <c r="H13" s="2">
        <v>9</v>
      </c>
      <c r="I13" s="2">
        <v>14.218301886792457</v>
      </c>
      <c r="K13" s="2">
        <f>AVERAGE(I13:J13)</f>
        <v>14.218301886792457</v>
      </c>
      <c r="M13" s="2">
        <f>COUNT(I13:J13)</f>
        <v>1</v>
      </c>
      <c r="N13" s="2" t="s">
        <v>930</v>
      </c>
      <c r="Q13" s="14"/>
      <c r="R13" s="2">
        <v>14.332415094339625</v>
      </c>
      <c r="T13" s="2">
        <f>AVERAGE(R13:S13)</f>
        <v>14.332415094339625</v>
      </c>
      <c r="V13" s="2">
        <f>COUNT(R13:S13)</f>
        <v>1</v>
      </c>
      <c r="W13" s="2" t="s">
        <v>929</v>
      </c>
    </row>
    <row r="14" spans="1:23" ht="26.4">
      <c r="A14" s="14"/>
      <c r="G14" s="10" t="s">
        <v>685</v>
      </c>
      <c r="H14" s="10">
        <v>0.3</v>
      </c>
      <c r="I14" s="10">
        <v>0.35049056603773587</v>
      </c>
      <c r="J14" s="10"/>
      <c r="K14" s="10">
        <f>AVERAGE(I14:J14)</f>
        <v>0.35049056603773587</v>
      </c>
      <c r="L14" s="10"/>
      <c r="M14" s="10">
        <f>COUNT(I14:J14)</f>
        <v>1</v>
      </c>
      <c r="N14" s="10" t="s">
        <v>930</v>
      </c>
      <c r="Q14" s="14"/>
      <c r="R14" s="10">
        <v>0.35660377358490569</v>
      </c>
      <c r="S14" s="10"/>
      <c r="T14" s="10">
        <f>AVERAGE(R14:S14)</f>
        <v>0.35660377358490569</v>
      </c>
      <c r="U14" s="10"/>
      <c r="V14" s="10">
        <f>COUNT(R14:S14)</f>
        <v>1</v>
      </c>
      <c r="W14" s="10" t="s">
        <v>929</v>
      </c>
    </row>
    <row r="15" spans="1:23">
      <c r="A15" s="14"/>
      <c r="Q15" s="14"/>
    </row>
    <row r="16" spans="1:23" ht="40.5" customHeight="1">
      <c r="A16" s="14"/>
      <c r="B16" s="2" t="s">
        <v>680</v>
      </c>
      <c r="C16" s="2" t="s">
        <v>715</v>
      </c>
      <c r="D16" s="15" t="s">
        <v>720</v>
      </c>
      <c r="E16" s="2" t="s">
        <v>683</v>
      </c>
      <c r="F16" s="2" t="s">
        <v>130</v>
      </c>
      <c r="G16" s="2" t="s">
        <v>684</v>
      </c>
      <c r="H16" s="2">
        <v>9</v>
      </c>
      <c r="I16" s="2">
        <v>14.562679245283014</v>
      </c>
      <c r="K16" s="2">
        <f>AVERAGE(I16:J16)</f>
        <v>14.562679245283014</v>
      </c>
      <c r="M16" s="2">
        <f>COUNT(I16:J16)</f>
        <v>1</v>
      </c>
      <c r="N16" s="2" t="s">
        <v>929</v>
      </c>
      <c r="Q16" s="14"/>
      <c r="R16" s="2">
        <v>14.674754716981129</v>
      </c>
      <c r="T16" s="2">
        <f>AVERAGE(R16:S16)</f>
        <v>14.674754716981129</v>
      </c>
      <c r="V16" s="2">
        <f>COUNT(R16:S16)</f>
        <v>1</v>
      </c>
      <c r="W16" s="2" t="s">
        <v>933</v>
      </c>
    </row>
    <row r="17" spans="1:23" ht="26.4">
      <c r="A17" s="14"/>
      <c r="G17" s="10" t="s">
        <v>685</v>
      </c>
      <c r="H17" s="10">
        <v>0.3</v>
      </c>
      <c r="I17" s="10">
        <v>0.38513207547169803</v>
      </c>
      <c r="J17" s="10"/>
      <c r="K17" s="10">
        <f>AVERAGE(I17:J17)</f>
        <v>0.38513207547169803</v>
      </c>
      <c r="L17" s="10"/>
      <c r="M17" s="10">
        <f>COUNT(I17:J17)</f>
        <v>1</v>
      </c>
      <c r="N17" s="10" t="s">
        <v>929</v>
      </c>
      <c r="Q17" s="14"/>
      <c r="R17" s="10">
        <v>0.39430188679245276</v>
      </c>
      <c r="S17" s="10"/>
      <c r="T17" s="10">
        <f>AVERAGE(R17:S17)</f>
        <v>0.39430188679245276</v>
      </c>
      <c r="U17" s="10"/>
      <c r="V17" s="10">
        <f>COUNT(R17:S17)</f>
        <v>1</v>
      </c>
      <c r="W17" s="10" t="s">
        <v>933</v>
      </c>
    </row>
    <row r="18" spans="1:23">
      <c r="A18" s="14"/>
      <c r="Q18" s="14"/>
    </row>
    <row r="19" spans="1:23" ht="39.6">
      <c r="A19" s="14"/>
      <c r="B19" s="2" t="s">
        <v>680</v>
      </c>
      <c r="C19" s="2" t="s">
        <v>715</v>
      </c>
      <c r="D19" s="2" t="s">
        <v>721</v>
      </c>
      <c r="E19" s="2" t="s">
        <v>683</v>
      </c>
      <c r="F19" s="2" t="s">
        <v>132</v>
      </c>
      <c r="G19" s="2" t="s">
        <v>684</v>
      </c>
      <c r="H19" s="2">
        <v>9</v>
      </c>
      <c r="M19" s="2">
        <f>COUNT(I19:J19)</f>
        <v>0</v>
      </c>
      <c r="N19" s="2" t="s">
        <v>928</v>
      </c>
      <c r="Q19" s="14"/>
      <c r="V19" s="2">
        <f>COUNT(R19:S19)</f>
        <v>0</v>
      </c>
      <c r="W19" s="2" t="s">
        <v>928</v>
      </c>
    </row>
    <row r="20" spans="1:23" ht="26.4">
      <c r="A20" s="14"/>
      <c r="G20" s="10" t="s">
        <v>685</v>
      </c>
      <c r="H20" s="10">
        <v>0.3</v>
      </c>
      <c r="I20" s="10"/>
      <c r="J20" s="10"/>
      <c r="K20" s="10"/>
      <c r="L20" s="10"/>
      <c r="M20" s="10">
        <f>COUNT(I20:J20)</f>
        <v>0</v>
      </c>
      <c r="N20" s="10" t="s">
        <v>928</v>
      </c>
      <c r="Q20" s="14"/>
      <c r="R20" s="10"/>
      <c r="S20" s="10"/>
      <c r="T20" s="10"/>
      <c r="U20" s="10"/>
      <c r="V20" s="10">
        <f>COUNT(R20:S20)</f>
        <v>0</v>
      </c>
      <c r="W20" s="10" t="s">
        <v>928</v>
      </c>
    </row>
    <row r="21" spans="1:23">
      <c r="A21" s="14"/>
      <c r="Q21" s="14"/>
    </row>
    <row r="22" spans="1:23" ht="39.6">
      <c r="A22" s="14"/>
      <c r="B22" s="2" t="s">
        <v>680</v>
      </c>
      <c r="C22" s="2" t="s">
        <v>715</v>
      </c>
      <c r="D22" s="15" t="s">
        <v>722</v>
      </c>
      <c r="E22" s="2" t="s">
        <v>683</v>
      </c>
      <c r="F22" s="2" t="s">
        <v>132</v>
      </c>
      <c r="G22" s="2" t="s">
        <v>684</v>
      </c>
      <c r="H22" s="2">
        <v>9</v>
      </c>
      <c r="M22" s="2">
        <f>COUNT(I22:J22)</f>
        <v>0</v>
      </c>
      <c r="N22" s="2" t="s">
        <v>928</v>
      </c>
      <c r="Q22" s="14"/>
      <c r="V22" s="2">
        <f>COUNT(R22:S22)</f>
        <v>0</v>
      </c>
      <c r="W22" s="2" t="s">
        <v>928</v>
      </c>
    </row>
    <row r="23" spans="1:23" ht="26.4">
      <c r="A23" s="14"/>
      <c r="G23" s="10" t="s">
        <v>685</v>
      </c>
      <c r="H23" s="10">
        <v>0.3</v>
      </c>
      <c r="I23" s="10"/>
      <c r="J23" s="10"/>
      <c r="K23" s="10"/>
      <c r="L23" s="10"/>
      <c r="M23" s="10">
        <f>COUNT(I23:J23)</f>
        <v>0</v>
      </c>
      <c r="N23" s="10" t="s">
        <v>916</v>
      </c>
      <c r="Q23" s="14"/>
      <c r="R23" s="10"/>
      <c r="S23" s="10"/>
      <c r="T23" s="10"/>
      <c r="U23" s="10"/>
      <c r="V23" s="10">
        <f>COUNT(R23:S23)</f>
        <v>0</v>
      </c>
      <c r="W23" s="10" t="s">
        <v>918</v>
      </c>
    </row>
    <row r="24" spans="1:23">
      <c r="A24" s="14"/>
      <c r="Q24" s="14"/>
    </row>
    <row r="25" spans="1:23" ht="39.6">
      <c r="A25" s="14"/>
      <c r="B25" s="2" t="s">
        <v>680</v>
      </c>
      <c r="C25" s="2" t="s">
        <v>715</v>
      </c>
      <c r="D25" s="15" t="s">
        <v>723</v>
      </c>
      <c r="E25" s="15" t="s">
        <v>693</v>
      </c>
      <c r="F25" s="2" t="s">
        <v>132</v>
      </c>
      <c r="G25" s="2" t="s">
        <v>684</v>
      </c>
      <c r="H25" s="2">
        <v>9</v>
      </c>
      <c r="M25" s="2">
        <f>COUNT(I25:J25)</f>
        <v>0</v>
      </c>
      <c r="N25" s="2" t="s">
        <v>928</v>
      </c>
      <c r="Q25" s="14"/>
      <c r="V25" s="2">
        <f>COUNT(R25:S25)</f>
        <v>0</v>
      </c>
      <c r="W25" s="2" t="s">
        <v>928</v>
      </c>
    </row>
    <row r="26" spans="1:23" ht="26.4">
      <c r="A26" s="14"/>
      <c r="G26" s="10" t="s">
        <v>685</v>
      </c>
      <c r="H26" s="10">
        <v>0.3</v>
      </c>
      <c r="I26" s="10"/>
      <c r="J26" s="10"/>
      <c r="K26" s="10"/>
      <c r="L26" s="10"/>
      <c r="M26" s="10">
        <f>COUNT(I26:J26)</f>
        <v>0</v>
      </c>
      <c r="N26" s="10" t="s">
        <v>918</v>
      </c>
      <c r="Q26" s="14"/>
      <c r="R26" s="10"/>
      <c r="S26" s="10"/>
      <c r="T26" s="10"/>
      <c r="U26" s="10"/>
      <c r="V26" s="10">
        <f>COUNT(R26:S26)</f>
        <v>0</v>
      </c>
      <c r="W26" s="10" t="s">
        <v>936</v>
      </c>
    </row>
    <row r="27" spans="1:23">
      <c r="A27" s="14"/>
      <c r="Q27" s="14"/>
    </row>
    <row r="28" spans="1:23" ht="26.4">
      <c r="A28" s="14"/>
      <c r="B28" s="2" t="s">
        <v>680</v>
      </c>
      <c r="C28" s="2" t="s">
        <v>717</v>
      </c>
      <c r="D28" s="2" t="s">
        <v>724</v>
      </c>
      <c r="E28" s="15" t="s">
        <v>693</v>
      </c>
      <c r="F28" s="2" t="s">
        <v>130</v>
      </c>
      <c r="G28" s="2" t="s">
        <v>684</v>
      </c>
      <c r="H28" s="2">
        <v>9</v>
      </c>
      <c r="M28" s="2">
        <f>COUNT(I28:J28)</f>
        <v>0</v>
      </c>
      <c r="N28" s="2" t="s">
        <v>928</v>
      </c>
      <c r="Q28" s="14"/>
      <c r="V28" s="2">
        <f>COUNT(R28:S28)</f>
        <v>0</v>
      </c>
      <c r="W28" s="2" t="s">
        <v>916</v>
      </c>
    </row>
    <row r="29" spans="1:23" ht="26.4">
      <c r="A29" s="14"/>
      <c r="G29" s="10" t="s">
        <v>685</v>
      </c>
      <c r="H29" s="10">
        <v>0.3</v>
      </c>
      <c r="I29" s="10"/>
      <c r="J29" s="10"/>
      <c r="K29" s="10"/>
      <c r="L29" s="10"/>
      <c r="M29" s="10">
        <f>COUNT(I29:J29)</f>
        <v>0</v>
      </c>
      <c r="N29" s="10" t="s">
        <v>928</v>
      </c>
      <c r="Q29" s="14"/>
      <c r="R29" s="10"/>
      <c r="S29" s="10"/>
      <c r="T29" s="10"/>
      <c r="U29" s="10"/>
      <c r="V29" s="10">
        <f>COUNT(R29:S29)</f>
        <v>0</v>
      </c>
      <c r="W29" s="10" t="s">
        <v>934</v>
      </c>
    </row>
    <row r="32" spans="1:23" ht="12.75" customHeight="1">
      <c r="A32" s="590" t="s">
        <v>701</v>
      </c>
      <c r="B32" s="11" t="s">
        <v>103</v>
      </c>
      <c r="C32" s="11"/>
      <c r="D32" s="11"/>
      <c r="E32" s="11"/>
      <c r="F32" s="11"/>
      <c r="G32" s="6"/>
      <c r="H32" s="6"/>
      <c r="I32" s="6"/>
      <c r="J32" s="6"/>
      <c r="K32" s="6"/>
      <c r="L32" s="6"/>
      <c r="M32" s="6"/>
      <c r="N32" s="6"/>
      <c r="Q32" s="590" t="s">
        <v>701</v>
      </c>
      <c r="R32" s="6"/>
      <c r="S32" s="6"/>
      <c r="T32" s="6"/>
      <c r="U32" s="6"/>
      <c r="V32" s="6"/>
      <c r="W32" s="6"/>
    </row>
    <row r="33" spans="1:23" ht="39.6">
      <c r="A33" s="590"/>
      <c r="B33" s="2" t="s">
        <v>680</v>
      </c>
      <c r="C33" s="2" t="s">
        <v>715</v>
      </c>
      <c r="D33" s="2" t="s">
        <v>725</v>
      </c>
      <c r="E33" s="2" t="s">
        <v>683</v>
      </c>
      <c r="G33" s="2" t="s">
        <v>684</v>
      </c>
      <c r="H33" s="2">
        <v>6.75</v>
      </c>
      <c r="M33" s="2">
        <f>COUNT(I33:J33)</f>
        <v>0</v>
      </c>
      <c r="N33" s="2" t="s">
        <v>916</v>
      </c>
      <c r="Q33" s="590"/>
      <c r="V33" s="2">
        <f>COUNT(R33:S33)</f>
        <v>0</v>
      </c>
      <c r="W33" s="2" t="s">
        <v>937</v>
      </c>
    </row>
    <row r="34" spans="1:23" ht="26.4">
      <c r="A34" s="590"/>
      <c r="G34" s="10" t="s">
        <v>685</v>
      </c>
      <c r="H34" s="10">
        <v>0.21</v>
      </c>
      <c r="I34" s="10"/>
      <c r="J34" s="10"/>
      <c r="K34" s="10"/>
      <c r="L34" s="10"/>
      <c r="M34" s="10">
        <f>COUNT(I34:J34)</f>
        <v>0</v>
      </c>
      <c r="N34" s="10" t="s">
        <v>934</v>
      </c>
      <c r="Q34" s="590"/>
      <c r="R34" s="10"/>
      <c r="S34" s="10"/>
      <c r="T34" s="10"/>
      <c r="U34" s="10"/>
      <c r="V34" s="10">
        <f>COUNT(R34:S34)</f>
        <v>0</v>
      </c>
      <c r="W34" s="10" t="s">
        <v>934</v>
      </c>
    </row>
    <row r="35" spans="1:23">
      <c r="A35" s="590"/>
      <c r="Q35" s="590"/>
    </row>
    <row r="36" spans="1:23" ht="26.4">
      <c r="A36" s="590"/>
      <c r="B36" s="2" t="s">
        <v>680</v>
      </c>
      <c r="C36" s="2" t="s">
        <v>681</v>
      </c>
      <c r="D36" s="2" t="s">
        <v>726</v>
      </c>
      <c r="E36" s="2" t="s">
        <v>683</v>
      </c>
      <c r="G36" s="2" t="s">
        <v>684</v>
      </c>
      <c r="H36" s="2">
        <v>6.75</v>
      </c>
      <c r="M36" s="2">
        <f>COUNT(I36:J36)</f>
        <v>0</v>
      </c>
      <c r="N36" s="2" t="s">
        <v>928</v>
      </c>
      <c r="Q36" s="590"/>
      <c r="V36" s="2">
        <f>COUNT(R36:S36)</f>
        <v>0</v>
      </c>
      <c r="W36" s="2" t="s">
        <v>916</v>
      </c>
    </row>
    <row r="37" spans="1:23" ht="26.4">
      <c r="A37" s="590"/>
      <c r="G37" s="10" t="s">
        <v>685</v>
      </c>
      <c r="H37" s="10">
        <v>0.21</v>
      </c>
      <c r="I37" s="10"/>
      <c r="J37" s="10"/>
      <c r="K37" s="10"/>
      <c r="L37" s="10"/>
      <c r="M37" s="10">
        <f>COUNT(I37:J37)</f>
        <v>0</v>
      </c>
      <c r="N37" s="10" t="s">
        <v>934</v>
      </c>
      <c r="Q37" s="590"/>
      <c r="R37" s="10"/>
      <c r="S37" s="10"/>
      <c r="T37" s="10"/>
      <c r="U37" s="10"/>
      <c r="V37" s="10">
        <f>COUNT(R37:S37)</f>
        <v>0</v>
      </c>
      <c r="W37" s="10" t="s">
        <v>916</v>
      </c>
    </row>
    <row r="38" spans="1:23">
      <c r="A38" s="590"/>
      <c r="Q38" s="590"/>
    </row>
    <row r="39" spans="1:23" ht="26.4">
      <c r="A39" s="590"/>
      <c r="B39" s="2" t="s">
        <v>680</v>
      </c>
      <c r="C39" s="2" t="s">
        <v>727</v>
      </c>
      <c r="D39" s="15" t="s">
        <v>728</v>
      </c>
      <c r="E39" s="2" t="s">
        <v>683</v>
      </c>
      <c r="G39" s="2" t="s">
        <v>684</v>
      </c>
      <c r="H39" s="2">
        <v>6.75</v>
      </c>
      <c r="M39" s="2">
        <f>COUNT(I39:J39)</f>
        <v>0</v>
      </c>
      <c r="N39" s="2" t="s">
        <v>916</v>
      </c>
      <c r="Q39" s="590"/>
      <c r="V39" s="2">
        <f>COUNT(R39:S39)</f>
        <v>0</v>
      </c>
      <c r="W39" s="2" t="s">
        <v>924</v>
      </c>
    </row>
    <row r="40" spans="1:23" ht="26.4">
      <c r="A40" s="590"/>
      <c r="G40" s="10" t="s">
        <v>685</v>
      </c>
      <c r="H40" s="10">
        <v>0.21</v>
      </c>
      <c r="I40" s="10"/>
      <c r="J40" s="10"/>
      <c r="K40" s="10"/>
      <c r="L40" s="10"/>
      <c r="M40" s="10">
        <f>COUNT(I40:J40)</f>
        <v>0</v>
      </c>
      <c r="N40" s="10" t="s">
        <v>918</v>
      </c>
      <c r="Q40" s="590"/>
      <c r="R40" s="10"/>
      <c r="S40" s="10"/>
      <c r="T40" s="10"/>
      <c r="U40" s="10"/>
      <c r="V40" s="10">
        <f>COUNT(R40:S40)</f>
        <v>0</v>
      </c>
      <c r="W40" s="10" t="s">
        <v>924</v>
      </c>
    </row>
    <row r="41" spans="1:23">
      <c r="A41" s="590"/>
      <c r="Q41" s="590"/>
    </row>
    <row r="42" spans="1:23">
      <c r="A42" s="18"/>
      <c r="B42" s="11" t="s">
        <v>104</v>
      </c>
      <c r="C42" s="11"/>
      <c r="D42" s="11"/>
      <c r="E42" s="11"/>
      <c r="F42" s="11"/>
      <c r="G42" s="6"/>
      <c r="H42" s="6"/>
      <c r="I42" s="6"/>
      <c r="J42" s="6"/>
      <c r="K42" s="6"/>
      <c r="L42" s="6"/>
      <c r="M42" s="6"/>
      <c r="N42" s="6"/>
      <c r="Q42" s="590"/>
      <c r="R42" s="6"/>
      <c r="S42" s="6"/>
      <c r="T42" s="6"/>
      <c r="U42" s="6"/>
      <c r="V42" s="6"/>
      <c r="W42" s="6"/>
    </row>
    <row r="43" spans="1:23" ht="39.6">
      <c r="A43" s="18"/>
      <c r="B43" s="2" t="s">
        <v>680</v>
      </c>
      <c r="C43" s="2" t="s">
        <v>715</v>
      </c>
      <c r="D43" s="2" t="s">
        <v>725</v>
      </c>
      <c r="E43" s="2" t="s">
        <v>683</v>
      </c>
      <c r="F43" s="2" t="s">
        <v>132</v>
      </c>
      <c r="G43" s="2" t="s">
        <v>684</v>
      </c>
      <c r="H43" s="2">
        <v>6.75</v>
      </c>
      <c r="M43" s="2">
        <f>COUNT(I43:J43)</f>
        <v>0</v>
      </c>
      <c r="N43" s="2" t="s">
        <v>916</v>
      </c>
      <c r="Q43" s="590"/>
      <c r="V43" s="2">
        <f>COUNT(R43:S43)</f>
        <v>0</v>
      </c>
      <c r="W43" s="2" t="s">
        <v>924</v>
      </c>
    </row>
    <row r="44" spans="1:23" ht="26.4">
      <c r="A44" s="590"/>
      <c r="G44" s="10" t="s">
        <v>685</v>
      </c>
      <c r="H44" s="10">
        <v>0.21</v>
      </c>
      <c r="I44" s="10"/>
      <c r="J44" s="10"/>
      <c r="K44" s="10"/>
      <c r="L44" s="10"/>
      <c r="M44" s="10">
        <f>COUNT(I44:J44)</f>
        <v>0</v>
      </c>
      <c r="N44" s="10" t="s">
        <v>924</v>
      </c>
      <c r="Q44" s="590"/>
      <c r="R44" s="10"/>
      <c r="S44" s="10"/>
      <c r="T44" s="10"/>
      <c r="U44" s="10"/>
      <c r="V44" s="10">
        <f>COUNT(R44:S44)</f>
        <v>0</v>
      </c>
      <c r="W44" s="10" t="s">
        <v>924</v>
      </c>
    </row>
    <row r="45" spans="1:23">
      <c r="A45" s="590"/>
      <c r="Q45" s="590"/>
    </row>
    <row r="46" spans="1:23" ht="26.4">
      <c r="A46" s="590"/>
      <c r="B46" s="2" t="s">
        <v>680</v>
      </c>
      <c r="C46" s="15" t="s">
        <v>727</v>
      </c>
      <c r="D46" s="15" t="s">
        <v>728</v>
      </c>
      <c r="E46" s="2" t="s">
        <v>683</v>
      </c>
      <c r="F46" s="2" t="s">
        <v>132</v>
      </c>
      <c r="G46" s="2" t="s">
        <v>684</v>
      </c>
      <c r="H46" s="2">
        <v>6.75</v>
      </c>
      <c r="M46" s="2">
        <f>COUNT(I46:J46)</f>
        <v>0</v>
      </c>
      <c r="N46" s="2" t="s">
        <v>934</v>
      </c>
      <c r="Q46" s="590"/>
      <c r="V46" s="2">
        <f>COUNT(R46:S46)</f>
        <v>0</v>
      </c>
      <c r="W46" s="2" t="s">
        <v>924</v>
      </c>
    </row>
    <row r="47" spans="1:23" ht="26.4">
      <c r="A47" s="590"/>
      <c r="G47" s="10" t="s">
        <v>685</v>
      </c>
      <c r="H47" s="10">
        <v>0.21</v>
      </c>
      <c r="I47" s="10"/>
      <c r="J47" s="10"/>
      <c r="K47" s="10"/>
      <c r="L47" s="10"/>
      <c r="M47" s="10">
        <f>COUNT(I47:J47)</f>
        <v>0</v>
      </c>
      <c r="N47" s="10" t="s">
        <v>934</v>
      </c>
      <c r="Q47" s="590"/>
      <c r="R47" s="10"/>
      <c r="S47" s="10"/>
      <c r="T47" s="10"/>
      <c r="U47" s="10"/>
      <c r="V47" s="10">
        <f>COUNT(R47:S47)</f>
        <v>0</v>
      </c>
      <c r="W47" s="10" t="s">
        <v>938</v>
      </c>
    </row>
    <row r="48" spans="1:23">
      <c r="A48" s="590"/>
      <c r="Q48" s="590"/>
    </row>
    <row r="49" spans="1:23" ht="26.4">
      <c r="A49" s="590"/>
      <c r="B49" s="2" t="s">
        <v>680</v>
      </c>
      <c r="C49" s="15" t="s">
        <v>727</v>
      </c>
      <c r="D49" s="15" t="s">
        <v>728</v>
      </c>
      <c r="E49" s="15" t="s">
        <v>693</v>
      </c>
      <c r="F49" s="2" t="s">
        <v>132</v>
      </c>
      <c r="G49" s="2" t="s">
        <v>684</v>
      </c>
      <c r="H49" s="2">
        <v>6.75</v>
      </c>
      <c r="M49" s="2">
        <f>COUNT(I49:J49)</f>
        <v>0</v>
      </c>
      <c r="N49" s="2" t="s">
        <v>928</v>
      </c>
      <c r="Q49" s="590"/>
      <c r="V49" s="2">
        <f>COUNT(R49:S49)</f>
        <v>0</v>
      </c>
      <c r="W49" s="2" t="s">
        <v>928</v>
      </c>
    </row>
    <row r="50" spans="1:23" ht="26.4">
      <c r="A50" s="590"/>
      <c r="G50" s="10" t="s">
        <v>685</v>
      </c>
      <c r="H50" s="10">
        <v>0.21</v>
      </c>
      <c r="I50" s="10"/>
      <c r="J50" s="10"/>
      <c r="K50" s="10"/>
      <c r="L50" s="10"/>
      <c r="M50" s="10">
        <f>COUNT(I50:J50)</f>
        <v>0</v>
      </c>
      <c r="N50" s="10" t="s">
        <v>928</v>
      </c>
      <c r="Q50" s="590"/>
      <c r="R50" s="10"/>
      <c r="S50" s="10"/>
      <c r="T50" s="10"/>
      <c r="U50" s="10"/>
      <c r="V50" s="10">
        <f>COUNT(R50:S50)</f>
        <v>0</v>
      </c>
      <c r="W50" s="10" t="s">
        <v>928</v>
      </c>
    </row>
    <row r="52" spans="1:23">
      <c r="A52" s="481" t="str">
        <f>"MAX-MIN={" &amp; A54 &amp;"," &amp; A63 &amp; "},{" &amp; B54 &amp; "," &amp; B69 &amp; "},{" &amp; B53 &amp; "," &amp; B56 &amp; "},{" &amp; G54 &amp; "}"</f>
        <v>MAX-MIN={DL Spectral efficiency,UL Spectral Efficiency},{NR,LTE},{FDD,TDD},{5th percentile [bit/s/Hz]}</v>
      </c>
      <c r="V52" s="479"/>
    </row>
    <row r="53" spans="1:23">
      <c r="B53" s="481" t="s">
        <v>827</v>
      </c>
      <c r="K53" s="479" t="s">
        <v>964</v>
      </c>
      <c r="V53" s="479" t="s">
        <v>964</v>
      </c>
    </row>
    <row r="54" spans="1:23">
      <c r="A54" s="482" t="s">
        <v>960</v>
      </c>
      <c r="B54" s="479" t="s">
        <v>972</v>
      </c>
      <c r="G54" s="480" t="s">
        <v>685</v>
      </c>
      <c r="J54" s="582" t="s">
        <v>967</v>
      </c>
      <c r="K54" s="484" t="s">
        <v>962</v>
      </c>
      <c r="L54" s="255"/>
      <c r="S54" s="479"/>
      <c r="U54" s="582" t="s">
        <v>967</v>
      </c>
      <c r="V54" s="484" t="s">
        <v>962</v>
      </c>
      <c r="W54" s="255"/>
    </row>
    <row r="55" spans="1:23">
      <c r="A55" s="482" t="s">
        <v>960</v>
      </c>
      <c r="B55" s="479" t="s">
        <v>972</v>
      </c>
      <c r="G55" s="480" t="s">
        <v>685</v>
      </c>
      <c r="J55" s="583"/>
      <c r="K55" s="484" t="s">
        <v>963</v>
      </c>
      <c r="L55" s="255"/>
      <c r="S55" s="479"/>
      <c r="U55" s="583"/>
      <c r="V55" s="484" t="s">
        <v>963</v>
      </c>
      <c r="W55" s="255"/>
    </row>
    <row r="56" spans="1:23">
      <c r="B56" s="481" t="s">
        <v>789</v>
      </c>
      <c r="K56" s="479" t="s">
        <v>966</v>
      </c>
      <c r="V56" s="479" t="s">
        <v>966</v>
      </c>
    </row>
    <row r="57" spans="1:23">
      <c r="A57" s="482" t="s">
        <v>960</v>
      </c>
      <c r="B57" s="479" t="s">
        <v>972</v>
      </c>
      <c r="G57" s="480" t="s">
        <v>685</v>
      </c>
      <c r="J57" s="582" t="s">
        <v>789</v>
      </c>
      <c r="K57" s="484" t="s">
        <v>962</v>
      </c>
      <c r="L57" s="255"/>
      <c r="U57" s="582" t="s">
        <v>789</v>
      </c>
      <c r="V57" s="484" t="s">
        <v>962</v>
      </c>
      <c r="W57" s="255"/>
    </row>
    <row r="58" spans="1:23">
      <c r="A58" s="482" t="s">
        <v>960</v>
      </c>
      <c r="B58" s="479" t="s">
        <v>972</v>
      </c>
      <c r="G58" s="480" t="s">
        <v>685</v>
      </c>
      <c r="J58" s="583"/>
      <c r="K58" s="484" t="s">
        <v>963</v>
      </c>
      <c r="L58" s="255"/>
      <c r="U58" s="583"/>
      <c r="V58" s="484" t="s">
        <v>963</v>
      </c>
      <c r="W58" s="255"/>
    </row>
    <row r="59" spans="1:23">
      <c r="B59" s="481"/>
    </row>
    <row r="60" spans="1:23">
      <c r="B60" s="481"/>
    </row>
    <row r="62" spans="1:23">
      <c r="B62" s="481" t="s">
        <v>827</v>
      </c>
      <c r="K62" s="479" t="s">
        <v>965</v>
      </c>
      <c r="V62" s="479" t="s">
        <v>965</v>
      </c>
    </row>
    <row r="63" spans="1:23">
      <c r="A63" s="483" t="s">
        <v>961</v>
      </c>
      <c r="B63" s="479" t="s">
        <v>972</v>
      </c>
      <c r="G63" s="480" t="s">
        <v>685</v>
      </c>
      <c r="J63" s="582" t="s">
        <v>967</v>
      </c>
      <c r="K63" s="484" t="s">
        <v>962</v>
      </c>
      <c r="L63" s="255"/>
      <c r="S63" s="479"/>
      <c r="U63" s="582" t="s">
        <v>967</v>
      </c>
      <c r="V63" s="484" t="s">
        <v>962</v>
      </c>
      <c r="W63" s="255"/>
    </row>
    <row r="64" spans="1:23">
      <c r="A64" s="483" t="s">
        <v>961</v>
      </c>
      <c r="B64" s="479" t="s">
        <v>972</v>
      </c>
      <c r="G64" s="480" t="s">
        <v>685</v>
      </c>
      <c r="J64" s="583"/>
      <c r="K64" s="484" t="s">
        <v>963</v>
      </c>
      <c r="L64" s="255"/>
      <c r="S64" s="479"/>
      <c r="U64" s="583"/>
      <c r="V64" s="484" t="s">
        <v>963</v>
      </c>
      <c r="W64" s="255"/>
    </row>
    <row r="65" spans="1:23">
      <c r="B65" s="481" t="s">
        <v>789</v>
      </c>
    </row>
    <row r="66" spans="1:23">
      <c r="A66" s="483" t="s">
        <v>961</v>
      </c>
      <c r="B66" s="479" t="s">
        <v>972</v>
      </c>
      <c r="G66" s="480" t="s">
        <v>685</v>
      </c>
      <c r="J66" s="582" t="s">
        <v>789</v>
      </c>
      <c r="K66" s="484" t="s">
        <v>962</v>
      </c>
      <c r="L66" s="255"/>
      <c r="U66" s="582" t="s">
        <v>789</v>
      </c>
      <c r="V66" s="484" t="s">
        <v>962</v>
      </c>
      <c r="W66" s="255"/>
    </row>
    <row r="67" spans="1:23">
      <c r="A67" s="483" t="s">
        <v>961</v>
      </c>
      <c r="B67" s="479" t="s">
        <v>972</v>
      </c>
      <c r="G67" s="480" t="s">
        <v>685</v>
      </c>
      <c r="J67" s="583"/>
      <c r="K67" s="484" t="s">
        <v>963</v>
      </c>
      <c r="L67" s="255"/>
      <c r="U67" s="583"/>
      <c r="V67" s="484" t="s">
        <v>963</v>
      </c>
      <c r="W67" s="255"/>
    </row>
    <row r="69" spans="1:23">
      <c r="B69" s="479" t="s">
        <v>975</v>
      </c>
    </row>
  </sheetData>
  <mergeCells count="13">
    <mergeCell ref="G1:H1"/>
    <mergeCell ref="A32:A41"/>
    <mergeCell ref="A44:A50"/>
    <mergeCell ref="Q4:Q9"/>
    <mergeCell ref="Q32:Q50"/>
    <mergeCell ref="J66:J67"/>
    <mergeCell ref="U66:U67"/>
    <mergeCell ref="J54:J55"/>
    <mergeCell ref="U54:U55"/>
    <mergeCell ref="J57:J58"/>
    <mergeCell ref="U57:U58"/>
    <mergeCell ref="J63:J64"/>
    <mergeCell ref="U63:U64"/>
  </mergeCells>
  <phoneticPr fontId="21" type="noConversion"/>
  <pageMargins left="0.69930555555555596" right="0.69930555555555596"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Y105"/>
  <sheetViews>
    <sheetView zoomScale="55" zoomScaleNormal="55" workbookViewId="0">
      <pane xSplit="8" ySplit="1" topLeftCell="I72" activePane="bottomRight" state="frozen"/>
      <selection pane="topRight"/>
      <selection pane="bottomLeft"/>
      <selection pane="bottomRight" activeCell="A84" sqref="A84:O102"/>
    </sheetView>
  </sheetViews>
  <sheetFormatPr defaultColWidth="9.44140625" defaultRowHeight="13.2"/>
  <cols>
    <col min="1" max="1" width="12.44140625" style="2" customWidth="1"/>
    <col min="2" max="2" width="6.44140625" style="2" customWidth="1"/>
    <col min="3" max="3" width="24.109375" style="2" customWidth="1"/>
    <col min="4" max="4" width="19.44140625" style="2" customWidth="1"/>
    <col min="5" max="5" width="13.44140625" style="2" customWidth="1"/>
    <col min="6" max="6" width="9.109375" style="2" customWidth="1"/>
    <col min="7" max="7" width="16.44140625" style="2" customWidth="1"/>
    <col min="8" max="8" width="6.44140625" style="2" customWidth="1"/>
    <col min="9" max="15" width="9.44140625" style="2" customWidth="1"/>
    <col min="16" max="16384" width="9.44140625" style="2"/>
  </cols>
  <sheetData>
    <row r="1" spans="1:15" s="1" customFormat="1" ht="26.25" customHeight="1">
      <c r="A1" s="4" t="s">
        <v>729</v>
      </c>
      <c r="B1" s="1" t="s">
        <v>671</v>
      </c>
      <c r="C1" s="1" t="s">
        <v>672</v>
      </c>
      <c r="D1" s="1" t="s">
        <v>673</v>
      </c>
      <c r="E1" s="1" t="s">
        <v>112</v>
      </c>
      <c r="F1" s="1" t="s">
        <v>128</v>
      </c>
      <c r="G1" s="584" t="s">
        <v>674</v>
      </c>
      <c r="H1" s="584"/>
      <c r="I1" s="1" t="s">
        <v>17</v>
      </c>
      <c r="J1" s="1" t="s">
        <v>5</v>
      </c>
      <c r="K1" s="1" t="s">
        <v>21</v>
      </c>
      <c r="L1" s="1" t="s">
        <v>675</v>
      </c>
      <c r="M1" s="1" t="s">
        <v>676</v>
      </c>
      <c r="N1" s="1" t="s">
        <v>677</v>
      </c>
      <c r="O1" s="1" t="s">
        <v>927</v>
      </c>
    </row>
    <row r="2" spans="1:15">
      <c r="A2" s="5"/>
      <c r="B2" s="6" t="s">
        <v>103</v>
      </c>
      <c r="C2" s="6"/>
      <c r="D2" s="7"/>
      <c r="E2" s="7"/>
      <c r="F2" s="7"/>
      <c r="G2" s="7"/>
      <c r="H2" s="7"/>
      <c r="I2" s="7"/>
      <c r="J2" s="7"/>
      <c r="K2" s="7"/>
      <c r="L2" s="7"/>
      <c r="M2" s="7"/>
      <c r="N2" s="7"/>
      <c r="O2" s="7"/>
    </row>
    <row r="3" spans="1:15" ht="52.8">
      <c r="A3" s="5"/>
      <c r="B3" s="2" t="s">
        <v>680</v>
      </c>
      <c r="C3" s="2" t="s">
        <v>730</v>
      </c>
      <c r="D3" s="2" t="s">
        <v>731</v>
      </c>
      <c r="E3" s="2" t="s">
        <v>732</v>
      </c>
      <c r="G3" s="2" t="s">
        <v>684</v>
      </c>
      <c r="H3" s="2">
        <v>9</v>
      </c>
      <c r="N3" s="2">
        <f>COUNT(I3:K3)</f>
        <v>0</v>
      </c>
      <c r="O3" s="2" t="s">
        <v>921</v>
      </c>
    </row>
    <row r="4" spans="1:15" ht="26.4">
      <c r="A4" s="5"/>
      <c r="G4" s="10" t="s">
        <v>685</v>
      </c>
      <c r="H4" s="10">
        <v>0.3</v>
      </c>
      <c r="I4" s="10"/>
      <c r="J4" s="10"/>
      <c r="K4" s="10"/>
      <c r="L4" s="10"/>
      <c r="M4" s="10"/>
      <c r="N4" s="10">
        <f>COUNT(I4:K4)</f>
        <v>0</v>
      </c>
      <c r="O4" s="10" t="s">
        <v>916</v>
      </c>
    </row>
    <row r="5" spans="1:15">
      <c r="A5" s="5"/>
      <c r="G5" s="10"/>
      <c r="H5" s="10"/>
      <c r="I5" s="10"/>
      <c r="J5" s="10"/>
      <c r="K5" s="10"/>
      <c r="L5" s="10"/>
      <c r="M5" s="10"/>
      <c r="N5" s="10"/>
      <c r="O5" s="10"/>
    </row>
    <row r="6" spans="1:15">
      <c r="A6" s="5"/>
    </row>
    <row r="7" spans="1:15" ht="52.8">
      <c r="A7" s="5"/>
      <c r="B7" s="2" t="s">
        <v>680</v>
      </c>
      <c r="C7" s="2" t="s">
        <v>733</v>
      </c>
      <c r="D7" s="2" t="s">
        <v>734</v>
      </c>
      <c r="E7" s="2" t="s">
        <v>732</v>
      </c>
      <c r="G7" s="2" t="s">
        <v>684</v>
      </c>
      <c r="H7" s="2">
        <v>9</v>
      </c>
      <c r="N7" s="2">
        <f>COUNT(I7:K7)</f>
        <v>0</v>
      </c>
      <c r="O7" s="2" t="s">
        <v>928</v>
      </c>
    </row>
    <row r="8" spans="1:15" ht="26.4">
      <c r="A8" s="5"/>
      <c r="G8" s="10" t="s">
        <v>685</v>
      </c>
      <c r="H8" s="10">
        <v>0.3</v>
      </c>
      <c r="I8" s="10"/>
      <c r="J8" s="10"/>
      <c r="K8" s="10"/>
      <c r="L8" s="10"/>
      <c r="M8" s="10"/>
      <c r="N8" s="10">
        <f>COUNT(I8:K8)</f>
        <v>0</v>
      </c>
      <c r="O8" s="10" t="s">
        <v>916</v>
      </c>
    </row>
    <row r="9" spans="1:15">
      <c r="A9" s="5"/>
    </row>
    <row r="10" spans="1:15" ht="52.8">
      <c r="A10" s="588" t="s">
        <v>679</v>
      </c>
      <c r="B10" s="2" t="s">
        <v>680</v>
      </c>
      <c r="C10" s="2" t="s">
        <v>735</v>
      </c>
      <c r="D10" s="2" t="s">
        <v>736</v>
      </c>
      <c r="E10" s="2" t="s">
        <v>732</v>
      </c>
      <c r="G10" s="2" t="s">
        <v>684</v>
      </c>
      <c r="H10" s="2">
        <v>9</v>
      </c>
      <c r="N10" s="2">
        <f>COUNT(I10:K10)</f>
        <v>0</v>
      </c>
      <c r="O10" s="2" t="s">
        <v>916</v>
      </c>
    </row>
    <row r="11" spans="1:15" ht="26.4">
      <c r="A11" s="588"/>
      <c r="G11" s="10" t="s">
        <v>685</v>
      </c>
      <c r="H11" s="10">
        <v>0.3</v>
      </c>
      <c r="I11" s="10"/>
      <c r="J11" s="10"/>
      <c r="K11" s="10"/>
      <c r="L11" s="10"/>
      <c r="M11" s="10"/>
      <c r="N11" s="10">
        <f>COUNT(I11:K11)</f>
        <v>0</v>
      </c>
      <c r="O11" s="10" t="s">
        <v>924</v>
      </c>
    </row>
    <row r="12" spans="1:15">
      <c r="A12" s="588"/>
    </row>
    <row r="13" spans="1:15" ht="52.8">
      <c r="A13" s="588"/>
      <c r="B13" s="2" t="s">
        <v>680</v>
      </c>
      <c r="C13" s="13" t="s">
        <v>737</v>
      </c>
      <c r="D13" s="13" t="s">
        <v>738</v>
      </c>
      <c r="E13" s="13" t="s">
        <v>732</v>
      </c>
      <c r="G13" s="2" t="s">
        <v>684</v>
      </c>
      <c r="H13" s="2">
        <v>9</v>
      </c>
      <c r="I13" s="2">
        <v>12.271999999999998</v>
      </c>
      <c r="L13" s="2">
        <f>AVERAGE(I13:K13)</f>
        <v>12.271999999999998</v>
      </c>
      <c r="N13" s="2">
        <f>COUNT(I13:K13)</f>
        <v>1</v>
      </c>
      <c r="O13" s="2" t="s">
        <v>933</v>
      </c>
    </row>
    <row r="14" spans="1:15" ht="26.4">
      <c r="A14" s="588"/>
      <c r="G14" s="10" t="s">
        <v>685</v>
      </c>
      <c r="H14" s="10">
        <v>0.3</v>
      </c>
      <c r="I14" s="10">
        <v>0.44416666666666665</v>
      </c>
      <c r="J14" s="10"/>
      <c r="K14" s="10"/>
      <c r="L14" s="10">
        <f>AVERAGE(I14:K14)</f>
        <v>0.44416666666666665</v>
      </c>
      <c r="M14" s="10"/>
      <c r="N14" s="10">
        <f>COUNT(I14:K14)</f>
        <v>1</v>
      </c>
      <c r="O14" s="10" t="s">
        <v>933</v>
      </c>
    </row>
    <row r="15" spans="1:15">
      <c r="A15" s="588"/>
    </row>
    <row r="16" spans="1:15" ht="66.75" customHeight="1">
      <c r="A16" s="588"/>
      <c r="B16" s="2" t="s">
        <v>680</v>
      </c>
      <c r="C16" s="13" t="s">
        <v>737</v>
      </c>
      <c r="D16" s="13" t="s">
        <v>738</v>
      </c>
      <c r="E16" s="13" t="s">
        <v>739</v>
      </c>
      <c r="G16" s="2" t="s">
        <v>684</v>
      </c>
      <c r="H16" s="2">
        <v>9</v>
      </c>
      <c r="N16" s="2">
        <f>COUNT(I16:K16)</f>
        <v>0</v>
      </c>
      <c r="O16" s="2" t="s">
        <v>934</v>
      </c>
    </row>
    <row r="17" spans="1:15" ht="27" customHeight="1">
      <c r="A17" s="588"/>
      <c r="G17" s="10" t="s">
        <v>685</v>
      </c>
      <c r="H17" s="10">
        <v>0.3</v>
      </c>
      <c r="I17" s="10"/>
      <c r="J17" s="10"/>
      <c r="K17" s="10"/>
      <c r="L17" s="10"/>
      <c r="M17" s="10"/>
      <c r="N17" s="10">
        <f>COUNT(I17:K17)</f>
        <v>0</v>
      </c>
      <c r="O17" s="10" t="s">
        <v>939</v>
      </c>
    </row>
    <row r="18" spans="1:15">
      <c r="A18" s="588"/>
    </row>
    <row r="19" spans="1:15" ht="13.35" customHeight="1">
      <c r="A19" s="588"/>
      <c r="B19" s="11" t="s">
        <v>104</v>
      </c>
      <c r="C19" s="11"/>
      <c r="D19" s="11"/>
      <c r="E19" s="11"/>
      <c r="F19" s="11"/>
      <c r="G19" s="6"/>
      <c r="H19" s="6"/>
      <c r="I19" s="6"/>
      <c r="J19" s="6"/>
      <c r="K19" s="6"/>
      <c r="L19" s="6"/>
      <c r="M19" s="6"/>
      <c r="N19" s="6"/>
      <c r="O19" s="6"/>
    </row>
    <row r="20" spans="1:15" ht="57" customHeight="1">
      <c r="A20" s="588"/>
      <c r="B20" s="2" t="s">
        <v>680</v>
      </c>
      <c r="C20" s="2" t="s">
        <v>740</v>
      </c>
      <c r="D20" s="2" t="s">
        <v>741</v>
      </c>
      <c r="E20" s="2" t="s">
        <v>732</v>
      </c>
      <c r="F20" s="2" t="s">
        <v>130</v>
      </c>
      <c r="G20" s="2" t="s">
        <v>684</v>
      </c>
      <c r="H20" s="2">
        <v>9</v>
      </c>
      <c r="I20" s="2">
        <v>13.858000000000001</v>
      </c>
      <c r="L20" s="2">
        <f>AVERAGE(I20:K20)</f>
        <v>13.858000000000001</v>
      </c>
      <c r="N20" s="2">
        <f>COUNT(I20:K20)</f>
        <v>1</v>
      </c>
      <c r="O20" s="2" t="s">
        <v>933</v>
      </c>
    </row>
    <row r="21" spans="1:15" ht="24.75" customHeight="1">
      <c r="A21" s="588"/>
      <c r="G21" s="10" t="s">
        <v>685</v>
      </c>
      <c r="H21" s="10">
        <v>0.3</v>
      </c>
      <c r="I21" s="10">
        <v>0.47599999999999998</v>
      </c>
      <c r="J21" s="10"/>
      <c r="K21" s="10"/>
      <c r="L21" s="10">
        <f>AVERAGE(I21:K21)</f>
        <v>0.47599999999999998</v>
      </c>
      <c r="M21" s="10"/>
      <c r="N21" s="10">
        <f>COUNT(I21:K21)</f>
        <v>1</v>
      </c>
      <c r="O21" s="10" t="s">
        <v>933</v>
      </c>
    </row>
    <row r="22" spans="1:15" ht="13.35" customHeight="1">
      <c r="A22" s="588"/>
    </row>
    <row r="23" spans="1:15" ht="54" customHeight="1">
      <c r="A23" s="588"/>
      <c r="B23" s="2" t="s">
        <v>680</v>
      </c>
      <c r="C23" s="2" t="s">
        <v>740</v>
      </c>
      <c r="D23" s="2" t="s">
        <v>741</v>
      </c>
      <c r="E23" s="2" t="s">
        <v>739</v>
      </c>
      <c r="F23" s="2" t="s">
        <v>130</v>
      </c>
      <c r="G23" s="2" t="s">
        <v>684</v>
      </c>
      <c r="H23" s="2">
        <v>9</v>
      </c>
      <c r="I23" s="2">
        <v>13.76</v>
      </c>
      <c r="J23" s="2">
        <v>11.598792452830189</v>
      </c>
      <c r="L23" s="2">
        <f>AVERAGE(I23:K23)</f>
        <v>12.679396226415093</v>
      </c>
      <c r="M23" s="2">
        <f>_xlfn.STDEV.S(I23:K23)</f>
        <v>1.5282045121553185</v>
      </c>
      <c r="N23" s="2">
        <f>COUNT(I23:K23)</f>
        <v>2</v>
      </c>
      <c r="O23" s="2" t="s">
        <v>933</v>
      </c>
    </row>
    <row r="24" spans="1:15" ht="26.4">
      <c r="A24" s="588"/>
      <c r="G24" s="10" t="s">
        <v>685</v>
      </c>
      <c r="H24" s="10">
        <v>0.3</v>
      </c>
      <c r="I24" s="10">
        <v>0.49099999999999999</v>
      </c>
      <c r="J24" s="10">
        <v>0.30769811320754714</v>
      </c>
      <c r="K24" s="10"/>
      <c r="L24" s="10">
        <f>AVERAGE(I24:K24)</f>
        <v>0.39934905660377357</v>
      </c>
      <c r="M24" s="10">
        <f>_xlfn.STDEV.S(I24:K24)</f>
        <v>0.12961400715523227</v>
      </c>
      <c r="N24" s="10">
        <f>COUNT(I24:K24)</f>
        <v>2</v>
      </c>
      <c r="O24" s="10" t="s">
        <v>910</v>
      </c>
    </row>
    <row r="25" spans="1:15">
      <c r="A25" s="588"/>
    </row>
    <row r="26" spans="1:15" ht="52.8">
      <c r="A26" s="588"/>
      <c r="B26" s="2" t="s">
        <v>680</v>
      </c>
      <c r="C26" s="2" t="s">
        <v>742</v>
      </c>
      <c r="D26" s="2" t="s">
        <v>743</v>
      </c>
      <c r="E26" s="2" t="s">
        <v>732</v>
      </c>
      <c r="F26" s="2" t="s">
        <v>132</v>
      </c>
      <c r="G26" s="2" t="s">
        <v>684</v>
      </c>
      <c r="H26" s="2">
        <v>9</v>
      </c>
      <c r="N26" s="2">
        <f>COUNT(I26:K26)</f>
        <v>0</v>
      </c>
      <c r="O26" s="2" t="s">
        <v>918</v>
      </c>
    </row>
    <row r="27" spans="1:15" ht="26.4">
      <c r="A27" s="588"/>
      <c r="G27" s="10" t="s">
        <v>685</v>
      </c>
      <c r="H27" s="10">
        <v>0.3</v>
      </c>
      <c r="I27" s="10"/>
      <c r="J27" s="10"/>
      <c r="K27" s="10"/>
      <c r="L27" s="10"/>
      <c r="M27" s="10"/>
      <c r="N27" s="10">
        <f>COUNT(I27:K27)</f>
        <v>0</v>
      </c>
      <c r="O27" s="10" t="s">
        <v>924</v>
      </c>
    </row>
    <row r="28" spans="1:15">
      <c r="A28" s="14"/>
    </row>
    <row r="29" spans="1:15" ht="52.8">
      <c r="A29" s="14"/>
      <c r="B29" s="2" t="s">
        <v>680</v>
      </c>
      <c r="C29" s="2" t="s">
        <v>744</v>
      </c>
      <c r="D29" s="15" t="s">
        <v>745</v>
      </c>
      <c r="E29" s="15" t="s">
        <v>739</v>
      </c>
      <c r="F29" s="2" t="s">
        <v>132</v>
      </c>
      <c r="G29" s="2" t="s">
        <v>684</v>
      </c>
      <c r="H29" s="2">
        <v>9</v>
      </c>
      <c r="N29" s="2">
        <f>COUNT(I29:K29)</f>
        <v>0</v>
      </c>
      <c r="O29" s="2" t="s">
        <v>916</v>
      </c>
    </row>
    <row r="30" spans="1:15" ht="26.4">
      <c r="A30" s="14"/>
      <c r="G30" s="10" t="s">
        <v>685</v>
      </c>
      <c r="H30" s="10">
        <v>0.3</v>
      </c>
      <c r="I30" s="10"/>
      <c r="J30" s="10"/>
      <c r="K30" s="10"/>
      <c r="L30" s="10"/>
      <c r="M30" s="10"/>
      <c r="N30" s="10">
        <f>COUNT(I30:K30)</f>
        <v>0</v>
      </c>
      <c r="O30" s="10" t="s">
        <v>916</v>
      </c>
    </row>
    <row r="31" spans="1:15">
      <c r="A31" s="14"/>
    </row>
    <row r="32" spans="1:15" ht="52.8">
      <c r="A32" s="14"/>
      <c r="B32" s="2" t="s">
        <v>680</v>
      </c>
      <c r="C32" s="2" t="s">
        <v>744</v>
      </c>
      <c r="D32" s="15" t="s">
        <v>745</v>
      </c>
      <c r="E32" s="15" t="s">
        <v>732</v>
      </c>
      <c r="F32" s="2" t="s">
        <v>132</v>
      </c>
      <c r="G32" s="2" t="s">
        <v>684</v>
      </c>
      <c r="H32" s="2">
        <v>9</v>
      </c>
      <c r="N32" s="2">
        <f>COUNT(I32:K32)</f>
        <v>0</v>
      </c>
      <c r="O32" s="2" t="s">
        <v>924</v>
      </c>
    </row>
    <row r="33" spans="1:15" ht="26.4">
      <c r="A33" s="14"/>
      <c r="G33" s="10" t="s">
        <v>685</v>
      </c>
      <c r="H33" s="10">
        <v>0.3</v>
      </c>
      <c r="I33" s="10"/>
      <c r="J33" s="10"/>
      <c r="K33" s="10"/>
      <c r="L33" s="10"/>
      <c r="M33" s="10"/>
      <c r="N33" s="10">
        <f>COUNT(I33:K33)</f>
        <v>0</v>
      </c>
      <c r="O33" s="10" t="s">
        <v>924</v>
      </c>
    </row>
    <row r="34" spans="1:15">
      <c r="A34" s="14"/>
    </row>
    <row r="35" spans="1:15" ht="52.8">
      <c r="A35" s="14"/>
      <c r="B35" s="2" t="s">
        <v>680</v>
      </c>
      <c r="C35" s="2" t="s">
        <v>746</v>
      </c>
      <c r="D35" s="15" t="s">
        <v>747</v>
      </c>
      <c r="E35" s="15" t="s">
        <v>739</v>
      </c>
      <c r="F35" s="2" t="s">
        <v>132</v>
      </c>
      <c r="G35" s="2" t="s">
        <v>684</v>
      </c>
      <c r="H35" s="2">
        <v>9</v>
      </c>
      <c r="N35" s="2">
        <f>COUNT(I35:K35)</f>
        <v>0</v>
      </c>
      <c r="O35" s="2" t="s">
        <v>924</v>
      </c>
    </row>
    <row r="36" spans="1:15" ht="26.4">
      <c r="A36" s="14"/>
      <c r="G36" s="10" t="s">
        <v>685</v>
      </c>
      <c r="H36" s="10">
        <v>0.3</v>
      </c>
      <c r="I36" s="10"/>
      <c r="J36" s="10"/>
      <c r="K36" s="10"/>
      <c r="L36" s="10"/>
      <c r="M36" s="10"/>
      <c r="N36" s="10">
        <f>COUNT(I36:K36)</f>
        <v>0</v>
      </c>
      <c r="O36" s="10" t="s">
        <v>916</v>
      </c>
    </row>
    <row r="37" spans="1:15">
      <c r="A37" s="14"/>
    </row>
    <row r="38" spans="1:15" ht="52.8">
      <c r="A38" s="14"/>
      <c r="B38" s="2" t="s">
        <v>680</v>
      </c>
      <c r="C38" s="2" t="s">
        <v>746</v>
      </c>
      <c r="D38" s="15" t="s">
        <v>747</v>
      </c>
      <c r="E38" s="15" t="s">
        <v>732</v>
      </c>
      <c r="F38" s="2" t="s">
        <v>132</v>
      </c>
      <c r="G38" s="2" t="s">
        <v>684</v>
      </c>
      <c r="H38" s="2">
        <v>9</v>
      </c>
      <c r="N38" s="2">
        <f t="shared" ref="N38:N43" si="0">COUNT(I38:K38)</f>
        <v>0</v>
      </c>
      <c r="O38" s="2" t="s">
        <v>924</v>
      </c>
    </row>
    <row r="39" spans="1:15" ht="26.4">
      <c r="A39" s="14"/>
      <c r="G39" s="10" t="s">
        <v>685</v>
      </c>
      <c r="H39" s="10">
        <v>0.3</v>
      </c>
      <c r="I39" s="10"/>
      <c r="J39" s="10"/>
      <c r="K39" s="10"/>
      <c r="L39" s="10"/>
      <c r="M39" s="10"/>
      <c r="N39" s="10">
        <f t="shared" si="0"/>
        <v>0</v>
      </c>
      <c r="O39" s="10" t="s">
        <v>924</v>
      </c>
    </row>
    <row r="40" spans="1:15" ht="52.8">
      <c r="A40" s="14"/>
      <c r="B40" s="2" t="s">
        <v>680</v>
      </c>
      <c r="C40" s="2" t="s">
        <v>748</v>
      </c>
      <c r="D40" s="15" t="s">
        <v>749</v>
      </c>
      <c r="E40" s="15" t="s">
        <v>750</v>
      </c>
      <c r="F40" s="2" t="s">
        <v>130</v>
      </c>
      <c r="G40" s="2" t="s">
        <v>684</v>
      </c>
      <c r="H40" s="2">
        <v>9</v>
      </c>
      <c r="I40" s="2">
        <v>13.900209643605875</v>
      </c>
      <c r="L40" s="2">
        <f>AVERAGE(I40:K40)</f>
        <v>13.900209643605875</v>
      </c>
      <c r="N40" s="2">
        <f t="shared" si="0"/>
        <v>1</v>
      </c>
      <c r="O40" s="2" t="s">
        <v>931</v>
      </c>
    </row>
    <row r="41" spans="1:15" ht="26.4">
      <c r="A41" s="14"/>
      <c r="G41" s="10" t="s">
        <v>685</v>
      </c>
      <c r="H41" s="10">
        <v>0.3</v>
      </c>
      <c r="I41" s="10">
        <v>0.34750524109014685</v>
      </c>
      <c r="J41" s="10"/>
      <c r="K41" s="10"/>
      <c r="L41" s="10">
        <f>AVERAGE(I41:K41)</f>
        <v>0.34750524109014685</v>
      </c>
      <c r="M41" s="10"/>
      <c r="N41" s="10">
        <f t="shared" si="0"/>
        <v>1</v>
      </c>
      <c r="O41" s="10" t="s">
        <v>931</v>
      </c>
    </row>
    <row r="42" spans="1:15" ht="52.8">
      <c r="A42" s="14"/>
      <c r="B42" s="2" t="s">
        <v>680</v>
      </c>
      <c r="C42" s="2" t="s">
        <v>751</v>
      </c>
      <c r="D42" s="15" t="s">
        <v>752</v>
      </c>
      <c r="E42" s="15" t="s">
        <v>732</v>
      </c>
      <c r="F42" s="2" t="s">
        <v>368</v>
      </c>
      <c r="G42" s="2" t="s">
        <v>684</v>
      </c>
      <c r="H42" s="2">
        <v>9</v>
      </c>
      <c r="N42" s="2">
        <f t="shared" si="0"/>
        <v>0</v>
      </c>
      <c r="O42" s="2" t="s">
        <v>916</v>
      </c>
    </row>
    <row r="43" spans="1:15" ht="26.4">
      <c r="A43" s="14"/>
      <c r="G43" s="10" t="s">
        <v>685</v>
      </c>
      <c r="H43" s="10">
        <v>0.3</v>
      </c>
      <c r="I43" s="10"/>
      <c r="J43" s="10"/>
      <c r="K43" s="10"/>
      <c r="L43" s="10"/>
      <c r="M43" s="10"/>
      <c r="N43" s="10">
        <f t="shared" si="0"/>
        <v>0</v>
      </c>
      <c r="O43" s="10" t="s">
        <v>940</v>
      </c>
    </row>
    <row r="44" spans="1:15">
      <c r="A44" s="14"/>
      <c r="G44" s="10"/>
      <c r="H44" s="10"/>
      <c r="I44" s="10"/>
      <c r="J44" s="10"/>
      <c r="K44" s="10"/>
      <c r="L44" s="10"/>
      <c r="M44" s="10"/>
      <c r="N44" s="10"/>
      <c r="O44" s="10"/>
    </row>
    <row r="45" spans="1:15" ht="52.8">
      <c r="A45" s="14"/>
      <c r="B45" s="2" t="s">
        <v>680</v>
      </c>
      <c r="C45" s="13" t="s">
        <v>753</v>
      </c>
      <c r="D45" s="13" t="s">
        <v>745</v>
      </c>
      <c r="E45" s="13" t="s">
        <v>732</v>
      </c>
      <c r="F45" s="2" t="s">
        <v>130</v>
      </c>
      <c r="G45" s="2" t="s">
        <v>684</v>
      </c>
      <c r="H45" s="2">
        <v>9</v>
      </c>
      <c r="N45" s="2">
        <f>COUNT(I45:K45)</f>
        <v>0</v>
      </c>
      <c r="O45" s="2" t="s">
        <v>924</v>
      </c>
    </row>
    <row r="46" spans="1:15" ht="26.4">
      <c r="A46" s="14"/>
      <c r="G46" s="10" t="s">
        <v>685</v>
      </c>
      <c r="H46" s="10">
        <v>0.3</v>
      </c>
      <c r="I46" s="10"/>
      <c r="J46" s="10"/>
      <c r="K46" s="10"/>
      <c r="L46" s="10"/>
      <c r="M46" s="10"/>
      <c r="N46" s="10">
        <f>COUNT(I46:K46)</f>
        <v>0</v>
      </c>
      <c r="O46" s="10" t="s">
        <v>916</v>
      </c>
    </row>
    <row r="47" spans="1:15">
      <c r="A47" s="5"/>
    </row>
    <row r="49" spans="1:15">
      <c r="A49" s="16"/>
      <c r="B49" s="6" t="s">
        <v>103</v>
      </c>
      <c r="C49" s="6"/>
      <c r="D49" s="6"/>
      <c r="E49" s="6"/>
      <c r="F49" s="6"/>
      <c r="G49" s="6"/>
      <c r="H49" s="6"/>
      <c r="I49" s="6"/>
      <c r="J49" s="6"/>
      <c r="K49" s="6"/>
      <c r="L49" s="6"/>
      <c r="M49" s="6"/>
      <c r="N49" s="6"/>
      <c r="O49" s="6"/>
    </row>
    <row r="50" spans="1:15" ht="52.8">
      <c r="A50" s="16"/>
      <c r="B50" s="2" t="s">
        <v>680</v>
      </c>
      <c r="C50" s="2" t="s">
        <v>754</v>
      </c>
      <c r="D50" s="2" t="s">
        <v>755</v>
      </c>
      <c r="E50" s="2" t="s">
        <v>732</v>
      </c>
      <c r="G50" s="2" t="s">
        <v>684</v>
      </c>
      <c r="H50" s="2">
        <v>6.75</v>
      </c>
      <c r="N50" s="2">
        <f>COUNT(I50:K50)</f>
        <v>0</v>
      </c>
      <c r="O50" s="2" t="s">
        <v>916</v>
      </c>
    </row>
    <row r="51" spans="1:15" ht="26.4">
      <c r="A51" s="16"/>
      <c r="G51" s="10" t="s">
        <v>685</v>
      </c>
      <c r="H51" s="10">
        <v>0.21</v>
      </c>
      <c r="I51" s="10"/>
      <c r="J51" s="10"/>
      <c r="K51" s="10"/>
      <c r="L51" s="10"/>
      <c r="M51" s="10"/>
      <c r="N51" s="10">
        <f>COUNT(I51:K51)</f>
        <v>0</v>
      </c>
      <c r="O51" s="10" t="s">
        <v>916</v>
      </c>
    </row>
    <row r="52" spans="1:15">
      <c r="A52" s="16"/>
    </row>
    <row r="53" spans="1:15" ht="52.8">
      <c r="A53" s="16"/>
      <c r="B53" s="2" t="s">
        <v>680</v>
      </c>
      <c r="C53" s="2" t="s">
        <v>756</v>
      </c>
      <c r="D53" s="2" t="s">
        <v>757</v>
      </c>
      <c r="E53" s="2" t="s">
        <v>732</v>
      </c>
      <c r="G53" s="2" t="s">
        <v>684</v>
      </c>
      <c r="H53" s="2">
        <v>6.75</v>
      </c>
      <c r="N53" s="2">
        <f>COUNT(I53:K53)</f>
        <v>0</v>
      </c>
      <c r="O53" s="2" t="s">
        <v>924</v>
      </c>
    </row>
    <row r="54" spans="1:15" ht="26.4">
      <c r="A54" s="16"/>
      <c r="G54" s="10" t="s">
        <v>685</v>
      </c>
      <c r="H54" s="10">
        <v>0.21</v>
      </c>
      <c r="I54" s="10"/>
      <c r="J54" s="10"/>
      <c r="K54" s="10"/>
      <c r="L54" s="10"/>
      <c r="M54" s="10"/>
      <c r="N54" s="10">
        <f>COUNT(I54:K54)</f>
        <v>0</v>
      </c>
      <c r="O54" s="10" t="s">
        <v>925</v>
      </c>
    </row>
    <row r="55" spans="1:15">
      <c r="A55" s="16"/>
    </row>
    <row r="56" spans="1:15" ht="52.8">
      <c r="A56" s="16"/>
      <c r="B56" s="2" t="s">
        <v>680</v>
      </c>
      <c r="C56" s="13" t="s">
        <v>737</v>
      </c>
      <c r="D56" s="13" t="s">
        <v>758</v>
      </c>
      <c r="E56" s="13" t="s">
        <v>739</v>
      </c>
      <c r="G56" s="2" t="s">
        <v>684</v>
      </c>
      <c r="H56" s="2">
        <v>6.75</v>
      </c>
      <c r="N56" s="2">
        <f>COUNT(I56:K56)</f>
        <v>0</v>
      </c>
      <c r="O56" s="2" t="s">
        <v>925</v>
      </c>
    </row>
    <row r="57" spans="1:15" ht="26.4">
      <c r="A57" s="16"/>
      <c r="G57" s="10" t="s">
        <v>685</v>
      </c>
      <c r="H57" s="10">
        <v>0.21</v>
      </c>
      <c r="I57" s="10"/>
      <c r="J57" s="10"/>
      <c r="K57" s="10"/>
      <c r="L57" s="10"/>
      <c r="M57" s="10"/>
      <c r="N57" s="10">
        <f>COUNT(I57:K57)</f>
        <v>0</v>
      </c>
      <c r="O57" s="10" t="s">
        <v>916</v>
      </c>
    </row>
    <row r="58" spans="1:15">
      <c r="A58" s="16"/>
    </row>
    <row r="59" spans="1:15" ht="12.75" customHeight="1">
      <c r="A59" s="590" t="s">
        <v>759</v>
      </c>
      <c r="B59" s="11" t="s">
        <v>104</v>
      </c>
      <c r="C59" s="11"/>
      <c r="D59" s="11"/>
      <c r="E59" s="11"/>
      <c r="F59" s="11"/>
      <c r="G59" s="6"/>
      <c r="H59" s="6"/>
      <c r="I59" s="6"/>
      <c r="J59" s="6"/>
      <c r="K59" s="6"/>
      <c r="L59" s="6"/>
      <c r="M59" s="6"/>
      <c r="N59" s="6"/>
      <c r="O59" s="6"/>
    </row>
    <row r="60" spans="1:15" ht="52.8">
      <c r="A60" s="590"/>
      <c r="B60" s="2" t="s">
        <v>680</v>
      </c>
      <c r="C60" s="2" t="s">
        <v>740</v>
      </c>
      <c r="D60" s="2" t="s">
        <v>760</v>
      </c>
      <c r="E60" s="2" t="s">
        <v>739</v>
      </c>
      <c r="F60" s="2" t="s">
        <v>130</v>
      </c>
      <c r="G60" s="2" t="s">
        <v>684</v>
      </c>
      <c r="H60" s="2">
        <v>6.75</v>
      </c>
      <c r="J60" s="2">
        <v>7.0365358980093937</v>
      </c>
      <c r="L60" s="2">
        <f>AVERAGE(I60:K60)</f>
        <v>7.0365358980093937</v>
      </c>
      <c r="N60" s="2">
        <f>COUNT(I60:K60)</f>
        <v>1</v>
      </c>
      <c r="O60" s="2" t="s">
        <v>931</v>
      </c>
    </row>
    <row r="61" spans="1:15" ht="26.4">
      <c r="A61" s="590"/>
      <c r="G61" s="10" t="s">
        <v>685</v>
      </c>
      <c r="H61" s="10">
        <v>0.21</v>
      </c>
      <c r="I61" s="10"/>
      <c r="J61" s="10">
        <v>0.40456273764258549</v>
      </c>
      <c r="K61" s="10"/>
      <c r="L61" s="10">
        <f>AVERAGE(I61:K61)</f>
        <v>0.40456273764258549</v>
      </c>
      <c r="M61" s="10"/>
      <c r="N61" s="10">
        <f>COUNT(I61:K61)</f>
        <v>1</v>
      </c>
      <c r="O61" s="10" t="s">
        <v>931</v>
      </c>
    </row>
    <row r="62" spans="1:15">
      <c r="A62" s="590"/>
    </row>
    <row r="63" spans="1:15">
      <c r="A63" s="590"/>
    </row>
    <row r="64" spans="1:15" ht="52.8">
      <c r="A64" s="590"/>
      <c r="B64" s="2" t="s">
        <v>680</v>
      </c>
      <c r="C64" s="2" t="s">
        <v>742</v>
      </c>
      <c r="D64" s="2" t="s">
        <v>761</v>
      </c>
      <c r="E64" s="2" t="s">
        <v>732</v>
      </c>
      <c r="F64" s="2" t="s">
        <v>132</v>
      </c>
      <c r="G64" s="2" t="s">
        <v>684</v>
      </c>
      <c r="H64" s="2">
        <v>6.75</v>
      </c>
      <c r="N64" s="2">
        <f>COUNT(I64:K64)</f>
        <v>0</v>
      </c>
      <c r="O64" s="2" t="s">
        <v>924</v>
      </c>
    </row>
    <row r="65" spans="1:15" ht="26.4">
      <c r="A65" s="590"/>
      <c r="G65" s="10" t="s">
        <v>685</v>
      </c>
      <c r="H65" s="10">
        <v>0.21</v>
      </c>
      <c r="I65" s="10"/>
      <c r="J65" s="10"/>
      <c r="K65" s="10"/>
      <c r="L65" s="10"/>
      <c r="M65" s="10"/>
      <c r="N65" s="10">
        <f>COUNT(I65:K65)</f>
        <v>0</v>
      </c>
      <c r="O65" s="10" t="s">
        <v>924</v>
      </c>
    </row>
    <row r="66" spans="1:15">
      <c r="A66" s="18"/>
    </row>
    <row r="67" spans="1:15" ht="52.8">
      <c r="A67" s="18"/>
      <c r="B67" s="2" t="s">
        <v>680</v>
      </c>
      <c r="C67" s="2" t="s">
        <v>744</v>
      </c>
      <c r="D67" s="15" t="s">
        <v>762</v>
      </c>
      <c r="E67" s="15" t="s">
        <v>739</v>
      </c>
      <c r="F67" s="2" t="s">
        <v>132</v>
      </c>
      <c r="G67" s="2" t="s">
        <v>684</v>
      </c>
      <c r="H67" s="2">
        <v>6.75</v>
      </c>
      <c r="N67" s="2">
        <f t="shared" ref="N67:N78" si="1">COUNT(I67:K67)</f>
        <v>0</v>
      </c>
      <c r="O67" s="2" t="s">
        <v>925</v>
      </c>
    </row>
    <row r="68" spans="1:15" ht="26.4">
      <c r="A68" s="18"/>
      <c r="G68" s="10" t="s">
        <v>685</v>
      </c>
      <c r="H68" s="10">
        <v>0.21</v>
      </c>
      <c r="I68" s="10"/>
      <c r="J68" s="10"/>
      <c r="K68" s="10"/>
      <c r="L68" s="10"/>
      <c r="M68" s="10"/>
      <c r="N68" s="10">
        <f t="shared" si="1"/>
        <v>0</v>
      </c>
      <c r="O68" s="10" t="s">
        <v>925</v>
      </c>
    </row>
    <row r="69" spans="1:15" ht="52.8">
      <c r="A69" s="18"/>
      <c r="B69" s="2" t="s">
        <v>680</v>
      </c>
      <c r="C69" s="2" t="s">
        <v>763</v>
      </c>
      <c r="D69" s="15" t="s">
        <v>764</v>
      </c>
      <c r="E69" s="15" t="s">
        <v>739</v>
      </c>
      <c r="F69" s="2" t="s">
        <v>130</v>
      </c>
      <c r="G69" s="2" t="s">
        <v>684</v>
      </c>
      <c r="H69" s="2">
        <v>6.75</v>
      </c>
      <c r="I69" s="2">
        <v>10.189565217391303</v>
      </c>
      <c r="L69" s="2">
        <f>AVERAGE(I69:K69)</f>
        <v>10.189565217391303</v>
      </c>
      <c r="N69" s="2">
        <f t="shared" si="1"/>
        <v>1</v>
      </c>
      <c r="O69" s="2" t="s">
        <v>910</v>
      </c>
    </row>
    <row r="70" spans="1:15" ht="26.4">
      <c r="A70" s="18"/>
      <c r="G70" s="10" t="s">
        <v>685</v>
      </c>
      <c r="H70" s="10">
        <v>0.21</v>
      </c>
      <c r="I70" s="10">
        <v>0.31226086956521742</v>
      </c>
      <c r="J70" s="10"/>
      <c r="K70" s="10"/>
      <c r="L70" s="10">
        <f>AVERAGE(I70:K70)</f>
        <v>0.31226086956521742</v>
      </c>
      <c r="M70" s="10"/>
      <c r="N70" s="10">
        <f t="shared" si="1"/>
        <v>1</v>
      </c>
      <c r="O70" s="10" t="s">
        <v>931</v>
      </c>
    </row>
    <row r="71" spans="1:15" ht="52.8">
      <c r="A71" s="18"/>
      <c r="B71" s="2" t="s">
        <v>680</v>
      </c>
      <c r="C71" s="2" t="s">
        <v>765</v>
      </c>
      <c r="D71" s="15" t="s">
        <v>766</v>
      </c>
      <c r="E71" s="2" t="s">
        <v>732</v>
      </c>
      <c r="F71" s="2" t="s">
        <v>368</v>
      </c>
      <c r="G71" s="2" t="s">
        <v>684</v>
      </c>
      <c r="H71" s="2">
        <v>6.75</v>
      </c>
      <c r="N71" s="2">
        <f t="shared" si="1"/>
        <v>0</v>
      </c>
      <c r="O71" s="2" t="s">
        <v>916</v>
      </c>
    </row>
    <row r="72" spans="1:15" ht="26.4">
      <c r="A72" s="18"/>
      <c r="G72" s="10" t="s">
        <v>685</v>
      </c>
      <c r="H72" s="10">
        <v>0.21</v>
      </c>
      <c r="I72" s="10"/>
      <c r="J72" s="10"/>
      <c r="K72" s="10"/>
      <c r="L72" s="10"/>
      <c r="M72" s="10"/>
      <c r="N72" s="10">
        <f t="shared" si="1"/>
        <v>0</v>
      </c>
      <c r="O72" s="10" t="s">
        <v>924</v>
      </c>
    </row>
    <row r="73" spans="1:15" ht="52.8">
      <c r="A73" s="18"/>
      <c r="B73" s="2" t="s">
        <v>680</v>
      </c>
      <c r="C73" s="2" t="s">
        <v>767</v>
      </c>
      <c r="D73" s="2" t="s">
        <v>768</v>
      </c>
      <c r="E73" s="2" t="s">
        <v>739</v>
      </c>
      <c r="F73" s="2" t="s">
        <v>130</v>
      </c>
      <c r="G73" s="2" t="s">
        <v>684</v>
      </c>
      <c r="H73" s="2">
        <v>6.75</v>
      </c>
      <c r="J73" s="2">
        <v>6.0751044509058367</v>
      </c>
      <c r="L73" s="2">
        <f>AVERAGE(I73:K73)</f>
        <v>6.0751044509058367</v>
      </c>
      <c r="N73" s="2">
        <f t="shared" si="1"/>
        <v>1</v>
      </c>
      <c r="O73" s="2" t="s">
        <v>941</v>
      </c>
    </row>
    <row r="74" spans="1:15" ht="26.4">
      <c r="A74" s="18"/>
      <c r="G74" s="10" t="s">
        <v>685</v>
      </c>
      <c r="H74" s="10">
        <v>0.21</v>
      </c>
      <c r="I74" s="10"/>
      <c r="J74" s="10">
        <v>0.23321851934690224</v>
      </c>
      <c r="K74" s="10"/>
      <c r="L74" s="10">
        <f>AVERAGE(I74:K74)</f>
        <v>0.23321851934690224</v>
      </c>
      <c r="M74" s="10"/>
      <c r="N74" s="10">
        <f t="shared" si="1"/>
        <v>1</v>
      </c>
      <c r="O74" s="10" t="s">
        <v>931</v>
      </c>
    </row>
    <row r="75" spans="1:15" ht="52.8">
      <c r="A75" s="18"/>
      <c r="B75" s="2" t="s">
        <v>680</v>
      </c>
      <c r="C75" s="13" t="s">
        <v>769</v>
      </c>
      <c r="D75" s="13" t="s">
        <v>770</v>
      </c>
      <c r="E75" s="13" t="s">
        <v>732</v>
      </c>
      <c r="F75" s="13" t="s">
        <v>130</v>
      </c>
      <c r="G75" s="2" t="s">
        <v>684</v>
      </c>
      <c r="H75" s="2">
        <v>6.75</v>
      </c>
      <c r="N75" s="2">
        <f t="shared" si="1"/>
        <v>0</v>
      </c>
      <c r="O75" s="2" t="s">
        <v>916</v>
      </c>
    </row>
    <row r="76" spans="1:15" ht="26.4">
      <c r="A76" s="18"/>
      <c r="G76" s="10" t="s">
        <v>685</v>
      </c>
      <c r="H76" s="10">
        <v>0.21</v>
      </c>
      <c r="I76" s="10"/>
      <c r="J76" s="10"/>
      <c r="K76" s="10"/>
      <c r="L76" s="10"/>
      <c r="M76" s="10"/>
      <c r="N76" s="10">
        <f t="shared" si="1"/>
        <v>0</v>
      </c>
      <c r="O76" s="10" t="s">
        <v>916</v>
      </c>
    </row>
    <row r="77" spans="1:15" ht="52.8">
      <c r="A77" s="18"/>
      <c r="B77" s="2" t="s">
        <v>680</v>
      </c>
      <c r="C77" s="13" t="s">
        <v>771</v>
      </c>
      <c r="D77" s="13" t="s">
        <v>772</v>
      </c>
      <c r="E77" s="13" t="s">
        <v>739</v>
      </c>
      <c r="F77" s="13" t="s">
        <v>132</v>
      </c>
      <c r="G77" s="2" t="s">
        <v>684</v>
      </c>
      <c r="H77" s="2">
        <v>6.75</v>
      </c>
      <c r="N77" s="2">
        <f t="shared" si="1"/>
        <v>0</v>
      </c>
      <c r="O77" s="2" t="s">
        <v>925</v>
      </c>
    </row>
    <row r="78" spans="1:15" ht="26.4">
      <c r="A78" s="18"/>
      <c r="G78" s="25" t="s">
        <v>685</v>
      </c>
      <c r="H78" s="25">
        <v>0.21</v>
      </c>
      <c r="I78" s="10"/>
      <c r="J78" s="10"/>
      <c r="K78" s="10"/>
      <c r="L78" s="10"/>
      <c r="M78" s="10"/>
      <c r="N78" s="10">
        <f t="shared" si="1"/>
        <v>0</v>
      </c>
      <c r="O78" s="10" t="s">
        <v>916</v>
      </c>
    </row>
    <row r="79" spans="1:15">
      <c r="A79" s="18"/>
    </row>
    <row r="80" spans="1:15">
      <c r="A80" s="18"/>
    </row>
    <row r="81" spans="1:25">
      <c r="A81" s="18"/>
    </row>
    <row r="82" spans="1:25">
      <c r="A82" s="18"/>
      <c r="T82"/>
      <c r="U82"/>
      <c r="V82"/>
      <c r="W82"/>
      <c r="X82"/>
      <c r="Y82"/>
    </row>
    <row r="83" spans="1:25">
      <c r="T83"/>
      <c r="U83"/>
      <c r="V83"/>
      <c r="W83"/>
      <c r="X83"/>
      <c r="Y83"/>
    </row>
    <row r="84" spans="1:25">
      <c r="A84" s="481" t="str">
        <f>"MAX-MIN={" &amp; A86 &amp;"," &amp; A95 &amp; "},{" &amp; B86 &amp; "," &amp; B101 &amp; "},{" &amp; B85 &amp; "," &amp; B88 &amp; "},{" &amp; G86 &amp; "}"</f>
        <v>MAX-MIN={DL Spectral efficiency,UL Spectral Efficiency},{NR,LTE},{FDD,TDD},{5th percentile [bit/s/Hz]}</v>
      </c>
      <c r="T84"/>
      <c r="U84"/>
      <c r="V84"/>
      <c r="W84"/>
      <c r="X84"/>
      <c r="Y84"/>
    </row>
    <row r="85" spans="1:25">
      <c r="B85" s="481" t="s">
        <v>827</v>
      </c>
      <c r="K85" s="479" t="s">
        <v>964</v>
      </c>
      <c r="T85"/>
      <c r="U85"/>
      <c r="V85"/>
      <c r="W85"/>
      <c r="X85"/>
      <c r="Y85"/>
    </row>
    <row r="86" spans="1:25">
      <c r="A86" s="482" t="s">
        <v>960</v>
      </c>
      <c r="B86" s="479" t="s">
        <v>972</v>
      </c>
      <c r="G86" s="480" t="s">
        <v>685</v>
      </c>
      <c r="J86" s="582" t="s">
        <v>967</v>
      </c>
      <c r="K86" s="484" t="s">
        <v>962</v>
      </c>
      <c r="L86" s="255"/>
      <c r="S86" s="479"/>
      <c r="T86"/>
      <c r="U86"/>
      <c r="V86"/>
      <c r="W86"/>
      <c r="X86"/>
      <c r="Y86"/>
    </row>
    <row r="87" spans="1:25">
      <c r="A87" s="482" t="s">
        <v>960</v>
      </c>
      <c r="B87" s="479" t="s">
        <v>972</v>
      </c>
      <c r="G87" s="480" t="s">
        <v>685</v>
      </c>
      <c r="J87" s="583"/>
      <c r="K87" s="484" t="s">
        <v>963</v>
      </c>
      <c r="L87" s="255"/>
      <c r="S87" s="479"/>
      <c r="T87"/>
      <c r="U87"/>
      <c r="V87"/>
      <c r="W87"/>
      <c r="X87"/>
      <c r="Y87"/>
    </row>
    <row r="88" spans="1:25">
      <c r="B88" s="481" t="s">
        <v>789</v>
      </c>
      <c r="K88" s="479" t="s">
        <v>966</v>
      </c>
      <c r="T88"/>
      <c r="U88"/>
      <c r="V88"/>
      <c r="W88"/>
      <c r="X88"/>
      <c r="Y88"/>
    </row>
    <row r="89" spans="1:25">
      <c r="A89" s="482" t="s">
        <v>960</v>
      </c>
      <c r="B89" s="479" t="s">
        <v>972</v>
      </c>
      <c r="G89" s="480" t="s">
        <v>685</v>
      </c>
      <c r="J89" s="582" t="s">
        <v>789</v>
      </c>
      <c r="K89" s="484" t="s">
        <v>962</v>
      </c>
      <c r="L89" s="255"/>
      <c r="T89"/>
      <c r="U89"/>
      <c r="V89"/>
      <c r="W89"/>
      <c r="X89"/>
      <c r="Y89"/>
    </row>
    <row r="90" spans="1:25">
      <c r="A90" s="482" t="s">
        <v>960</v>
      </c>
      <c r="B90" s="479" t="s">
        <v>972</v>
      </c>
      <c r="G90" s="480" t="s">
        <v>685</v>
      </c>
      <c r="J90" s="583"/>
      <c r="K90" s="484" t="s">
        <v>963</v>
      </c>
      <c r="L90" s="255"/>
      <c r="T90"/>
      <c r="U90"/>
      <c r="V90"/>
      <c r="W90"/>
      <c r="X90"/>
      <c r="Y90"/>
    </row>
    <row r="91" spans="1:25">
      <c r="B91" s="481"/>
      <c r="T91"/>
      <c r="U91"/>
      <c r="V91"/>
      <c r="W91"/>
      <c r="X91"/>
      <c r="Y91"/>
    </row>
    <row r="92" spans="1:25">
      <c r="B92" s="481"/>
      <c r="T92"/>
      <c r="U92"/>
      <c r="V92"/>
      <c r="W92"/>
      <c r="X92"/>
      <c r="Y92"/>
    </row>
    <row r="93" spans="1:25">
      <c r="T93"/>
      <c r="U93"/>
      <c r="V93"/>
      <c r="W93"/>
      <c r="X93"/>
      <c r="Y93"/>
    </row>
    <row r="94" spans="1:25">
      <c r="B94" s="481" t="s">
        <v>827</v>
      </c>
      <c r="K94" s="479" t="s">
        <v>965</v>
      </c>
      <c r="T94"/>
      <c r="U94"/>
      <c r="V94"/>
      <c r="W94"/>
      <c r="X94"/>
      <c r="Y94"/>
    </row>
    <row r="95" spans="1:25">
      <c r="A95" s="483" t="s">
        <v>961</v>
      </c>
      <c r="B95" s="479" t="s">
        <v>972</v>
      </c>
      <c r="G95" s="480" t="s">
        <v>685</v>
      </c>
      <c r="J95" s="582" t="s">
        <v>967</v>
      </c>
      <c r="K95" s="484" t="s">
        <v>962</v>
      </c>
      <c r="L95" s="255"/>
      <c r="S95" s="479"/>
      <c r="T95"/>
      <c r="U95"/>
      <c r="V95"/>
      <c r="W95"/>
      <c r="X95"/>
      <c r="Y95"/>
    </row>
    <row r="96" spans="1:25">
      <c r="A96" s="483" t="s">
        <v>961</v>
      </c>
      <c r="B96" s="479" t="s">
        <v>972</v>
      </c>
      <c r="G96" s="480" t="s">
        <v>685</v>
      </c>
      <c r="J96" s="583"/>
      <c r="K96" s="484" t="s">
        <v>963</v>
      </c>
      <c r="L96" s="255"/>
      <c r="S96" s="479"/>
      <c r="T96"/>
      <c r="U96"/>
      <c r="V96"/>
      <c r="W96"/>
      <c r="X96"/>
      <c r="Y96"/>
    </row>
    <row r="97" spans="1:25">
      <c r="B97" s="481" t="s">
        <v>789</v>
      </c>
      <c r="T97"/>
      <c r="U97"/>
      <c r="V97"/>
      <c r="W97"/>
      <c r="X97"/>
      <c r="Y97"/>
    </row>
    <row r="98" spans="1:25">
      <c r="A98" s="483" t="s">
        <v>961</v>
      </c>
      <c r="B98" s="479" t="s">
        <v>972</v>
      </c>
      <c r="G98" s="480" t="s">
        <v>685</v>
      </c>
      <c r="J98" s="582" t="s">
        <v>789</v>
      </c>
      <c r="K98" s="484" t="s">
        <v>962</v>
      </c>
      <c r="L98" s="255"/>
      <c r="T98"/>
      <c r="U98"/>
      <c r="V98"/>
      <c r="W98"/>
      <c r="X98"/>
      <c r="Y98"/>
    </row>
    <row r="99" spans="1:25">
      <c r="A99" s="483" t="s">
        <v>961</v>
      </c>
      <c r="B99" s="479" t="s">
        <v>972</v>
      </c>
      <c r="G99" s="480" t="s">
        <v>685</v>
      </c>
      <c r="J99" s="583"/>
      <c r="K99" s="484" t="s">
        <v>963</v>
      </c>
      <c r="L99" s="255"/>
      <c r="T99"/>
      <c r="U99"/>
      <c r="V99"/>
      <c r="W99"/>
      <c r="X99"/>
      <c r="Y99"/>
    </row>
    <row r="100" spans="1:25">
      <c r="T100"/>
      <c r="U100"/>
      <c r="V100"/>
      <c r="W100"/>
      <c r="X100"/>
      <c r="Y100"/>
    </row>
    <row r="101" spans="1:25">
      <c r="B101" s="479" t="s">
        <v>975</v>
      </c>
      <c r="T101"/>
      <c r="U101"/>
      <c r="V101"/>
      <c r="W101"/>
      <c r="X101"/>
      <c r="Y101"/>
    </row>
    <row r="102" spans="1:25">
      <c r="T102"/>
      <c r="U102"/>
      <c r="V102"/>
      <c r="W102"/>
      <c r="X102"/>
      <c r="Y102"/>
    </row>
    <row r="103" spans="1:25">
      <c r="T103"/>
      <c r="U103"/>
      <c r="V103"/>
      <c r="W103"/>
      <c r="X103"/>
      <c r="Y103"/>
    </row>
    <row r="104" spans="1:25">
      <c r="T104"/>
      <c r="U104"/>
      <c r="V104"/>
      <c r="W104"/>
      <c r="X104"/>
      <c r="Y104"/>
    </row>
    <row r="105" spans="1:25">
      <c r="T105"/>
      <c r="U105"/>
      <c r="V105"/>
      <c r="W105"/>
      <c r="X105"/>
      <c r="Y105"/>
    </row>
  </sheetData>
  <mergeCells count="7">
    <mergeCell ref="J89:J90"/>
    <mergeCell ref="J95:J96"/>
    <mergeCell ref="J98:J99"/>
    <mergeCell ref="G1:H1"/>
    <mergeCell ref="A10:A27"/>
    <mergeCell ref="A59:A65"/>
    <mergeCell ref="J86:J87"/>
  </mergeCells>
  <phoneticPr fontId="21" type="noConversion"/>
  <pageMargins left="0.69930555555555596" right="0.69930555555555596"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A321"/>
  <sheetViews>
    <sheetView tabSelected="1" zoomScale="50" zoomScaleNormal="50" workbookViewId="0">
      <pane xSplit="9" ySplit="2" topLeftCell="J3" activePane="bottomRight" state="frozen"/>
      <selection pane="topRight"/>
      <selection pane="bottomLeft"/>
      <selection pane="bottomRight" activeCell="O175" sqref="O175:P175"/>
    </sheetView>
  </sheetViews>
  <sheetFormatPr defaultColWidth="9.44140625" defaultRowHeight="13.2"/>
  <cols>
    <col min="1" max="1" width="10.44140625" style="2" customWidth="1"/>
    <col min="2" max="2" width="5.109375" style="2" customWidth="1"/>
    <col min="3" max="3" width="24" style="2" customWidth="1"/>
    <col min="4" max="4" width="17" style="2" customWidth="1"/>
    <col min="5" max="5" width="11.44140625" style="2" customWidth="1"/>
    <col min="6" max="6" width="9.109375" style="2" customWidth="1"/>
    <col min="7" max="7" width="10" style="2" customWidth="1"/>
    <col min="8" max="8" width="14.44140625" style="2" customWidth="1"/>
    <col min="9" max="9" width="6.44140625" style="2" customWidth="1"/>
    <col min="10" max="16" width="9.44140625" style="2" customWidth="1"/>
    <col min="17" max="18" width="9.44140625" style="2"/>
    <col min="19" max="19" width="10.5546875" style="2" customWidth="1"/>
    <col min="20" max="27" width="9.44140625" style="2" customWidth="1"/>
    <col min="28" max="16384" width="9.44140625" style="2"/>
  </cols>
  <sheetData>
    <row r="1" spans="1:27" s="1" customFormat="1" ht="33.75" customHeight="1">
      <c r="A1" s="4" t="s">
        <v>670</v>
      </c>
      <c r="B1" s="1" t="s">
        <v>671</v>
      </c>
      <c r="C1" s="20" t="s">
        <v>672</v>
      </c>
      <c r="D1" s="1" t="s">
        <v>673</v>
      </c>
      <c r="E1" s="1" t="s">
        <v>112</v>
      </c>
      <c r="F1" s="1" t="s">
        <v>128</v>
      </c>
      <c r="G1" s="1" t="s">
        <v>773</v>
      </c>
      <c r="H1" s="584" t="s">
        <v>674</v>
      </c>
      <c r="I1" s="584"/>
      <c r="J1" s="1" t="s">
        <v>5</v>
      </c>
      <c r="K1" s="1" t="s">
        <v>25</v>
      </c>
      <c r="L1" s="1" t="s">
        <v>21</v>
      </c>
      <c r="M1" s="1" t="s">
        <v>675</v>
      </c>
      <c r="N1" s="1" t="s">
        <v>676</v>
      </c>
      <c r="O1" s="1" t="s">
        <v>677</v>
      </c>
      <c r="P1" s="1" t="s">
        <v>927</v>
      </c>
      <c r="S1" s="4" t="s">
        <v>678</v>
      </c>
      <c r="T1" s="1" t="s">
        <v>17</v>
      </c>
      <c r="U1" s="1" t="s">
        <v>5</v>
      </c>
      <c r="V1" s="1" t="s">
        <v>25</v>
      </c>
      <c r="W1" s="1" t="s">
        <v>21</v>
      </c>
      <c r="X1" s="1" t="s">
        <v>675</v>
      </c>
      <c r="Y1" s="1" t="s">
        <v>676</v>
      </c>
      <c r="Z1" s="1" t="s">
        <v>677</v>
      </c>
      <c r="AA1" s="1" t="s">
        <v>927</v>
      </c>
    </row>
    <row r="2" spans="1:27" ht="13.35" customHeight="1">
      <c r="A2" s="587" t="s">
        <v>679</v>
      </c>
      <c r="B2" s="11" t="s">
        <v>103</v>
      </c>
      <c r="C2" s="11"/>
      <c r="D2" s="11"/>
      <c r="E2" s="11"/>
      <c r="F2" s="11"/>
      <c r="G2" s="11"/>
      <c r="H2" s="11"/>
      <c r="I2" s="11"/>
      <c r="J2" s="6"/>
      <c r="K2" s="6"/>
      <c r="L2" s="6"/>
      <c r="M2" s="6"/>
      <c r="N2" s="6"/>
      <c r="O2" s="6"/>
      <c r="P2" s="6"/>
      <c r="S2" s="24" t="s">
        <v>679</v>
      </c>
      <c r="T2" s="6"/>
      <c r="U2" s="6"/>
      <c r="V2" s="6"/>
      <c r="W2" s="6"/>
      <c r="X2" s="6"/>
      <c r="Y2" s="6"/>
      <c r="Z2" s="6"/>
      <c r="AA2" s="6"/>
    </row>
    <row r="3" spans="1:27" ht="26.4">
      <c r="A3" s="588"/>
      <c r="B3" s="2" t="s">
        <v>680</v>
      </c>
      <c r="C3" s="2" t="s">
        <v>681</v>
      </c>
      <c r="D3" s="2" t="s">
        <v>682</v>
      </c>
      <c r="E3" s="2" t="s">
        <v>683</v>
      </c>
      <c r="G3" s="2">
        <v>10</v>
      </c>
      <c r="H3" s="2" t="s">
        <v>684</v>
      </c>
      <c r="I3" s="2">
        <v>9</v>
      </c>
      <c r="J3" s="2">
        <v>11.287000000000001</v>
      </c>
      <c r="M3" s="2">
        <f t="shared" ref="M3:M8" si="0">AVERAGE(J3:L3)</f>
        <v>11.287000000000001</v>
      </c>
      <c r="O3" s="2">
        <f t="shared" ref="O3:O8" si="1">COUNT(J3:L3)</f>
        <v>1</v>
      </c>
      <c r="P3" s="2" t="s">
        <v>929</v>
      </c>
      <c r="S3" s="5"/>
      <c r="T3" s="2">
        <v>9.1850000000000005</v>
      </c>
      <c r="U3" s="2">
        <v>11.307</v>
      </c>
      <c r="X3" s="2">
        <f t="shared" ref="X3:X8" si="2">AVERAGE(T3:W3)</f>
        <v>10.246</v>
      </c>
      <c r="Y3" s="2">
        <f t="shared" ref="Y3:Y8" si="3">_xlfn.STDEV.S(T3:W3)</f>
        <v>1.500480589677853</v>
      </c>
      <c r="Z3" s="2">
        <f t="shared" ref="Z3:Z8" si="4">COUNT(T3:W3)</f>
        <v>2</v>
      </c>
      <c r="AA3" s="2" t="s">
        <v>910</v>
      </c>
    </row>
    <row r="4" spans="1:27" ht="26.4">
      <c r="A4" s="588"/>
      <c r="G4" s="2">
        <v>20</v>
      </c>
      <c r="H4" s="2" t="s">
        <v>684</v>
      </c>
      <c r="I4" s="2">
        <v>9</v>
      </c>
      <c r="J4" s="2">
        <v>12.805738410574335</v>
      </c>
      <c r="M4" s="2">
        <f t="shared" si="0"/>
        <v>12.805738410574335</v>
      </c>
      <c r="O4" s="2">
        <f t="shared" si="1"/>
        <v>1</v>
      </c>
      <c r="P4" s="2" t="s">
        <v>910</v>
      </c>
      <c r="S4" s="5"/>
      <c r="T4" s="2">
        <v>10.436461012028204</v>
      </c>
      <c r="U4" s="2">
        <v>12.828429539148047</v>
      </c>
      <c r="X4" s="2">
        <f t="shared" si="2"/>
        <v>11.632445275588125</v>
      </c>
      <c r="Y4" s="2">
        <f t="shared" si="3"/>
        <v>1.6913771659112335</v>
      </c>
      <c r="Z4" s="2">
        <f t="shared" si="4"/>
        <v>2</v>
      </c>
      <c r="AA4" s="2" t="s">
        <v>910</v>
      </c>
    </row>
    <row r="5" spans="1:27" ht="26.4">
      <c r="A5" s="588"/>
      <c r="G5" s="2">
        <v>40</v>
      </c>
      <c r="H5" s="2" t="s">
        <v>684</v>
      </c>
      <c r="I5" s="2">
        <v>9</v>
      </c>
      <c r="J5" s="2">
        <v>13.709703070424826</v>
      </c>
      <c r="M5" s="2">
        <f t="shared" si="0"/>
        <v>13.709703070424826</v>
      </c>
      <c r="O5" s="2">
        <f t="shared" si="1"/>
        <v>1</v>
      </c>
      <c r="P5" s="2" t="s">
        <v>913</v>
      </c>
      <c r="S5" s="5"/>
      <c r="T5" s="2">
        <v>11.180289817503109</v>
      </c>
      <c r="U5" s="2">
        <v>13.733995979205591</v>
      </c>
      <c r="X5" s="2">
        <f t="shared" si="2"/>
        <v>12.45714289835435</v>
      </c>
      <c r="Y5" s="2">
        <f t="shared" si="3"/>
        <v>1.8057429440976984</v>
      </c>
      <c r="Z5" s="2">
        <f t="shared" si="4"/>
        <v>2</v>
      </c>
      <c r="AA5" s="2" t="s">
        <v>946</v>
      </c>
    </row>
    <row r="6" spans="1:27" ht="26.4">
      <c r="A6" s="588"/>
      <c r="G6" s="2">
        <v>10</v>
      </c>
      <c r="H6" s="10" t="s">
        <v>685</v>
      </c>
      <c r="I6" s="10">
        <v>0.3</v>
      </c>
      <c r="J6" s="10">
        <v>0.35599999999999998</v>
      </c>
      <c r="K6" s="10"/>
      <c r="L6" s="10"/>
      <c r="M6" s="10">
        <f t="shared" si="0"/>
        <v>0.35599999999999998</v>
      </c>
      <c r="N6" s="10"/>
      <c r="O6" s="10">
        <f t="shared" si="1"/>
        <v>1</v>
      </c>
      <c r="P6" s="10" t="s">
        <v>913</v>
      </c>
      <c r="S6" s="5"/>
      <c r="T6" s="10">
        <v>0.32300000000000001</v>
      </c>
      <c r="U6" s="10">
        <v>0.34399999999999997</v>
      </c>
      <c r="V6" s="10"/>
      <c r="W6" s="10"/>
      <c r="X6" s="10">
        <f t="shared" si="2"/>
        <v>0.33350000000000002</v>
      </c>
      <c r="Y6" s="10">
        <f t="shared" si="3"/>
        <v>1.4849242404917471E-2</v>
      </c>
      <c r="Z6" s="10">
        <f t="shared" si="4"/>
        <v>2</v>
      </c>
      <c r="AA6" s="10" t="s">
        <v>946</v>
      </c>
    </row>
    <row r="7" spans="1:27" ht="26.4">
      <c r="A7" s="588"/>
      <c r="G7" s="2">
        <v>20</v>
      </c>
      <c r="H7" s="10" t="s">
        <v>685</v>
      </c>
      <c r="I7" s="10">
        <v>0.3</v>
      </c>
      <c r="J7" s="10">
        <v>0.40390208861207255</v>
      </c>
      <c r="K7" s="10"/>
      <c r="L7" s="10"/>
      <c r="M7" s="10">
        <f t="shared" si="0"/>
        <v>0.40390208861207255</v>
      </c>
      <c r="N7" s="10"/>
      <c r="O7" s="10">
        <f t="shared" si="1"/>
        <v>1</v>
      </c>
      <c r="P7" s="10" t="s">
        <v>913</v>
      </c>
      <c r="S7" s="5"/>
      <c r="T7" s="10">
        <v>0.36700891746163417</v>
      </c>
      <c r="U7" s="10">
        <v>0.3902874114678454</v>
      </c>
      <c r="V7" s="10"/>
      <c r="W7" s="10"/>
      <c r="X7" s="10">
        <f t="shared" si="2"/>
        <v>0.37864816446473981</v>
      </c>
      <c r="Y7" s="10">
        <f t="shared" si="3"/>
        <v>1.6460380967602366E-2</v>
      </c>
      <c r="Z7" s="10">
        <f t="shared" si="4"/>
        <v>2</v>
      </c>
      <c r="AA7" s="10" t="s">
        <v>929</v>
      </c>
    </row>
    <row r="8" spans="1:27" ht="26.4">
      <c r="A8" s="588"/>
      <c r="G8" s="2">
        <v>40</v>
      </c>
      <c r="H8" s="10" t="s">
        <v>685</v>
      </c>
      <c r="I8" s="10">
        <v>0.3</v>
      </c>
      <c r="J8" s="10">
        <v>0.43241377629762007</v>
      </c>
      <c r="K8" s="10"/>
      <c r="L8" s="10"/>
      <c r="M8" s="10">
        <f t="shared" si="0"/>
        <v>0.43241377629762007</v>
      </c>
      <c r="N8" s="10"/>
      <c r="O8" s="10">
        <f t="shared" si="1"/>
        <v>1</v>
      </c>
      <c r="P8" s="10" t="s">
        <v>923</v>
      </c>
      <c r="S8" s="5"/>
      <c r="T8" s="10">
        <v>0.3931664247200331</v>
      </c>
      <c r="U8" s="10">
        <v>0.41783803102916095</v>
      </c>
      <c r="V8" s="10"/>
      <c r="W8" s="10"/>
      <c r="X8" s="10">
        <f t="shared" si="2"/>
        <v>0.405502227874597</v>
      </c>
      <c r="Y8" s="10">
        <f t="shared" si="3"/>
        <v>1.7445460123949111E-2</v>
      </c>
      <c r="Z8" s="10">
        <f t="shared" si="4"/>
        <v>2</v>
      </c>
      <c r="AA8" s="10" t="s">
        <v>929</v>
      </c>
    </row>
    <row r="9" spans="1:27">
      <c r="A9" s="588"/>
      <c r="S9" s="5"/>
    </row>
    <row r="10" spans="1:27" ht="26.4">
      <c r="A10" s="588"/>
      <c r="B10" s="2" t="s">
        <v>680</v>
      </c>
      <c r="C10" s="2" t="s">
        <v>681</v>
      </c>
      <c r="D10" s="2" t="s">
        <v>686</v>
      </c>
      <c r="E10" s="2" t="s">
        <v>683</v>
      </c>
      <c r="G10" s="2">
        <v>10</v>
      </c>
      <c r="H10" s="2" t="s">
        <v>684</v>
      </c>
      <c r="I10" s="2">
        <v>9</v>
      </c>
      <c r="K10" s="2">
        <v>11.5</v>
      </c>
      <c r="M10" s="2">
        <f t="shared" ref="M10:M15" si="5">AVERAGE(J10:L10)</f>
        <v>11.5</v>
      </c>
      <c r="O10" s="2">
        <f t="shared" ref="O10:O15" si="6">COUNT(J10:L10)</f>
        <v>1</v>
      </c>
      <c r="P10" s="2" t="s">
        <v>913</v>
      </c>
      <c r="S10" s="5"/>
      <c r="Z10" s="2">
        <f t="shared" ref="Z10:Z15" si="7">COUNT(T10:W10)</f>
        <v>0</v>
      </c>
      <c r="AA10" s="2" t="s">
        <v>928</v>
      </c>
    </row>
    <row r="11" spans="1:27" ht="26.4">
      <c r="A11" s="588"/>
      <c r="G11" s="2">
        <v>20</v>
      </c>
      <c r="H11" s="2" t="s">
        <v>684</v>
      </c>
      <c r="I11" s="2">
        <v>9</v>
      </c>
      <c r="K11" s="2">
        <v>13.048989273927393</v>
      </c>
      <c r="M11" s="2">
        <f t="shared" si="5"/>
        <v>13.048989273927393</v>
      </c>
      <c r="O11" s="2">
        <f t="shared" si="6"/>
        <v>1</v>
      </c>
      <c r="P11" s="2" t="s">
        <v>913</v>
      </c>
      <c r="S11" s="5"/>
      <c r="Z11" s="2">
        <f t="shared" si="7"/>
        <v>0</v>
      </c>
      <c r="AA11" s="2" t="s">
        <v>928</v>
      </c>
    </row>
    <row r="12" spans="1:27" ht="26.4">
      <c r="A12" s="588"/>
      <c r="G12" s="2">
        <v>40</v>
      </c>
      <c r="H12" s="2" t="s">
        <v>684</v>
      </c>
      <c r="I12" s="2">
        <v>9</v>
      </c>
      <c r="K12" s="2">
        <v>13.970950220022004</v>
      </c>
      <c r="M12" s="2">
        <f t="shared" si="5"/>
        <v>13.970950220022004</v>
      </c>
      <c r="O12" s="2">
        <f t="shared" si="6"/>
        <v>1</v>
      </c>
      <c r="P12" s="2" t="s">
        <v>913</v>
      </c>
      <c r="S12" s="5"/>
      <c r="Z12" s="2">
        <f t="shared" si="7"/>
        <v>0</v>
      </c>
      <c r="AA12" s="2" t="s">
        <v>928</v>
      </c>
    </row>
    <row r="13" spans="1:27" ht="26.4">
      <c r="A13" s="588"/>
      <c r="G13" s="2">
        <v>10</v>
      </c>
      <c r="H13" s="10" t="s">
        <v>685</v>
      </c>
      <c r="I13" s="10">
        <v>0.3</v>
      </c>
      <c r="J13" s="10"/>
      <c r="K13" s="10">
        <v>0.31</v>
      </c>
      <c r="L13" s="10"/>
      <c r="M13" s="10">
        <f t="shared" si="5"/>
        <v>0.31</v>
      </c>
      <c r="N13" s="10"/>
      <c r="O13" s="10">
        <f t="shared" si="6"/>
        <v>1</v>
      </c>
      <c r="P13" s="10" t="s">
        <v>923</v>
      </c>
      <c r="S13" s="5"/>
      <c r="T13" s="10"/>
      <c r="U13" s="10"/>
      <c r="V13" s="10"/>
      <c r="W13" s="10"/>
      <c r="X13" s="10"/>
      <c r="Y13" s="10"/>
      <c r="Z13" s="10">
        <f t="shared" si="7"/>
        <v>0</v>
      </c>
      <c r="AA13" s="10" t="s">
        <v>928</v>
      </c>
    </row>
    <row r="14" spans="1:27" ht="26.4">
      <c r="A14" s="588"/>
      <c r="G14" s="2">
        <v>20</v>
      </c>
      <c r="H14" s="10" t="s">
        <v>685</v>
      </c>
      <c r="I14" s="10">
        <v>0.3</v>
      </c>
      <c r="J14" s="10"/>
      <c r="K14" s="10">
        <v>0.35175536303630361</v>
      </c>
      <c r="L14" s="10"/>
      <c r="M14" s="10">
        <f t="shared" si="5"/>
        <v>0.35175536303630361</v>
      </c>
      <c r="N14" s="10"/>
      <c r="O14" s="10">
        <f t="shared" si="6"/>
        <v>1</v>
      </c>
      <c r="P14" s="10" t="s">
        <v>913</v>
      </c>
      <c r="S14" s="5"/>
      <c r="T14" s="10"/>
      <c r="U14" s="10"/>
      <c r="V14" s="10"/>
      <c r="W14" s="10"/>
      <c r="X14" s="10"/>
      <c r="Y14" s="10"/>
      <c r="Z14" s="10">
        <f t="shared" si="7"/>
        <v>0</v>
      </c>
      <c r="AA14" s="10" t="s">
        <v>928</v>
      </c>
    </row>
    <row r="15" spans="1:27" ht="26.4">
      <c r="A15" s="588"/>
      <c r="G15" s="2">
        <v>40</v>
      </c>
      <c r="H15" s="10" t="s">
        <v>685</v>
      </c>
      <c r="I15" s="10">
        <v>0.3</v>
      </c>
      <c r="J15" s="10"/>
      <c r="K15" s="10">
        <v>0.37660822332233229</v>
      </c>
      <c r="L15" s="10"/>
      <c r="M15" s="10">
        <f t="shared" si="5"/>
        <v>0.37660822332233229</v>
      </c>
      <c r="N15" s="10"/>
      <c r="O15" s="10">
        <f t="shared" si="6"/>
        <v>1</v>
      </c>
      <c r="P15" s="10" t="s">
        <v>913</v>
      </c>
      <c r="S15" s="5"/>
      <c r="T15" s="10"/>
      <c r="U15" s="10"/>
      <c r="V15" s="10"/>
      <c r="W15" s="10"/>
      <c r="X15" s="10"/>
      <c r="Y15" s="10"/>
      <c r="Z15" s="10">
        <f t="shared" si="7"/>
        <v>0</v>
      </c>
      <c r="AA15" s="10" t="s">
        <v>928</v>
      </c>
    </row>
    <row r="16" spans="1:27">
      <c r="A16" s="588"/>
      <c r="S16" s="5"/>
    </row>
    <row r="17" spans="1:27" ht="26.4">
      <c r="A17" s="588"/>
      <c r="B17" s="2" t="s">
        <v>680</v>
      </c>
      <c r="C17" s="2" t="s">
        <v>681</v>
      </c>
      <c r="D17" s="2" t="s">
        <v>687</v>
      </c>
      <c r="E17" s="2" t="s">
        <v>683</v>
      </c>
      <c r="G17" s="2">
        <v>10</v>
      </c>
      <c r="H17" s="2" t="s">
        <v>684</v>
      </c>
      <c r="I17" s="2">
        <v>9</v>
      </c>
      <c r="O17" s="2">
        <f t="shared" ref="O17:O22" si="8">COUNT(J17:L17)</f>
        <v>0</v>
      </c>
      <c r="P17" s="2" t="s">
        <v>921</v>
      </c>
      <c r="S17" s="5"/>
      <c r="Z17" s="2">
        <f t="shared" ref="Z17:Z22" si="9">COUNT(T17:W17)</f>
        <v>0</v>
      </c>
      <c r="AA17" s="2" t="s">
        <v>928</v>
      </c>
    </row>
    <row r="18" spans="1:27" ht="26.4">
      <c r="A18" s="588"/>
      <c r="G18" s="2">
        <v>20</v>
      </c>
      <c r="H18" s="2" t="s">
        <v>684</v>
      </c>
      <c r="I18" s="2">
        <v>9</v>
      </c>
      <c r="O18" s="2">
        <f t="shared" si="8"/>
        <v>0</v>
      </c>
      <c r="P18" s="2" t="s">
        <v>921</v>
      </c>
      <c r="S18" s="5"/>
      <c r="Z18" s="2">
        <f t="shared" si="9"/>
        <v>0</v>
      </c>
      <c r="AA18" s="2" t="s">
        <v>947</v>
      </c>
    </row>
    <row r="19" spans="1:27" ht="26.4">
      <c r="A19" s="588"/>
      <c r="G19" s="2">
        <v>40</v>
      </c>
      <c r="H19" s="2" t="s">
        <v>684</v>
      </c>
      <c r="I19" s="2">
        <v>9</v>
      </c>
      <c r="O19" s="2">
        <f t="shared" si="8"/>
        <v>0</v>
      </c>
      <c r="P19" s="2" t="s">
        <v>921</v>
      </c>
      <c r="S19" s="5"/>
      <c r="Z19" s="2">
        <f t="shared" si="9"/>
        <v>0</v>
      </c>
      <c r="AA19" s="2" t="s">
        <v>928</v>
      </c>
    </row>
    <row r="20" spans="1:27" ht="26.4">
      <c r="A20" s="588"/>
      <c r="G20" s="2">
        <v>10</v>
      </c>
      <c r="H20" s="10" t="s">
        <v>685</v>
      </c>
      <c r="I20" s="10">
        <v>0.3</v>
      </c>
      <c r="J20" s="10"/>
      <c r="K20" s="10"/>
      <c r="L20" s="10"/>
      <c r="M20" s="10"/>
      <c r="N20" s="10"/>
      <c r="O20" s="10">
        <f t="shared" si="8"/>
        <v>0</v>
      </c>
      <c r="P20" s="10" t="s">
        <v>921</v>
      </c>
      <c r="S20" s="5"/>
      <c r="T20" s="10"/>
      <c r="U20" s="10"/>
      <c r="V20" s="10"/>
      <c r="W20" s="10"/>
      <c r="X20" s="10"/>
      <c r="Y20" s="10"/>
      <c r="Z20" s="10">
        <f t="shared" si="9"/>
        <v>0</v>
      </c>
      <c r="AA20" s="10" t="s">
        <v>928</v>
      </c>
    </row>
    <row r="21" spans="1:27" ht="26.4">
      <c r="A21" s="588"/>
      <c r="G21" s="2">
        <v>20</v>
      </c>
      <c r="H21" s="10" t="s">
        <v>685</v>
      </c>
      <c r="I21" s="10">
        <v>0.3</v>
      </c>
      <c r="J21" s="10"/>
      <c r="K21" s="10"/>
      <c r="L21" s="10"/>
      <c r="M21" s="10"/>
      <c r="N21" s="10"/>
      <c r="O21" s="10">
        <f t="shared" si="8"/>
        <v>0</v>
      </c>
      <c r="P21" s="10" t="s">
        <v>921</v>
      </c>
      <c r="S21" s="5"/>
      <c r="T21" s="10"/>
      <c r="U21" s="10"/>
      <c r="V21" s="10"/>
      <c r="W21" s="10"/>
      <c r="X21" s="10"/>
      <c r="Y21" s="10"/>
      <c r="Z21" s="10">
        <f t="shared" si="9"/>
        <v>0</v>
      </c>
      <c r="AA21" s="10" t="s">
        <v>925</v>
      </c>
    </row>
    <row r="22" spans="1:27" ht="26.4">
      <c r="A22" s="588"/>
      <c r="G22" s="2">
        <v>40</v>
      </c>
      <c r="H22" s="10" t="s">
        <v>685</v>
      </c>
      <c r="I22" s="10">
        <v>0.3</v>
      </c>
      <c r="J22" s="10"/>
      <c r="K22" s="10"/>
      <c r="L22" s="10"/>
      <c r="M22" s="10"/>
      <c r="N22" s="10"/>
      <c r="O22" s="10">
        <f t="shared" si="8"/>
        <v>0</v>
      </c>
      <c r="P22" s="10" t="s">
        <v>921</v>
      </c>
      <c r="S22" s="5"/>
      <c r="T22" s="10"/>
      <c r="U22" s="10"/>
      <c r="V22" s="10"/>
      <c r="W22" s="10"/>
      <c r="X22" s="10"/>
      <c r="Y22" s="10"/>
      <c r="Z22" s="10">
        <f t="shared" si="9"/>
        <v>0</v>
      </c>
      <c r="AA22" s="10" t="s">
        <v>928</v>
      </c>
    </row>
    <row r="23" spans="1:27">
      <c r="A23" s="588"/>
      <c r="S23" s="5"/>
    </row>
    <row r="24" spans="1:27" ht="26.4">
      <c r="A24" s="588"/>
      <c r="B24" s="2" t="s">
        <v>680</v>
      </c>
      <c r="C24" s="2" t="s">
        <v>681</v>
      </c>
      <c r="D24" s="2" t="s">
        <v>688</v>
      </c>
      <c r="E24" s="2" t="s">
        <v>683</v>
      </c>
      <c r="G24" s="2">
        <v>10</v>
      </c>
      <c r="H24" s="2" t="s">
        <v>684</v>
      </c>
      <c r="I24" s="2">
        <v>9</v>
      </c>
      <c r="O24" s="2">
        <f t="shared" ref="O24:O31" si="10">COUNT(J24:L24)</f>
        <v>0</v>
      </c>
      <c r="P24" s="2" t="s">
        <v>918</v>
      </c>
      <c r="S24" s="5"/>
      <c r="Z24" s="2">
        <f t="shared" ref="Z24:Z31" si="11">COUNT(T24:W24)</f>
        <v>0</v>
      </c>
      <c r="AA24" s="2" t="s">
        <v>928</v>
      </c>
    </row>
    <row r="25" spans="1:27" ht="26.4">
      <c r="A25" s="588"/>
      <c r="G25" s="2">
        <v>20</v>
      </c>
      <c r="H25" s="2" t="s">
        <v>684</v>
      </c>
      <c r="I25" s="2">
        <v>9</v>
      </c>
      <c r="O25" s="2">
        <f t="shared" si="10"/>
        <v>0</v>
      </c>
      <c r="P25" s="2" t="s">
        <v>924</v>
      </c>
      <c r="S25" s="5"/>
      <c r="Z25" s="2">
        <f t="shared" si="11"/>
        <v>0</v>
      </c>
      <c r="AA25" s="2" t="s">
        <v>918</v>
      </c>
    </row>
    <row r="26" spans="1:27" ht="26.4">
      <c r="A26" s="588"/>
      <c r="G26" s="2">
        <v>40</v>
      </c>
      <c r="H26" s="2" t="s">
        <v>684</v>
      </c>
      <c r="I26" s="2">
        <v>9</v>
      </c>
      <c r="O26" s="2">
        <f t="shared" si="10"/>
        <v>0</v>
      </c>
      <c r="P26" s="2" t="s">
        <v>925</v>
      </c>
      <c r="S26" s="5"/>
      <c r="Z26" s="2">
        <f t="shared" si="11"/>
        <v>0</v>
      </c>
      <c r="AA26" s="2" t="s">
        <v>916</v>
      </c>
    </row>
    <row r="27" spans="1:27" ht="26.4">
      <c r="A27" s="588"/>
      <c r="G27" s="2">
        <v>10</v>
      </c>
      <c r="H27" s="10" t="s">
        <v>685</v>
      </c>
      <c r="I27" s="10">
        <v>0.3</v>
      </c>
      <c r="J27" s="10"/>
      <c r="K27" s="10"/>
      <c r="L27" s="10"/>
      <c r="M27" s="10"/>
      <c r="N27" s="10"/>
      <c r="O27" s="10">
        <f t="shared" si="10"/>
        <v>0</v>
      </c>
      <c r="P27" s="10" t="s">
        <v>924</v>
      </c>
      <c r="S27" s="5"/>
      <c r="T27" s="10"/>
      <c r="U27" s="10"/>
      <c r="V27" s="10"/>
      <c r="W27" s="10"/>
      <c r="X27" s="10"/>
      <c r="Y27" s="10"/>
      <c r="Z27" s="10">
        <f t="shared" si="11"/>
        <v>0</v>
      </c>
      <c r="AA27" s="10" t="s">
        <v>928</v>
      </c>
    </row>
    <row r="28" spans="1:27" ht="26.4">
      <c r="A28" s="588"/>
      <c r="G28" s="2">
        <v>20</v>
      </c>
      <c r="H28" s="10" t="s">
        <v>685</v>
      </c>
      <c r="I28" s="10">
        <v>0.3</v>
      </c>
      <c r="J28" s="10"/>
      <c r="K28" s="10"/>
      <c r="L28" s="10"/>
      <c r="M28" s="10"/>
      <c r="N28" s="10"/>
      <c r="O28" s="10">
        <f t="shared" si="10"/>
        <v>0</v>
      </c>
      <c r="P28" s="10" t="s">
        <v>916</v>
      </c>
      <c r="S28" s="5"/>
      <c r="T28" s="10"/>
      <c r="U28" s="10"/>
      <c r="V28" s="10"/>
      <c r="W28" s="10"/>
      <c r="X28" s="10"/>
      <c r="Y28" s="10"/>
      <c r="Z28" s="10">
        <f t="shared" si="11"/>
        <v>0</v>
      </c>
      <c r="AA28" s="10" t="s">
        <v>925</v>
      </c>
    </row>
    <row r="29" spans="1:27" ht="26.4">
      <c r="A29" s="588"/>
      <c r="G29" s="2">
        <v>40</v>
      </c>
      <c r="H29" s="10" t="s">
        <v>685</v>
      </c>
      <c r="I29" s="10">
        <v>0.3</v>
      </c>
      <c r="J29" s="10"/>
      <c r="K29" s="10"/>
      <c r="L29" s="10"/>
      <c r="M29" s="10"/>
      <c r="N29" s="10"/>
      <c r="O29" s="10">
        <f t="shared" si="10"/>
        <v>0</v>
      </c>
      <c r="P29" s="10" t="s">
        <v>925</v>
      </c>
      <c r="S29" s="5"/>
      <c r="T29" s="10"/>
      <c r="U29" s="10"/>
      <c r="V29" s="10"/>
      <c r="W29" s="10"/>
      <c r="X29" s="10"/>
      <c r="Y29" s="10"/>
      <c r="Z29" s="10">
        <f t="shared" si="11"/>
        <v>0</v>
      </c>
      <c r="AA29" s="10" t="s">
        <v>928</v>
      </c>
    </row>
    <row r="30" spans="1:27" ht="39.6">
      <c r="A30" s="588"/>
      <c r="B30" s="13" t="s">
        <v>689</v>
      </c>
      <c r="C30" s="13" t="s">
        <v>690</v>
      </c>
      <c r="D30" s="13" t="s">
        <v>691</v>
      </c>
      <c r="E30" s="13" t="s">
        <v>683</v>
      </c>
      <c r="G30" s="2">
        <v>10</v>
      </c>
      <c r="H30" s="2" t="s">
        <v>684</v>
      </c>
      <c r="I30" s="2">
        <v>9</v>
      </c>
      <c r="O30" s="2">
        <f t="shared" si="10"/>
        <v>0</v>
      </c>
      <c r="P30" s="2" t="s">
        <v>925</v>
      </c>
      <c r="S30" s="5"/>
      <c r="Z30" s="2">
        <f t="shared" si="11"/>
        <v>0</v>
      </c>
      <c r="AA30" s="2" t="s">
        <v>938</v>
      </c>
    </row>
    <row r="31" spans="1:27" ht="26.4">
      <c r="A31" s="588"/>
      <c r="G31" s="2">
        <v>10</v>
      </c>
      <c r="H31" s="10" t="s">
        <v>685</v>
      </c>
      <c r="I31" s="10">
        <v>0.3</v>
      </c>
      <c r="J31" s="10"/>
      <c r="K31" s="10"/>
      <c r="L31" s="10"/>
      <c r="M31" s="10"/>
      <c r="N31" s="10"/>
      <c r="O31" s="10">
        <f t="shared" si="10"/>
        <v>0</v>
      </c>
      <c r="P31" s="10" t="s">
        <v>916</v>
      </c>
      <c r="S31" s="5"/>
      <c r="T31" s="10"/>
      <c r="U31" s="10"/>
      <c r="V31" s="10"/>
      <c r="W31" s="10"/>
      <c r="X31" s="10"/>
      <c r="Y31" s="10"/>
      <c r="Z31" s="10">
        <f t="shared" si="11"/>
        <v>0</v>
      </c>
      <c r="AA31" s="10" t="s">
        <v>948</v>
      </c>
    </row>
    <row r="32" spans="1:27">
      <c r="A32" s="588"/>
      <c r="S32" s="5"/>
    </row>
    <row r="33" spans="1:27">
      <c r="A33" s="588"/>
      <c r="B33" s="11" t="s">
        <v>104</v>
      </c>
      <c r="C33" s="11"/>
      <c r="D33" s="11"/>
      <c r="E33" s="11"/>
      <c r="F33" s="11"/>
      <c r="G33" s="11"/>
      <c r="H33" s="6"/>
      <c r="I33" s="6"/>
      <c r="J33" s="6"/>
      <c r="K33" s="6"/>
      <c r="L33" s="6"/>
      <c r="M33" s="6"/>
      <c r="N33" s="6"/>
      <c r="O33" s="6"/>
      <c r="P33" s="6"/>
      <c r="S33" s="5"/>
      <c r="T33" s="6"/>
      <c r="U33" s="6"/>
      <c r="V33" s="6"/>
      <c r="W33" s="6"/>
      <c r="X33" s="6"/>
      <c r="Y33" s="6"/>
      <c r="Z33" s="6"/>
      <c r="AA33" s="6"/>
    </row>
    <row r="34" spans="1:27" ht="31.5" customHeight="1">
      <c r="A34" s="588"/>
      <c r="B34" s="2" t="s">
        <v>680</v>
      </c>
      <c r="C34" s="2" t="s">
        <v>681</v>
      </c>
      <c r="D34" s="2" t="s">
        <v>692</v>
      </c>
      <c r="E34" s="2" t="s">
        <v>693</v>
      </c>
      <c r="F34" s="2" t="s">
        <v>130</v>
      </c>
      <c r="G34" s="2">
        <v>20</v>
      </c>
      <c r="H34" s="2" t="s">
        <v>684</v>
      </c>
      <c r="I34" s="2">
        <v>9</v>
      </c>
      <c r="J34" s="2">
        <v>12.965094339622643</v>
      </c>
      <c r="M34" s="2">
        <f t="shared" ref="M34:M39" si="12">AVERAGE(J34:L34)</f>
        <v>12.965094339622643</v>
      </c>
      <c r="O34" s="2">
        <f t="shared" ref="O34:O39" si="13">COUNT(J34:L34)</f>
        <v>1</v>
      </c>
      <c r="P34" s="2" t="s">
        <v>929</v>
      </c>
      <c r="S34" s="5"/>
      <c r="T34" s="2">
        <v>10.72</v>
      </c>
      <c r="U34" s="2">
        <v>13.0211320754717</v>
      </c>
      <c r="X34" s="2">
        <f t="shared" ref="X34:X39" si="14">AVERAGE(T34:W34)</f>
        <v>11.87056603773585</v>
      </c>
      <c r="Y34" s="2">
        <f t="shared" ref="Y34:Y39" si="15">_xlfn.STDEV.S(T34:W34)</f>
        <v>1.6271460949719128</v>
      </c>
      <c r="Z34" s="2">
        <f t="shared" ref="Z34:Z39" si="16">COUNT(T34:W34)</f>
        <v>2</v>
      </c>
      <c r="AA34" s="2" t="s">
        <v>910</v>
      </c>
    </row>
    <row r="35" spans="1:27" ht="31.5" customHeight="1">
      <c r="A35" s="588"/>
      <c r="G35" s="2">
        <v>40</v>
      </c>
      <c r="H35" s="2" t="s">
        <v>684</v>
      </c>
      <c r="I35" s="2">
        <v>9</v>
      </c>
      <c r="J35" s="2">
        <v>15.20453142761234</v>
      </c>
      <c r="M35" s="2">
        <f t="shared" si="12"/>
        <v>15.20453142761234</v>
      </c>
      <c r="O35" s="2">
        <f t="shared" si="13"/>
        <v>1</v>
      </c>
      <c r="P35" s="2" t="s">
        <v>910</v>
      </c>
      <c r="S35" s="5"/>
      <c r="T35" s="2">
        <v>12.561344134413439</v>
      </c>
      <c r="U35" s="2">
        <v>15.270248459323042</v>
      </c>
      <c r="X35" s="2">
        <f t="shared" si="14"/>
        <v>13.91579629686824</v>
      </c>
      <c r="Y35" s="2">
        <f t="shared" si="15"/>
        <v>1.9154846177291474</v>
      </c>
      <c r="Z35" s="2">
        <f t="shared" si="16"/>
        <v>2</v>
      </c>
      <c r="AA35" s="2" t="s">
        <v>910</v>
      </c>
    </row>
    <row r="36" spans="1:27" ht="31.5" customHeight="1">
      <c r="A36" s="588"/>
      <c r="G36" s="2">
        <v>100</v>
      </c>
      <c r="H36" s="2" t="s">
        <v>684</v>
      </c>
      <c r="I36" s="2">
        <v>9</v>
      </c>
      <c r="J36" s="2">
        <v>16.72613827072432</v>
      </c>
      <c r="M36" s="2">
        <f t="shared" si="12"/>
        <v>16.72613827072432</v>
      </c>
      <c r="O36" s="2">
        <f t="shared" si="13"/>
        <v>1</v>
      </c>
      <c r="P36" s="2" t="s">
        <v>923</v>
      </c>
      <c r="S36" s="5"/>
      <c r="T36" s="2">
        <v>13.812814881488151</v>
      </c>
      <c r="U36" s="2">
        <v>16.798431992130201</v>
      </c>
      <c r="X36" s="2">
        <f t="shared" si="14"/>
        <v>15.305623436809176</v>
      </c>
      <c r="Y36" s="2">
        <f t="shared" si="15"/>
        <v>2.1111501049615802</v>
      </c>
      <c r="Z36" s="2">
        <f t="shared" si="16"/>
        <v>2</v>
      </c>
      <c r="AA36" s="2" t="s">
        <v>910</v>
      </c>
    </row>
    <row r="37" spans="1:27" ht="26.4">
      <c r="A37" s="588"/>
      <c r="G37" s="2">
        <v>20</v>
      </c>
      <c r="H37" s="10" t="s">
        <v>685</v>
      </c>
      <c r="I37" s="10">
        <v>0.3</v>
      </c>
      <c r="J37" s="10">
        <v>0.37698113207547179</v>
      </c>
      <c r="K37" s="10"/>
      <c r="L37" s="10"/>
      <c r="M37" s="10">
        <f t="shared" si="12"/>
        <v>0.37698113207547179</v>
      </c>
      <c r="N37" s="10"/>
      <c r="O37" s="10">
        <f t="shared" si="13"/>
        <v>1</v>
      </c>
      <c r="P37" s="10" t="s">
        <v>910</v>
      </c>
      <c r="S37" s="5"/>
      <c r="T37" s="10">
        <v>0.35599999999999998</v>
      </c>
      <c r="U37" s="10">
        <v>0.39226415094339634</v>
      </c>
      <c r="V37" s="10"/>
      <c r="W37" s="10"/>
      <c r="X37" s="10">
        <f t="shared" si="14"/>
        <v>0.37413207547169813</v>
      </c>
      <c r="Y37" s="10">
        <f t="shared" si="15"/>
        <v>2.5642627046048101E-2</v>
      </c>
      <c r="Z37" s="10">
        <f t="shared" si="16"/>
        <v>2</v>
      </c>
      <c r="AA37" s="10" t="s">
        <v>910</v>
      </c>
    </row>
    <row r="38" spans="1:27" ht="26.4">
      <c r="A38" s="588"/>
      <c r="G38" s="2">
        <v>40</v>
      </c>
      <c r="H38" s="10" t="s">
        <v>685</v>
      </c>
      <c r="I38" s="10">
        <v>0.3</v>
      </c>
      <c r="J38" s="10">
        <v>0.44209639514472038</v>
      </c>
      <c r="K38" s="10"/>
      <c r="L38" s="10"/>
      <c r="M38" s="10">
        <f t="shared" si="12"/>
        <v>0.44209639514472038</v>
      </c>
      <c r="N38" s="10"/>
      <c r="O38" s="10">
        <f t="shared" si="13"/>
        <v>1</v>
      </c>
      <c r="P38" s="10" t="s">
        <v>930</v>
      </c>
      <c r="S38" s="5"/>
      <c r="T38" s="10">
        <v>0.41714911491149098</v>
      </c>
      <c r="U38" s="10">
        <v>0.46001922197491174</v>
      </c>
      <c r="V38" s="10"/>
      <c r="W38" s="10"/>
      <c r="X38" s="10">
        <f t="shared" si="14"/>
        <v>0.43858416844320136</v>
      </c>
      <c r="Y38" s="10">
        <f t="shared" si="15"/>
        <v>3.031374341473813E-2</v>
      </c>
      <c r="Z38" s="10">
        <f t="shared" si="16"/>
        <v>2</v>
      </c>
      <c r="AA38" s="10" t="s">
        <v>949</v>
      </c>
    </row>
    <row r="39" spans="1:27" ht="26.4">
      <c r="A39" s="588"/>
      <c r="G39" s="2">
        <v>100</v>
      </c>
      <c r="H39" s="10" t="s">
        <v>685</v>
      </c>
      <c r="I39" s="10">
        <v>0.3</v>
      </c>
      <c r="J39" s="10">
        <v>0.48633958036683683</v>
      </c>
      <c r="K39" s="10"/>
      <c r="L39" s="10"/>
      <c r="M39" s="10">
        <f t="shared" si="12"/>
        <v>0.48633958036683683</v>
      </c>
      <c r="N39" s="10"/>
      <c r="O39" s="10">
        <f t="shared" si="13"/>
        <v>1</v>
      </c>
      <c r="P39" s="10" t="s">
        <v>923</v>
      </c>
      <c r="S39" s="5"/>
      <c r="T39" s="10">
        <v>0.45870915091509151</v>
      </c>
      <c r="U39" s="10">
        <v>0.50605604984116814</v>
      </c>
      <c r="V39" s="10"/>
      <c r="W39" s="10"/>
      <c r="X39" s="10">
        <f t="shared" si="14"/>
        <v>0.48238260037812986</v>
      </c>
      <c r="Y39" s="10">
        <f t="shared" si="15"/>
        <v>3.3479313298782849E-2</v>
      </c>
      <c r="Z39" s="10">
        <f t="shared" si="16"/>
        <v>2</v>
      </c>
      <c r="AA39" s="10" t="s">
        <v>913</v>
      </c>
    </row>
    <row r="40" spans="1:27">
      <c r="A40" s="588"/>
      <c r="S40" s="5"/>
    </row>
    <row r="41" spans="1:27" ht="31.5" customHeight="1">
      <c r="A41" s="588"/>
      <c r="B41" s="2" t="s">
        <v>680</v>
      </c>
      <c r="C41" s="2" t="s">
        <v>681</v>
      </c>
      <c r="D41" s="2" t="s">
        <v>692</v>
      </c>
      <c r="E41" s="2" t="s">
        <v>683</v>
      </c>
      <c r="F41" s="2" t="s">
        <v>130</v>
      </c>
      <c r="G41" s="2">
        <v>20</v>
      </c>
      <c r="H41" s="2" t="s">
        <v>684</v>
      </c>
      <c r="I41" s="2">
        <v>9</v>
      </c>
      <c r="J41" s="2">
        <v>12.772528301886792</v>
      </c>
      <c r="M41" s="2">
        <f>AVERAGE(J41:L41)</f>
        <v>12.772528301886792</v>
      </c>
      <c r="O41" s="2">
        <f>COUNT(J41:L41)</f>
        <v>1</v>
      </c>
      <c r="P41" s="2" t="s">
        <v>930</v>
      </c>
      <c r="S41" s="5"/>
      <c r="T41" s="2">
        <v>10.791</v>
      </c>
      <c r="U41" s="2">
        <v>12.766415094339623</v>
      </c>
      <c r="X41" s="2">
        <f>AVERAGE(T41:W41)</f>
        <v>11.778707547169812</v>
      </c>
      <c r="Y41" s="2">
        <f>_xlfn.STDEV.S(T41:W41)</f>
        <v>1.3968294088658104</v>
      </c>
      <c r="Z41" s="2">
        <f>COUNT(T41:W41)</f>
        <v>2</v>
      </c>
      <c r="AA41" s="2" t="s">
        <v>949</v>
      </c>
    </row>
    <row r="42" spans="1:27" ht="31.5" customHeight="1">
      <c r="A42" s="588"/>
      <c r="G42" s="2">
        <v>40</v>
      </c>
      <c r="H42" s="2" t="s">
        <v>684</v>
      </c>
      <c r="I42" s="2">
        <v>9</v>
      </c>
      <c r="J42" s="2">
        <v>14.647946825441847</v>
      </c>
      <c r="M42" s="2">
        <f>AVERAGE(J42:L42)</f>
        <v>14.647946825441847</v>
      </c>
      <c r="O42" s="2">
        <f>COUNT(J42:L42)</f>
        <v>1</v>
      </c>
      <c r="P42" s="2" t="s">
        <v>929</v>
      </c>
      <c r="S42" s="5"/>
      <c r="T42" s="2">
        <v>12.238248224323499</v>
      </c>
      <c r="U42" s="2">
        <v>14.640936002136753</v>
      </c>
      <c r="X42" s="2">
        <f>AVERAGE(T42:W42)</f>
        <v>13.439592113230127</v>
      </c>
      <c r="Y42" s="2">
        <f>_xlfn.STDEV.S(T42:W42)</f>
        <v>1.6989568207657886</v>
      </c>
      <c r="Z42" s="2">
        <f>COUNT(T42:W42)</f>
        <v>2</v>
      </c>
      <c r="AA42" s="2" t="s">
        <v>910</v>
      </c>
    </row>
    <row r="43" spans="1:27" ht="26.4">
      <c r="A43" s="588"/>
      <c r="G43" s="2">
        <v>20</v>
      </c>
      <c r="H43" s="10" t="s">
        <v>685</v>
      </c>
      <c r="I43" s="10">
        <v>0.3</v>
      </c>
      <c r="J43" s="10">
        <v>0.39430188679245282</v>
      </c>
      <c r="K43" s="10"/>
      <c r="L43" s="10"/>
      <c r="M43" s="10">
        <f>AVERAGE(J43:L43)</f>
        <v>0.39430188679245282</v>
      </c>
      <c r="N43" s="10"/>
      <c r="O43" s="10">
        <f>COUNT(J43:L43)</f>
        <v>1</v>
      </c>
      <c r="P43" s="10" t="s">
        <v>923</v>
      </c>
      <c r="S43" s="5"/>
      <c r="T43" s="10">
        <v>0.36399999999999999</v>
      </c>
      <c r="U43" s="10">
        <v>0.40143396226415096</v>
      </c>
      <c r="V43" s="10"/>
      <c r="W43" s="10"/>
      <c r="X43" s="10">
        <f>AVERAGE(T43:W43)</f>
        <v>0.38271698113207547</v>
      </c>
      <c r="Y43" s="10">
        <f>_xlfn.STDEV.S(T43:W43)</f>
        <v>2.6469808563662475E-2</v>
      </c>
      <c r="Z43" s="10">
        <f>COUNT(T43:W43)</f>
        <v>2</v>
      </c>
      <c r="AA43" s="10" t="s">
        <v>923</v>
      </c>
    </row>
    <row r="44" spans="1:27" ht="26.4">
      <c r="A44" s="588"/>
      <c r="G44" s="2">
        <v>40</v>
      </c>
      <c r="H44" s="10" t="s">
        <v>685</v>
      </c>
      <c r="I44" s="10">
        <v>0.3</v>
      </c>
      <c r="J44" s="10">
        <v>0.45219810317852538</v>
      </c>
      <c r="K44" s="10"/>
      <c r="L44" s="10"/>
      <c r="M44" s="10">
        <f>AVERAGE(J44:L44)</f>
        <v>0.45219810317852538</v>
      </c>
      <c r="N44" s="10"/>
      <c r="O44" s="10">
        <f>COUNT(J44:L44)</f>
        <v>1</v>
      </c>
      <c r="P44" s="10" t="s">
        <v>909</v>
      </c>
      <c r="S44" s="5"/>
      <c r="T44" s="10">
        <v>0.41281830726102803</v>
      </c>
      <c r="U44" s="10">
        <v>0.46037739703446778</v>
      </c>
      <c r="V44" s="10"/>
      <c r="W44" s="10"/>
      <c r="X44" s="10">
        <f>AVERAGE(T44:W44)</f>
        <v>0.43659785214774793</v>
      </c>
      <c r="Y44" s="10">
        <f>_xlfn.STDEV.S(T44:W44)</f>
        <v>3.3629354885859032E-2</v>
      </c>
      <c r="Z44" s="10">
        <f>COUNT(T44:W44)</f>
        <v>2</v>
      </c>
      <c r="AA44" s="10" t="s">
        <v>923</v>
      </c>
    </row>
    <row r="45" spans="1:27">
      <c r="A45" s="588"/>
      <c r="S45" s="5"/>
    </row>
    <row r="46" spans="1:27" ht="37.5" customHeight="1">
      <c r="A46" s="588"/>
      <c r="B46" s="2" t="s">
        <v>680</v>
      </c>
      <c r="C46" s="2" t="s">
        <v>681</v>
      </c>
      <c r="D46" s="2" t="s">
        <v>694</v>
      </c>
      <c r="E46" s="2" t="s">
        <v>683</v>
      </c>
      <c r="F46" s="2" t="s">
        <v>132</v>
      </c>
      <c r="G46" s="2">
        <v>20</v>
      </c>
      <c r="H46" s="2" t="s">
        <v>684</v>
      </c>
      <c r="I46" s="2">
        <v>9</v>
      </c>
      <c r="O46" s="2">
        <f>COUNT(J46:L46)</f>
        <v>0</v>
      </c>
      <c r="P46" s="2" t="s">
        <v>938</v>
      </c>
      <c r="S46" s="5"/>
      <c r="Z46" s="2">
        <f>COUNT(T46:W46)</f>
        <v>0</v>
      </c>
      <c r="AA46" s="2" t="s">
        <v>916</v>
      </c>
    </row>
    <row r="47" spans="1:27" ht="26.4">
      <c r="A47" s="14"/>
      <c r="G47" s="2">
        <v>40</v>
      </c>
      <c r="H47" s="2" t="s">
        <v>684</v>
      </c>
      <c r="I47" s="2">
        <v>9</v>
      </c>
      <c r="O47" s="2">
        <f>COUNT(J47:L47)</f>
        <v>0</v>
      </c>
      <c r="P47" s="2" t="s">
        <v>942</v>
      </c>
      <c r="S47" s="5"/>
      <c r="Z47" s="2">
        <f>COUNT(T47:W47)</f>
        <v>0</v>
      </c>
      <c r="AA47" s="2" t="s">
        <v>916</v>
      </c>
    </row>
    <row r="48" spans="1:27" ht="26.4">
      <c r="A48" s="14"/>
      <c r="G48" s="2">
        <v>20</v>
      </c>
      <c r="H48" s="10" t="s">
        <v>685</v>
      </c>
      <c r="I48" s="10">
        <v>0.3</v>
      </c>
      <c r="J48" s="10"/>
      <c r="K48" s="10"/>
      <c r="L48" s="10"/>
      <c r="M48" s="10"/>
      <c r="N48" s="10"/>
      <c r="O48" s="10">
        <f>COUNT(J48:L48)</f>
        <v>0</v>
      </c>
      <c r="P48" s="10" t="s">
        <v>943</v>
      </c>
      <c r="S48" s="5"/>
      <c r="T48" s="10"/>
      <c r="U48" s="10"/>
      <c r="V48" s="10"/>
      <c r="W48" s="10"/>
      <c r="X48" s="10"/>
      <c r="Y48" s="10"/>
      <c r="Z48" s="10">
        <f>COUNT(T48:W48)</f>
        <v>0</v>
      </c>
      <c r="AA48" s="10" t="s">
        <v>925</v>
      </c>
    </row>
    <row r="49" spans="1:27" ht="26.4">
      <c r="A49" s="14"/>
      <c r="G49" s="2">
        <v>40</v>
      </c>
      <c r="H49" s="10" t="s">
        <v>685</v>
      </c>
      <c r="I49" s="10">
        <v>0.3</v>
      </c>
      <c r="J49" s="10"/>
      <c r="K49" s="10"/>
      <c r="L49" s="10"/>
      <c r="M49" s="10"/>
      <c r="N49" s="10"/>
      <c r="O49" s="10">
        <f>COUNT(J49:L49)</f>
        <v>0</v>
      </c>
      <c r="P49" s="10" t="s">
        <v>916</v>
      </c>
      <c r="S49" s="5"/>
      <c r="T49" s="10"/>
      <c r="U49" s="10"/>
      <c r="V49" s="10"/>
      <c r="W49" s="10"/>
      <c r="X49" s="10"/>
      <c r="Y49" s="10"/>
      <c r="Z49" s="10">
        <f>COUNT(T49:W49)</f>
        <v>0</v>
      </c>
      <c r="AA49" s="10" t="s">
        <v>925</v>
      </c>
    </row>
    <row r="50" spans="1:27">
      <c r="A50" s="14"/>
      <c r="S50" s="5"/>
    </row>
    <row r="51" spans="1:27" ht="37.5" customHeight="1">
      <c r="A51" s="14"/>
      <c r="B51" s="2" t="s">
        <v>680</v>
      </c>
      <c r="C51" s="2" t="s">
        <v>681</v>
      </c>
      <c r="D51" s="2" t="s">
        <v>695</v>
      </c>
      <c r="E51" s="2" t="s">
        <v>683</v>
      </c>
      <c r="F51" s="2" t="s">
        <v>132</v>
      </c>
      <c r="G51" s="2">
        <v>20</v>
      </c>
      <c r="H51" s="2" t="s">
        <v>684</v>
      </c>
      <c r="I51" s="2">
        <v>9</v>
      </c>
      <c r="O51" s="2">
        <f>COUNT(J51:L51)</f>
        <v>0</v>
      </c>
      <c r="P51" s="2" t="s">
        <v>916</v>
      </c>
      <c r="S51" s="5"/>
      <c r="Z51" s="2">
        <f>COUNT(T51:W51)</f>
        <v>0</v>
      </c>
      <c r="AA51" s="2" t="s">
        <v>921</v>
      </c>
    </row>
    <row r="52" spans="1:27" ht="26.4">
      <c r="A52" s="14"/>
      <c r="G52" s="2">
        <v>40</v>
      </c>
      <c r="H52" s="2" t="s">
        <v>684</v>
      </c>
      <c r="I52" s="2">
        <v>9</v>
      </c>
      <c r="O52" s="2">
        <f>COUNT(J52:L52)</f>
        <v>0</v>
      </c>
      <c r="P52" s="2" t="s">
        <v>916</v>
      </c>
      <c r="S52" s="5"/>
      <c r="Z52" s="2">
        <f>COUNT(T52:W52)</f>
        <v>0</v>
      </c>
      <c r="AA52" s="2" t="s">
        <v>921</v>
      </c>
    </row>
    <row r="53" spans="1:27" ht="26.4">
      <c r="A53" s="14"/>
      <c r="G53" s="2">
        <v>20</v>
      </c>
      <c r="H53" s="10" t="s">
        <v>685</v>
      </c>
      <c r="I53" s="10">
        <v>0.3</v>
      </c>
      <c r="J53" s="10"/>
      <c r="K53" s="10"/>
      <c r="L53" s="10"/>
      <c r="M53" s="10"/>
      <c r="N53" s="10"/>
      <c r="O53" s="10">
        <f>COUNT(J53:L53)</f>
        <v>0</v>
      </c>
      <c r="P53" s="10" t="s">
        <v>916</v>
      </c>
      <c r="S53" s="5"/>
      <c r="T53" s="10"/>
      <c r="U53" s="10"/>
      <c r="V53" s="10"/>
      <c r="W53" s="10"/>
      <c r="X53" s="10"/>
      <c r="Y53" s="10"/>
      <c r="Z53" s="10">
        <f>COUNT(T53:W53)</f>
        <v>0</v>
      </c>
      <c r="AA53" s="10" t="s">
        <v>921</v>
      </c>
    </row>
    <row r="54" spans="1:27" ht="26.4">
      <c r="A54" s="14"/>
      <c r="G54" s="2">
        <v>40</v>
      </c>
      <c r="H54" s="10" t="s">
        <v>685</v>
      </c>
      <c r="I54" s="10">
        <v>0.3</v>
      </c>
      <c r="J54" s="10"/>
      <c r="K54" s="10"/>
      <c r="L54" s="10"/>
      <c r="M54" s="10"/>
      <c r="N54" s="10"/>
      <c r="O54" s="10">
        <f>COUNT(J54:L54)</f>
        <v>0</v>
      </c>
      <c r="P54" s="10" t="s">
        <v>928</v>
      </c>
      <c r="S54" s="5"/>
      <c r="T54" s="10"/>
      <c r="U54" s="10"/>
      <c r="V54" s="10"/>
      <c r="W54" s="10"/>
      <c r="X54" s="10"/>
      <c r="Y54" s="10"/>
      <c r="Z54" s="10">
        <f>COUNT(T54:W54)</f>
        <v>0</v>
      </c>
      <c r="AA54" s="10" t="s">
        <v>921</v>
      </c>
    </row>
    <row r="55" spans="1:27">
      <c r="A55" s="14"/>
      <c r="S55" s="5"/>
    </row>
    <row r="56" spans="1:27" ht="26.4">
      <c r="A56" s="14"/>
      <c r="B56" s="2" t="s">
        <v>680</v>
      </c>
      <c r="C56" s="2" t="s">
        <v>681</v>
      </c>
      <c r="D56" s="15" t="s">
        <v>692</v>
      </c>
      <c r="E56" s="15" t="s">
        <v>693</v>
      </c>
      <c r="F56" s="2" t="s">
        <v>132</v>
      </c>
      <c r="G56" s="2">
        <v>20</v>
      </c>
      <c r="H56" s="2" t="s">
        <v>684</v>
      </c>
      <c r="I56" s="2">
        <v>9</v>
      </c>
      <c r="O56" s="2">
        <f t="shared" ref="O56:O61" si="17">COUNT(J56:L56)</f>
        <v>0</v>
      </c>
      <c r="P56" s="2" t="s">
        <v>916</v>
      </c>
      <c r="S56" s="5"/>
      <c r="Z56" s="2">
        <f t="shared" ref="Z56:Z61" si="18">COUNT(T56:W56)</f>
        <v>0</v>
      </c>
      <c r="AA56" s="2" t="s">
        <v>921</v>
      </c>
    </row>
    <row r="57" spans="1:27" ht="26.4">
      <c r="A57" s="14"/>
      <c r="D57" s="15"/>
      <c r="E57" s="15"/>
      <c r="G57" s="2">
        <v>40</v>
      </c>
      <c r="H57" s="2" t="s">
        <v>684</v>
      </c>
      <c r="I57" s="2">
        <v>9</v>
      </c>
      <c r="O57" s="2">
        <f t="shared" si="17"/>
        <v>0</v>
      </c>
      <c r="P57" s="2" t="s">
        <v>938</v>
      </c>
      <c r="S57" s="5"/>
      <c r="Z57" s="2">
        <f t="shared" si="18"/>
        <v>0</v>
      </c>
      <c r="AA57" s="2" t="s">
        <v>916</v>
      </c>
    </row>
    <row r="58" spans="1:27" ht="26.4">
      <c r="A58" s="14"/>
      <c r="D58" s="15"/>
      <c r="E58" s="15"/>
      <c r="G58" s="2">
        <v>100</v>
      </c>
      <c r="H58" s="2" t="s">
        <v>684</v>
      </c>
      <c r="I58" s="2">
        <v>9</v>
      </c>
      <c r="O58" s="2">
        <f t="shared" si="17"/>
        <v>0</v>
      </c>
      <c r="P58" s="2" t="s">
        <v>928</v>
      </c>
      <c r="S58" s="5"/>
      <c r="Z58" s="2">
        <f t="shared" si="18"/>
        <v>0</v>
      </c>
      <c r="AA58" s="2" t="s">
        <v>938</v>
      </c>
    </row>
    <row r="59" spans="1:27" ht="26.4">
      <c r="A59" s="14"/>
      <c r="G59" s="2">
        <v>20</v>
      </c>
      <c r="H59" s="10" t="s">
        <v>685</v>
      </c>
      <c r="I59" s="10">
        <v>0.3</v>
      </c>
      <c r="J59" s="10"/>
      <c r="K59" s="10"/>
      <c r="L59" s="10"/>
      <c r="M59" s="10"/>
      <c r="N59" s="10"/>
      <c r="O59" s="10">
        <f t="shared" si="17"/>
        <v>0</v>
      </c>
      <c r="P59" s="10" t="s">
        <v>916</v>
      </c>
      <c r="S59" s="5"/>
      <c r="T59" s="10"/>
      <c r="U59" s="10"/>
      <c r="V59" s="10"/>
      <c r="W59" s="10"/>
      <c r="X59" s="10"/>
      <c r="Y59" s="10"/>
      <c r="Z59" s="10">
        <f t="shared" si="18"/>
        <v>0</v>
      </c>
      <c r="AA59" s="10" t="s">
        <v>928</v>
      </c>
    </row>
    <row r="60" spans="1:27" ht="26.4">
      <c r="A60" s="14"/>
      <c r="G60" s="2">
        <v>40</v>
      </c>
      <c r="H60" s="10" t="s">
        <v>685</v>
      </c>
      <c r="I60" s="10">
        <v>0.3</v>
      </c>
      <c r="J60" s="10"/>
      <c r="K60" s="10"/>
      <c r="L60" s="10"/>
      <c r="M60" s="10"/>
      <c r="N60" s="10"/>
      <c r="O60" s="10">
        <f t="shared" si="17"/>
        <v>0</v>
      </c>
      <c r="P60" s="10" t="s">
        <v>911</v>
      </c>
      <c r="S60" s="5"/>
      <c r="T60" s="10"/>
      <c r="U60" s="10"/>
      <c r="V60" s="10"/>
      <c r="W60" s="10"/>
      <c r="X60" s="10"/>
      <c r="Y60" s="10"/>
      <c r="Z60" s="10">
        <f t="shared" si="18"/>
        <v>0</v>
      </c>
      <c r="AA60" s="10" t="s">
        <v>947</v>
      </c>
    </row>
    <row r="61" spans="1:27" ht="26.4">
      <c r="A61" s="14"/>
      <c r="G61" s="2">
        <v>100</v>
      </c>
      <c r="H61" s="10" t="s">
        <v>685</v>
      </c>
      <c r="I61" s="10">
        <v>0.3</v>
      </c>
      <c r="J61" s="10"/>
      <c r="K61" s="10"/>
      <c r="L61" s="10"/>
      <c r="M61" s="10"/>
      <c r="N61" s="10"/>
      <c r="O61" s="10">
        <f t="shared" si="17"/>
        <v>0</v>
      </c>
      <c r="P61" s="10" t="s">
        <v>916</v>
      </c>
      <c r="S61" s="5"/>
      <c r="T61" s="10"/>
      <c r="U61" s="10"/>
      <c r="V61" s="10"/>
      <c r="W61" s="10"/>
      <c r="X61" s="10"/>
      <c r="Y61" s="10"/>
      <c r="Z61" s="10">
        <f t="shared" si="18"/>
        <v>0</v>
      </c>
      <c r="AA61" s="10" t="s">
        <v>921</v>
      </c>
    </row>
    <row r="62" spans="1:27">
      <c r="A62" s="14"/>
      <c r="S62" s="5"/>
    </row>
    <row r="63" spans="1:27" ht="26.4">
      <c r="A63" s="14"/>
      <c r="B63" s="2" t="s">
        <v>680</v>
      </c>
      <c r="C63" s="2" t="s">
        <v>681</v>
      </c>
      <c r="D63" s="15" t="s">
        <v>692</v>
      </c>
      <c r="E63" s="15" t="s">
        <v>683</v>
      </c>
      <c r="F63" s="2" t="s">
        <v>132</v>
      </c>
      <c r="G63" s="2">
        <v>20</v>
      </c>
      <c r="H63" s="2" t="s">
        <v>684</v>
      </c>
      <c r="I63" s="2">
        <v>9</v>
      </c>
      <c r="K63" s="2">
        <v>10.959493670886072</v>
      </c>
      <c r="M63" s="2">
        <f>AVERAGE(J63:L63)</f>
        <v>10.959493670886072</v>
      </c>
      <c r="O63" s="2">
        <f>COUNT(J63:L63)</f>
        <v>1</v>
      </c>
      <c r="P63" s="2" t="s">
        <v>910</v>
      </c>
      <c r="S63" s="5"/>
      <c r="W63" s="2">
        <v>10.694000000000001</v>
      </c>
      <c r="X63" s="2">
        <f>AVERAGE(T63:W63)</f>
        <v>10.694000000000001</v>
      </c>
      <c r="Z63" s="2">
        <f>COUNT(T63:W63)</f>
        <v>1</v>
      </c>
      <c r="AA63" s="2" t="s">
        <v>913</v>
      </c>
    </row>
    <row r="64" spans="1:27" ht="26.4">
      <c r="A64" s="14"/>
      <c r="D64" s="15"/>
      <c r="E64" s="15"/>
      <c r="G64" s="2">
        <v>40</v>
      </c>
      <c r="H64" s="2" t="s">
        <v>684</v>
      </c>
      <c r="I64" s="2">
        <v>9</v>
      </c>
      <c r="K64" s="2">
        <v>12.700951258943309</v>
      </c>
      <c r="M64" s="2">
        <f>AVERAGE(J64:L64)</f>
        <v>12.700951258943309</v>
      </c>
      <c r="O64" s="2">
        <f>COUNT(J64:L64)</f>
        <v>1</v>
      </c>
      <c r="P64" s="2" t="s">
        <v>909</v>
      </c>
      <c r="S64" s="5"/>
      <c r="W64" s="2">
        <v>12.061506071580743</v>
      </c>
      <c r="X64" s="2">
        <f>AVERAGE(T64:W64)</f>
        <v>12.061506071580743</v>
      </c>
      <c r="Z64" s="2">
        <f>COUNT(T64:W64)</f>
        <v>1</v>
      </c>
      <c r="AA64" s="2" t="s">
        <v>913</v>
      </c>
    </row>
    <row r="65" spans="1:27" ht="26.4">
      <c r="A65" s="14"/>
      <c r="G65" s="2">
        <v>20</v>
      </c>
      <c r="H65" s="10" t="s">
        <v>685</v>
      </c>
      <c r="I65" s="10">
        <v>0.3</v>
      </c>
      <c r="J65" s="10"/>
      <c r="K65" s="10">
        <v>0.37518987341772142</v>
      </c>
      <c r="L65" s="10"/>
      <c r="M65" s="10">
        <f>AVERAGE(J65:L65)</f>
        <v>0.37518987341772142</v>
      </c>
      <c r="N65" s="10"/>
      <c r="O65" s="10">
        <f>COUNT(J65:L65)</f>
        <v>1</v>
      </c>
      <c r="P65" s="10" t="s">
        <v>929</v>
      </c>
      <c r="S65" s="5"/>
      <c r="T65" s="10"/>
      <c r="U65" s="10"/>
      <c r="V65" s="10"/>
      <c r="W65" s="10">
        <v>0.38600000000000001</v>
      </c>
      <c r="X65" s="10">
        <f>AVERAGE(T65:W65)</f>
        <v>0.38600000000000001</v>
      </c>
      <c r="Y65" s="10"/>
      <c r="Z65" s="10">
        <f>COUNT(T65:W65)</f>
        <v>1</v>
      </c>
      <c r="AA65" s="10" t="s">
        <v>923</v>
      </c>
    </row>
    <row r="66" spans="1:27" ht="26.4">
      <c r="A66" s="14"/>
      <c r="G66" s="2">
        <v>40</v>
      </c>
      <c r="H66" s="10" t="s">
        <v>685</v>
      </c>
      <c r="I66" s="10">
        <v>0.3</v>
      </c>
      <c r="J66" s="10"/>
      <c r="K66" s="10">
        <v>0.43480734039625746</v>
      </c>
      <c r="L66" s="10"/>
      <c r="M66" s="10">
        <f>AVERAGE(J66:L66)</f>
        <v>0.43480734039625746</v>
      </c>
      <c r="N66" s="10"/>
      <c r="O66" s="10">
        <f>COUNT(J66:L66)</f>
        <v>1</v>
      </c>
      <c r="P66" s="10" t="s">
        <v>944</v>
      </c>
      <c r="S66" s="5"/>
      <c r="T66" s="10"/>
      <c r="U66" s="10"/>
      <c r="V66" s="10"/>
      <c r="W66" s="10">
        <v>0.43536014060502776</v>
      </c>
      <c r="X66" s="10">
        <f>AVERAGE(T66:W66)</f>
        <v>0.43536014060502776</v>
      </c>
      <c r="Y66" s="10"/>
      <c r="Z66" s="10">
        <f>COUNT(T66:W66)</f>
        <v>1</v>
      </c>
      <c r="AA66" s="10" t="s">
        <v>910</v>
      </c>
    </row>
    <row r="67" spans="1:27">
      <c r="A67" s="14"/>
      <c r="S67" s="5"/>
    </row>
    <row r="68" spans="1:27" ht="26.4">
      <c r="A68" s="14"/>
      <c r="B68" s="2" t="s">
        <v>680</v>
      </c>
      <c r="C68" s="2" t="s">
        <v>681</v>
      </c>
      <c r="D68" s="2" t="s">
        <v>692</v>
      </c>
      <c r="E68" s="2" t="s">
        <v>693</v>
      </c>
      <c r="F68" s="2" t="s">
        <v>696</v>
      </c>
      <c r="G68" s="2">
        <v>20</v>
      </c>
      <c r="H68" s="2" t="s">
        <v>684</v>
      </c>
      <c r="I68" s="2">
        <v>9</v>
      </c>
      <c r="O68" s="2">
        <f t="shared" ref="O68:O73" si="19">COUNT(J68:L68)</f>
        <v>0</v>
      </c>
      <c r="P68" s="2" t="s">
        <v>925</v>
      </c>
      <c r="S68" s="5"/>
      <c r="Z68" s="2">
        <f t="shared" ref="Z68:Z73" si="20">COUNT(T68:W68)</f>
        <v>0</v>
      </c>
      <c r="AA68" s="2" t="s">
        <v>921</v>
      </c>
    </row>
    <row r="69" spans="1:27" ht="26.4">
      <c r="A69" s="14"/>
      <c r="G69" s="2">
        <v>40</v>
      </c>
      <c r="H69" s="2" t="s">
        <v>684</v>
      </c>
      <c r="I69" s="2">
        <v>9</v>
      </c>
      <c r="O69" s="2">
        <f t="shared" si="19"/>
        <v>0</v>
      </c>
      <c r="P69" s="2" t="s">
        <v>916</v>
      </c>
      <c r="S69" s="5"/>
      <c r="Z69" s="2">
        <f t="shared" si="20"/>
        <v>0</v>
      </c>
      <c r="AA69" s="2" t="s">
        <v>921</v>
      </c>
    </row>
    <row r="70" spans="1:27" ht="26.4">
      <c r="A70" s="14"/>
      <c r="G70" s="2">
        <v>100</v>
      </c>
      <c r="H70" s="2" t="s">
        <v>684</v>
      </c>
      <c r="I70" s="2">
        <v>9</v>
      </c>
      <c r="O70" s="2">
        <f t="shared" si="19"/>
        <v>0</v>
      </c>
      <c r="P70" s="2" t="s">
        <v>925</v>
      </c>
      <c r="S70" s="5"/>
      <c r="Z70" s="2">
        <f t="shared" si="20"/>
        <v>0</v>
      </c>
      <c r="AA70" s="2" t="s">
        <v>921</v>
      </c>
    </row>
    <row r="71" spans="1:27" ht="26.4">
      <c r="A71" s="14"/>
      <c r="G71" s="2">
        <v>20</v>
      </c>
      <c r="H71" s="10" t="s">
        <v>685</v>
      </c>
      <c r="I71" s="10">
        <v>0.3</v>
      </c>
      <c r="J71" s="10"/>
      <c r="K71" s="10"/>
      <c r="L71" s="10"/>
      <c r="M71" s="10"/>
      <c r="N71" s="10"/>
      <c r="O71" s="10">
        <f t="shared" si="19"/>
        <v>0</v>
      </c>
      <c r="P71" s="10" t="s">
        <v>911</v>
      </c>
      <c r="S71" s="5"/>
      <c r="T71" s="10"/>
      <c r="U71" s="10"/>
      <c r="V71" s="10"/>
      <c r="W71" s="10"/>
      <c r="X71" s="10"/>
      <c r="Y71" s="10"/>
      <c r="Z71" s="10">
        <f t="shared" si="20"/>
        <v>0</v>
      </c>
      <c r="AA71" s="10" t="s">
        <v>925</v>
      </c>
    </row>
    <row r="72" spans="1:27" ht="26.4">
      <c r="A72" s="14"/>
      <c r="G72" s="2">
        <v>40</v>
      </c>
      <c r="H72" s="10" t="s">
        <v>685</v>
      </c>
      <c r="I72" s="10">
        <v>0.3</v>
      </c>
      <c r="J72" s="10"/>
      <c r="K72" s="10"/>
      <c r="L72" s="10"/>
      <c r="M72" s="10"/>
      <c r="N72" s="10"/>
      <c r="O72" s="10">
        <f t="shared" si="19"/>
        <v>0</v>
      </c>
      <c r="P72" s="10" t="s">
        <v>942</v>
      </c>
      <c r="S72" s="5"/>
      <c r="T72" s="10"/>
      <c r="U72" s="10"/>
      <c r="V72" s="10"/>
      <c r="W72" s="10"/>
      <c r="X72" s="10"/>
      <c r="Y72" s="10"/>
      <c r="Z72" s="10">
        <f t="shared" si="20"/>
        <v>0</v>
      </c>
      <c r="AA72" s="10" t="s">
        <v>921</v>
      </c>
    </row>
    <row r="73" spans="1:27" ht="26.4">
      <c r="A73" s="14"/>
      <c r="G73" s="2">
        <v>100</v>
      </c>
      <c r="H73" s="10" t="s">
        <v>685</v>
      </c>
      <c r="I73" s="10">
        <v>0.3</v>
      </c>
      <c r="J73" s="10"/>
      <c r="K73" s="10"/>
      <c r="L73" s="10"/>
      <c r="M73" s="10"/>
      <c r="N73" s="10"/>
      <c r="O73" s="10">
        <f t="shared" si="19"/>
        <v>0</v>
      </c>
      <c r="P73" s="10" t="s">
        <v>928</v>
      </c>
      <c r="S73" s="5"/>
      <c r="T73" s="10"/>
      <c r="U73" s="10"/>
      <c r="V73" s="10"/>
      <c r="W73" s="10"/>
      <c r="X73" s="10"/>
      <c r="Y73" s="10"/>
      <c r="Z73" s="10">
        <f t="shared" si="20"/>
        <v>0</v>
      </c>
      <c r="AA73" s="10" t="s">
        <v>921</v>
      </c>
    </row>
    <row r="74" spans="1:27">
      <c r="A74" s="14"/>
      <c r="S74" s="5"/>
    </row>
    <row r="75" spans="1:27" ht="26.4">
      <c r="A75" s="14"/>
      <c r="B75" s="2" t="s">
        <v>680</v>
      </c>
      <c r="C75" s="13" t="s">
        <v>681</v>
      </c>
      <c r="D75" s="13" t="s">
        <v>883</v>
      </c>
      <c r="E75" s="13" t="s">
        <v>683</v>
      </c>
      <c r="F75" s="13" t="s">
        <v>132</v>
      </c>
      <c r="G75" s="2">
        <v>20</v>
      </c>
      <c r="H75" s="2" t="s">
        <v>684</v>
      </c>
      <c r="I75" s="2">
        <v>9</v>
      </c>
      <c r="O75" s="2">
        <f t="shared" ref="O75:O98" si="21">COUNT(J75:L75)</f>
        <v>0</v>
      </c>
      <c r="P75" s="2" t="s">
        <v>921</v>
      </c>
      <c r="S75" s="5"/>
      <c r="Z75" s="2">
        <f t="shared" ref="Z75:Z98" si="22">COUNT(T75:W75)</f>
        <v>0</v>
      </c>
      <c r="AA75" s="2" t="s">
        <v>921</v>
      </c>
    </row>
    <row r="76" spans="1:27" ht="26.4">
      <c r="A76" s="14"/>
      <c r="G76" s="2">
        <v>40</v>
      </c>
      <c r="H76" s="2" t="s">
        <v>684</v>
      </c>
      <c r="I76" s="2">
        <v>9</v>
      </c>
      <c r="O76" s="2">
        <f t="shared" si="21"/>
        <v>0</v>
      </c>
      <c r="P76" s="2" t="s">
        <v>921</v>
      </c>
      <c r="S76" s="5"/>
      <c r="Z76" s="2">
        <f t="shared" si="22"/>
        <v>0</v>
      </c>
      <c r="AA76" s="2" t="s">
        <v>921</v>
      </c>
    </row>
    <row r="77" spans="1:27" ht="26.4">
      <c r="A77" s="14"/>
      <c r="G77" s="2">
        <v>20</v>
      </c>
      <c r="H77" s="10" t="s">
        <v>685</v>
      </c>
      <c r="I77" s="10">
        <v>0.3</v>
      </c>
      <c r="J77" s="10"/>
      <c r="K77" s="10"/>
      <c r="L77" s="10"/>
      <c r="M77" s="10"/>
      <c r="N77" s="10"/>
      <c r="O77" s="10">
        <f t="shared" si="21"/>
        <v>0</v>
      </c>
      <c r="P77" s="10" t="s">
        <v>921</v>
      </c>
      <c r="S77" s="5"/>
      <c r="T77" s="10"/>
      <c r="U77" s="10"/>
      <c r="V77" s="10"/>
      <c r="W77" s="10"/>
      <c r="X77" s="10"/>
      <c r="Y77" s="10"/>
      <c r="Z77" s="10">
        <f t="shared" si="22"/>
        <v>0</v>
      </c>
      <c r="AA77" s="10" t="s">
        <v>925</v>
      </c>
    </row>
    <row r="78" spans="1:27" ht="26.4">
      <c r="A78" s="14"/>
      <c r="G78" s="2">
        <v>40</v>
      </c>
      <c r="H78" s="10" t="s">
        <v>685</v>
      </c>
      <c r="I78" s="10">
        <v>0.3</v>
      </c>
      <c r="J78" s="10"/>
      <c r="K78" s="10"/>
      <c r="L78" s="10"/>
      <c r="M78" s="10"/>
      <c r="N78" s="10"/>
      <c r="O78" s="10">
        <f t="shared" si="21"/>
        <v>0</v>
      </c>
      <c r="P78" s="10" t="s">
        <v>921</v>
      </c>
      <c r="S78" s="5"/>
      <c r="T78" s="10"/>
      <c r="U78" s="10"/>
      <c r="V78" s="10"/>
      <c r="W78" s="10"/>
      <c r="X78" s="10"/>
      <c r="Y78" s="10"/>
      <c r="Z78" s="10">
        <f t="shared" si="22"/>
        <v>0</v>
      </c>
      <c r="AA78" s="10" t="s">
        <v>925</v>
      </c>
    </row>
    <row r="79" spans="1:27" ht="26.4">
      <c r="A79" s="14"/>
      <c r="B79" s="13" t="s">
        <v>680</v>
      </c>
      <c r="C79" s="13" t="s">
        <v>681</v>
      </c>
      <c r="D79" s="13" t="s">
        <v>692</v>
      </c>
      <c r="E79" s="13" t="s">
        <v>693</v>
      </c>
      <c r="F79" s="13" t="s">
        <v>697</v>
      </c>
      <c r="G79" s="2">
        <v>20</v>
      </c>
      <c r="H79" s="2" t="s">
        <v>684</v>
      </c>
      <c r="I79" s="2">
        <v>9</v>
      </c>
      <c r="O79" s="2">
        <f t="shared" si="21"/>
        <v>0</v>
      </c>
      <c r="P79" s="2" t="s">
        <v>921</v>
      </c>
      <c r="S79" s="5"/>
      <c r="Z79" s="2">
        <f t="shared" si="22"/>
        <v>0</v>
      </c>
      <c r="AA79" s="2" t="s">
        <v>921</v>
      </c>
    </row>
    <row r="80" spans="1:27" ht="26.4">
      <c r="A80" s="14"/>
      <c r="G80" s="2">
        <v>40</v>
      </c>
      <c r="H80" s="2" t="s">
        <v>684</v>
      </c>
      <c r="I80" s="2">
        <v>9</v>
      </c>
      <c r="O80" s="2">
        <f t="shared" si="21"/>
        <v>0</v>
      </c>
      <c r="P80" s="2" t="s">
        <v>921</v>
      </c>
      <c r="S80" s="5"/>
      <c r="Z80" s="2">
        <f t="shared" si="22"/>
        <v>0</v>
      </c>
      <c r="AA80" s="2" t="s">
        <v>921</v>
      </c>
    </row>
    <row r="81" spans="1:27" ht="26.4">
      <c r="A81" s="14"/>
      <c r="G81" s="2">
        <v>100</v>
      </c>
      <c r="H81" s="2" t="s">
        <v>684</v>
      </c>
      <c r="I81" s="2">
        <v>9</v>
      </c>
      <c r="O81" s="2">
        <f t="shared" si="21"/>
        <v>0</v>
      </c>
      <c r="P81" s="2" t="s">
        <v>916</v>
      </c>
      <c r="S81" s="5"/>
      <c r="Z81" s="2">
        <f t="shared" si="22"/>
        <v>0</v>
      </c>
      <c r="AA81" s="2" t="s">
        <v>916</v>
      </c>
    </row>
    <row r="82" spans="1:27" ht="26.4">
      <c r="A82" s="14"/>
      <c r="G82" s="2">
        <v>20</v>
      </c>
      <c r="H82" s="10" t="s">
        <v>685</v>
      </c>
      <c r="I82" s="10">
        <v>0.3</v>
      </c>
      <c r="J82" s="10"/>
      <c r="K82" s="10"/>
      <c r="L82" s="10"/>
      <c r="M82" s="10"/>
      <c r="N82" s="10"/>
      <c r="O82" s="10">
        <f t="shared" si="21"/>
        <v>0</v>
      </c>
      <c r="P82" s="10" t="s">
        <v>945</v>
      </c>
      <c r="S82" s="5"/>
      <c r="T82" s="10"/>
      <c r="U82" s="10"/>
      <c r="V82" s="10"/>
      <c r="W82" s="10"/>
      <c r="X82" s="10"/>
      <c r="Y82" s="10"/>
      <c r="Z82" s="10">
        <f t="shared" si="22"/>
        <v>0</v>
      </c>
      <c r="AA82" s="10" t="s">
        <v>921</v>
      </c>
    </row>
    <row r="83" spans="1:27" ht="26.4">
      <c r="A83" s="14"/>
      <c r="G83" s="2">
        <v>40</v>
      </c>
      <c r="H83" s="10" t="s">
        <v>685</v>
      </c>
      <c r="I83" s="10">
        <v>0.3</v>
      </c>
      <c r="J83" s="10"/>
      <c r="K83" s="10"/>
      <c r="L83" s="10"/>
      <c r="M83" s="10"/>
      <c r="N83" s="10"/>
      <c r="O83" s="10">
        <f t="shared" si="21"/>
        <v>0</v>
      </c>
      <c r="P83" s="10" t="s">
        <v>921</v>
      </c>
      <c r="S83" s="5"/>
      <c r="T83" s="10"/>
      <c r="U83" s="10"/>
      <c r="V83" s="10"/>
      <c r="W83" s="10"/>
      <c r="X83" s="10"/>
      <c r="Y83" s="10"/>
      <c r="Z83" s="10">
        <f t="shared" si="22"/>
        <v>0</v>
      </c>
      <c r="AA83" s="10" t="s">
        <v>921</v>
      </c>
    </row>
    <row r="84" spans="1:27" ht="26.4">
      <c r="A84" s="14"/>
      <c r="G84" s="2">
        <v>100</v>
      </c>
      <c r="H84" s="10" t="s">
        <v>685</v>
      </c>
      <c r="I84" s="10">
        <v>0.3</v>
      </c>
      <c r="J84" s="10"/>
      <c r="K84" s="10"/>
      <c r="L84" s="10"/>
      <c r="M84" s="10"/>
      <c r="N84" s="10"/>
      <c r="O84" s="10">
        <f t="shared" si="21"/>
        <v>0</v>
      </c>
      <c r="P84" s="10" t="s">
        <v>925</v>
      </c>
      <c r="S84" s="5"/>
      <c r="T84" s="10"/>
      <c r="U84" s="10"/>
      <c r="V84" s="10"/>
      <c r="W84" s="10"/>
      <c r="X84" s="10"/>
      <c r="Y84" s="10"/>
      <c r="Z84" s="10">
        <f t="shared" si="22"/>
        <v>0</v>
      </c>
      <c r="AA84" s="10" t="s">
        <v>938</v>
      </c>
    </row>
    <row r="85" spans="1:27" ht="26.4">
      <c r="A85" s="449"/>
      <c r="B85" s="13" t="s">
        <v>680</v>
      </c>
      <c r="C85" s="13" t="s">
        <v>681</v>
      </c>
      <c r="D85" s="13" t="s">
        <v>700</v>
      </c>
      <c r="E85" s="13" t="s">
        <v>693</v>
      </c>
      <c r="F85" s="13" t="s">
        <v>130</v>
      </c>
      <c r="G85" s="2">
        <v>20</v>
      </c>
      <c r="H85" s="2" t="s">
        <v>684</v>
      </c>
      <c r="I85" s="2">
        <v>9</v>
      </c>
      <c r="O85" s="2">
        <f t="shared" si="21"/>
        <v>0</v>
      </c>
      <c r="P85" s="2" t="s">
        <v>921</v>
      </c>
      <c r="S85" s="5"/>
      <c r="Z85" s="2">
        <f t="shared" si="22"/>
        <v>0</v>
      </c>
      <c r="AA85" s="2" t="s">
        <v>916</v>
      </c>
    </row>
    <row r="86" spans="1:27" ht="26.4">
      <c r="A86" s="449"/>
      <c r="G86" s="2">
        <v>40</v>
      </c>
      <c r="H86" s="2" t="s">
        <v>684</v>
      </c>
      <c r="I86" s="2">
        <v>9</v>
      </c>
      <c r="O86" s="2">
        <f t="shared" si="21"/>
        <v>0</v>
      </c>
      <c r="P86" s="2" t="s">
        <v>921</v>
      </c>
      <c r="S86" s="5"/>
      <c r="Z86" s="2">
        <f t="shared" si="22"/>
        <v>0</v>
      </c>
      <c r="AA86" s="2" t="s">
        <v>916</v>
      </c>
    </row>
    <row r="87" spans="1:27" ht="26.4">
      <c r="A87" s="449"/>
      <c r="G87" s="2">
        <v>100</v>
      </c>
      <c r="H87" s="2" t="s">
        <v>684</v>
      </c>
      <c r="I87" s="2">
        <v>9</v>
      </c>
      <c r="O87" s="2">
        <f t="shared" si="21"/>
        <v>0</v>
      </c>
      <c r="P87" s="2" t="s">
        <v>921</v>
      </c>
      <c r="S87" s="5"/>
      <c r="Z87" s="2">
        <f t="shared" si="22"/>
        <v>0</v>
      </c>
      <c r="AA87" s="2" t="s">
        <v>916</v>
      </c>
    </row>
    <row r="88" spans="1:27" ht="26.4">
      <c r="A88" s="449"/>
      <c r="G88" s="2">
        <v>20</v>
      </c>
      <c r="H88" s="10" t="s">
        <v>685</v>
      </c>
      <c r="I88" s="10">
        <v>0.3</v>
      </c>
      <c r="J88" s="10"/>
      <c r="K88" s="10"/>
      <c r="L88" s="10"/>
      <c r="M88" s="10"/>
      <c r="N88" s="10"/>
      <c r="O88" s="10">
        <f t="shared" si="21"/>
        <v>0</v>
      </c>
      <c r="P88" s="10" t="s">
        <v>921</v>
      </c>
      <c r="S88" s="5"/>
      <c r="T88" s="10"/>
      <c r="U88" s="10"/>
      <c r="V88" s="10"/>
      <c r="W88" s="10"/>
      <c r="X88" s="10"/>
      <c r="Y88" s="10"/>
      <c r="Z88" s="10">
        <f t="shared" si="22"/>
        <v>0</v>
      </c>
      <c r="AA88" s="10" t="s">
        <v>948</v>
      </c>
    </row>
    <row r="89" spans="1:27" ht="26.4">
      <c r="A89" s="449"/>
      <c r="G89" s="2">
        <v>40</v>
      </c>
      <c r="H89" s="10" t="s">
        <v>685</v>
      </c>
      <c r="I89" s="10">
        <v>0.3</v>
      </c>
      <c r="J89" s="10"/>
      <c r="K89" s="10"/>
      <c r="L89" s="10"/>
      <c r="M89" s="10"/>
      <c r="N89" s="10"/>
      <c r="O89" s="10">
        <f t="shared" si="21"/>
        <v>0</v>
      </c>
      <c r="P89" s="10" t="s">
        <v>921</v>
      </c>
      <c r="S89" s="5"/>
      <c r="T89" s="10"/>
      <c r="U89" s="10"/>
      <c r="V89" s="10"/>
      <c r="W89" s="10"/>
      <c r="X89" s="10"/>
      <c r="Y89" s="10"/>
      <c r="Z89" s="10">
        <f t="shared" si="22"/>
        <v>0</v>
      </c>
      <c r="AA89" s="10" t="s">
        <v>921</v>
      </c>
    </row>
    <row r="90" spans="1:27" ht="26.4">
      <c r="A90" s="449"/>
      <c r="G90" s="2">
        <v>100</v>
      </c>
      <c r="H90" s="10" t="s">
        <v>685</v>
      </c>
      <c r="I90" s="10">
        <v>0.3</v>
      </c>
      <c r="J90" s="10"/>
      <c r="K90" s="10"/>
      <c r="L90" s="10"/>
      <c r="M90" s="10"/>
      <c r="N90" s="10"/>
      <c r="O90" s="10">
        <f t="shared" si="21"/>
        <v>0</v>
      </c>
      <c r="P90" s="10" t="s">
        <v>921</v>
      </c>
      <c r="S90" s="5"/>
      <c r="T90" s="10"/>
      <c r="U90" s="10"/>
      <c r="V90" s="10"/>
      <c r="W90" s="10"/>
      <c r="X90" s="10"/>
      <c r="Y90" s="10"/>
      <c r="Z90" s="10">
        <f t="shared" si="22"/>
        <v>0</v>
      </c>
      <c r="AA90" s="10" t="s">
        <v>921</v>
      </c>
    </row>
    <row r="91" spans="1:27" ht="31.5" customHeight="1">
      <c r="A91" s="14"/>
      <c r="B91" s="13" t="s">
        <v>689</v>
      </c>
      <c r="C91" s="13" t="s">
        <v>698</v>
      </c>
      <c r="D91" s="13" t="s">
        <v>699</v>
      </c>
      <c r="E91" s="13" t="s">
        <v>683</v>
      </c>
      <c r="F91" s="13" t="s">
        <v>131</v>
      </c>
      <c r="G91" s="2">
        <v>20</v>
      </c>
      <c r="H91" s="2" t="s">
        <v>684</v>
      </c>
      <c r="I91" s="2">
        <v>9</v>
      </c>
      <c r="J91" s="2">
        <v>9.2479999999999993</v>
      </c>
      <c r="M91" s="2">
        <f>AVERAGE(J91:L91)</f>
        <v>9.2479999999999993</v>
      </c>
      <c r="O91" s="2">
        <f t="shared" si="21"/>
        <v>1</v>
      </c>
      <c r="P91" s="2" t="s">
        <v>913</v>
      </c>
      <c r="S91" s="5"/>
      <c r="U91" s="2">
        <v>9.61</v>
      </c>
      <c r="X91" s="2">
        <f>AVERAGE(T91:W91)</f>
        <v>9.61</v>
      </c>
      <c r="Z91" s="2">
        <f t="shared" si="22"/>
        <v>1</v>
      </c>
      <c r="AA91" s="2" t="s">
        <v>913</v>
      </c>
    </row>
    <row r="92" spans="1:27" ht="26.4">
      <c r="A92" s="14"/>
      <c r="G92" s="2">
        <v>20</v>
      </c>
      <c r="H92" s="10" t="s">
        <v>685</v>
      </c>
      <c r="I92" s="10">
        <v>0.3</v>
      </c>
      <c r="J92" s="10">
        <v>0.33</v>
      </c>
      <c r="K92" s="10"/>
      <c r="L92" s="10"/>
      <c r="M92" s="10">
        <f>AVERAGE(J92:L92)</f>
        <v>0.33</v>
      </c>
      <c r="N92" s="10"/>
      <c r="O92" s="10">
        <f t="shared" si="21"/>
        <v>1</v>
      </c>
      <c r="P92" s="10" t="s">
        <v>913</v>
      </c>
      <c r="S92" s="5"/>
      <c r="T92" s="10"/>
      <c r="U92" s="10">
        <v>0.33700000000000002</v>
      </c>
      <c r="V92" s="10"/>
      <c r="W92" s="10"/>
      <c r="X92" s="10">
        <f>AVERAGE(T92:W92)</f>
        <v>0.33700000000000002</v>
      </c>
      <c r="Y92" s="10"/>
      <c r="Z92" s="10">
        <f t="shared" si="22"/>
        <v>1</v>
      </c>
      <c r="AA92" s="10" t="s">
        <v>949</v>
      </c>
    </row>
    <row r="93" spans="1:27" ht="44.25" customHeight="1">
      <c r="A93" s="14"/>
      <c r="B93" s="13" t="s">
        <v>689</v>
      </c>
      <c r="C93" s="13" t="s">
        <v>690</v>
      </c>
      <c r="D93" s="13" t="s">
        <v>779</v>
      </c>
      <c r="E93" s="13" t="s">
        <v>683</v>
      </c>
      <c r="F93" s="13" t="s">
        <v>132</v>
      </c>
      <c r="G93" s="2">
        <v>20</v>
      </c>
      <c r="H93" s="2" t="s">
        <v>684</v>
      </c>
      <c r="I93" s="2">
        <v>9</v>
      </c>
      <c r="O93" s="2">
        <f t="shared" si="21"/>
        <v>0</v>
      </c>
      <c r="P93" s="2" t="s">
        <v>916</v>
      </c>
      <c r="S93" s="5"/>
      <c r="Z93" s="2">
        <f t="shared" si="22"/>
        <v>0</v>
      </c>
      <c r="AA93" s="2" t="s">
        <v>921</v>
      </c>
    </row>
    <row r="94" spans="1:27" ht="26.4">
      <c r="A94" s="14"/>
      <c r="G94" s="2">
        <v>20</v>
      </c>
      <c r="H94" s="10" t="s">
        <v>685</v>
      </c>
      <c r="I94" s="10">
        <v>0.3</v>
      </c>
      <c r="J94" s="10"/>
      <c r="K94" s="10"/>
      <c r="L94" s="10"/>
      <c r="M94" s="10"/>
      <c r="N94" s="10"/>
      <c r="O94" s="10">
        <f t="shared" si="21"/>
        <v>0</v>
      </c>
      <c r="P94" s="10" t="s">
        <v>921</v>
      </c>
      <c r="S94" s="5"/>
      <c r="T94" s="10"/>
      <c r="U94" s="10"/>
      <c r="V94" s="10"/>
      <c r="W94" s="10"/>
      <c r="X94" s="10"/>
      <c r="Y94" s="10"/>
      <c r="Z94" s="10">
        <f t="shared" si="22"/>
        <v>0</v>
      </c>
      <c r="AA94" s="10" t="s">
        <v>921</v>
      </c>
    </row>
    <row r="95" spans="1:27" ht="31.5" customHeight="1">
      <c r="A95" s="478"/>
      <c r="B95" s="13" t="s">
        <v>689</v>
      </c>
      <c r="C95" s="13" t="s">
        <v>690</v>
      </c>
      <c r="D95" s="13" t="s">
        <v>780</v>
      </c>
      <c r="E95" s="13" t="s">
        <v>683</v>
      </c>
      <c r="F95" s="13" t="s">
        <v>132</v>
      </c>
      <c r="G95" s="2">
        <v>20</v>
      </c>
      <c r="H95" s="2" t="s">
        <v>684</v>
      </c>
      <c r="I95" s="2">
        <v>9</v>
      </c>
      <c r="O95" s="2">
        <f t="shared" si="21"/>
        <v>0</v>
      </c>
      <c r="P95" s="2" t="s">
        <v>916</v>
      </c>
      <c r="S95" s="5"/>
      <c r="Z95" s="2">
        <f t="shared" si="22"/>
        <v>0</v>
      </c>
      <c r="AA95" s="2" t="s">
        <v>916</v>
      </c>
    </row>
    <row r="96" spans="1:27" ht="26.4">
      <c r="A96" s="478"/>
      <c r="G96" s="2">
        <v>20</v>
      </c>
      <c r="H96" s="10" t="s">
        <v>685</v>
      </c>
      <c r="I96" s="10">
        <v>0.3</v>
      </c>
      <c r="J96" s="10"/>
      <c r="K96" s="10"/>
      <c r="L96" s="10"/>
      <c r="M96" s="10"/>
      <c r="N96" s="10"/>
      <c r="O96" s="10">
        <f t="shared" si="21"/>
        <v>0</v>
      </c>
      <c r="P96" s="10" t="s">
        <v>921</v>
      </c>
      <c r="S96" s="5"/>
      <c r="T96" s="10"/>
      <c r="U96" s="10"/>
      <c r="V96" s="10"/>
      <c r="W96" s="10"/>
      <c r="X96" s="10"/>
      <c r="Y96" s="10"/>
      <c r="Z96" s="10">
        <f t="shared" si="22"/>
        <v>0</v>
      </c>
      <c r="AA96" s="10" t="s">
        <v>921</v>
      </c>
    </row>
    <row r="97" spans="1:27" ht="26.4">
      <c r="A97" s="449"/>
      <c r="B97" s="13" t="s">
        <v>689</v>
      </c>
      <c r="C97" s="13" t="s">
        <v>690</v>
      </c>
      <c r="D97" s="13" t="s">
        <v>875</v>
      </c>
      <c r="E97" s="13" t="s">
        <v>683</v>
      </c>
      <c r="F97" s="13" t="s">
        <v>132</v>
      </c>
      <c r="G97" s="2">
        <v>20</v>
      </c>
      <c r="H97" s="2" t="s">
        <v>684</v>
      </c>
      <c r="I97" s="2">
        <v>9</v>
      </c>
      <c r="O97" s="2">
        <f t="shared" si="21"/>
        <v>0</v>
      </c>
      <c r="P97" s="2" t="s">
        <v>921</v>
      </c>
      <c r="S97" s="5"/>
      <c r="Z97" s="2">
        <f t="shared" si="22"/>
        <v>0</v>
      </c>
      <c r="AA97" s="2" t="s">
        <v>921</v>
      </c>
    </row>
    <row r="98" spans="1:27" ht="26.4">
      <c r="A98" s="449"/>
      <c r="G98" s="2">
        <v>20</v>
      </c>
      <c r="H98" s="10" t="s">
        <v>685</v>
      </c>
      <c r="I98" s="10">
        <v>0.3</v>
      </c>
      <c r="J98" s="10"/>
      <c r="K98" s="10"/>
      <c r="L98" s="10"/>
      <c r="M98" s="10"/>
      <c r="N98" s="10"/>
      <c r="O98" s="10">
        <f t="shared" si="21"/>
        <v>0</v>
      </c>
      <c r="P98" s="10" t="s">
        <v>945</v>
      </c>
      <c r="S98" s="5"/>
      <c r="T98" s="10"/>
      <c r="U98" s="10"/>
      <c r="V98" s="10"/>
      <c r="W98" s="10"/>
      <c r="X98" s="10"/>
      <c r="Y98" s="10"/>
      <c r="Z98" s="10">
        <f t="shared" si="22"/>
        <v>0</v>
      </c>
      <c r="AA98" s="10" t="s">
        <v>921</v>
      </c>
    </row>
    <row r="99" spans="1:27">
      <c r="A99" s="9"/>
    </row>
    <row r="100" spans="1:27" ht="26.4" customHeight="1">
      <c r="A100" s="18"/>
      <c r="B100" s="11" t="s">
        <v>103</v>
      </c>
      <c r="C100" s="11"/>
      <c r="D100" s="11"/>
      <c r="E100" s="11"/>
      <c r="F100" s="11"/>
      <c r="G100" s="11"/>
      <c r="H100" s="6"/>
      <c r="I100" s="6"/>
      <c r="J100" s="6"/>
      <c r="K100" s="6"/>
      <c r="L100" s="6"/>
      <c r="M100" s="6"/>
      <c r="N100" s="6"/>
      <c r="O100" s="6"/>
      <c r="P100" s="6"/>
      <c r="S100" s="590" t="s">
        <v>701</v>
      </c>
      <c r="T100" s="6"/>
      <c r="U100" s="6"/>
      <c r="V100" s="6"/>
      <c r="W100" s="6"/>
      <c r="X100" s="6"/>
      <c r="Y100" s="6"/>
      <c r="Z100" s="6"/>
      <c r="AA100" s="6"/>
    </row>
    <row r="101" spans="1:27" ht="26.4">
      <c r="A101" s="18"/>
      <c r="B101" s="2" t="s">
        <v>680</v>
      </c>
      <c r="C101" s="2" t="s">
        <v>681</v>
      </c>
      <c r="D101" s="2" t="s">
        <v>702</v>
      </c>
      <c r="E101" s="2" t="s">
        <v>683</v>
      </c>
      <c r="H101" s="2" t="s">
        <v>684</v>
      </c>
      <c r="I101" s="2">
        <v>6.75</v>
      </c>
      <c r="J101" s="2">
        <v>8.8333311688311689</v>
      </c>
      <c r="M101" s="2">
        <f>AVERAGE(J101:L101)</f>
        <v>8.8333311688311689</v>
      </c>
      <c r="O101" s="2">
        <f>COUNT(J101:L101)</f>
        <v>1</v>
      </c>
      <c r="P101" s="2" t="s">
        <v>913</v>
      </c>
      <c r="S101" s="590"/>
      <c r="U101" s="2">
        <v>8.8692473620129881</v>
      </c>
      <c r="X101" s="2">
        <f>AVERAGE(T101:W101)</f>
        <v>8.8692473620129881</v>
      </c>
      <c r="Z101" s="2">
        <f>COUNT(T101:W101)</f>
        <v>1</v>
      </c>
      <c r="AA101" s="2" t="s">
        <v>910</v>
      </c>
    </row>
    <row r="102" spans="1:27" ht="26.4">
      <c r="A102" s="18"/>
      <c r="H102" s="10" t="s">
        <v>685</v>
      </c>
      <c r="I102" s="10">
        <v>0.21</v>
      </c>
      <c r="J102" s="477">
        <v>0.55413555194805197</v>
      </c>
      <c r="K102" s="477"/>
      <c r="L102" s="477"/>
      <c r="M102" s="477">
        <f>AVERAGE(J102:L102)</f>
        <v>0.55413555194805197</v>
      </c>
      <c r="N102" s="477"/>
      <c r="O102" s="477">
        <f>COUNT(J102:L102)</f>
        <v>1</v>
      </c>
      <c r="P102" s="477" t="s">
        <v>913</v>
      </c>
      <c r="S102" s="590"/>
      <c r="T102" s="10"/>
      <c r="U102" s="10">
        <v>0.55105702110389609</v>
      </c>
      <c r="V102" s="10"/>
      <c r="W102" s="10"/>
      <c r="X102" s="10">
        <f>AVERAGE(T102:W102)</f>
        <v>0.55105702110389609</v>
      </c>
      <c r="Y102" s="10"/>
      <c r="Z102" s="10">
        <f>COUNT(T102:W102)</f>
        <v>1</v>
      </c>
      <c r="AA102" s="10" t="s">
        <v>910</v>
      </c>
    </row>
    <row r="103" spans="1:27">
      <c r="A103" s="18"/>
      <c r="S103" s="590"/>
    </row>
    <row r="104" spans="1:27" ht="26.4">
      <c r="A104" s="18"/>
      <c r="B104" s="2" t="s">
        <v>680</v>
      </c>
      <c r="C104" s="2" t="s">
        <v>681</v>
      </c>
      <c r="D104" s="2" t="s">
        <v>703</v>
      </c>
      <c r="E104" s="2" t="s">
        <v>683</v>
      </c>
      <c r="H104" s="2" t="s">
        <v>684</v>
      </c>
      <c r="I104" s="2">
        <v>6.75</v>
      </c>
      <c r="O104" s="2">
        <f>COUNT(J104:L104)</f>
        <v>0</v>
      </c>
      <c r="P104" s="2" t="s">
        <v>921</v>
      </c>
      <c r="S104" s="590"/>
      <c r="Z104" s="2">
        <f>COUNT(T104:W104)</f>
        <v>0</v>
      </c>
      <c r="AA104" s="2" t="s">
        <v>921</v>
      </c>
    </row>
    <row r="105" spans="1:27" ht="26.4">
      <c r="A105" s="18"/>
      <c r="H105" s="10" t="s">
        <v>685</v>
      </c>
      <c r="I105" s="10">
        <v>0.21</v>
      </c>
      <c r="J105" s="477"/>
      <c r="K105" s="477"/>
      <c r="L105" s="477"/>
      <c r="M105" s="477"/>
      <c r="N105" s="477"/>
      <c r="O105" s="477">
        <f>COUNT(J105:L105)</f>
        <v>0</v>
      </c>
      <c r="P105" s="477" t="s">
        <v>925</v>
      </c>
      <c r="S105" s="590"/>
      <c r="T105" s="477"/>
      <c r="U105" s="477"/>
      <c r="V105" s="477"/>
      <c r="W105" s="477"/>
      <c r="X105" s="477"/>
      <c r="Y105" s="477"/>
      <c r="Z105" s="477">
        <f>COUNT(T105:W105)</f>
        <v>0</v>
      </c>
      <c r="AA105" s="477" t="s">
        <v>916</v>
      </c>
    </row>
    <row r="106" spans="1:27">
      <c r="A106" s="18"/>
      <c r="S106" s="590"/>
    </row>
    <row r="107" spans="1:27" ht="26.4">
      <c r="A107" s="18"/>
      <c r="B107" s="2" t="s">
        <v>680</v>
      </c>
      <c r="C107" s="2" t="s">
        <v>681</v>
      </c>
      <c r="D107" s="15" t="s">
        <v>704</v>
      </c>
      <c r="E107" s="2" t="s">
        <v>683</v>
      </c>
      <c r="H107" s="2" t="s">
        <v>684</v>
      </c>
      <c r="I107" s="2">
        <v>6.75</v>
      </c>
      <c r="J107" s="2">
        <v>9.3967023133116889</v>
      </c>
      <c r="M107" s="2">
        <f>AVERAGE(J107:L107)</f>
        <v>9.3967023133116889</v>
      </c>
      <c r="O107" s="2">
        <f>COUNT(J107:L107)</f>
        <v>1</v>
      </c>
      <c r="P107" s="2" t="s">
        <v>923</v>
      </c>
      <c r="S107" s="590"/>
      <c r="U107" s="2">
        <v>9.4387755681818177</v>
      </c>
      <c r="X107" s="2">
        <f>AVERAGE(T107:W107)</f>
        <v>9.4387755681818177</v>
      </c>
      <c r="Z107" s="2">
        <f>COUNT(T107:W107)</f>
        <v>1</v>
      </c>
      <c r="AA107" s="2" t="s">
        <v>913</v>
      </c>
    </row>
    <row r="108" spans="1:27" ht="26.4">
      <c r="A108" s="18"/>
      <c r="H108" s="10" t="s">
        <v>685</v>
      </c>
      <c r="I108" s="10">
        <v>0.21</v>
      </c>
      <c r="J108" s="477">
        <v>0.58594703733766229</v>
      </c>
      <c r="K108" s="477"/>
      <c r="L108" s="477"/>
      <c r="M108" s="477">
        <f>AVERAGE(J108:L108)</f>
        <v>0.58594703733766229</v>
      </c>
      <c r="N108" s="477"/>
      <c r="O108" s="477">
        <f>COUNT(J108:L108)</f>
        <v>1</v>
      </c>
      <c r="P108" s="477" t="s">
        <v>929</v>
      </c>
      <c r="S108" s="590"/>
      <c r="T108" s="477"/>
      <c r="U108" s="477">
        <v>0.58697321428571425</v>
      </c>
      <c r="V108" s="477"/>
      <c r="W108" s="477"/>
      <c r="X108" s="477">
        <f>AVERAGE(T108:W108)</f>
        <v>0.58697321428571425</v>
      </c>
      <c r="Y108" s="477"/>
      <c r="Z108" s="477">
        <f>COUNT(T108:W108)</f>
        <v>1</v>
      </c>
      <c r="AA108" s="477" t="s">
        <v>913</v>
      </c>
    </row>
    <row r="109" spans="1:27" ht="26.4">
      <c r="A109" s="18"/>
      <c r="B109" s="13" t="s">
        <v>689</v>
      </c>
      <c r="C109" s="13" t="s">
        <v>690</v>
      </c>
      <c r="D109" s="13" t="s">
        <v>705</v>
      </c>
      <c r="E109" s="13" t="s">
        <v>683</v>
      </c>
      <c r="H109" s="2" t="s">
        <v>684</v>
      </c>
      <c r="I109" s="2">
        <v>6.75</v>
      </c>
      <c r="O109" s="2">
        <f>COUNT(J109:L109)</f>
        <v>0</v>
      </c>
      <c r="P109" s="2" t="s">
        <v>928</v>
      </c>
      <c r="S109" s="590"/>
      <c r="Z109" s="2">
        <f>COUNT(T109:W109)</f>
        <v>0</v>
      </c>
      <c r="AA109" s="2" t="s">
        <v>921</v>
      </c>
    </row>
    <row r="110" spans="1:27" ht="26.4">
      <c r="A110" s="18"/>
      <c r="H110" s="10" t="s">
        <v>685</v>
      </c>
      <c r="I110" s="10">
        <v>0.21</v>
      </c>
      <c r="J110" s="477"/>
      <c r="K110" s="477"/>
      <c r="L110" s="477"/>
      <c r="M110" s="477"/>
      <c r="N110" s="477"/>
      <c r="O110" s="477">
        <f>COUNT(J110:L110)</f>
        <v>0</v>
      </c>
      <c r="P110" s="477" t="s">
        <v>916</v>
      </c>
      <c r="S110" s="590"/>
      <c r="T110" s="10"/>
      <c r="U110" s="10"/>
      <c r="V110" s="10"/>
      <c r="W110" s="10"/>
      <c r="X110" s="10"/>
      <c r="Y110" s="10"/>
      <c r="Z110" s="10">
        <f>COUNT(T110:W110)</f>
        <v>0</v>
      </c>
      <c r="AA110" s="10" t="s">
        <v>921</v>
      </c>
    </row>
    <row r="111" spans="1:27" ht="26.4">
      <c r="A111" s="16" t="s">
        <v>706</v>
      </c>
      <c r="S111" s="590"/>
    </row>
    <row r="112" spans="1:27">
      <c r="A112" s="16"/>
      <c r="B112" s="11" t="s">
        <v>104</v>
      </c>
      <c r="C112" s="11"/>
      <c r="D112" s="11"/>
      <c r="E112" s="11"/>
      <c r="F112" s="11"/>
      <c r="G112" s="11"/>
      <c r="H112" s="6"/>
      <c r="I112" s="6"/>
      <c r="J112" s="6"/>
      <c r="K112" s="6"/>
      <c r="L112" s="6"/>
      <c r="M112" s="6"/>
      <c r="N112" s="6"/>
      <c r="O112" s="6"/>
      <c r="P112" s="6"/>
      <c r="S112" s="590"/>
      <c r="T112" s="6"/>
      <c r="U112" s="6"/>
      <c r="V112" s="6"/>
      <c r="W112" s="6"/>
      <c r="X112" s="6"/>
      <c r="Y112" s="6"/>
      <c r="Z112" s="6"/>
      <c r="AA112" s="6"/>
    </row>
    <row r="113" spans="1:27" ht="39.6">
      <c r="A113" s="16"/>
      <c r="B113" s="2" t="s">
        <v>680</v>
      </c>
      <c r="C113" s="2" t="s">
        <v>681</v>
      </c>
      <c r="D113" s="2" t="s">
        <v>707</v>
      </c>
      <c r="E113" s="2" t="s">
        <v>693</v>
      </c>
      <c r="F113" s="2" t="s">
        <v>130</v>
      </c>
      <c r="H113" s="2" t="s">
        <v>684</v>
      </c>
      <c r="I113" s="2">
        <v>6.75</v>
      </c>
      <c r="J113" s="2">
        <v>6.9545344537815126</v>
      </c>
      <c r="M113" s="2">
        <f>AVERAGE(J113:L113)</f>
        <v>6.9545344537815126</v>
      </c>
      <c r="O113" s="2">
        <f>COUNT(J113:L113)</f>
        <v>1</v>
      </c>
      <c r="P113" s="2" t="s">
        <v>944</v>
      </c>
      <c r="S113" s="590"/>
      <c r="U113" s="2">
        <v>7.0033478991596638</v>
      </c>
      <c r="X113" s="2">
        <f>AVERAGE(T113:W113)</f>
        <v>7.0033478991596638</v>
      </c>
      <c r="Z113" s="2">
        <f>COUNT(T113:W113)</f>
        <v>1</v>
      </c>
      <c r="AA113" s="2" t="s">
        <v>910</v>
      </c>
    </row>
    <row r="114" spans="1:27" ht="26.4">
      <c r="A114" s="16"/>
      <c r="H114" s="10" t="s">
        <v>685</v>
      </c>
      <c r="I114" s="10">
        <v>0.21</v>
      </c>
      <c r="J114" s="10">
        <v>0.38682352941176468</v>
      </c>
      <c r="K114" s="10"/>
      <c r="L114" s="10"/>
      <c r="M114" s="10">
        <f>AVERAGE(J114:L114)</f>
        <v>0.38682352941176468</v>
      </c>
      <c r="N114" s="10"/>
      <c r="O114" s="10">
        <f>COUNT(J114:L114)</f>
        <v>1</v>
      </c>
      <c r="P114" s="10" t="s">
        <v>910</v>
      </c>
      <c r="S114" s="590"/>
      <c r="T114" s="10"/>
      <c r="U114" s="10">
        <v>0.38958655462184871</v>
      </c>
      <c r="V114" s="10"/>
      <c r="W114" s="10"/>
      <c r="X114" s="10">
        <f>AVERAGE(T114:W114)</f>
        <v>0.38958655462184871</v>
      </c>
      <c r="Y114" s="10"/>
      <c r="Z114" s="10">
        <f>COUNT(T114:W114)</f>
        <v>1</v>
      </c>
      <c r="AA114" s="10" t="s">
        <v>929</v>
      </c>
    </row>
    <row r="115" spans="1:27">
      <c r="A115" s="16"/>
      <c r="S115" s="590"/>
    </row>
    <row r="116" spans="1:27" ht="39.6">
      <c r="A116" s="16"/>
      <c r="B116" s="2" t="s">
        <v>680</v>
      </c>
      <c r="C116" s="2" t="s">
        <v>681</v>
      </c>
      <c r="D116" s="2" t="s">
        <v>707</v>
      </c>
      <c r="E116" s="2" t="s">
        <v>683</v>
      </c>
      <c r="F116" s="2" t="s">
        <v>130</v>
      </c>
      <c r="H116" s="2" t="s">
        <v>684</v>
      </c>
      <c r="I116" s="2">
        <v>6.75</v>
      </c>
      <c r="J116" s="2">
        <v>7.1742768166089963</v>
      </c>
      <c r="M116" s="2">
        <f>AVERAGE(J116:L116)</f>
        <v>7.1742768166089963</v>
      </c>
      <c r="O116" s="2">
        <f>COUNT(J116:L116)</f>
        <v>1</v>
      </c>
      <c r="P116" s="2" t="s">
        <v>910</v>
      </c>
      <c r="S116" s="590"/>
      <c r="U116" s="2">
        <v>7.2560512110726645</v>
      </c>
      <c r="X116" s="2">
        <f>AVERAGE(T116:W116)</f>
        <v>7.2560512110726645</v>
      </c>
      <c r="Z116" s="2">
        <f>COUNT(T116:W116)</f>
        <v>1</v>
      </c>
      <c r="AA116" s="2" t="s">
        <v>929</v>
      </c>
    </row>
    <row r="117" spans="1:27" ht="26.4">
      <c r="A117" s="16"/>
      <c r="H117" s="10" t="s">
        <v>685</v>
      </c>
      <c r="I117" s="10">
        <v>0.21</v>
      </c>
      <c r="J117" s="10">
        <v>0.39841245674740483</v>
      </c>
      <c r="K117" s="10"/>
      <c r="L117" s="10"/>
      <c r="M117" s="10">
        <f>AVERAGE(J117:L117)</f>
        <v>0.39841245674740483</v>
      </c>
      <c r="N117" s="10"/>
      <c r="O117" s="10">
        <f>COUNT(J117:L117)</f>
        <v>1</v>
      </c>
      <c r="P117" s="10" t="s">
        <v>910</v>
      </c>
      <c r="S117" s="590"/>
      <c r="T117" s="10"/>
      <c r="U117" s="10">
        <v>0.40697024221453287</v>
      </c>
      <c r="V117" s="10"/>
      <c r="W117" s="10"/>
      <c r="X117" s="10">
        <f>AVERAGE(T117:W117)</f>
        <v>0.40697024221453287</v>
      </c>
      <c r="Y117" s="10"/>
      <c r="Z117" s="10">
        <f>COUNT(T117:W117)</f>
        <v>1</v>
      </c>
      <c r="AA117" s="10" t="s">
        <v>917</v>
      </c>
    </row>
    <row r="118" spans="1:27">
      <c r="A118" s="16"/>
      <c r="S118" s="590"/>
    </row>
    <row r="119" spans="1:27" ht="39.6">
      <c r="A119" s="16"/>
      <c r="B119" s="2" t="s">
        <v>680</v>
      </c>
      <c r="C119" s="2" t="s">
        <v>681</v>
      </c>
      <c r="D119" s="2" t="s">
        <v>708</v>
      </c>
      <c r="E119" s="2" t="s">
        <v>693</v>
      </c>
      <c r="F119" s="2" t="s">
        <v>130</v>
      </c>
      <c r="H119" s="2" t="s">
        <v>684</v>
      </c>
      <c r="I119" s="2">
        <v>6.75</v>
      </c>
      <c r="J119" s="2">
        <v>7.5835831932773106</v>
      </c>
      <c r="M119" s="2">
        <f>AVERAGE(J119:L119)</f>
        <v>7.5835831932773106</v>
      </c>
      <c r="O119" s="2">
        <f>COUNT(J119:L119)</f>
        <v>1</v>
      </c>
      <c r="P119" s="2" t="s">
        <v>929</v>
      </c>
      <c r="S119" s="590"/>
      <c r="U119" s="2">
        <v>7.6231865546218476</v>
      </c>
      <c r="X119" s="2">
        <f>AVERAGE(T119:W119)</f>
        <v>7.6231865546218476</v>
      </c>
      <c r="Z119" s="2">
        <f>COUNT(T119:W119)</f>
        <v>1</v>
      </c>
      <c r="AA119" s="2" t="s">
        <v>910</v>
      </c>
    </row>
    <row r="120" spans="1:27" ht="26.4">
      <c r="A120" s="16"/>
      <c r="H120" s="10" t="s">
        <v>685</v>
      </c>
      <c r="I120" s="10">
        <v>0.21</v>
      </c>
      <c r="J120" s="10">
        <v>0.43379495798319323</v>
      </c>
      <c r="K120" s="10"/>
      <c r="L120" s="10"/>
      <c r="M120" s="10">
        <f>AVERAGE(J120:L120)</f>
        <v>0.43379495798319323</v>
      </c>
      <c r="N120" s="10"/>
      <c r="O120" s="10">
        <f>COUNT(J120:L120)</f>
        <v>1</v>
      </c>
      <c r="P120" s="10" t="s">
        <v>929</v>
      </c>
      <c r="S120" s="590"/>
      <c r="T120" s="10"/>
      <c r="U120" s="10">
        <v>0.43195294117647054</v>
      </c>
      <c r="V120" s="10"/>
      <c r="W120" s="10"/>
      <c r="X120" s="10">
        <f>AVERAGE(T120:W120)</f>
        <v>0.43195294117647054</v>
      </c>
      <c r="Y120" s="10"/>
      <c r="Z120" s="10">
        <f>COUNT(T120:W120)</f>
        <v>1</v>
      </c>
      <c r="AA120" s="10" t="s">
        <v>929</v>
      </c>
    </row>
    <row r="121" spans="1:27">
      <c r="A121" s="16"/>
      <c r="S121" s="590"/>
    </row>
    <row r="122" spans="1:27" ht="39.6">
      <c r="A122" s="16"/>
      <c r="B122" s="2" t="s">
        <v>680</v>
      </c>
      <c r="C122" s="2" t="s">
        <v>681</v>
      </c>
      <c r="D122" s="2" t="s">
        <v>708</v>
      </c>
      <c r="E122" s="2" t="s">
        <v>683</v>
      </c>
      <c r="F122" s="2" t="s">
        <v>130</v>
      </c>
      <c r="H122" s="2" t="s">
        <v>684</v>
      </c>
      <c r="I122" s="2">
        <v>6.75</v>
      </c>
      <c r="J122" s="2">
        <v>7.8722117647058827</v>
      </c>
      <c r="M122" s="2">
        <f>AVERAGE(J122:L122)</f>
        <v>7.8722117647058827</v>
      </c>
      <c r="O122" s="2">
        <f>COUNT(J122:L122)</f>
        <v>1</v>
      </c>
      <c r="P122" s="2" t="s">
        <v>909</v>
      </c>
      <c r="S122" s="590"/>
      <c r="U122" s="2">
        <v>7.952084429065744</v>
      </c>
      <c r="X122" s="2">
        <f>AVERAGE(T122:W122)</f>
        <v>7.952084429065744</v>
      </c>
      <c r="Z122" s="2">
        <f>COUNT(T122:W122)</f>
        <v>1</v>
      </c>
      <c r="AA122" s="2" t="s">
        <v>929</v>
      </c>
    </row>
    <row r="123" spans="1:27" ht="26.4">
      <c r="A123" s="16"/>
      <c r="H123" s="10" t="s">
        <v>685</v>
      </c>
      <c r="I123" s="10">
        <v>0.21</v>
      </c>
      <c r="J123" s="10">
        <v>0.43644705882352947</v>
      </c>
      <c r="K123" s="10"/>
      <c r="L123" s="10"/>
      <c r="M123" s="10">
        <f>AVERAGE(J123:L123)</f>
        <v>0.43644705882352947</v>
      </c>
      <c r="N123" s="10"/>
      <c r="O123" s="10">
        <f>COUNT(J123:L123)</f>
        <v>1</v>
      </c>
      <c r="P123" s="10" t="s">
        <v>913</v>
      </c>
      <c r="S123" s="590"/>
      <c r="T123" s="10"/>
      <c r="U123" s="10">
        <v>0.45261176470588232</v>
      </c>
      <c r="V123" s="10"/>
      <c r="W123" s="10"/>
      <c r="X123" s="10">
        <f>AVERAGE(T123:W123)</f>
        <v>0.45261176470588232</v>
      </c>
      <c r="Y123" s="10"/>
      <c r="Z123" s="10">
        <f>COUNT(T123:W123)</f>
        <v>1</v>
      </c>
      <c r="AA123" s="10" t="s">
        <v>929</v>
      </c>
    </row>
    <row r="124" spans="1:27">
      <c r="A124" s="16"/>
      <c r="S124" s="590"/>
    </row>
    <row r="125" spans="1:27" ht="39.6">
      <c r="A125" s="16"/>
      <c r="B125" s="2" t="s">
        <v>680</v>
      </c>
      <c r="C125" s="2" t="s">
        <v>681</v>
      </c>
      <c r="D125" s="2" t="s">
        <v>709</v>
      </c>
      <c r="E125" s="2" t="s">
        <v>683</v>
      </c>
      <c r="F125" s="2" t="s">
        <v>132</v>
      </c>
      <c r="H125" s="2" t="s">
        <v>684</v>
      </c>
      <c r="I125" s="2">
        <v>6.75</v>
      </c>
      <c r="O125" s="2">
        <f>COUNT(J125:L125)</f>
        <v>0</v>
      </c>
      <c r="P125" s="2" t="s">
        <v>921</v>
      </c>
      <c r="S125" s="590"/>
      <c r="Z125" s="2">
        <f>COUNT(T125:W125)</f>
        <v>0</v>
      </c>
      <c r="AA125" s="2" t="s">
        <v>918</v>
      </c>
    </row>
    <row r="126" spans="1:27" ht="26.4">
      <c r="A126" s="16"/>
      <c r="H126" s="10" t="s">
        <v>685</v>
      </c>
      <c r="I126" s="10">
        <v>0.21</v>
      </c>
      <c r="J126" s="10"/>
      <c r="K126" s="10"/>
      <c r="L126" s="10"/>
      <c r="M126" s="10"/>
      <c r="N126" s="10"/>
      <c r="O126" s="10">
        <f>COUNT(J126:L126)</f>
        <v>0</v>
      </c>
      <c r="P126" s="10" t="s">
        <v>921</v>
      </c>
      <c r="S126" s="590"/>
      <c r="T126" s="10"/>
      <c r="U126" s="10"/>
      <c r="V126" s="10"/>
      <c r="W126" s="10"/>
      <c r="X126" s="10"/>
      <c r="Y126" s="10"/>
      <c r="Z126" s="10">
        <f>COUNT(T126:W126)</f>
        <v>0</v>
      </c>
      <c r="AA126" s="10" t="s">
        <v>924</v>
      </c>
    </row>
    <row r="127" spans="1:27">
      <c r="A127" s="16"/>
      <c r="S127" s="18"/>
    </row>
    <row r="128" spans="1:27" ht="39.6">
      <c r="A128" s="16"/>
      <c r="B128" s="2" t="s">
        <v>680</v>
      </c>
      <c r="C128" s="2" t="s">
        <v>681</v>
      </c>
      <c r="D128" s="15" t="s">
        <v>710</v>
      </c>
      <c r="E128" s="2" t="s">
        <v>683</v>
      </c>
      <c r="F128" s="2" t="s">
        <v>132</v>
      </c>
      <c r="H128" s="2" t="s">
        <v>684</v>
      </c>
      <c r="I128" s="2">
        <v>6.75</v>
      </c>
      <c r="O128" s="2">
        <f>COUNT(J128:L128)</f>
        <v>0</v>
      </c>
      <c r="P128" s="2" t="s">
        <v>916</v>
      </c>
      <c r="S128" s="18"/>
      <c r="W128" s="2">
        <v>9.42</v>
      </c>
      <c r="X128" s="2">
        <f>AVERAGE(T128:W128)</f>
        <v>9.42</v>
      </c>
      <c r="Z128" s="2">
        <f>COUNT(T128:W128)</f>
        <v>1</v>
      </c>
      <c r="AA128" s="2" t="s">
        <v>917</v>
      </c>
    </row>
    <row r="129" spans="1:27" ht="26.4">
      <c r="A129" s="16"/>
      <c r="H129" s="10" t="s">
        <v>685</v>
      </c>
      <c r="I129" s="10">
        <v>0.21</v>
      </c>
      <c r="J129" s="10"/>
      <c r="K129" s="10"/>
      <c r="L129" s="10"/>
      <c r="M129" s="10"/>
      <c r="N129" s="10"/>
      <c r="O129" s="10">
        <f>COUNT(J129:L129)</f>
        <v>0</v>
      </c>
      <c r="P129" s="10" t="s">
        <v>928</v>
      </c>
      <c r="S129" s="18"/>
      <c r="T129" s="10"/>
      <c r="U129" s="10"/>
      <c r="V129" s="10"/>
      <c r="W129" s="10">
        <v>0.44500000000000001</v>
      </c>
      <c r="X129" s="10">
        <f>AVERAGE(T129:W129)</f>
        <v>0.44500000000000001</v>
      </c>
      <c r="Y129" s="10"/>
      <c r="Z129" s="10">
        <f>COUNT(T129:W129)</f>
        <v>1</v>
      </c>
      <c r="AA129" s="10" t="s">
        <v>910</v>
      </c>
    </row>
    <row r="130" spans="1:27">
      <c r="A130" s="16"/>
      <c r="S130" s="18"/>
    </row>
    <row r="131" spans="1:27" ht="39.6">
      <c r="A131" s="16"/>
      <c r="B131" s="2" t="s">
        <v>680</v>
      </c>
      <c r="C131" s="2" t="s">
        <v>681</v>
      </c>
      <c r="D131" s="15" t="s">
        <v>710</v>
      </c>
      <c r="E131" s="15" t="s">
        <v>693</v>
      </c>
      <c r="F131" s="2" t="s">
        <v>132</v>
      </c>
      <c r="H131" s="2" t="s">
        <v>684</v>
      </c>
      <c r="I131" s="2">
        <v>6.75</v>
      </c>
      <c r="O131" s="2">
        <f>COUNT(J131:L131)</f>
        <v>0</v>
      </c>
      <c r="P131" s="2" t="s">
        <v>928</v>
      </c>
      <c r="S131" s="18"/>
      <c r="Z131" s="2">
        <f>COUNT(T131:W131)</f>
        <v>0</v>
      </c>
      <c r="AA131" s="2" t="s">
        <v>924</v>
      </c>
    </row>
    <row r="132" spans="1:27" ht="26.4">
      <c r="A132" s="16"/>
      <c r="H132" s="10" t="s">
        <v>685</v>
      </c>
      <c r="I132" s="10">
        <v>0.21</v>
      </c>
      <c r="J132" s="10"/>
      <c r="K132" s="10"/>
      <c r="L132" s="10"/>
      <c r="M132" s="10"/>
      <c r="N132" s="10"/>
      <c r="O132" s="10">
        <f>COUNT(J132:L132)</f>
        <v>0</v>
      </c>
      <c r="P132" s="10" t="s">
        <v>911</v>
      </c>
      <c r="S132" s="18"/>
      <c r="T132" s="10"/>
      <c r="U132" s="10"/>
      <c r="V132" s="10"/>
      <c r="W132" s="10"/>
      <c r="X132" s="10"/>
      <c r="Y132" s="10"/>
      <c r="Z132" s="10">
        <f>COUNT(T132:W132)</f>
        <v>0</v>
      </c>
      <c r="AA132" s="10" t="s">
        <v>916</v>
      </c>
    </row>
    <row r="133" spans="1:27">
      <c r="A133" s="16"/>
      <c r="S133" s="18"/>
    </row>
    <row r="134" spans="1:27" ht="39.6">
      <c r="A134" s="16"/>
      <c r="B134" s="2" t="s">
        <v>680</v>
      </c>
      <c r="C134" s="2" t="s">
        <v>681</v>
      </c>
      <c r="D134" s="15" t="s">
        <v>708</v>
      </c>
      <c r="E134" s="2" t="s">
        <v>683</v>
      </c>
      <c r="F134" s="2" t="s">
        <v>132</v>
      </c>
      <c r="H134" s="2" t="s">
        <v>684</v>
      </c>
      <c r="I134" s="2">
        <v>6.75</v>
      </c>
      <c r="O134" s="2">
        <f>COUNT(J134:L134)</f>
        <v>0</v>
      </c>
      <c r="P134" s="2" t="s">
        <v>916</v>
      </c>
      <c r="S134" s="18"/>
      <c r="Z134" s="2">
        <f>COUNT(T134:W134)</f>
        <v>0</v>
      </c>
      <c r="AA134" s="2" t="s">
        <v>916</v>
      </c>
    </row>
    <row r="135" spans="1:27" ht="26.4">
      <c r="A135" s="16"/>
      <c r="H135" s="10" t="s">
        <v>685</v>
      </c>
      <c r="I135" s="10">
        <v>0.21</v>
      </c>
      <c r="J135" s="10"/>
      <c r="K135" s="10"/>
      <c r="L135" s="10"/>
      <c r="M135" s="10"/>
      <c r="N135" s="10"/>
      <c r="O135" s="10">
        <f>COUNT(J135:L135)</f>
        <v>0</v>
      </c>
      <c r="P135" s="10" t="s">
        <v>911</v>
      </c>
      <c r="S135" s="18"/>
      <c r="T135" s="10"/>
      <c r="U135" s="10"/>
      <c r="V135" s="10"/>
      <c r="W135" s="10"/>
      <c r="X135" s="10"/>
      <c r="Y135" s="10"/>
      <c r="Z135" s="10">
        <f>COUNT(T135:W135)</f>
        <v>0</v>
      </c>
      <c r="AA135" s="10" t="s">
        <v>925</v>
      </c>
    </row>
    <row r="136" spans="1:27">
      <c r="A136" s="16"/>
      <c r="S136" s="18"/>
    </row>
    <row r="137" spans="1:27" ht="39.6">
      <c r="A137" s="16"/>
      <c r="B137" s="2" t="s">
        <v>680</v>
      </c>
      <c r="C137" s="2" t="s">
        <v>681</v>
      </c>
      <c r="D137" s="15" t="s">
        <v>708</v>
      </c>
      <c r="E137" s="15" t="s">
        <v>693</v>
      </c>
      <c r="F137" s="2" t="s">
        <v>132</v>
      </c>
      <c r="H137" s="2" t="s">
        <v>684</v>
      </c>
      <c r="I137" s="2">
        <v>6.75</v>
      </c>
      <c r="O137" s="2">
        <f>COUNT(J137:L137)</f>
        <v>0</v>
      </c>
      <c r="P137" s="2" t="s">
        <v>916</v>
      </c>
      <c r="S137" s="18"/>
      <c r="Z137" s="2">
        <f>COUNT(T137:W137)</f>
        <v>0</v>
      </c>
      <c r="AA137" s="2" t="s">
        <v>950</v>
      </c>
    </row>
    <row r="138" spans="1:27" ht="26.4">
      <c r="A138" s="16"/>
      <c r="H138" s="10" t="s">
        <v>685</v>
      </c>
      <c r="I138" s="10">
        <v>0.21</v>
      </c>
      <c r="J138" s="10"/>
      <c r="K138" s="10"/>
      <c r="L138" s="10"/>
      <c r="M138" s="10"/>
      <c r="N138" s="10"/>
      <c r="O138" s="10">
        <f>COUNT(J138:L138)</f>
        <v>0</v>
      </c>
      <c r="P138" s="10" t="s">
        <v>911</v>
      </c>
      <c r="S138" s="18"/>
      <c r="T138" s="10"/>
      <c r="U138" s="10"/>
      <c r="V138" s="10"/>
      <c r="W138" s="10"/>
      <c r="X138" s="10"/>
      <c r="Y138" s="10"/>
      <c r="Z138" s="10">
        <f>COUNT(T138:W138)</f>
        <v>0</v>
      </c>
      <c r="AA138" s="10" t="s">
        <v>924</v>
      </c>
    </row>
    <row r="139" spans="1:27">
      <c r="A139" s="16"/>
      <c r="S139" s="18"/>
    </row>
    <row r="140" spans="1:27" ht="39.6">
      <c r="A140" s="16"/>
      <c r="B140" s="2" t="s">
        <v>680</v>
      </c>
      <c r="C140" s="2" t="s">
        <v>681</v>
      </c>
      <c r="D140" s="2" t="s">
        <v>707</v>
      </c>
      <c r="E140" s="2" t="s">
        <v>693</v>
      </c>
      <c r="F140" s="15" t="s">
        <v>132</v>
      </c>
      <c r="G140" s="15"/>
      <c r="H140" s="2" t="s">
        <v>684</v>
      </c>
      <c r="I140" s="2">
        <v>6.75</v>
      </c>
      <c r="O140" s="2">
        <f t="shared" ref="O140:O153" si="23">COUNT(J140:L140)</f>
        <v>0</v>
      </c>
      <c r="P140" s="2" t="s">
        <v>911</v>
      </c>
      <c r="S140" s="18"/>
      <c r="Z140" s="2">
        <f t="shared" ref="Z140:Z153" si="24">COUNT(T140:W140)</f>
        <v>0</v>
      </c>
      <c r="AA140" s="2" t="s">
        <v>924</v>
      </c>
    </row>
    <row r="141" spans="1:27" ht="26.4">
      <c r="A141" s="16"/>
      <c r="H141" s="10" t="s">
        <v>685</v>
      </c>
      <c r="I141" s="10">
        <v>0.21</v>
      </c>
      <c r="J141" s="10"/>
      <c r="K141" s="10"/>
      <c r="L141" s="10"/>
      <c r="M141" s="10"/>
      <c r="N141" s="10"/>
      <c r="O141" s="10">
        <f t="shared" si="23"/>
        <v>0</v>
      </c>
      <c r="P141" s="10" t="s">
        <v>911</v>
      </c>
      <c r="S141" s="18"/>
      <c r="T141" s="10"/>
      <c r="U141" s="10"/>
      <c r="V141" s="10"/>
      <c r="W141" s="10"/>
      <c r="X141" s="10"/>
      <c r="Y141" s="10"/>
      <c r="Z141" s="10">
        <f t="shared" si="24"/>
        <v>0</v>
      </c>
      <c r="AA141" s="10" t="s">
        <v>924</v>
      </c>
    </row>
    <row r="142" spans="1:27" ht="39.6">
      <c r="A142" s="16"/>
      <c r="B142" s="13" t="s">
        <v>680</v>
      </c>
      <c r="C142" s="13" t="s">
        <v>681</v>
      </c>
      <c r="D142" s="13" t="s">
        <v>707</v>
      </c>
      <c r="E142" s="13" t="s">
        <v>693</v>
      </c>
      <c r="F142" s="13" t="s">
        <v>711</v>
      </c>
      <c r="H142" s="2" t="s">
        <v>684</v>
      </c>
      <c r="I142" s="2">
        <v>6.75</v>
      </c>
      <c r="O142" s="2">
        <f t="shared" si="23"/>
        <v>0</v>
      </c>
      <c r="P142" s="2" t="s">
        <v>942</v>
      </c>
      <c r="S142" s="18"/>
      <c r="Z142" s="2">
        <f t="shared" si="24"/>
        <v>0</v>
      </c>
      <c r="AA142" s="2" t="s">
        <v>947</v>
      </c>
    </row>
    <row r="143" spans="1:27" ht="26.4">
      <c r="A143" s="16"/>
      <c r="H143" s="10" t="s">
        <v>685</v>
      </c>
      <c r="I143" s="10">
        <v>0.21</v>
      </c>
      <c r="J143" s="10"/>
      <c r="K143" s="10"/>
      <c r="L143" s="10"/>
      <c r="M143" s="10"/>
      <c r="N143" s="10"/>
      <c r="O143" s="10">
        <f t="shared" si="23"/>
        <v>0</v>
      </c>
      <c r="P143" s="10" t="s">
        <v>928</v>
      </c>
      <c r="S143" s="18"/>
      <c r="T143" s="10"/>
      <c r="U143" s="10"/>
      <c r="V143" s="10"/>
      <c r="W143" s="10"/>
      <c r="X143" s="10"/>
      <c r="Y143" s="10"/>
      <c r="Z143" s="10">
        <f t="shared" si="24"/>
        <v>0</v>
      </c>
      <c r="AA143" s="10" t="s">
        <v>947</v>
      </c>
    </row>
    <row r="144" spans="1:27" ht="39.6">
      <c r="A144" s="16"/>
      <c r="B144" s="13" t="s">
        <v>680</v>
      </c>
      <c r="C144" s="13" t="s">
        <v>681</v>
      </c>
      <c r="D144" s="13" t="s">
        <v>707</v>
      </c>
      <c r="E144" s="13" t="s">
        <v>693</v>
      </c>
      <c r="F144" s="13" t="s">
        <v>712</v>
      </c>
      <c r="H144" s="2" t="s">
        <v>684</v>
      </c>
      <c r="I144" s="2">
        <v>6.75</v>
      </c>
      <c r="O144" s="2">
        <f t="shared" si="23"/>
        <v>0</v>
      </c>
      <c r="P144" s="2" t="s">
        <v>911</v>
      </c>
      <c r="S144" s="18"/>
      <c r="Z144" s="2">
        <f t="shared" si="24"/>
        <v>0</v>
      </c>
      <c r="AA144" s="2" t="s">
        <v>928</v>
      </c>
    </row>
    <row r="145" spans="1:27" ht="26.4">
      <c r="A145" s="16"/>
      <c r="H145" s="10" t="s">
        <v>685</v>
      </c>
      <c r="I145" s="10">
        <v>0.21</v>
      </c>
      <c r="J145" s="10"/>
      <c r="K145" s="10"/>
      <c r="L145" s="10"/>
      <c r="M145" s="10"/>
      <c r="N145" s="10"/>
      <c r="O145" s="10">
        <f t="shared" si="23"/>
        <v>0</v>
      </c>
      <c r="P145" s="10" t="s">
        <v>928</v>
      </c>
      <c r="S145" s="18"/>
      <c r="T145" s="10"/>
      <c r="U145" s="10"/>
      <c r="V145" s="10"/>
      <c r="W145" s="10"/>
      <c r="X145" s="10"/>
      <c r="Y145" s="10"/>
      <c r="Z145" s="10">
        <f t="shared" si="24"/>
        <v>0</v>
      </c>
      <c r="AA145" s="10" t="s">
        <v>928</v>
      </c>
    </row>
    <row r="146" spans="1:27" ht="39.6">
      <c r="A146" s="16"/>
      <c r="B146" s="13" t="s">
        <v>680</v>
      </c>
      <c r="C146" s="13" t="s">
        <v>690</v>
      </c>
      <c r="D146" s="13" t="s">
        <v>709</v>
      </c>
      <c r="E146" s="13" t="s">
        <v>693</v>
      </c>
      <c r="F146" s="13" t="s">
        <v>130</v>
      </c>
      <c r="H146" s="2" t="s">
        <v>684</v>
      </c>
      <c r="I146" s="2">
        <v>6.75</v>
      </c>
      <c r="O146" s="2">
        <f t="shared" si="23"/>
        <v>0</v>
      </c>
      <c r="P146" s="2" t="s">
        <v>916</v>
      </c>
      <c r="S146" s="16"/>
      <c r="Z146" s="2">
        <f t="shared" si="24"/>
        <v>0</v>
      </c>
      <c r="AA146" s="2" t="s">
        <v>947</v>
      </c>
    </row>
    <row r="147" spans="1:27" ht="26.4">
      <c r="A147" s="16"/>
      <c r="H147" s="10" t="s">
        <v>685</v>
      </c>
      <c r="I147" s="10">
        <v>0.21</v>
      </c>
      <c r="J147" s="10"/>
      <c r="K147" s="10"/>
      <c r="L147" s="10"/>
      <c r="M147" s="10"/>
      <c r="N147" s="10"/>
      <c r="O147" s="10">
        <f t="shared" si="23"/>
        <v>0</v>
      </c>
      <c r="P147" s="10" t="s">
        <v>928</v>
      </c>
      <c r="S147" s="16"/>
      <c r="T147" s="10"/>
      <c r="U147" s="10"/>
      <c r="V147" s="10"/>
      <c r="W147" s="10"/>
      <c r="X147" s="10"/>
      <c r="Y147" s="10"/>
      <c r="Z147" s="10">
        <f t="shared" si="24"/>
        <v>0</v>
      </c>
      <c r="AA147" s="10" t="s">
        <v>928</v>
      </c>
    </row>
    <row r="148" spans="1:27" ht="42.75" customHeight="1">
      <c r="A148" s="16"/>
      <c r="B148" s="13" t="s">
        <v>689</v>
      </c>
      <c r="C148" s="13" t="s">
        <v>690</v>
      </c>
      <c r="D148" s="13" t="s">
        <v>713</v>
      </c>
      <c r="E148" s="13" t="s">
        <v>683</v>
      </c>
      <c r="F148" s="13" t="s">
        <v>131</v>
      </c>
      <c r="H148" s="2" t="s">
        <v>684</v>
      </c>
      <c r="I148" s="2">
        <v>6.75</v>
      </c>
      <c r="J148" s="2">
        <v>7.3659999999999997</v>
      </c>
      <c r="M148" s="2">
        <f>AVERAGE(J148:L148)</f>
        <v>7.3659999999999997</v>
      </c>
      <c r="O148" s="2">
        <f t="shared" si="23"/>
        <v>1</v>
      </c>
      <c r="P148" s="2" t="s">
        <v>910</v>
      </c>
      <c r="S148" s="18"/>
      <c r="U148" s="2">
        <v>7.4249999999999998</v>
      </c>
      <c r="X148" s="2">
        <f>AVERAGE(T148:W148)</f>
        <v>7.4249999999999998</v>
      </c>
      <c r="Z148" s="2">
        <f t="shared" si="24"/>
        <v>1</v>
      </c>
      <c r="AA148" s="2" t="s">
        <v>923</v>
      </c>
    </row>
    <row r="149" spans="1:27" ht="26.4">
      <c r="A149" s="16"/>
      <c r="H149" s="10" t="s">
        <v>685</v>
      </c>
      <c r="I149" s="10">
        <v>0.21</v>
      </c>
      <c r="J149" s="10">
        <v>0.38100000000000001</v>
      </c>
      <c r="K149" s="10"/>
      <c r="L149" s="10"/>
      <c r="M149" s="10">
        <f>AVERAGE(J149:L149)</f>
        <v>0.38100000000000001</v>
      </c>
      <c r="N149" s="10"/>
      <c r="O149" s="10">
        <f t="shared" si="23"/>
        <v>1</v>
      </c>
      <c r="P149" s="10" t="s">
        <v>917</v>
      </c>
      <c r="S149" s="18"/>
      <c r="T149" s="10"/>
      <c r="U149" s="10">
        <v>0.39500000000000002</v>
      </c>
      <c r="V149" s="10"/>
      <c r="W149" s="10"/>
      <c r="X149" s="10">
        <f>AVERAGE(T149:W149)</f>
        <v>0.39500000000000002</v>
      </c>
      <c r="Y149" s="10"/>
      <c r="Z149" s="10">
        <f t="shared" si="24"/>
        <v>1</v>
      </c>
      <c r="AA149" s="10" t="s">
        <v>929</v>
      </c>
    </row>
    <row r="150" spans="1:27" ht="42.75" customHeight="1">
      <c r="A150" s="16"/>
      <c r="B150" s="13" t="s">
        <v>689</v>
      </c>
      <c r="C150" s="13" t="s">
        <v>690</v>
      </c>
      <c r="D150" s="13" t="s">
        <v>714</v>
      </c>
      <c r="E150" s="13" t="s">
        <v>683</v>
      </c>
      <c r="F150" s="13" t="s">
        <v>132</v>
      </c>
      <c r="H150" s="2" t="s">
        <v>684</v>
      </c>
      <c r="I150" s="2">
        <v>6.75</v>
      </c>
      <c r="O150" s="2">
        <f t="shared" si="23"/>
        <v>0</v>
      </c>
      <c r="P150" s="2" t="s">
        <v>928</v>
      </c>
      <c r="S150" s="18"/>
      <c r="Z150" s="2">
        <f t="shared" si="24"/>
        <v>0</v>
      </c>
      <c r="AA150" s="2" t="s">
        <v>916</v>
      </c>
    </row>
    <row r="151" spans="1:27" ht="26.4">
      <c r="A151" s="16"/>
      <c r="H151" s="10" t="s">
        <v>685</v>
      </c>
      <c r="I151" s="10">
        <v>0.21</v>
      </c>
      <c r="J151" s="10"/>
      <c r="K151" s="10"/>
      <c r="L151" s="10"/>
      <c r="M151" s="10"/>
      <c r="N151" s="10"/>
      <c r="O151" s="10">
        <f t="shared" si="23"/>
        <v>0</v>
      </c>
      <c r="P151" s="10" t="s">
        <v>916</v>
      </c>
      <c r="S151" s="18"/>
      <c r="T151" s="10"/>
      <c r="U151" s="10"/>
      <c r="V151" s="10"/>
      <c r="W151" s="10"/>
      <c r="X151" s="10"/>
      <c r="Y151" s="10"/>
      <c r="Z151" s="10">
        <f t="shared" si="24"/>
        <v>0</v>
      </c>
      <c r="AA151" s="10" t="s">
        <v>916</v>
      </c>
    </row>
    <row r="152" spans="1:27" ht="42.75" customHeight="1">
      <c r="A152" s="16"/>
      <c r="B152" s="13" t="s">
        <v>689</v>
      </c>
      <c r="C152" s="13" t="s">
        <v>877</v>
      </c>
      <c r="D152" s="13" t="s">
        <v>876</v>
      </c>
      <c r="E152" s="13" t="s">
        <v>683</v>
      </c>
      <c r="F152" s="13" t="s">
        <v>132</v>
      </c>
      <c r="H152" s="2" t="s">
        <v>684</v>
      </c>
      <c r="I152" s="2">
        <v>6.75</v>
      </c>
      <c r="O152" s="2">
        <f t="shared" si="23"/>
        <v>0</v>
      </c>
      <c r="P152" s="2" t="s">
        <v>911</v>
      </c>
      <c r="S152" s="450"/>
      <c r="Z152" s="2">
        <f t="shared" si="24"/>
        <v>0</v>
      </c>
      <c r="AA152" s="2" t="s">
        <v>928</v>
      </c>
    </row>
    <row r="153" spans="1:27" ht="26.4">
      <c r="A153" s="16"/>
      <c r="H153" s="10" t="s">
        <v>685</v>
      </c>
      <c r="I153" s="10">
        <v>0.21</v>
      </c>
      <c r="J153" s="10"/>
      <c r="K153" s="10"/>
      <c r="L153" s="10"/>
      <c r="M153" s="10"/>
      <c r="N153" s="10"/>
      <c r="O153" s="10">
        <f t="shared" si="23"/>
        <v>0</v>
      </c>
      <c r="P153" s="10" t="s">
        <v>916</v>
      </c>
      <c r="S153" s="450"/>
      <c r="T153" s="10"/>
      <c r="U153" s="10"/>
      <c r="V153" s="10"/>
      <c r="W153" s="10"/>
      <c r="X153" s="10"/>
      <c r="Y153" s="10"/>
      <c r="Z153" s="10">
        <f t="shared" si="24"/>
        <v>0</v>
      </c>
      <c r="AA153" s="10" t="s">
        <v>938</v>
      </c>
    </row>
    <row r="155" spans="1:27">
      <c r="A155" s="481" t="str">
        <f>"MAX-MIN={" &amp; A157 &amp;"," &amp; A166 &amp; "},{" &amp; B157 &amp; "," &amp; B172 &amp; "},{" &amp; B156 &amp; "," &amp; B159 &amp; "},{" &amp; G157 &amp; "}"</f>
        <v>MAX-MIN={DL Spectral efficiency,UL Spectral Efficiency},{NR,LTE},{FDD,TDD},{5th percentile [bit/s/Hz]}</v>
      </c>
      <c r="V155" s="479"/>
    </row>
    <row r="156" spans="1:27">
      <c r="B156" s="481" t="s">
        <v>827</v>
      </c>
      <c r="L156" s="479" t="s">
        <v>964</v>
      </c>
      <c r="W156" s="479" t="s">
        <v>964</v>
      </c>
    </row>
    <row r="157" spans="1:27">
      <c r="A157" s="482" t="s">
        <v>960</v>
      </c>
      <c r="B157" s="479" t="s">
        <v>972</v>
      </c>
      <c r="G157" s="480" t="s">
        <v>685</v>
      </c>
      <c r="K157" s="582" t="s">
        <v>967</v>
      </c>
      <c r="L157" s="484" t="s">
        <v>962</v>
      </c>
      <c r="M157" s="255"/>
      <c r="S157" s="479"/>
      <c r="V157" s="582" t="s">
        <v>967</v>
      </c>
      <c r="W157" s="484" t="s">
        <v>962</v>
      </c>
      <c r="X157" s="255"/>
    </row>
    <row r="158" spans="1:27">
      <c r="A158" s="482" t="s">
        <v>960</v>
      </c>
      <c r="B158" s="479" t="s">
        <v>972</v>
      </c>
      <c r="G158" s="480" t="s">
        <v>685</v>
      </c>
      <c r="K158" s="583"/>
      <c r="L158" s="484" t="s">
        <v>963</v>
      </c>
      <c r="M158" s="255"/>
      <c r="S158" s="479"/>
      <c r="V158" s="583"/>
      <c r="W158" s="484" t="s">
        <v>963</v>
      </c>
      <c r="X158" s="255"/>
    </row>
    <row r="159" spans="1:27">
      <c r="B159" s="481" t="s">
        <v>789</v>
      </c>
      <c r="L159" s="479" t="s">
        <v>966</v>
      </c>
      <c r="W159" s="479" t="s">
        <v>966</v>
      </c>
    </row>
    <row r="160" spans="1:27">
      <c r="A160" s="482" t="s">
        <v>960</v>
      </c>
      <c r="B160" s="479" t="s">
        <v>972</v>
      </c>
      <c r="G160" s="480" t="s">
        <v>685</v>
      </c>
      <c r="K160" s="582" t="s">
        <v>789</v>
      </c>
      <c r="L160" s="484" t="s">
        <v>962</v>
      </c>
      <c r="M160" s="255"/>
      <c r="V160" s="582" t="s">
        <v>789</v>
      </c>
      <c r="W160" s="484" t="s">
        <v>962</v>
      </c>
      <c r="X160" s="255"/>
    </row>
    <row r="161" spans="1:24">
      <c r="A161" s="482" t="s">
        <v>960</v>
      </c>
      <c r="B161" s="479" t="s">
        <v>972</v>
      </c>
      <c r="G161" s="480" t="s">
        <v>685</v>
      </c>
      <c r="K161" s="583"/>
      <c r="L161" s="484" t="s">
        <v>963</v>
      </c>
      <c r="M161" s="255"/>
      <c r="V161" s="583"/>
      <c r="W161" s="484" t="s">
        <v>963</v>
      </c>
      <c r="X161" s="255"/>
    </row>
    <row r="162" spans="1:24">
      <c r="B162" s="481"/>
    </row>
    <row r="163" spans="1:24">
      <c r="B163" s="481"/>
    </row>
    <row r="165" spans="1:24">
      <c r="B165" s="481" t="s">
        <v>827</v>
      </c>
      <c r="L165" s="479" t="s">
        <v>965</v>
      </c>
      <c r="W165" s="479" t="s">
        <v>965</v>
      </c>
    </row>
    <row r="166" spans="1:24">
      <c r="A166" s="483" t="s">
        <v>961</v>
      </c>
      <c r="B166" s="479" t="s">
        <v>972</v>
      </c>
      <c r="G166" s="480" t="s">
        <v>685</v>
      </c>
      <c r="K166" s="582" t="s">
        <v>967</v>
      </c>
      <c r="L166" s="484" t="s">
        <v>962</v>
      </c>
      <c r="M166" s="255"/>
      <c r="S166" s="479"/>
      <c r="V166" s="582" t="s">
        <v>967</v>
      </c>
      <c r="W166" s="484" t="s">
        <v>962</v>
      </c>
      <c r="X166" s="255"/>
    </row>
    <row r="167" spans="1:24">
      <c r="A167" s="483" t="s">
        <v>961</v>
      </c>
      <c r="B167" s="479" t="s">
        <v>972</v>
      </c>
      <c r="G167" s="480" t="s">
        <v>685</v>
      </c>
      <c r="K167" s="583"/>
      <c r="L167" s="484" t="s">
        <v>963</v>
      </c>
      <c r="M167" s="255"/>
      <c r="S167" s="479"/>
      <c r="V167" s="583"/>
      <c r="W167" s="484" t="s">
        <v>963</v>
      </c>
      <c r="X167" s="255"/>
    </row>
    <row r="168" spans="1:24">
      <c r="B168" s="481" t="s">
        <v>789</v>
      </c>
    </row>
    <row r="169" spans="1:24">
      <c r="A169" s="483" t="s">
        <v>961</v>
      </c>
      <c r="B169" s="479" t="s">
        <v>972</v>
      </c>
      <c r="G169" s="480" t="s">
        <v>685</v>
      </c>
      <c r="K169" s="582" t="s">
        <v>789</v>
      </c>
      <c r="L169" s="484" t="s">
        <v>962</v>
      </c>
      <c r="M169" s="255"/>
      <c r="V169" s="582" t="s">
        <v>789</v>
      </c>
      <c r="W169" s="484" t="s">
        <v>962</v>
      </c>
      <c r="X169" s="255"/>
    </row>
    <row r="170" spans="1:24">
      <c r="A170" s="483" t="s">
        <v>961</v>
      </c>
      <c r="B170" s="479" t="s">
        <v>972</v>
      </c>
      <c r="G170" s="480" t="s">
        <v>685</v>
      </c>
      <c r="K170" s="583"/>
      <c r="L170" s="484" t="s">
        <v>963</v>
      </c>
      <c r="M170" s="255"/>
      <c r="V170" s="583"/>
      <c r="W170" s="484" t="s">
        <v>963</v>
      </c>
      <c r="X170" s="255"/>
    </row>
    <row r="172" spans="1:24">
      <c r="B172" s="479" t="s">
        <v>975</v>
      </c>
    </row>
    <row r="198" spans="1:27" s="19" customForma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s="19" customForma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s="19" customForma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s="19" customForma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s="19" customForma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s="19" customForma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s="19" customForma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s="19" customForma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s="19" customForma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s="19" customForma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s="19" customForma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s="19" customForma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s="19" customForma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s="19" customForma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s="19" customForma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s="19" customForma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s="19" customForma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s="19" customForma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s="19" customForma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s="19" customForma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s="19" customForma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s="19" customForma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s="19" customForma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s="19" customForma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s="19" customForma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s="19" customForma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s="19" customForma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s="19" customForma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s="19" customForma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s="19" customForma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s="19" customForma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s="19" customForma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s="19" customForma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s="19" customForma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s="19" customForma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s="19" customForma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s="19" customForma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s="19" customForma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s="19" customForma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s="19" customForma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s="19" customForma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s="19" customForma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s="19" customForma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s="19" customForma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s="19" customForma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s="19" customForma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s="19" customForma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s="19" customForma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s="19" customForma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s="19" customForma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s="19" customForma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s="19" customForma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s="19" customForma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s="19" customForma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s="19" customForma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s="19" customForma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s="19" customForma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s="19" customForma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s="19" customForma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s="19" customForma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s="19" customForma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s="19" customForma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s="19" customForma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s="19" customForma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s="19" customForma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s="19" customForma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s="19" customForma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s="19" customForma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s="19" customForma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s="19" customForma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s="19" customForma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s="19" customForma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s="19" customForma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s="19" customForma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s="19" customForma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s="19" customForma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s="19" customForma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s="19" customForma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s="19" customForma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s="19" customForma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s="19" customForma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s="19" customForma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s="19" customForma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s="19" customForma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s="19" customForma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s="19" customForma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s="19" customForma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s="19" customForma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s="19" customForma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s="19" customForma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s="19" customForma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s="19" customForma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s="19" customForma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s="19" customForma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s="19" customForma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s="19" customForma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s="19" customForma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s="19" customForma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s="19" customForma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s="19" customForma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s="19" customForma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s="19" customForma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s="19" customForma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s="19" customForma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s="19" customForma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s="19" customForma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s="19" customForma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s="19" customForma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s="19" customForma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s="19" customForma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s="19" customForma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s="19" customForma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s="19" customForma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s="19" customForma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s="19" customForma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s="19" customForma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s="19" customForma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s="19" customForma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s="19" customForma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s="19" customForma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s="19" customForma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s="19" customForma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s="19" customForma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s="19" customForma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sheetData>
  <mergeCells count="11">
    <mergeCell ref="H1:I1"/>
    <mergeCell ref="A2:A46"/>
    <mergeCell ref="S100:S126"/>
    <mergeCell ref="K157:K158"/>
    <mergeCell ref="V157:V158"/>
    <mergeCell ref="K160:K161"/>
    <mergeCell ref="V160:V161"/>
    <mergeCell ref="K166:K167"/>
    <mergeCell ref="V166:V167"/>
    <mergeCell ref="K169:K170"/>
    <mergeCell ref="V169:V170"/>
  </mergeCells>
  <phoneticPr fontId="21" type="noConversion"/>
  <pageMargins left="0.69930555555555596" right="0.69930555555555596"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100"/>
  <sheetViews>
    <sheetView zoomScale="55" zoomScaleNormal="55" workbookViewId="0">
      <pane xSplit="9" ySplit="2" topLeftCell="J73" activePane="bottomRight" state="frozen"/>
      <selection pane="topRight"/>
      <selection pane="bottomLeft"/>
      <selection pane="bottomRight" activeCell="A82" sqref="A82:W103"/>
    </sheetView>
  </sheetViews>
  <sheetFormatPr defaultColWidth="9.44140625" defaultRowHeight="13.2"/>
  <cols>
    <col min="1" max="1" width="10.88671875" style="2" customWidth="1"/>
    <col min="2" max="2" width="5.44140625" style="2" customWidth="1"/>
    <col min="3" max="3" width="21.44140625" style="2" customWidth="1"/>
    <col min="4" max="4" width="25" style="2" customWidth="1"/>
    <col min="5" max="5" width="11.44140625" style="2" customWidth="1"/>
    <col min="6" max="6" width="9.109375" style="2" customWidth="1"/>
    <col min="7" max="7" width="13.44140625" style="9" customWidth="1"/>
    <col min="8" max="8" width="16.44140625" style="2" customWidth="1"/>
    <col min="9" max="9" width="6.44140625" style="2" customWidth="1"/>
    <col min="10" max="15" width="9.44140625" style="2" customWidth="1"/>
    <col min="16" max="17" width="9.44140625" style="2"/>
    <col min="18" max="18" width="10.5546875" style="2" customWidth="1"/>
    <col min="19" max="24" width="9.44140625" style="2" customWidth="1"/>
    <col min="25" max="16384" width="9.44140625" style="2"/>
  </cols>
  <sheetData>
    <row r="1" spans="1:24" s="1" customFormat="1" ht="33.75" customHeight="1">
      <c r="A1" s="4" t="s">
        <v>670</v>
      </c>
      <c r="B1" s="1" t="s">
        <v>671</v>
      </c>
      <c r="C1" s="20" t="s">
        <v>672</v>
      </c>
      <c r="D1" s="20" t="s">
        <v>673</v>
      </c>
      <c r="E1" s="1" t="s">
        <v>112</v>
      </c>
      <c r="F1" s="1" t="s">
        <v>128</v>
      </c>
      <c r="G1" s="1" t="s">
        <v>773</v>
      </c>
      <c r="H1" s="584" t="s">
        <v>674</v>
      </c>
      <c r="I1" s="584"/>
      <c r="J1" s="1" t="s">
        <v>5</v>
      </c>
      <c r="K1" s="1" t="s">
        <v>21</v>
      </c>
      <c r="L1" s="1" t="s">
        <v>675</v>
      </c>
      <c r="M1" s="1" t="s">
        <v>676</v>
      </c>
      <c r="N1" s="1" t="s">
        <v>677</v>
      </c>
      <c r="O1" s="1" t="s">
        <v>951</v>
      </c>
      <c r="R1" s="4" t="s">
        <v>678</v>
      </c>
      <c r="S1" s="1" t="s">
        <v>5</v>
      </c>
      <c r="T1" s="1" t="s">
        <v>21</v>
      </c>
      <c r="U1" s="1" t="s">
        <v>675</v>
      </c>
      <c r="V1" s="1" t="s">
        <v>676</v>
      </c>
      <c r="W1" s="1" t="s">
        <v>677</v>
      </c>
      <c r="X1" s="1" t="s">
        <v>952</v>
      </c>
    </row>
    <row r="2" spans="1:24" ht="12.75" customHeight="1">
      <c r="A2" s="22" t="s">
        <v>679</v>
      </c>
      <c r="B2" s="11" t="s">
        <v>103</v>
      </c>
      <c r="C2" s="11"/>
      <c r="D2" s="11"/>
      <c r="E2" s="11"/>
      <c r="F2" s="11"/>
      <c r="G2" s="12"/>
      <c r="H2" s="11"/>
      <c r="I2" s="11"/>
      <c r="J2" s="6"/>
      <c r="K2" s="6"/>
      <c r="L2" s="6"/>
      <c r="M2" s="6"/>
      <c r="N2" s="6"/>
      <c r="O2" s="6"/>
      <c r="R2" s="22" t="s">
        <v>679</v>
      </c>
      <c r="S2" s="6"/>
      <c r="T2" s="6"/>
      <c r="U2" s="6"/>
      <c r="V2" s="6"/>
      <c r="W2" s="6"/>
      <c r="X2" s="6"/>
    </row>
    <row r="3" spans="1:24" ht="39.6">
      <c r="A3" s="14"/>
      <c r="B3" s="2" t="s">
        <v>680</v>
      </c>
      <c r="C3" s="2" t="s">
        <v>715</v>
      </c>
      <c r="D3" s="2" t="s">
        <v>716</v>
      </c>
      <c r="E3" s="2" t="s">
        <v>683</v>
      </c>
      <c r="G3" s="9">
        <v>10</v>
      </c>
      <c r="H3" s="2" t="s">
        <v>684</v>
      </c>
      <c r="I3" s="2">
        <v>9</v>
      </c>
      <c r="J3" s="2">
        <v>13.34</v>
      </c>
      <c r="L3" s="2">
        <f t="shared" ref="L3:L8" si="0">AVERAGE(J3:K3)</f>
        <v>13.34</v>
      </c>
      <c r="N3" s="2">
        <f t="shared" ref="N3:N8" si="1">COUNT(J3:K3)</f>
        <v>1</v>
      </c>
      <c r="O3" s="2" t="s">
        <v>910</v>
      </c>
      <c r="R3" s="14"/>
      <c r="S3" s="2">
        <v>13.499000000000001</v>
      </c>
      <c r="U3" s="2">
        <f t="shared" ref="U3:U8" si="2">AVERAGE(S3:T3)</f>
        <v>13.499000000000001</v>
      </c>
      <c r="W3" s="2">
        <f t="shared" ref="W3:W8" si="3">COUNT(S3:T3)</f>
        <v>1</v>
      </c>
      <c r="X3" s="2" t="s">
        <v>929</v>
      </c>
    </row>
    <row r="4" spans="1:24" ht="26.4">
      <c r="A4" s="14"/>
      <c r="G4" s="9">
        <v>20</v>
      </c>
      <c r="H4" s="2" t="s">
        <v>684</v>
      </c>
      <c r="I4" s="2">
        <v>9</v>
      </c>
      <c r="J4" s="2">
        <v>15.134982758665865</v>
      </c>
      <c r="L4" s="2">
        <f t="shared" si="0"/>
        <v>15.134982758665865</v>
      </c>
      <c r="N4" s="2">
        <f t="shared" si="1"/>
        <v>1</v>
      </c>
      <c r="O4" s="2" t="s">
        <v>923</v>
      </c>
      <c r="R4" s="14"/>
      <c r="S4" s="2">
        <v>15.315377230826876</v>
      </c>
      <c r="U4" s="2">
        <f t="shared" si="2"/>
        <v>15.315377230826876</v>
      </c>
      <c r="W4" s="2">
        <f t="shared" si="3"/>
        <v>1</v>
      </c>
      <c r="X4" s="2" t="s">
        <v>910</v>
      </c>
    </row>
    <row r="5" spans="1:24" ht="26.4">
      <c r="A5" s="14"/>
      <c r="G5" s="9">
        <v>40</v>
      </c>
      <c r="H5" s="2" t="s">
        <v>684</v>
      </c>
      <c r="I5" s="2">
        <v>9</v>
      </c>
      <c r="J5" s="2">
        <v>16.203370156770369</v>
      </c>
      <c r="L5" s="2">
        <f t="shared" si="0"/>
        <v>16.203370156770369</v>
      </c>
      <c r="N5" s="2">
        <f t="shared" si="1"/>
        <v>1</v>
      </c>
      <c r="O5" s="2" t="s">
        <v>929</v>
      </c>
      <c r="R5" s="14"/>
      <c r="S5" s="2">
        <v>16.396498781577453</v>
      </c>
      <c r="U5" s="2">
        <f t="shared" si="2"/>
        <v>16.396498781577453</v>
      </c>
      <c r="W5" s="2">
        <f t="shared" si="3"/>
        <v>1</v>
      </c>
      <c r="X5" s="2" t="s">
        <v>953</v>
      </c>
    </row>
    <row r="6" spans="1:24" ht="26.4">
      <c r="A6" s="14"/>
      <c r="G6" s="9">
        <v>10</v>
      </c>
      <c r="H6" s="10" t="s">
        <v>685</v>
      </c>
      <c r="I6" s="10">
        <v>0.3</v>
      </c>
      <c r="J6" s="10">
        <v>0.312</v>
      </c>
      <c r="K6" s="10"/>
      <c r="L6" s="10">
        <f t="shared" si="0"/>
        <v>0.312</v>
      </c>
      <c r="M6" s="10"/>
      <c r="N6" s="10">
        <f t="shared" si="1"/>
        <v>1</v>
      </c>
      <c r="O6" s="10" t="s">
        <v>929</v>
      </c>
      <c r="R6" s="588"/>
      <c r="S6" s="10">
        <v>0.31900000000000001</v>
      </c>
      <c r="T6" s="10"/>
      <c r="U6" s="10">
        <f t="shared" si="2"/>
        <v>0.31900000000000001</v>
      </c>
      <c r="V6" s="10"/>
      <c r="W6" s="10">
        <f t="shared" si="3"/>
        <v>1</v>
      </c>
      <c r="X6" s="10" t="s">
        <v>923</v>
      </c>
    </row>
    <row r="7" spans="1:24" ht="26.4">
      <c r="A7" s="14"/>
      <c r="G7" s="9">
        <v>20</v>
      </c>
      <c r="H7" s="10" t="s">
        <v>685</v>
      </c>
      <c r="I7" s="10">
        <v>0.3</v>
      </c>
      <c r="J7" s="10">
        <v>0.35398160574990628</v>
      </c>
      <c r="K7" s="10"/>
      <c r="L7" s="10">
        <f t="shared" si="0"/>
        <v>0.35398160574990628</v>
      </c>
      <c r="M7" s="10"/>
      <c r="N7" s="10">
        <f t="shared" si="1"/>
        <v>1</v>
      </c>
      <c r="O7" s="10" t="s">
        <v>929</v>
      </c>
      <c r="R7" s="588"/>
      <c r="S7" s="10">
        <v>0.36192350075070551</v>
      </c>
      <c r="T7" s="10"/>
      <c r="U7" s="10">
        <f t="shared" si="2"/>
        <v>0.36192350075070551</v>
      </c>
      <c r="V7" s="10"/>
      <c r="W7" s="10">
        <f t="shared" si="3"/>
        <v>1</v>
      </c>
      <c r="X7" s="10" t="s">
        <v>929</v>
      </c>
    </row>
    <row r="8" spans="1:24" ht="26.4">
      <c r="A8" s="14"/>
      <c r="G8" s="9">
        <v>40</v>
      </c>
      <c r="H8" s="10" t="s">
        <v>685</v>
      </c>
      <c r="I8" s="10">
        <v>0.3</v>
      </c>
      <c r="J8" s="10">
        <v>0.37896937697993671</v>
      </c>
      <c r="K8" s="10"/>
      <c r="L8" s="10">
        <f t="shared" si="0"/>
        <v>0.37896937697993671</v>
      </c>
      <c r="M8" s="10"/>
      <c r="N8" s="10">
        <f t="shared" si="1"/>
        <v>1</v>
      </c>
      <c r="O8" s="10" t="s">
        <v>929</v>
      </c>
      <c r="R8" s="588"/>
      <c r="S8" s="10">
        <v>0.38747189505320451</v>
      </c>
      <c r="T8" s="10"/>
      <c r="U8" s="10">
        <f t="shared" si="2"/>
        <v>0.38747189505320451</v>
      </c>
      <c r="V8" s="10"/>
      <c r="W8" s="10">
        <f t="shared" si="3"/>
        <v>1</v>
      </c>
      <c r="X8" s="10" t="s">
        <v>953</v>
      </c>
    </row>
    <row r="9" spans="1:24">
      <c r="A9" s="14"/>
      <c r="R9" s="588"/>
    </row>
    <row r="10" spans="1:24" ht="26.4">
      <c r="A10" s="14"/>
      <c r="B10" s="2" t="s">
        <v>680</v>
      </c>
      <c r="C10" s="2" t="s">
        <v>681</v>
      </c>
      <c r="D10" s="2" t="s">
        <v>719</v>
      </c>
      <c r="E10" s="2" t="s">
        <v>683</v>
      </c>
      <c r="G10" s="9">
        <v>10</v>
      </c>
      <c r="H10" s="23" t="s">
        <v>684</v>
      </c>
      <c r="I10" s="2">
        <v>9</v>
      </c>
      <c r="N10" s="2">
        <f t="shared" ref="N10:N15" si="4">COUNT(J10:K10)</f>
        <v>0</v>
      </c>
      <c r="O10" s="2" t="s">
        <v>928</v>
      </c>
      <c r="R10" s="588"/>
      <c r="W10" s="2">
        <f t="shared" ref="W10:W15" si="5">COUNT(S10:T10)</f>
        <v>0</v>
      </c>
      <c r="X10" s="2" t="s">
        <v>928</v>
      </c>
    </row>
    <row r="11" spans="1:24" ht="26.4">
      <c r="A11" s="14"/>
      <c r="G11" s="9">
        <v>20</v>
      </c>
      <c r="H11" s="2" t="s">
        <v>684</v>
      </c>
      <c r="I11" s="2">
        <v>9</v>
      </c>
      <c r="N11" s="2">
        <f t="shared" si="4"/>
        <v>0</v>
      </c>
      <c r="O11" s="2" t="s">
        <v>928</v>
      </c>
      <c r="R11" s="14"/>
      <c r="W11" s="2">
        <f t="shared" si="5"/>
        <v>0</v>
      </c>
      <c r="X11" s="2" t="s">
        <v>928</v>
      </c>
    </row>
    <row r="12" spans="1:24" ht="26.4">
      <c r="A12" s="14"/>
      <c r="G12" s="9">
        <v>40</v>
      </c>
      <c r="H12" s="2" t="s">
        <v>684</v>
      </c>
      <c r="I12" s="2">
        <v>9</v>
      </c>
      <c r="N12" s="2">
        <f t="shared" si="4"/>
        <v>0</v>
      </c>
      <c r="O12" s="2" t="s">
        <v>928</v>
      </c>
      <c r="R12" s="14"/>
      <c r="W12" s="2">
        <f t="shared" si="5"/>
        <v>0</v>
      </c>
      <c r="X12" s="2" t="s">
        <v>925</v>
      </c>
    </row>
    <row r="13" spans="1:24" ht="26.4">
      <c r="A13" s="14"/>
      <c r="G13" s="9">
        <v>10</v>
      </c>
      <c r="H13" s="10" t="s">
        <v>685</v>
      </c>
      <c r="I13" s="10">
        <v>0.3</v>
      </c>
      <c r="J13" s="10"/>
      <c r="K13" s="10"/>
      <c r="L13" s="10"/>
      <c r="M13" s="10"/>
      <c r="N13" s="10">
        <f t="shared" si="4"/>
        <v>0</v>
      </c>
      <c r="O13" s="10" t="s">
        <v>928</v>
      </c>
      <c r="R13" s="14"/>
      <c r="S13" s="10"/>
      <c r="T13" s="10"/>
      <c r="U13" s="10"/>
      <c r="V13" s="10"/>
      <c r="W13" s="10">
        <f t="shared" si="5"/>
        <v>0</v>
      </c>
      <c r="X13" s="10" t="s">
        <v>928</v>
      </c>
    </row>
    <row r="14" spans="1:24" ht="26.4">
      <c r="A14" s="14"/>
      <c r="G14" s="9">
        <v>20</v>
      </c>
      <c r="H14" s="10" t="s">
        <v>685</v>
      </c>
      <c r="I14" s="10">
        <v>0.3</v>
      </c>
      <c r="J14" s="10"/>
      <c r="K14" s="10"/>
      <c r="L14" s="10"/>
      <c r="M14" s="10"/>
      <c r="N14" s="10">
        <f t="shared" si="4"/>
        <v>0</v>
      </c>
      <c r="O14" s="10" t="s">
        <v>928</v>
      </c>
      <c r="R14" s="14"/>
      <c r="S14" s="10"/>
      <c r="T14" s="10"/>
      <c r="U14" s="10"/>
      <c r="V14" s="10"/>
      <c r="W14" s="10">
        <f t="shared" si="5"/>
        <v>0</v>
      </c>
      <c r="X14" s="10" t="s">
        <v>925</v>
      </c>
    </row>
    <row r="15" spans="1:24" ht="26.4">
      <c r="A15" s="14"/>
      <c r="G15" s="9">
        <v>40</v>
      </c>
      <c r="H15" s="10" t="s">
        <v>685</v>
      </c>
      <c r="I15" s="10">
        <v>0.3</v>
      </c>
      <c r="J15" s="10"/>
      <c r="K15" s="10"/>
      <c r="L15" s="10"/>
      <c r="M15" s="10"/>
      <c r="N15" s="10">
        <f t="shared" si="4"/>
        <v>0</v>
      </c>
      <c r="O15" s="10" t="s">
        <v>928</v>
      </c>
      <c r="R15" s="14"/>
      <c r="S15" s="10"/>
      <c r="T15" s="10"/>
      <c r="U15" s="10"/>
      <c r="V15" s="10"/>
      <c r="W15" s="10">
        <f t="shared" si="5"/>
        <v>0</v>
      </c>
      <c r="X15" s="10" t="s">
        <v>921</v>
      </c>
    </row>
    <row r="16" spans="1:24">
      <c r="A16" s="14"/>
      <c r="R16" s="14"/>
    </row>
    <row r="17" spans="1:24" ht="35.25" customHeight="1">
      <c r="A17" s="5"/>
      <c r="B17" s="2" t="s">
        <v>680</v>
      </c>
      <c r="C17" s="2" t="s">
        <v>717</v>
      </c>
      <c r="D17" s="2" t="s">
        <v>774</v>
      </c>
      <c r="E17" s="2" t="s">
        <v>683</v>
      </c>
      <c r="G17" s="9">
        <v>10</v>
      </c>
      <c r="H17" s="2" t="s">
        <v>684</v>
      </c>
      <c r="I17" s="2">
        <v>9</v>
      </c>
      <c r="N17" s="2">
        <f t="shared" ref="N17:N22" si="6">COUNT(J17:K17)</f>
        <v>0</v>
      </c>
      <c r="O17" s="2" t="s">
        <v>928</v>
      </c>
      <c r="R17" s="14"/>
      <c r="W17" s="2">
        <f t="shared" ref="W17:W22" si="7">COUNT(S17:T17)</f>
        <v>0</v>
      </c>
      <c r="X17" s="2" t="s">
        <v>928</v>
      </c>
    </row>
    <row r="18" spans="1:24" ht="26.4">
      <c r="A18" s="5"/>
      <c r="G18" s="9">
        <v>20</v>
      </c>
      <c r="H18" s="2" t="s">
        <v>684</v>
      </c>
      <c r="I18" s="2">
        <v>9</v>
      </c>
      <c r="N18" s="2">
        <f t="shared" si="6"/>
        <v>0</v>
      </c>
      <c r="O18" s="2" t="s">
        <v>928</v>
      </c>
      <c r="R18" s="14"/>
      <c r="W18" s="2">
        <f t="shared" si="7"/>
        <v>0</v>
      </c>
      <c r="X18" s="2" t="s">
        <v>928</v>
      </c>
    </row>
    <row r="19" spans="1:24" ht="26.4">
      <c r="A19" s="5"/>
      <c r="G19" s="9">
        <v>40</v>
      </c>
      <c r="H19" s="2" t="s">
        <v>684</v>
      </c>
      <c r="I19" s="2">
        <v>9</v>
      </c>
      <c r="N19" s="2">
        <f t="shared" si="6"/>
        <v>0</v>
      </c>
      <c r="O19" s="2" t="s">
        <v>928</v>
      </c>
      <c r="R19" s="14"/>
      <c r="W19" s="2">
        <f t="shared" si="7"/>
        <v>0</v>
      </c>
      <c r="X19" s="2" t="s">
        <v>921</v>
      </c>
    </row>
    <row r="20" spans="1:24" ht="26.4">
      <c r="A20" s="5"/>
      <c r="G20" s="9">
        <v>10</v>
      </c>
      <c r="H20" s="10" t="s">
        <v>685</v>
      </c>
      <c r="I20" s="10">
        <v>0.3</v>
      </c>
      <c r="J20" s="10"/>
      <c r="K20" s="10"/>
      <c r="L20" s="10"/>
      <c r="M20" s="10"/>
      <c r="N20" s="10">
        <f t="shared" si="6"/>
        <v>0</v>
      </c>
      <c r="O20" s="10" t="s">
        <v>928</v>
      </c>
      <c r="R20" s="14"/>
      <c r="S20" s="10"/>
      <c r="T20" s="10"/>
      <c r="U20" s="10"/>
      <c r="V20" s="10"/>
      <c r="W20" s="10">
        <f t="shared" si="7"/>
        <v>0</v>
      </c>
      <c r="X20" s="10" t="s">
        <v>928</v>
      </c>
    </row>
    <row r="21" spans="1:24" ht="26.4">
      <c r="A21" s="5"/>
      <c r="G21" s="9">
        <v>20</v>
      </c>
      <c r="H21" s="10" t="s">
        <v>685</v>
      </c>
      <c r="I21" s="10">
        <v>0.3</v>
      </c>
      <c r="J21" s="10"/>
      <c r="K21" s="10"/>
      <c r="L21" s="10"/>
      <c r="M21" s="10"/>
      <c r="N21" s="10">
        <f t="shared" si="6"/>
        <v>0</v>
      </c>
      <c r="O21" s="10" t="s">
        <v>928</v>
      </c>
      <c r="R21" s="14"/>
      <c r="S21" s="10"/>
      <c r="T21" s="10"/>
      <c r="U21" s="10"/>
      <c r="V21" s="10"/>
      <c r="W21" s="10">
        <f t="shared" si="7"/>
        <v>0</v>
      </c>
      <c r="X21" s="10" t="s">
        <v>928</v>
      </c>
    </row>
    <row r="22" spans="1:24" ht="26.4">
      <c r="A22" s="5"/>
      <c r="G22" s="9">
        <v>40</v>
      </c>
      <c r="H22" s="10" t="s">
        <v>685</v>
      </c>
      <c r="I22" s="10">
        <v>0.3</v>
      </c>
      <c r="J22" s="10"/>
      <c r="K22" s="10"/>
      <c r="L22" s="10"/>
      <c r="M22" s="10"/>
      <c r="N22" s="10">
        <f t="shared" si="6"/>
        <v>0</v>
      </c>
      <c r="O22" s="10" t="s">
        <v>928</v>
      </c>
      <c r="R22" s="14"/>
      <c r="S22" s="10"/>
      <c r="T22" s="10"/>
      <c r="U22" s="10"/>
      <c r="V22" s="10"/>
      <c r="W22" s="10">
        <f t="shared" si="7"/>
        <v>0</v>
      </c>
      <c r="X22" s="10" t="s">
        <v>928</v>
      </c>
    </row>
    <row r="23" spans="1:24">
      <c r="A23" s="14"/>
      <c r="R23" s="14"/>
    </row>
    <row r="24" spans="1:24">
      <c r="A24" s="14"/>
      <c r="B24" s="11" t="s">
        <v>104</v>
      </c>
      <c r="C24" s="11"/>
      <c r="D24" s="11"/>
      <c r="E24" s="11"/>
      <c r="F24" s="11"/>
      <c r="G24" s="12"/>
      <c r="H24" s="6"/>
      <c r="I24" s="6"/>
      <c r="J24" s="6"/>
      <c r="K24" s="6"/>
      <c r="L24" s="6"/>
      <c r="M24" s="6"/>
      <c r="N24" s="6"/>
      <c r="O24" s="6"/>
      <c r="R24" s="14"/>
      <c r="S24" s="6"/>
      <c r="T24" s="6"/>
      <c r="U24" s="6"/>
      <c r="V24" s="6"/>
      <c r="W24" s="6"/>
      <c r="X24" s="6"/>
    </row>
    <row r="25" spans="1:24" ht="40.5" customHeight="1">
      <c r="A25" s="14"/>
      <c r="B25" s="2" t="s">
        <v>680</v>
      </c>
      <c r="C25" s="2" t="s">
        <v>715</v>
      </c>
      <c r="D25" s="15" t="s">
        <v>720</v>
      </c>
      <c r="E25" s="2" t="s">
        <v>693</v>
      </c>
      <c r="F25" s="2" t="s">
        <v>130</v>
      </c>
      <c r="G25" s="9">
        <v>20</v>
      </c>
      <c r="H25" s="2" t="s">
        <v>684</v>
      </c>
      <c r="I25" s="2">
        <v>9</v>
      </c>
      <c r="J25" s="2">
        <v>14.218301886792457</v>
      </c>
      <c r="L25" s="2">
        <f t="shared" ref="L25:L30" si="8">AVERAGE(J25:K25)</f>
        <v>14.218301886792457</v>
      </c>
      <c r="N25" s="2">
        <f t="shared" ref="N25:N30" si="9">COUNT(J25:K25)</f>
        <v>1</v>
      </c>
      <c r="O25" s="2" t="s">
        <v>910</v>
      </c>
      <c r="R25" s="14"/>
      <c r="S25" s="2">
        <v>14.332415094339625</v>
      </c>
      <c r="U25" s="2">
        <f t="shared" ref="U25:U30" si="10">AVERAGE(S25:T25)</f>
        <v>14.332415094339625</v>
      </c>
      <c r="W25" s="2">
        <f t="shared" ref="W25:W30" si="11">COUNT(S25:T25)</f>
        <v>1</v>
      </c>
      <c r="X25" s="2" t="s">
        <v>910</v>
      </c>
    </row>
    <row r="26" spans="1:24" ht="29.25" customHeight="1">
      <c r="A26" s="14"/>
      <c r="D26" s="15"/>
      <c r="G26" s="9">
        <v>40</v>
      </c>
      <c r="H26" s="2" t="s">
        <v>684</v>
      </c>
      <c r="I26" s="2">
        <v>9</v>
      </c>
      <c r="J26" s="2">
        <v>16.680103550321999</v>
      </c>
      <c r="L26" s="2">
        <f t="shared" si="8"/>
        <v>16.680103550321999</v>
      </c>
      <c r="N26" s="2">
        <f t="shared" si="9"/>
        <v>1</v>
      </c>
      <c r="O26" s="2" t="s">
        <v>929</v>
      </c>
      <c r="R26" s="14"/>
      <c r="S26" s="2">
        <v>16.81397467878033</v>
      </c>
      <c r="U26" s="2">
        <f t="shared" si="10"/>
        <v>16.81397467878033</v>
      </c>
      <c r="W26" s="2">
        <f t="shared" si="11"/>
        <v>1</v>
      </c>
      <c r="X26" s="2" t="s">
        <v>910</v>
      </c>
    </row>
    <row r="27" spans="1:24" ht="30.75" customHeight="1">
      <c r="A27" s="14"/>
      <c r="D27" s="15"/>
      <c r="G27" s="9">
        <v>100</v>
      </c>
      <c r="H27" s="2" t="s">
        <v>684</v>
      </c>
      <c r="I27" s="2">
        <v>9</v>
      </c>
      <c r="J27" s="2">
        <v>18.35258921669174</v>
      </c>
      <c r="L27" s="2">
        <f t="shared" si="8"/>
        <v>18.35258921669174</v>
      </c>
      <c r="N27" s="2">
        <f t="shared" si="9"/>
        <v>1</v>
      </c>
      <c r="O27" s="2" t="s">
        <v>929</v>
      </c>
      <c r="R27" s="14"/>
      <c r="S27" s="2">
        <v>18.499883375937134</v>
      </c>
      <c r="U27" s="2">
        <f t="shared" si="10"/>
        <v>18.499883375937134</v>
      </c>
      <c r="W27" s="2">
        <f t="shared" si="11"/>
        <v>1</v>
      </c>
      <c r="X27" s="2" t="s">
        <v>929</v>
      </c>
    </row>
    <row r="28" spans="1:24" ht="26.4">
      <c r="A28" s="14"/>
      <c r="G28" s="9">
        <v>20</v>
      </c>
      <c r="H28" s="10" t="s">
        <v>685</v>
      </c>
      <c r="I28" s="10">
        <v>0.3</v>
      </c>
      <c r="J28" s="10">
        <v>0.35049056603773587</v>
      </c>
      <c r="K28" s="10"/>
      <c r="L28" s="10">
        <f t="shared" si="8"/>
        <v>0.35049056603773587</v>
      </c>
      <c r="M28" s="10"/>
      <c r="N28" s="10">
        <f t="shared" si="9"/>
        <v>1</v>
      </c>
      <c r="O28" s="10" t="s">
        <v>931</v>
      </c>
      <c r="R28" s="14"/>
      <c r="S28" s="10">
        <v>0.35660377358490569</v>
      </c>
      <c r="T28" s="10"/>
      <c r="U28" s="10">
        <f t="shared" si="10"/>
        <v>0.35660377358490569</v>
      </c>
      <c r="V28" s="10"/>
      <c r="W28" s="10">
        <f t="shared" si="11"/>
        <v>1</v>
      </c>
      <c r="X28" s="10" t="s">
        <v>929</v>
      </c>
    </row>
    <row r="29" spans="1:24" ht="26.4">
      <c r="A29" s="14"/>
      <c r="G29" s="9">
        <v>40</v>
      </c>
      <c r="H29" s="10" t="s">
        <v>685</v>
      </c>
      <c r="I29" s="10">
        <v>0.3</v>
      </c>
      <c r="J29" s="10">
        <v>0.41117560883631427</v>
      </c>
      <c r="K29" s="10"/>
      <c r="L29" s="10">
        <f t="shared" si="8"/>
        <v>0.41117560883631427</v>
      </c>
      <c r="M29" s="10"/>
      <c r="N29" s="10">
        <f t="shared" si="9"/>
        <v>1</v>
      </c>
      <c r="O29" s="10" t="s">
        <v>929</v>
      </c>
      <c r="R29" s="14"/>
      <c r="S29" s="10">
        <v>0.41834727643229652</v>
      </c>
      <c r="T29" s="10"/>
      <c r="U29" s="10">
        <f t="shared" si="10"/>
        <v>0.41834727643229652</v>
      </c>
      <c r="V29" s="10"/>
      <c r="W29" s="10">
        <f t="shared" si="11"/>
        <v>1</v>
      </c>
      <c r="X29" s="10" t="s">
        <v>929</v>
      </c>
    </row>
    <row r="30" spans="1:24" ht="26.4">
      <c r="A30" s="14"/>
      <c r="G30" s="9">
        <v>100</v>
      </c>
      <c r="H30" s="10" t="s">
        <v>685</v>
      </c>
      <c r="I30" s="10">
        <v>0.3</v>
      </c>
      <c r="J30" s="10">
        <v>0.45240348911085326</v>
      </c>
      <c r="K30" s="10"/>
      <c r="L30" s="10">
        <f t="shared" si="8"/>
        <v>0.45240348911085326</v>
      </c>
      <c r="M30" s="10"/>
      <c r="N30" s="10">
        <f t="shared" si="9"/>
        <v>1</v>
      </c>
      <c r="O30" s="10" t="s">
        <v>929</v>
      </c>
      <c r="R30" s="14"/>
      <c r="S30" s="10">
        <v>0.46029424764185656</v>
      </c>
      <c r="T30" s="10"/>
      <c r="U30" s="10">
        <f t="shared" si="10"/>
        <v>0.46029424764185656</v>
      </c>
      <c r="V30" s="10"/>
      <c r="W30" s="10">
        <f t="shared" si="11"/>
        <v>1</v>
      </c>
      <c r="X30" s="10" t="s">
        <v>929</v>
      </c>
    </row>
    <row r="31" spans="1:24">
      <c r="A31" s="14"/>
      <c r="R31" s="14"/>
    </row>
    <row r="32" spans="1:24" ht="40.5" customHeight="1">
      <c r="A32" s="14"/>
      <c r="B32" s="2" t="s">
        <v>680</v>
      </c>
      <c r="C32" s="2" t="s">
        <v>715</v>
      </c>
      <c r="D32" s="15" t="s">
        <v>720</v>
      </c>
      <c r="E32" s="2" t="s">
        <v>683</v>
      </c>
      <c r="F32" s="2" t="s">
        <v>130</v>
      </c>
      <c r="G32" s="9">
        <v>20</v>
      </c>
      <c r="H32" s="2" t="s">
        <v>684</v>
      </c>
      <c r="I32" s="2">
        <v>9</v>
      </c>
      <c r="J32" s="2">
        <v>14.562679245283014</v>
      </c>
      <c r="L32" s="2">
        <f>AVERAGE(J32:K32)</f>
        <v>14.562679245283014</v>
      </c>
      <c r="N32" s="2">
        <f>COUNT(J32:K32)</f>
        <v>1</v>
      </c>
      <c r="O32" s="2" t="s">
        <v>929</v>
      </c>
      <c r="R32" s="14"/>
      <c r="S32" s="2">
        <v>14.674754716981129</v>
      </c>
      <c r="U32" s="2">
        <f>AVERAGE(S32:T32)</f>
        <v>14.674754716981129</v>
      </c>
      <c r="W32" s="2">
        <f>COUNT(S32:T32)</f>
        <v>1</v>
      </c>
      <c r="X32" s="2" t="s">
        <v>929</v>
      </c>
    </row>
    <row r="33" spans="1:24" ht="40.5" customHeight="1">
      <c r="A33" s="14"/>
      <c r="D33" s="15"/>
      <c r="G33" s="9">
        <v>40</v>
      </c>
      <c r="H33" s="2" t="s">
        <v>684</v>
      </c>
      <c r="I33" s="2">
        <v>9</v>
      </c>
      <c r="J33" s="2">
        <v>16.710019670660415</v>
      </c>
      <c r="L33" s="2">
        <f>AVERAGE(J33:K33)</f>
        <v>16.710019670660415</v>
      </c>
      <c r="N33" s="2">
        <f>COUNT(J33:K33)</f>
        <v>1</v>
      </c>
      <c r="O33" s="2" t="s">
        <v>929</v>
      </c>
      <c r="R33" s="14"/>
      <c r="S33" s="2">
        <v>16.838621235326521</v>
      </c>
      <c r="U33" s="2">
        <f>AVERAGE(S33:T33)</f>
        <v>16.838621235326521</v>
      </c>
      <c r="W33" s="2">
        <f>COUNT(S33:T33)</f>
        <v>1</v>
      </c>
      <c r="X33" s="2" t="s">
        <v>910</v>
      </c>
    </row>
    <row r="34" spans="1:24" ht="26.4">
      <c r="A34" s="14"/>
      <c r="G34" s="9">
        <v>20</v>
      </c>
      <c r="H34" s="10" t="s">
        <v>685</v>
      </c>
      <c r="I34" s="10">
        <v>0.3</v>
      </c>
      <c r="J34" s="10">
        <v>0.38513207547169803</v>
      </c>
      <c r="K34" s="10"/>
      <c r="L34" s="10">
        <f>AVERAGE(J34:K34)</f>
        <v>0.38513207547169803</v>
      </c>
      <c r="M34" s="10"/>
      <c r="N34" s="10">
        <f>COUNT(J34:K34)</f>
        <v>1</v>
      </c>
      <c r="O34" s="10" t="s">
        <v>929</v>
      </c>
      <c r="R34" s="14"/>
      <c r="S34" s="10">
        <v>0.39430188679245276</v>
      </c>
      <c r="T34" s="10"/>
      <c r="U34" s="10">
        <f>AVERAGE(S34:T34)</f>
        <v>0.39430188679245276</v>
      </c>
      <c r="V34" s="10"/>
      <c r="W34" s="10">
        <f>COUNT(S34:T34)</f>
        <v>1</v>
      </c>
      <c r="X34" s="10" t="s">
        <v>917</v>
      </c>
    </row>
    <row r="35" spans="1:24" ht="26.4">
      <c r="A35" s="14"/>
      <c r="G35" s="9">
        <v>40</v>
      </c>
      <c r="H35" s="10" t="s">
        <v>685</v>
      </c>
      <c r="I35" s="10">
        <v>0.3</v>
      </c>
      <c r="J35" s="10">
        <v>0.44192174039807158</v>
      </c>
      <c r="K35" s="10"/>
      <c r="L35" s="10">
        <f>AVERAGE(J35:K35)</f>
        <v>0.44192174039807158</v>
      </c>
      <c r="M35" s="10"/>
      <c r="N35" s="10">
        <f>COUNT(J35:K35)</f>
        <v>1</v>
      </c>
      <c r="O35" s="10" t="s">
        <v>929</v>
      </c>
      <c r="R35" s="14"/>
      <c r="S35" s="10">
        <v>0.4524436865980257</v>
      </c>
      <c r="T35" s="10"/>
      <c r="U35" s="10">
        <f>AVERAGE(S35:T35)</f>
        <v>0.4524436865980257</v>
      </c>
      <c r="V35" s="10"/>
      <c r="W35" s="10">
        <f>COUNT(S35:T35)</f>
        <v>1</v>
      </c>
      <c r="X35" s="10" t="s">
        <v>917</v>
      </c>
    </row>
    <row r="36" spans="1:24" ht="9.75" customHeight="1">
      <c r="A36" s="14"/>
      <c r="R36" s="14"/>
    </row>
    <row r="37" spans="1:24" ht="39.6">
      <c r="A37" s="14"/>
      <c r="B37" s="2" t="s">
        <v>680</v>
      </c>
      <c r="C37" s="2" t="s">
        <v>715</v>
      </c>
      <c r="D37" s="2" t="s">
        <v>721</v>
      </c>
      <c r="E37" s="2" t="s">
        <v>683</v>
      </c>
      <c r="F37" s="2" t="s">
        <v>132</v>
      </c>
      <c r="G37" s="9">
        <v>20</v>
      </c>
      <c r="H37" s="2" t="s">
        <v>684</v>
      </c>
      <c r="I37" s="2">
        <v>9</v>
      </c>
      <c r="N37" s="2">
        <f>COUNT(J37:K37)</f>
        <v>0</v>
      </c>
      <c r="O37" s="2" t="s">
        <v>928</v>
      </c>
      <c r="R37" s="14"/>
      <c r="W37" s="2">
        <f>COUNT(S37:T37)</f>
        <v>0</v>
      </c>
      <c r="X37" s="2" t="s">
        <v>928</v>
      </c>
    </row>
    <row r="38" spans="1:24" ht="26.4">
      <c r="A38" s="14"/>
      <c r="G38" s="9">
        <v>40</v>
      </c>
      <c r="H38" s="2" t="s">
        <v>684</v>
      </c>
      <c r="I38" s="2">
        <v>9</v>
      </c>
      <c r="N38" s="2">
        <f>COUNT(J38:K38)</f>
        <v>0</v>
      </c>
      <c r="O38" s="2" t="s">
        <v>924</v>
      </c>
      <c r="R38" s="14"/>
      <c r="W38" s="2">
        <f>COUNT(S38:T38)</f>
        <v>0</v>
      </c>
      <c r="X38" s="2" t="s">
        <v>954</v>
      </c>
    </row>
    <row r="39" spans="1:24" ht="26.4">
      <c r="A39" s="14"/>
      <c r="G39" s="9">
        <v>20</v>
      </c>
      <c r="H39" s="10" t="s">
        <v>685</v>
      </c>
      <c r="I39" s="10">
        <v>0.3</v>
      </c>
      <c r="J39" s="10"/>
      <c r="K39" s="10"/>
      <c r="L39" s="10"/>
      <c r="M39" s="10"/>
      <c r="N39" s="10">
        <f>COUNT(J39:K39)</f>
        <v>0</v>
      </c>
      <c r="O39" s="10" t="s">
        <v>928</v>
      </c>
      <c r="R39" s="14"/>
      <c r="S39" s="10"/>
      <c r="T39" s="10"/>
      <c r="U39" s="10"/>
      <c r="V39" s="10"/>
      <c r="W39" s="10">
        <f>COUNT(S39:T39)</f>
        <v>0</v>
      </c>
      <c r="X39" s="10" t="s">
        <v>916</v>
      </c>
    </row>
    <row r="40" spans="1:24" ht="26.4">
      <c r="A40" s="14"/>
      <c r="G40" s="9">
        <v>40</v>
      </c>
      <c r="H40" s="10" t="s">
        <v>685</v>
      </c>
      <c r="I40" s="10">
        <v>0.3</v>
      </c>
      <c r="J40" s="10"/>
      <c r="K40" s="10"/>
      <c r="L40" s="10"/>
      <c r="M40" s="10"/>
      <c r="N40" s="10">
        <f>COUNT(J40:K40)</f>
        <v>0</v>
      </c>
      <c r="O40" s="10" t="s">
        <v>928</v>
      </c>
      <c r="R40" s="14"/>
      <c r="S40" s="10"/>
      <c r="T40" s="10"/>
      <c r="U40" s="10"/>
      <c r="V40" s="10"/>
      <c r="W40" s="10">
        <f>COUNT(S40:T40)</f>
        <v>0</v>
      </c>
      <c r="X40" s="10" t="s">
        <v>925</v>
      </c>
    </row>
    <row r="41" spans="1:24">
      <c r="A41" s="14"/>
      <c r="R41" s="14"/>
    </row>
    <row r="42" spans="1:24" ht="39.6">
      <c r="A42" s="14"/>
      <c r="B42" s="2" t="s">
        <v>680</v>
      </c>
      <c r="C42" s="2" t="s">
        <v>715</v>
      </c>
      <c r="D42" s="15" t="s">
        <v>722</v>
      </c>
      <c r="E42" s="2" t="s">
        <v>683</v>
      </c>
      <c r="F42" s="2" t="s">
        <v>132</v>
      </c>
      <c r="G42" s="9">
        <v>20</v>
      </c>
      <c r="H42" s="2" t="s">
        <v>684</v>
      </c>
      <c r="I42" s="2">
        <v>9</v>
      </c>
      <c r="N42" s="2">
        <f>COUNT(J42:K42)</f>
        <v>0</v>
      </c>
      <c r="O42" s="2" t="s">
        <v>928</v>
      </c>
      <c r="R42" s="14"/>
      <c r="W42" s="2">
        <f>COUNT(S42:T42)</f>
        <v>0</v>
      </c>
      <c r="X42" s="2" t="s">
        <v>916</v>
      </c>
    </row>
    <row r="43" spans="1:24" ht="26.4">
      <c r="A43" s="14"/>
      <c r="D43" s="15"/>
      <c r="G43" s="9">
        <v>40</v>
      </c>
      <c r="H43" s="2" t="s">
        <v>684</v>
      </c>
      <c r="I43" s="2">
        <v>9</v>
      </c>
      <c r="N43" s="2">
        <f>COUNT(J43:K43)</f>
        <v>0</v>
      </c>
      <c r="O43" s="2" t="s">
        <v>928</v>
      </c>
      <c r="R43" s="14"/>
      <c r="W43" s="2">
        <f>COUNT(S43:T43)</f>
        <v>0</v>
      </c>
      <c r="X43" s="2" t="s">
        <v>928</v>
      </c>
    </row>
    <row r="44" spans="1:24" ht="26.4">
      <c r="A44" s="14"/>
      <c r="G44" s="9">
        <v>20</v>
      </c>
      <c r="H44" s="10" t="s">
        <v>685</v>
      </c>
      <c r="I44" s="10">
        <v>0.3</v>
      </c>
      <c r="J44" s="10"/>
      <c r="K44" s="10"/>
      <c r="L44" s="10"/>
      <c r="M44" s="10"/>
      <c r="N44" s="10">
        <f>COUNT(J44:K44)</f>
        <v>0</v>
      </c>
      <c r="O44" s="10" t="s">
        <v>928</v>
      </c>
      <c r="R44" s="14"/>
      <c r="S44" s="10"/>
      <c r="T44" s="10"/>
      <c r="U44" s="10"/>
      <c r="V44" s="10"/>
      <c r="W44" s="10">
        <f>COUNT(S44:T44)</f>
        <v>0</v>
      </c>
      <c r="X44" s="10" t="s">
        <v>916</v>
      </c>
    </row>
    <row r="45" spans="1:24" ht="26.4">
      <c r="A45" s="14"/>
      <c r="G45" s="9">
        <v>40</v>
      </c>
      <c r="H45" s="10" t="s">
        <v>685</v>
      </c>
      <c r="I45" s="10">
        <v>0.3</v>
      </c>
      <c r="J45" s="10"/>
      <c r="K45" s="10"/>
      <c r="L45" s="10"/>
      <c r="M45" s="10"/>
      <c r="N45" s="10">
        <f>COUNT(J45:K45)</f>
        <v>0</v>
      </c>
      <c r="O45" s="10" t="s">
        <v>916</v>
      </c>
      <c r="R45" s="14"/>
      <c r="S45" s="10"/>
      <c r="T45" s="10"/>
      <c r="U45" s="10"/>
      <c r="V45" s="10"/>
      <c r="W45" s="10">
        <f>COUNT(S45:T45)</f>
        <v>0</v>
      </c>
      <c r="X45" s="10" t="s">
        <v>954</v>
      </c>
    </row>
    <row r="46" spans="1:24">
      <c r="A46" s="14"/>
      <c r="R46" s="14"/>
    </row>
    <row r="47" spans="1:24" ht="39.6">
      <c r="A47" s="14"/>
      <c r="B47" s="2" t="s">
        <v>680</v>
      </c>
      <c r="C47" s="2" t="s">
        <v>715</v>
      </c>
      <c r="D47" s="15" t="s">
        <v>723</v>
      </c>
      <c r="E47" s="15" t="s">
        <v>693</v>
      </c>
      <c r="F47" s="2" t="s">
        <v>132</v>
      </c>
      <c r="G47" s="9">
        <v>20</v>
      </c>
      <c r="H47" s="2" t="s">
        <v>684</v>
      </c>
      <c r="I47" s="2">
        <v>9</v>
      </c>
      <c r="N47" s="2">
        <f t="shared" ref="N47:N52" si="12">COUNT(J47:K47)</f>
        <v>0</v>
      </c>
      <c r="O47" s="2" t="s">
        <v>916</v>
      </c>
      <c r="R47" s="14"/>
      <c r="W47" s="2">
        <f t="shared" ref="W47:W52" si="13">COUNT(S47:T47)</f>
        <v>0</v>
      </c>
      <c r="X47" s="2" t="s">
        <v>916</v>
      </c>
    </row>
    <row r="48" spans="1:24" ht="26.4">
      <c r="A48" s="14"/>
      <c r="D48" s="15"/>
      <c r="E48" s="15"/>
      <c r="G48" s="9">
        <v>40</v>
      </c>
      <c r="H48" s="2" t="s">
        <v>684</v>
      </c>
      <c r="I48" s="2">
        <v>9</v>
      </c>
      <c r="N48" s="2">
        <f t="shared" si="12"/>
        <v>0</v>
      </c>
      <c r="O48" s="2" t="s">
        <v>916</v>
      </c>
      <c r="R48" s="14"/>
      <c r="W48" s="2">
        <f t="shared" si="13"/>
        <v>0</v>
      </c>
      <c r="X48" s="2" t="s">
        <v>916</v>
      </c>
    </row>
    <row r="49" spans="1:24" ht="26.4">
      <c r="A49" s="14"/>
      <c r="D49" s="15"/>
      <c r="E49" s="15"/>
      <c r="G49" s="9">
        <v>100</v>
      </c>
      <c r="H49" s="2" t="s">
        <v>684</v>
      </c>
      <c r="I49" s="2">
        <v>9</v>
      </c>
      <c r="N49" s="2">
        <f t="shared" si="12"/>
        <v>0</v>
      </c>
      <c r="O49" s="2" t="s">
        <v>928</v>
      </c>
      <c r="R49" s="14"/>
      <c r="W49" s="2">
        <f t="shared" si="13"/>
        <v>0</v>
      </c>
      <c r="X49" s="2" t="s">
        <v>938</v>
      </c>
    </row>
    <row r="50" spans="1:24" ht="26.4">
      <c r="A50" s="14"/>
      <c r="G50" s="9">
        <v>20</v>
      </c>
      <c r="H50" s="10" t="s">
        <v>685</v>
      </c>
      <c r="I50" s="10">
        <v>0.3</v>
      </c>
      <c r="J50" s="10"/>
      <c r="K50" s="10"/>
      <c r="L50" s="10"/>
      <c r="M50" s="10"/>
      <c r="N50" s="10">
        <f t="shared" si="12"/>
        <v>0</v>
      </c>
      <c r="O50" s="10" t="s">
        <v>928</v>
      </c>
      <c r="R50" s="14"/>
      <c r="S50" s="10"/>
      <c r="T50" s="10"/>
      <c r="U50" s="10"/>
      <c r="V50" s="10"/>
      <c r="W50" s="10">
        <f t="shared" si="13"/>
        <v>0</v>
      </c>
      <c r="X50" s="10" t="s">
        <v>916</v>
      </c>
    </row>
    <row r="51" spans="1:24" ht="26.4">
      <c r="A51" s="14"/>
      <c r="G51" s="9">
        <v>40</v>
      </c>
      <c r="H51" s="10" t="s">
        <v>685</v>
      </c>
      <c r="I51" s="10">
        <v>0.3</v>
      </c>
      <c r="J51" s="10"/>
      <c r="K51" s="10"/>
      <c r="L51" s="10"/>
      <c r="M51" s="10"/>
      <c r="N51" s="10">
        <f t="shared" si="12"/>
        <v>0</v>
      </c>
      <c r="O51" s="10" t="s">
        <v>928</v>
      </c>
      <c r="R51" s="14"/>
      <c r="S51" s="10"/>
      <c r="T51" s="10"/>
      <c r="U51" s="10"/>
      <c r="V51" s="10"/>
      <c r="W51" s="10">
        <f t="shared" si="13"/>
        <v>0</v>
      </c>
      <c r="X51" s="10" t="s">
        <v>938</v>
      </c>
    </row>
    <row r="52" spans="1:24" ht="26.4">
      <c r="A52" s="14"/>
      <c r="G52" s="9">
        <v>100</v>
      </c>
      <c r="H52" s="10" t="s">
        <v>685</v>
      </c>
      <c r="I52" s="10">
        <v>0.3</v>
      </c>
      <c r="J52" s="10"/>
      <c r="K52" s="10"/>
      <c r="L52" s="10"/>
      <c r="M52" s="10"/>
      <c r="N52" s="10">
        <f t="shared" si="12"/>
        <v>0</v>
      </c>
      <c r="O52" s="10" t="s">
        <v>928</v>
      </c>
      <c r="R52" s="14"/>
      <c r="S52" s="10"/>
      <c r="T52" s="10"/>
      <c r="U52" s="10"/>
      <c r="V52" s="10"/>
      <c r="W52" s="10">
        <f t="shared" si="13"/>
        <v>0</v>
      </c>
      <c r="X52" s="10" t="s">
        <v>928</v>
      </c>
    </row>
    <row r="53" spans="1:24">
      <c r="A53" s="14"/>
      <c r="R53" s="14"/>
    </row>
    <row r="54" spans="1:24" ht="51" customHeight="1">
      <c r="A54" s="14"/>
      <c r="B54" s="2" t="s">
        <v>680</v>
      </c>
      <c r="C54" s="2" t="s">
        <v>717</v>
      </c>
      <c r="D54" s="15" t="s">
        <v>724</v>
      </c>
      <c r="E54" s="15" t="s">
        <v>693</v>
      </c>
      <c r="F54" s="2" t="s">
        <v>130</v>
      </c>
      <c r="G54" s="9">
        <v>20</v>
      </c>
      <c r="H54" s="2" t="s">
        <v>684</v>
      </c>
      <c r="I54" s="2">
        <v>9</v>
      </c>
      <c r="N54" s="2">
        <f t="shared" ref="N54:N59" si="14">COUNT(J54:K54)</f>
        <v>0</v>
      </c>
      <c r="O54" s="2" t="s">
        <v>928</v>
      </c>
      <c r="R54" s="14"/>
      <c r="W54" s="2">
        <f t="shared" ref="W54:W59" si="15">COUNT(S54:T54)</f>
        <v>0</v>
      </c>
      <c r="X54" s="2" t="s">
        <v>916</v>
      </c>
    </row>
    <row r="55" spans="1:24" ht="26.4">
      <c r="A55" s="14"/>
      <c r="D55" s="15"/>
      <c r="E55" s="15"/>
      <c r="G55" s="9">
        <v>40</v>
      </c>
      <c r="H55" s="2" t="s">
        <v>684</v>
      </c>
      <c r="I55" s="2">
        <v>9</v>
      </c>
      <c r="N55" s="2">
        <f t="shared" si="14"/>
        <v>0</v>
      </c>
      <c r="O55" s="2" t="s">
        <v>939</v>
      </c>
      <c r="R55" s="14"/>
      <c r="W55" s="2">
        <f t="shared" si="15"/>
        <v>0</v>
      </c>
      <c r="X55" s="2" t="s">
        <v>928</v>
      </c>
    </row>
    <row r="56" spans="1:24" ht="26.4">
      <c r="A56" s="14"/>
      <c r="D56" s="15"/>
      <c r="E56" s="15"/>
      <c r="G56" s="9">
        <v>100</v>
      </c>
      <c r="H56" s="2" t="s">
        <v>684</v>
      </c>
      <c r="I56" s="2">
        <v>9</v>
      </c>
      <c r="N56" s="2">
        <f t="shared" si="14"/>
        <v>0</v>
      </c>
      <c r="O56" s="2" t="s">
        <v>921</v>
      </c>
      <c r="R56" s="14"/>
      <c r="W56" s="2">
        <f t="shared" si="15"/>
        <v>0</v>
      </c>
      <c r="X56" s="2" t="s">
        <v>928</v>
      </c>
    </row>
    <row r="57" spans="1:24" ht="26.4">
      <c r="A57" s="14"/>
      <c r="G57" s="9">
        <v>20</v>
      </c>
      <c r="H57" s="10" t="s">
        <v>685</v>
      </c>
      <c r="I57" s="10">
        <v>0.3</v>
      </c>
      <c r="J57" s="10"/>
      <c r="K57" s="10"/>
      <c r="L57" s="10"/>
      <c r="M57" s="10"/>
      <c r="N57" s="10">
        <f t="shared" si="14"/>
        <v>0</v>
      </c>
      <c r="O57" s="10" t="s">
        <v>928</v>
      </c>
      <c r="R57" s="14"/>
      <c r="S57" s="10"/>
      <c r="T57" s="10"/>
      <c r="U57" s="10"/>
      <c r="V57" s="10"/>
      <c r="W57" s="10">
        <f t="shared" si="15"/>
        <v>0</v>
      </c>
      <c r="X57" s="10" t="s">
        <v>928</v>
      </c>
    </row>
    <row r="58" spans="1:24" ht="26.4">
      <c r="A58" s="14"/>
      <c r="G58" s="9">
        <v>40</v>
      </c>
      <c r="H58" s="10" t="s">
        <v>685</v>
      </c>
      <c r="I58" s="10">
        <v>0.3</v>
      </c>
      <c r="J58" s="10"/>
      <c r="K58" s="10"/>
      <c r="L58" s="10"/>
      <c r="M58" s="10"/>
      <c r="N58" s="10">
        <f t="shared" si="14"/>
        <v>0</v>
      </c>
      <c r="O58" s="10" t="s">
        <v>928</v>
      </c>
      <c r="R58" s="14"/>
      <c r="S58" s="10"/>
      <c r="T58" s="10"/>
      <c r="U58" s="10"/>
      <c r="V58" s="10"/>
      <c r="W58" s="10">
        <f t="shared" si="15"/>
        <v>0</v>
      </c>
      <c r="X58" s="10" t="s">
        <v>916</v>
      </c>
    </row>
    <row r="59" spans="1:24" ht="26.4">
      <c r="A59" s="14"/>
      <c r="G59" s="9">
        <v>100</v>
      </c>
      <c r="H59" s="10" t="s">
        <v>685</v>
      </c>
      <c r="I59" s="10">
        <v>0.3</v>
      </c>
      <c r="J59" s="10"/>
      <c r="K59" s="10"/>
      <c r="L59" s="10"/>
      <c r="M59" s="10"/>
      <c r="N59" s="10">
        <f t="shared" si="14"/>
        <v>0</v>
      </c>
      <c r="O59" s="10" t="s">
        <v>928</v>
      </c>
      <c r="R59" s="14"/>
      <c r="S59" s="10"/>
      <c r="T59" s="10"/>
      <c r="U59" s="10"/>
      <c r="V59" s="10"/>
      <c r="W59" s="10">
        <f t="shared" si="15"/>
        <v>0</v>
      </c>
      <c r="X59" s="10" t="s">
        <v>925</v>
      </c>
    </row>
    <row r="62" spans="1:24" ht="12.75" customHeight="1">
      <c r="A62" s="590" t="s">
        <v>701</v>
      </c>
      <c r="B62" s="11" t="s">
        <v>103</v>
      </c>
      <c r="C62" s="11"/>
      <c r="D62" s="11"/>
      <c r="E62" s="11"/>
      <c r="F62" s="11"/>
      <c r="G62" s="12"/>
      <c r="H62" s="6"/>
      <c r="I62" s="6"/>
      <c r="J62" s="6"/>
      <c r="K62" s="6"/>
      <c r="L62" s="6"/>
      <c r="M62" s="6"/>
      <c r="N62" s="6"/>
      <c r="O62" s="6"/>
      <c r="R62" s="590" t="s">
        <v>701</v>
      </c>
      <c r="S62" s="6"/>
      <c r="T62" s="6"/>
      <c r="U62" s="6"/>
      <c r="V62" s="6"/>
      <c r="W62" s="6"/>
      <c r="X62" s="6"/>
    </row>
    <row r="63" spans="1:24" ht="39.6">
      <c r="A63" s="590"/>
      <c r="B63" s="2" t="s">
        <v>680</v>
      </c>
      <c r="C63" s="2" t="s">
        <v>715</v>
      </c>
      <c r="D63" s="2" t="s">
        <v>725</v>
      </c>
      <c r="E63" s="2" t="s">
        <v>683</v>
      </c>
      <c r="H63" s="2" t="s">
        <v>684</v>
      </c>
      <c r="I63" s="2">
        <v>6.75</v>
      </c>
      <c r="N63" s="2">
        <f>COUNT(J63:K63)</f>
        <v>0</v>
      </c>
      <c r="O63" s="2" t="s">
        <v>928</v>
      </c>
      <c r="R63" s="590"/>
      <c r="W63" s="2">
        <f>COUNT(S63:T63)</f>
        <v>0</v>
      </c>
      <c r="X63" s="2" t="s">
        <v>916</v>
      </c>
    </row>
    <row r="64" spans="1:24" ht="26.4">
      <c r="A64" s="590"/>
      <c r="H64" s="10" t="s">
        <v>685</v>
      </c>
      <c r="I64" s="10">
        <v>0.21</v>
      </c>
      <c r="J64" s="10"/>
      <c r="K64" s="10"/>
      <c r="L64" s="10"/>
      <c r="M64" s="10"/>
      <c r="N64" s="10">
        <f>COUNT(J64:K64)</f>
        <v>0</v>
      </c>
      <c r="O64" s="10" t="s">
        <v>918</v>
      </c>
      <c r="R64" s="590"/>
      <c r="S64" s="10"/>
      <c r="T64" s="10"/>
      <c r="U64" s="10"/>
      <c r="V64" s="10"/>
      <c r="W64" s="10">
        <f>COUNT(S64:T64)</f>
        <v>0</v>
      </c>
      <c r="X64" s="10" t="s">
        <v>916</v>
      </c>
    </row>
    <row r="65" spans="1:24">
      <c r="A65" s="590"/>
      <c r="R65" s="590"/>
    </row>
    <row r="66" spans="1:24" ht="26.4">
      <c r="A66" s="590"/>
      <c r="B66" s="2" t="s">
        <v>680</v>
      </c>
      <c r="C66" s="2" t="s">
        <v>681</v>
      </c>
      <c r="D66" s="2" t="s">
        <v>726</v>
      </c>
      <c r="E66" s="2" t="s">
        <v>683</v>
      </c>
      <c r="H66" s="2" t="s">
        <v>684</v>
      </c>
      <c r="I66" s="2">
        <v>6.75</v>
      </c>
      <c r="N66" s="2">
        <f>COUNT(J66:K66)</f>
        <v>0</v>
      </c>
      <c r="O66" s="2" t="s">
        <v>924</v>
      </c>
      <c r="R66" s="590"/>
      <c r="W66" s="2">
        <f>COUNT(S66:T66)</f>
        <v>0</v>
      </c>
      <c r="X66" s="2" t="s">
        <v>928</v>
      </c>
    </row>
    <row r="67" spans="1:24" ht="26.4">
      <c r="A67" s="590"/>
      <c r="H67" s="10" t="s">
        <v>685</v>
      </c>
      <c r="I67" s="10">
        <v>0.21</v>
      </c>
      <c r="J67" s="10"/>
      <c r="K67" s="10"/>
      <c r="L67" s="10"/>
      <c r="M67" s="10"/>
      <c r="N67" s="10">
        <f>COUNT(J67:K67)</f>
        <v>0</v>
      </c>
      <c r="O67" s="10" t="s">
        <v>915</v>
      </c>
      <c r="R67" s="590"/>
      <c r="S67" s="10"/>
      <c r="T67" s="10"/>
      <c r="U67" s="10"/>
      <c r="V67" s="10"/>
      <c r="W67" s="10">
        <f>COUNT(S67:T67)</f>
        <v>0</v>
      </c>
      <c r="X67" s="10" t="s">
        <v>954</v>
      </c>
    </row>
    <row r="68" spans="1:24">
      <c r="A68" s="590"/>
      <c r="R68" s="590"/>
    </row>
    <row r="69" spans="1:24" ht="46.5" customHeight="1">
      <c r="A69" s="590"/>
      <c r="B69" s="2" t="s">
        <v>680</v>
      </c>
      <c r="C69" s="2" t="s">
        <v>727</v>
      </c>
      <c r="D69" s="15" t="s">
        <v>728</v>
      </c>
      <c r="E69" s="2" t="s">
        <v>683</v>
      </c>
      <c r="H69" s="2" t="s">
        <v>684</v>
      </c>
      <c r="I69" s="2">
        <v>6.75</v>
      </c>
      <c r="N69" s="2">
        <f>COUNT(J69:K69)</f>
        <v>0</v>
      </c>
      <c r="O69" s="2" t="s">
        <v>921</v>
      </c>
      <c r="R69" s="590"/>
      <c r="W69" s="2">
        <f>COUNT(S69:T69)</f>
        <v>0</v>
      </c>
      <c r="X69" s="2" t="s">
        <v>925</v>
      </c>
    </row>
    <row r="70" spans="1:24" ht="26.4">
      <c r="A70" s="590"/>
      <c r="H70" s="10" t="s">
        <v>685</v>
      </c>
      <c r="I70" s="10">
        <v>0.21</v>
      </c>
      <c r="J70" s="10"/>
      <c r="K70" s="10"/>
      <c r="L70" s="10"/>
      <c r="M70" s="10"/>
      <c r="N70" s="10">
        <f>COUNT(J70:K70)</f>
        <v>0</v>
      </c>
      <c r="O70" s="10" t="s">
        <v>921</v>
      </c>
      <c r="R70" s="590"/>
      <c r="S70" s="10"/>
      <c r="T70" s="10"/>
      <c r="U70" s="10"/>
      <c r="V70" s="10"/>
      <c r="W70" s="10">
        <f>COUNT(S70:T70)</f>
        <v>0</v>
      </c>
      <c r="X70" s="10" t="s">
        <v>928</v>
      </c>
    </row>
    <row r="71" spans="1:24">
      <c r="A71" s="590"/>
      <c r="R71" s="590"/>
    </row>
    <row r="72" spans="1:24">
      <c r="A72" s="18"/>
      <c r="B72" s="11" t="s">
        <v>104</v>
      </c>
      <c r="C72" s="11"/>
      <c r="D72" s="11"/>
      <c r="E72" s="11"/>
      <c r="F72" s="11"/>
      <c r="G72" s="12"/>
      <c r="H72" s="6"/>
      <c r="I72" s="6"/>
      <c r="J72" s="6"/>
      <c r="K72" s="6"/>
      <c r="L72" s="6"/>
      <c r="M72" s="6"/>
      <c r="N72" s="6"/>
      <c r="O72" s="6"/>
      <c r="R72" s="590"/>
      <c r="S72" s="6"/>
      <c r="T72" s="6"/>
      <c r="U72" s="6"/>
      <c r="V72" s="6"/>
      <c r="W72" s="6"/>
      <c r="X72" s="6"/>
    </row>
    <row r="73" spans="1:24" ht="39.6">
      <c r="A73" s="18"/>
      <c r="B73" s="2" t="s">
        <v>680</v>
      </c>
      <c r="C73" s="2" t="s">
        <v>715</v>
      </c>
      <c r="D73" s="2" t="s">
        <v>725</v>
      </c>
      <c r="E73" s="2" t="s">
        <v>683</v>
      </c>
      <c r="F73" s="2" t="s">
        <v>132</v>
      </c>
      <c r="H73" s="2" t="s">
        <v>684</v>
      </c>
      <c r="I73" s="2">
        <v>6.75</v>
      </c>
      <c r="N73" s="2">
        <f>COUNT(J73:K73)</f>
        <v>0</v>
      </c>
      <c r="O73" s="2" t="s">
        <v>921</v>
      </c>
      <c r="R73" s="590"/>
      <c r="W73" s="2">
        <f>COUNT(S73:T73)</f>
        <v>0</v>
      </c>
      <c r="X73" s="2" t="s">
        <v>928</v>
      </c>
    </row>
    <row r="74" spans="1:24" ht="26.4">
      <c r="A74" s="590"/>
      <c r="H74" s="10" t="s">
        <v>685</v>
      </c>
      <c r="I74" s="10">
        <v>0.21</v>
      </c>
      <c r="J74" s="10"/>
      <c r="K74" s="10"/>
      <c r="L74" s="10"/>
      <c r="M74" s="10"/>
      <c r="N74" s="10">
        <f>COUNT(J74:K74)</f>
        <v>0</v>
      </c>
      <c r="O74" s="10" t="s">
        <v>921</v>
      </c>
      <c r="R74" s="590"/>
      <c r="S74" s="10"/>
      <c r="T74" s="10"/>
      <c r="U74" s="10"/>
      <c r="V74" s="10"/>
      <c r="W74" s="10">
        <f>COUNT(S74:T74)</f>
        <v>0</v>
      </c>
      <c r="X74" s="10" t="s">
        <v>921</v>
      </c>
    </row>
    <row r="75" spans="1:24">
      <c r="A75" s="590"/>
      <c r="R75" s="590"/>
    </row>
    <row r="76" spans="1:24" ht="51" customHeight="1">
      <c r="A76" s="590"/>
      <c r="B76" s="2" t="s">
        <v>680</v>
      </c>
      <c r="C76" s="15" t="s">
        <v>727</v>
      </c>
      <c r="D76" s="15" t="s">
        <v>728</v>
      </c>
      <c r="E76" s="2" t="s">
        <v>683</v>
      </c>
      <c r="F76" s="2" t="s">
        <v>132</v>
      </c>
      <c r="H76" s="2" t="s">
        <v>684</v>
      </c>
      <c r="I76" s="2">
        <v>6.75</v>
      </c>
      <c r="N76" s="2">
        <f>COUNT(J76:K76)</f>
        <v>0</v>
      </c>
      <c r="O76" s="2" t="s">
        <v>921</v>
      </c>
      <c r="R76" s="590"/>
      <c r="W76" s="2">
        <f>COUNT(S76:T76)</f>
        <v>0</v>
      </c>
      <c r="X76" s="2" t="s">
        <v>928</v>
      </c>
    </row>
    <row r="77" spans="1:24" ht="26.4">
      <c r="A77" s="590"/>
      <c r="H77" s="10" t="s">
        <v>685</v>
      </c>
      <c r="I77" s="10">
        <v>0.21</v>
      </c>
      <c r="J77" s="10"/>
      <c r="K77" s="10"/>
      <c r="L77" s="10"/>
      <c r="M77" s="10"/>
      <c r="N77" s="10">
        <f>COUNT(J77:K77)</f>
        <v>0</v>
      </c>
      <c r="O77" s="10" t="s">
        <v>921</v>
      </c>
      <c r="R77" s="590"/>
      <c r="S77" s="10"/>
      <c r="T77" s="10"/>
      <c r="U77" s="10"/>
      <c r="V77" s="10"/>
      <c r="W77" s="10">
        <f>COUNT(S77:T77)</f>
        <v>0</v>
      </c>
      <c r="X77" s="10" t="s">
        <v>916</v>
      </c>
    </row>
    <row r="78" spans="1:24">
      <c r="A78" s="590"/>
      <c r="R78" s="590"/>
    </row>
    <row r="79" spans="1:24" ht="26.4">
      <c r="A79" s="590"/>
      <c r="B79" s="2" t="s">
        <v>680</v>
      </c>
      <c r="C79" s="15" t="s">
        <v>727</v>
      </c>
      <c r="D79" s="15" t="s">
        <v>728</v>
      </c>
      <c r="E79" s="15" t="s">
        <v>693</v>
      </c>
      <c r="F79" s="2" t="s">
        <v>132</v>
      </c>
      <c r="H79" s="2" t="s">
        <v>684</v>
      </c>
      <c r="I79" s="2">
        <v>6.75</v>
      </c>
      <c r="N79" s="2">
        <f>COUNT(J79:K79)</f>
        <v>0</v>
      </c>
      <c r="O79" s="2" t="s">
        <v>928</v>
      </c>
      <c r="R79" s="590"/>
      <c r="W79" s="2">
        <f>COUNT(S79:T79)</f>
        <v>0</v>
      </c>
      <c r="X79" s="2" t="s">
        <v>916</v>
      </c>
    </row>
    <row r="80" spans="1:24" ht="26.4">
      <c r="A80" s="590"/>
      <c r="H80" s="10" t="s">
        <v>685</v>
      </c>
      <c r="I80" s="10">
        <v>0.21</v>
      </c>
      <c r="J80" s="10"/>
      <c r="K80" s="10"/>
      <c r="L80" s="10"/>
      <c r="M80" s="10"/>
      <c r="N80" s="10">
        <f>COUNT(J80:K80)</f>
        <v>0</v>
      </c>
      <c r="O80" s="10" t="s">
        <v>928</v>
      </c>
      <c r="R80" s="590"/>
      <c r="S80" s="10"/>
      <c r="T80" s="10"/>
      <c r="U80" s="10"/>
      <c r="V80" s="10"/>
      <c r="W80" s="10">
        <f>COUNT(S80:T80)</f>
        <v>0</v>
      </c>
      <c r="X80" s="10" t="s">
        <v>954</v>
      </c>
    </row>
    <row r="82" spans="1:22">
      <c r="A82" s="481" t="str">
        <f>"MAX-MIN={" &amp; A84 &amp;"," &amp; A93 &amp; "},{" &amp; B84 &amp; "," &amp; B99 &amp; "},{" &amp; B83 &amp; "," &amp; B86 &amp; "},{" &amp; G84 &amp; "}"</f>
        <v>MAX-MIN={DL Spectral efficiency,UL Spectral Efficiency},{NR,LTE},{FDD,TDD},{5th percentile [bit/s/Hz]}</v>
      </c>
      <c r="G82" s="2"/>
      <c r="V82" s="479"/>
    </row>
    <row r="83" spans="1:22">
      <c r="B83" s="481" t="s">
        <v>827</v>
      </c>
      <c r="G83" s="2"/>
      <c r="K83" s="479" t="s">
        <v>964</v>
      </c>
      <c r="T83" s="479" t="s">
        <v>964</v>
      </c>
    </row>
    <row r="84" spans="1:22">
      <c r="A84" s="482" t="s">
        <v>960</v>
      </c>
      <c r="B84" s="479" t="s">
        <v>972</v>
      </c>
      <c r="G84" s="480" t="s">
        <v>685</v>
      </c>
      <c r="J84" s="582" t="s">
        <v>967</v>
      </c>
      <c r="K84" s="484" t="s">
        <v>962</v>
      </c>
      <c r="L84" s="255"/>
      <c r="S84" s="582" t="s">
        <v>967</v>
      </c>
      <c r="T84" s="484" t="s">
        <v>962</v>
      </c>
      <c r="U84" s="255"/>
    </row>
    <row r="85" spans="1:22">
      <c r="A85" s="482" t="s">
        <v>960</v>
      </c>
      <c r="B85" s="479" t="s">
        <v>972</v>
      </c>
      <c r="G85" s="480" t="s">
        <v>685</v>
      </c>
      <c r="J85" s="583"/>
      <c r="K85" s="484" t="s">
        <v>963</v>
      </c>
      <c r="L85" s="255"/>
      <c r="S85" s="583"/>
      <c r="T85" s="484" t="s">
        <v>963</v>
      </c>
      <c r="U85" s="255"/>
    </row>
    <row r="86" spans="1:22">
      <c r="B86" s="481" t="s">
        <v>789</v>
      </c>
      <c r="G86" s="2"/>
      <c r="K86" s="479" t="s">
        <v>966</v>
      </c>
      <c r="T86" s="479" t="s">
        <v>966</v>
      </c>
    </row>
    <row r="87" spans="1:22">
      <c r="A87" s="482" t="s">
        <v>960</v>
      </c>
      <c r="B87" s="479" t="s">
        <v>972</v>
      </c>
      <c r="G87" s="480" t="s">
        <v>685</v>
      </c>
      <c r="J87" s="582" t="s">
        <v>789</v>
      </c>
      <c r="K87" s="484" t="s">
        <v>962</v>
      </c>
      <c r="L87" s="255"/>
      <c r="S87" s="582" t="s">
        <v>789</v>
      </c>
      <c r="T87" s="484" t="s">
        <v>962</v>
      </c>
      <c r="U87" s="255"/>
    </row>
    <row r="88" spans="1:22">
      <c r="A88" s="482" t="s">
        <v>960</v>
      </c>
      <c r="B88" s="479" t="s">
        <v>972</v>
      </c>
      <c r="G88" s="480" t="s">
        <v>685</v>
      </c>
      <c r="J88" s="583"/>
      <c r="K88" s="484" t="s">
        <v>963</v>
      </c>
      <c r="L88" s="255"/>
      <c r="S88" s="583"/>
      <c r="T88" s="484" t="s">
        <v>963</v>
      </c>
      <c r="U88" s="255"/>
    </row>
    <row r="89" spans="1:22">
      <c r="B89" s="481"/>
      <c r="G89" s="2"/>
    </row>
    <row r="90" spans="1:22">
      <c r="B90" s="481"/>
      <c r="G90" s="2"/>
    </row>
    <row r="91" spans="1:22">
      <c r="G91" s="2"/>
    </row>
    <row r="92" spans="1:22">
      <c r="B92" s="481" t="s">
        <v>827</v>
      </c>
      <c r="G92" s="2"/>
      <c r="K92" s="479" t="s">
        <v>965</v>
      </c>
      <c r="T92" s="479" t="s">
        <v>965</v>
      </c>
    </row>
    <row r="93" spans="1:22">
      <c r="A93" s="483" t="s">
        <v>961</v>
      </c>
      <c r="B93" s="479" t="s">
        <v>972</v>
      </c>
      <c r="G93" s="480" t="s">
        <v>685</v>
      </c>
      <c r="J93" s="582" t="s">
        <v>967</v>
      </c>
      <c r="K93" s="484" t="s">
        <v>962</v>
      </c>
      <c r="L93" s="255"/>
      <c r="S93" s="582" t="s">
        <v>967</v>
      </c>
      <c r="T93" s="484" t="s">
        <v>962</v>
      </c>
      <c r="U93" s="255"/>
    </row>
    <row r="94" spans="1:22">
      <c r="A94" s="483" t="s">
        <v>961</v>
      </c>
      <c r="B94" s="479" t="s">
        <v>972</v>
      </c>
      <c r="G94" s="480" t="s">
        <v>685</v>
      </c>
      <c r="J94" s="583"/>
      <c r="K94" s="484" t="s">
        <v>963</v>
      </c>
      <c r="L94" s="255"/>
      <c r="S94" s="583"/>
      <c r="T94" s="484" t="s">
        <v>963</v>
      </c>
      <c r="U94" s="255"/>
    </row>
    <row r="95" spans="1:22">
      <c r="B95" s="481" t="s">
        <v>789</v>
      </c>
      <c r="G95" s="2"/>
    </row>
    <row r="96" spans="1:22">
      <c r="A96" s="483" t="s">
        <v>961</v>
      </c>
      <c r="B96" s="479" t="s">
        <v>972</v>
      </c>
      <c r="G96" s="480" t="s">
        <v>685</v>
      </c>
      <c r="J96" s="582" t="s">
        <v>789</v>
      </c>
      <c r="K96" s="484" t="s">
        <v>962</v>
      </c>
      <c r="L96" s="255"/>
      <c r="S96" s="582" t="s">
        <v>789</v>
      </c>
      <c r="T96" s="484" t="s">
        <v>962</v>
      </c>
      <c r="U96" s="255"/>
    </row>
    <row r="97" spans="1:21">
      <c r="A97" s="483" t="s">
        <v>961</v>
      </c>
      <c r="B97" s="479" t="s">
        <v>972</v>
      </c>
      <c r="G97" s="480" t="s">
        <v>685</v>
      </c>
      <c r="J97" s="583"/>
      <c r="K97" s="484" t="s">
        <v>963</v>
      </c>
      <c r="L97" s="255"/>
      <c r="S97" s="583"/>
      <c r="T97" s="484" t="s">
        <v>963</v>
      </c>
      <c r="U97" s="255"/>
    </row>
    <row r="98" spans="1:21">
      <c r="G98" s="2"/>
    </row>
    <row r="99" spans="1:21">
      <c r="B99" s="479" t="s">
        <v>975</v>
      </c>
      <c r="G99" s="2"/>
    </row>
    <row r="100" spans="1:21">
      <c r="G100" s="2"/>
    </row>
  </sheetData>
  <mergeCells count="13">
    <mergeCell ref="H1:I1"/>
    <mergeCell ref="A62:A71"/>
    <mergeCell ref="A74:A80"/>
    <mergeCell ref="R6:R10"/>
    <mergeCell ref="R62:R80"/>
    <mergeCell ref="J96:J97"/>
    <mergeCell ref="S96:S97"/>
    <mergeCell ref="J84:J85"/>
    <mergeCell ref="S84:S85"/>
    <mergeCell ref="J87:J88"/>
    <mergeCell ref="S87:S88"/>
    <mergeCell ref="J93:J94"/>
    <mergeCell ref="S93:S94"/>
  </mergeCells>
  <phoneticPr fontId="21" type="noConversion"/>
  <pageMargins left="0.69930555555555596" right="0.69930555555555596"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V129"/>
  <sheetViews>
    <sheetView zoomScale="70" zoomScaleNormal="70" workbookViewId="0">
      <pane xSplit="9" ySplit="1" topLeftCell="J2" activePane="bottomRight" state="frozen"/>
      <selection pane="topRight"/>
      <selection pane="bottomLeft"/>
      <selection pane="bottomRight" activeCell="O10" sqref="O10"/>
    </sheetView>
  </sheetViews>
  <sheetFormatPr defaultColWidth="9.44140625" defaultRowHeight="13.2"/>
  <cols>
    <col min="1" max="1" width="12.44140625" style="2" customWidth="1"/>
    <col min="2" max="2" width="6.44140625" style="2" customWidth="1"/>
    <col min="3" max="3" width="24.109375" style="2" customWidth="1"/>
    <col min="4" max="4" width="17.44140625" style="2" customWidth="1"/>
    <col min="5" max="5" width="11.88671875" style="2" customWidth="1"/>
    <col min="6" max="6" width="9.109375" style="2" customWidth="1"/>
    <col min="7" max="7" width="11" style="9" customWidth="1"/>
    <col min="8" max="8" width="16.44140625" style="2" customWidth="1"/>
    <col min="9" max="9" width="6.44140625" style="2" customWidth="1"/>
    <col min="10" max="16" width="9.44140625" style="2" customWidth="1"/>
    <col min="17" max="16384" width="9.44140625" style="2"/>
  </cols>
  <sheetData>
    <row r="1" spans="1:16" s="1" customFormat="1" ht="42" customHeight="1">
      <c r="A1" s="4" t="s">
        <v>729</v>
      </c>
      <c r="B1" s="1" t="s">
        <v>671</v>
      </c>
      <c r="C1" s="1" t="s">
        <v>672</v>
      </c>
      <c r="D1" s="1" t="s">
        <v>673</v>
      </c>
      <c r="E1" s="1" t="s">
        <v>112</v>
      </c>
      <c r="F1" s="1" t="s">
        <v>128</v>
      </c>
      <c r="G1" s="1" t="s">
        <v>773</v>
      </c>
      <c r="H1" s="584" t="s">
        <v>674</v>
      </c>
      <c r="I1" s="584"/>
      <c r="J1" s="1" t="s">
        <v>17</v>
      </c>
      <c r="K1" s="1" t="s">
        <v>5</v>
      </c>
      <c r="L1" s="1" t="s">
        <v>21</v>
      </c>
      <c r="M1" s="1" t="s">
        <v>675</v>
      </c>
      <c r="N1" s="1" t="s">
        <v>676</v>
      </c>
      <c r="O1" s="1" t="s">
        <v>677</v>
      </c>
      <c r="P1" s="1" t="s">
        <v>955</v>
      </c>
    </row>
    <row r="2" spans="1:16">
      <c r="A2" s="5"/>
      <c r="B2" s="6" t="s">
        <v>103</v>
      </c>
      <c r="C2" s="6"/>
      <c r="D2" s="7"/>
      <c r="E2" s="7"/>
      <c r="F2" s="7"/>
      <c r="G2" s="8"/>
      <c r="H2" s="7"/>
      <c r="I2" s="7"/>
      <c r="J2" s="7"/>
      <c r="K2" s="7"/>
      <c r="L2" s="7"/>
      <c r="M2" s="7"/>
      <c r="N2" s="7"/>
      <c r="O2" s="7"/>
      <c r="P2" s="7"/>
    </row>
    <row r="3" spans="1:16" ht="52.8">
      <c r="A3" s="5"/>
      <c r="B3" s="2" t="s">
        <v>680</v>
      </c>
      <c r="C3" s="2" t="s">
        <v>730</v>
      </c>
      <c r="D3" s="2" t="s">
        <v>731</v>
      </c>
      <c r="E3" s="2" t="s">
        <v>732</v>
      </c>
      <c r="G3" s="9">
        <v>80</v>
      </c>
      <c r="H3" s="2" t="s">
        <v>684</v>
      </c>
      <c r="I3" s="2">
        <v>9</v>
      </c>
      <c r="O3" s="2">
        <f>COUNT(J3:L3)</f>
        <v>0</v>
      </c>
      <c r="P3" s="2" t="s">
        <v>916</v>
      </c>
    </row>
    <row r="4" spans="1:16" ht="26.4">
      <c r="A4" s="5"/>
      <c r="G4" s="9">
        <v>80</v>
      </c>
      <c r="H4" s="10" t="s">
        <v>685</v>
      </c>
      <c r="I4" s="10">
        <v>0.3</v>
      </c>
      <c r="J4" s="10"/>
      <c r="K4" s="10"/>
      <c r="L4" s="10"/>
      <c r="M4" s="10"/>
      <c r="N4" s="10"/>
      <c r="O4" s="10">
        <f>COUNT(J4:L4)</f>
        <v>0</v>
      </c>
      <c r="P4" s="10" t="s">
        <v>911</v>
      </c>
    </row>
    <row r="5" spans="1:16">
      <c r="A5" s="5"/>
    </row>
    <row r="6" spans="1:16" ht="52.8">
      <c r="A6" s="5"/>
      <c r="B6" s="2" t="s">
        <v>680</v>
      </c>
      <c r="C6" s="2" t="s">
        <v>733</v>
      </c>
      <c r="D6" s="2" t="s">
        <v>734</v>
      </c>
      <c r="E6" s="2" t="s">
        <v>732</v>
      </c>
      <c r="G6" s="9">
        <v>80</v>
      </c>
      <c r="H6" s="2" t="s">
        <v>684</v>
      </c>
      <c r="I6" s="2">
        <v>9</v>
      </c>
      <c r="O6" s="2">
        <f>COUNT(J6:L6)</f>
        <v>0</v>
      </c>
      <c r="P6" s="2" t="s">
        <v>924</v>
      </c>
    </row>
    <row r="7" spans="1:16" ht="26.4">
      <c r="A7" s="5"/>
      <c r="G7" s="9">
        <v>80</v>
      </c>
      <c r="H7" s="10" t="s">
        <v>685</v>
      </c>
      <c r="I7" s="10">
        <v>0.3</v>
      </c>
      <c r="J7" s="10"/>
      <c r="K7" s="10"/>
      <c r="L7" s="10"/>
      <c r="M7" s="10"/>
      <c r="N7" s="10"/>
      <c r="O7" s="10">
        <f>COUNT(J7:L7)</f>
        <v>0</v>
      </c>
      <c r="P7" s="10" t="s">
        <v>924</v>
      </c>
    </row>
    <row r="8" spans="1:16">
      <c r="A8" s="5"/>
    </row>
    <row r="9" spans="1:16" ht="52.8">
      <c r="A9" s="588" t="s">
        <v>679</v>
      </c>
      <c r="B9" s="2" t="s">
        <v>680</v>
      </c>
      <c r="C9" s="2" t="s">
        <v>735</v>
      </c>
      <c r="D9" s="2" t="s">
        <v>736</v>
      </c>
      <c r="E9" s="2" t="s">
        <v>732</v>
      </c>
      <c r="G9" s="9">
        <v>80</v>
      </c>
      <c r="H9" s="2" t="s">
        <v>684</v>
      </c>
      <c r="I9" s="2">
        <v>9</v>
      </c>
      <c r="O9" s="2">
        <f>COUNT(J9:L9)</f>
        <v>0</v>
      </c>
      <c r="P9" s="2" t="s">
        <v>911</v>
      </c>
    </row>
    <row r="10" spans="1:16" ht="26.4">
      <c r="A10" s="588"/>
      <c r="G10" s="9">
        <v>80</v>
      </c>
      <c r="H10" s="10" t="s">
        <v>685</v>
      </c>
      <c r="I10" s="10">
        <v>0.3</v>
      </c>
      <c r="J10" s="10"/>
      <c r="K10" s="10"/>
      <c r="L10" s="10"/>
      <c r="M10" s="10"/>
      <c r="N10" s="10"/>
      <c r="O10" s="10">
        <f>COUNT(J10:L10)</f>
        <v>0</v>
      </c>
      <c r="P10" s="10" t="s">
        <v>911</v>
      </c>
    </row>
    <row r="11" spans="1:16" ht="52.8">
      <c r="A11" s="588"/>
      <c r="B11" s="2" t="s">
        <v>680</v>
      </c>
      <c r="C11" s="13" t="s">
        <v>737</v>
      </c>
      <c r="D11" s="13" t="s">
        <v>738</v>
      </c>
      <c r="E11" s="13" t="s">
        <v>732</v>
      </c>
      <c r="G11" s="9">
        <v>80</v>
      </c>
      <c r="H11" s="2" t="s">
        <v>684</v>
      </c>
      <c r="I11" s="2">
        <v>9</v>
      </c>
      <c r="J11" s="2">
        <v>12.271999999999998</v>
      </c>
      <c r="M11" s="2">
        <f>AVERAGE(J11:L11)</f>
        <v>12.271999999999998</v>
      </c>
      <c r="O11" s="2">
        <f>COUNT(J11:L11)</f>
        <v>1</v>
      </c>
      <c r="P11" s="2" t="s">
        <v>956</v>
      </c>
    </row>
    <row r="12" spans="1:16" ht="26.4">
      <c r="A12" s="588"/>
      <c r="G12" s="9">
        <v>80</v>
      </c>
      <c r="H12" s="10" t="s">
        <v>685</v>
      </c>
      <c r="I12" s="10">
        <v>0.3</v>
      </c>
      <c r="J12" s="10">
        <v>0.44416666666666665</v>
      </c>
      <c r="K12" s="10"/>
      <c r="L12" s="10"/>
      <c r="M12" s="10">
        <f>AVERAGE(J12:L12)</f>
        <v>0.44416666666666665</v>
      </c>
      <c r="N12" s="10"/>
      <c r="O12" s="10">
        <f>COUNT(J12:L12)</f>
        <v>1</v>
      </c>
      <c r="P12" s="10" t="s">
        <v>909</v>
      </c>
    </row>
    <row r="13" spans="1:16">
      <c r="A13" s="588"/>
      <c r="G13" s="2"/>
    </row>
    <row r="14" spans="1:16" ht="66.75" customHeight="1">
      <c r="A14" s="588"/>
      <c r="B14" s="2" t="s">
        <v>680</v>
      </c>
      <c r="C14" s="13" t="s">
        <v>737</v>
      </c>
      <c r="D14" s="13" t="s">
        <v>738</v>
      </c>
      <c r="E14" s="13" t="s">
        <v>739</v>
      </c>
      <c r="G14" s="9">
        <v>80</v>
      </c>
      <c r="H14" s="2" t="s">
        <v>684</v>
      </c>
      <c r="I14" s="2">
        <v>9</v>
      </c>
      <c r="O14" s="2">
        <f>COUNT(J14:L14)</f>
        <v>0</v>
      </c>
      <c r="P14" s="2" t="s">
        <v>921</v>
      </c>
    </row>
    <row r="15" spans="1:16" ht="27" customHeight="1">
      <c r="A15" s="588"/>
      <c r="G15" s="9">
        <v>80</v>
      </c>
      <c r="H15" s="10" t="s">
        <v>685</v>
      </c>
      <c r="I15" s="10">
        <v>0.3</v>
      </c>
      <c r="J15" s="10"/>
      <c r="K15" s="10"/>
      <c r="L15" s="10"/>
      <c r="M15" s="10"/>
      <c r="N15" s="10"/>
      <c r="O15" s="10">
        <f>COUNT(J15:L15)</f>
        <v>0</v>
      </c>
      <c r="P15" s="10" t="s">
        <v>916</v>
      </c>
    </row>
    <row r="16" spans="1:16">
      <c r="A16" s="588"/>
    </row>
    <row r="17" spans="1:16" ht="13.35" customHeight="1">
      <c r="A17" s="588"/>
      <c r="B17" s="11" t="s">
        <v>104</v>
      </c>
      <c r="C17" s="11"/>
      <c r="D17" s="11"/>
      <c r="E17" s="11"/>
      <c r="F17" s="11"/>
      <c r="G17" s="12"/>
      <c r="H17" s="6"/>
      <c r="I17" s="6"/>
      <c r="J17" s="6"/>
      <c r="K17" s="6"/>
      <c r="L17" s="6"/>
      <c r="M17" s="6"/>
      <c r="N17" s="6"/>
      <c r="O17" s="6"/>
      <c r="P17" s="6"/>
    </row>
    <row r="18" spans="1:16" ht="52.8">
      <c r="A18" s="588"/>
      <c r="B18" s="2" t="s">
        <v>680</v>
      </c>
      <c r="C18" s="13" t="s">
        <v>740</v>
      </c>
      <c r="D18" s="13" t="s">
        <v>741</v>
      </c>
      <c r="E18" s="13" t="s">
        <v>732</v>
      </c>
      <c r="F18" s="2" t="s">
        <v>130</v>
      </c>
      <c r="G18" s="9">
        <v>100</v>
      </c>
      <c r="H18" s="2" t="s">
        <v>684</v>
      </c>
      <c r="I18" s="2">
        <v>9</v>
      </c>
      <c r="J18" s="2">
        <v>13.858000000000001</v>
      </c>
      <c r="M18" s="2">
        <f t="shared" ref="M18:M27" si="0">AVERAGE(J18:L18)</f>
        <v>13.858000000000001</v>
      </c>
      <c r="O18" s="2">
        <f t="shared" ref="O18:O27" si="1">COUNT(J18:L18)</f>
        <v>1</v>
      </c>
      <c r="P18" s="2" t="s">
        <v>910</v>
      </c>
    </row>
    <row r="19" spans="1:16" ht="26.4">
      <c r="A19" s="588"/>
      <c r="G19" s="9">
        <v>200</v>
      </c>
      <c r="H19" s="2" t="s">
        <v>684</v>
      </c>
      <c r="I19" s="2">
        <v>9</v>
      </c>
      <c r="J19" s="2">
        <v>15.49</v>
      </c>
      <c r="M19" s="2">
        <f t="shared" si="0"/>
        <v>15.49</v>
      </c>
      <c r="O19" s="2">
        <f t="shared" si="1"/>
        <v>1</v>
      </c>
      <c r="P19" s="2" t="s">
        <v>917</v>
      </c>
    </row>
    <row r="20" spans="1:16" ht="26.4">
      <c r="A20" s="588"/>
      <c r="G20" s="9">
        <v>400</v>
      </c>
      <c r="H20" s="2" t="s">
        <v>684</v>
      </c>
      <c r="I20" s="2">
        <v>9</v>
      </c>
      <c r="J20" s="2">
        <v>16.25</v>
      </c>
      <c r="M20" s="2">
        <f t="shared" si="0"/>
        <v>16.25</v>
      </c>
      <c r="O20" s="2">
        <f t="shared" si="1"/>
        <v>1</v>
      </c>
      <c r="P20" s="2" t="s">
        <v>917</v>
      </c>
    </row>
    <row r="21" spans="1:16" ht="26.4">
      <c r="A21" s="588"/>
      <c r="G21" s="9">
        <v>100</v>
      </c>
      <c r="H21" s="10" t="s">
        <v>685</v>
      </c>
      <c r="I21" s="10">
        <v>0.3</v>
      </c>
      <c r="J21" s="10">
        <v>0.47599999999999998</v>
      </c>
      <c r="K21" s="10"/>
      <c r="L21" s="10"/>
      <c r="M21" s="10">
        <f t="shared" si="0"/>
        <v>0.47599999999999998</v>
      </c>
      <c r="N21" s="10"/>
      <c r="O21" s="10">
        <f t="shared" si="1"/>
        <v>1</v>
      </c>
      <c r="P21" s="10" t="s">
        <v>913</v>
      </c>
    </row>
    <row r="22" spans="1:16" ht="26.4">
      <c r="A22" s="588"/>
      <c r="G22" s="9">
        <v>200</v>
      </c>
      <c r="H22" s="10" t="s">
        <v>685</v>
      </c>
      <c r="I22" s="10">
        <v>0.3</v>
      </c>
      <c r="J22" s="10">
        <v>0.53</v>
      </c>
      <c r="K22" s="10"/>
      <c r="L22" s="10"/>
      <c r="M22" s="10">
        <f t="shared" si="0"/>
        <v>0.53</v>
      </c>
      <c r="N22" s="10"/>
      <c r="O22" s="10">
        <f t="shared" si="1"/>
        <v>1</v>
      </c>
      <c r="P22" s="10" t="s">
        <v>910</v>
      </c>
    </row>
    <row r="23" spans="1:16" ht="26.4">
      <c r="A23" s="588"/>
      <c r="G23" s="9">
        <v>400</v>
      </c>
      <c r="H23" s="10" t="s">
        <v>685</v>
      </c>
      <c r="I23" s="10">
        <v>0.3</v>
      </c>
      <c r="J23" s="10">
        <v>0.56000000000000005</v>
      </c>
      <c r="K23" s="10"/>
      <c r="L23" s="10"/>
      <c r="M23" s="10">
        <f t="shared" si="0"/>
        <v>0.56000000000000005</v>
      </c>
      <c r="N23" s="10"/>
      <c r="O23" s="10">
        <f t="shared" si="1"/>
        <v>1</v>
      </c>
      <c r="P23" s="10" t="s">
        <v>910</v>
      </c>
    </row>
    <row r="24" spans="1:16" ht="54" customHeight="1">
      <c r="A24" s="588"/>
      <c r="B24" s="2" t="s">
        <v>680</v>
      </c>
      <c r="C24" s="2" t="s">
        <v>740</v>
      </c>
      <c r="D24" s="2" t="s">
        <v>741</v>
      </c>
      <c r="E24" s="2" t="s">
        <v>739</v>
      </c>
      <c r="F24" s="2" t="s">
        <v>130</v>
      </c>
      <c r="G24" s="9">
        <v>80</v>
      </c>
      <c r="H24" s="2" t="s">
        <v>684</v>
      </c>
      <c r="I24" s="2">
        <v>9</v>
      </c>
      <c r="J24" s="2">
        <v>13.76</v>
      </c>
      <c r="K24" s="2">
        <v>11.598792452830189</v>
      </c>
      <c r="M24" s="2">
        <f t="shared" si="0"/>
        <v>12.679396226415093</v>
      </c>
      <c r="N24" s="2">
        <f>_xlfn.STDEV.S(J24:L24)</f>
        <v>1.5282045121553185</v>
      </c>
      <c r="O24" s="2">
        <f t="shared" si="1"/>
        <v>2</v>
      </c>
      <c r="P24" s="2" t="s">
        <v>910</v>
      </c>
    </row>
    <row r="25" spans="1:16" ht="54" customHeight="1">
      <c r="A25" s="588"/>
      <c r="G25" s="9">
        <v>200</v>
      </c>
      <c r="H25" s="2" t="s">
        <v>684</v>
      </c>
      <c r="I25" s="2">
        <v>9</v>
      </c>
      <c r="J25" s="2">
        <v>15.38</v>
      </c>
      <c r="K25" s="2">
        <v>13.345798781766488</v>
      </c>
      <c r="M25" s="2">
        <f t="shared" si="0"/>
        <v>14.362899390883245</v>
      </c>
      <c r="N25" s="2">
        <f>_xlfn.STDEV.S(J25:L25)</f>
        <v>1.4383974757108529</v>
      </c>
      <c r="O25" s="2">
        <f t="shared" si="1"/>
        <v>2</v>
      </c>
      <c r="P25" s="2" t="s">
        <v>957</v>
      </c>
    </row>
    <row r="26" spans="1:16" ht="26.4">
      <c r="A26" s="588"/>
      <c r="G26" s="9">
        <v>80</v>
      </c>
      <c r="H26" s="10" t="s">
        <v>685</v>
      </c>
      <c r="I26" s="10">
        <v>0.3</v>
      </c>
      <c r="J26" s="10">
        <v>0.49099999999999999</v>
      </c>
      <c r="K26" s="10">
        <v>0.30769811320754714</v>
      </c>
      <c r="L26" s="10"/>
      <c r="M26" s="10">
        <f t="shared" si="0"/>
        <v>0.39934905660377357</v>
      </c>
      <c r="N26" s="10">
        <f>_xlfn.STDEV.S(J26:L26)</f>
        <v>0.12961400715523227</v>
      </c>
      <c r="O26" s="10">
        <f t="shared" si="1"/>
        <v>2</v>
      </c>
      <c r="P26" s="10" t="s">
        <v>910</v>
      </c>
    </row>
    <row r="27" spans="1:16" ht="26.4">
      <c r="A27" s="588"/>
      <c r="G27" s="9">
        <v>200</v>
      </c>
      <c r="H27" s="10" t="s">
        <v>685</v>
      </c>
      <c r="I27" s="10">
        <v>0.3</v>
      </c>
      <c r="J27" s="10">
        <v>0.55000000000000004</v>
      </c>
      <c r="K27" s="10">
        <v>0.35404350246780386</v>
      </c>
      <c r="L27" s="10"/>
      <c r="M27" s="10">
        <f t="shared" si="0"/>
        <v>0.45202175123390198</v>
      </c>
      <c r="N27" s="10">
        <f>_xlfn.STDEV.S(J27:L27)</f>
        <v>0.13856216822258077</v>
      </c>
      <c r="O27" s="10">
        <f t="shared" si="1"/>
        <v>2</v>
      </c>
      <c r="P27" s="10" t="s">
        <v>910</v>
      </c>
    </row>
    <row r="28" spans="1:16">
      <c r="A28" s="588"/>
    </row>
    <row r="29" spans="1:16" ht="52.8">
      <c r="A29" s="588"/>
      <c r="B29" s="2" t="s">
        <v>680</v>
      </c>
      <c r="C29" s="2" t="s">
        <v>742</v>
      </c>
      <c r="D29" s="2" t="s">
        <v>743</v>
      </c>
      <c r="E29" s="2" t="s">
        <v>732</v>
      </c>
      <c r="F29" s="2" t="s">
        <v>132</v>
      </c>
      <c r="G29" s="9">
        <v>100</v>
      </c>
      <c r="H29" s="2" t="s">
        <v>684</v>
      </c>
      <c r="I29" s="2">
        <v>9</v>
      </c>
      <c r="O29" s="2">
        <f t="shared" ref="O29:O34" si="2">COUNT(J29:L29)</f>
        <v>0</v>
      </c>
      <c r="P29" s="2" t="s">
        <v>921</v>
      </c>
    </row>
    <row r="30" spans="1:16" ht="26.4">
      <c r="A30" s="588"/>
      <c r="G30" s="9">
        <v>200</v>
      </c>
      <c r="H30" s="2" t="s">
        <v>684</v>
      </c>
      <c r="I30" s="2">
        <v>9</v>
      </c>
      <c r="O30" s="2">
        <f t="shared" si="2"/>
        <v>0</v>
      </c>
      <c r="P30" s="2" t="s">
        <v>916</v>
      </c>
    </row>
    <row r="31" spans="1:16" ht="26.4">
      <c r="A31" s="588"/>
      <c r="G31" s="9">
        <v>400</v>
      </c>
      <c r="H31" s="2" t="s">
        <v>684</v>
      </c>
      <c r="I31" s="2">
        <v>9</v>
      </c>
      <c r="O31" s="2">
        <f t="shared" si="2"/>
        <v>0</v>
      </c>
      <c r="P31" s="2" t="s">
        <v>921</v>
      </c>
    </row>
    <row r="32" spans="1:16" ht="26.4">
      <c r="A32" s="588"/>
      <c r="G32" s="9">
        <v>100</v>
      </c>
      <c r="H32" s="10" t="s">
        <v>685</v>
      </c>
      <c r="I32" s="10">
        <v>0.3</v>
      </c>
      <c r="J32" s="10"/>
      <c r="K32" s="10"/>
      <c r="L32" s="10"/>
      <c r="M32" s="10"/>
      <c r="N32" s="10"/>
      <c r="O32" s="10">
        <f t="shared" si="2"/>
        <v>0</v>
      </c>
      <c r="P32" s="10" t="s">
        <v>938</v>
      </c>
    </row>
    <row r="33" spans="1:16" ht="26.4">
      <c r="A33" s="14"/>
      <c r="G33" s="9">
        <v>200</v>
      </c>
      <c r="H33" s="10" t="s">
        <v>685</v>
      </c>
      <c r="I33" s="10">
        <v>0.3</v>
      </c>
      <c r="J33" s="10"/>
      <c r="K33" s="10"/>
      <c r="L33" s="10"/>
      <c r="M33" s="10"/>
      <c r="N33" s="10"/>
      <c r="O33" s="10">
        <f t="shared" si="2"/>
        <v>0</v>
      </c>
      <c r="P33" s="10" t="s">
        <v>925</v>
      </c>
    </row>
    <row r="34" spans="1:16" ht="26.4">
      <c r="A34" s="14"/>
      <c r="G34" s="9">
        <v>400</v>
      </c>
      <c r="H34" s="10" t="s">
        <v>685</v>
      </c>
      <c r="I34" s="10">
        <v>0.3</v>
      </c>
      <c r="J34" s="10"/>
      <c r="K34" s="10"/>
      <c r="L34" s="10"/>
      <c r="M34" s="10"/>
      <c r="N34" s="10"/>
      <c r="O34" s="10">
        <f t="shared" si="2"/>
        <v>0</v>
      </c>
      <c r="P34" s="10" t="s">
        <v>958</v>
      </c>
    </row>
    <row r="35" spans="1:16">
      <c r="A35" s="14"/>
    </row>
    <row r="36" spans="1:16" ht="52.8">
      <c r="A36" s="14"/>
      <c r="B36" s="2" t="s">
        <v>680</v>
      </c>
      <c r="C36" s="2" t="s">
        <v>744</v>
      </c>
      <c r="D36" s="15" t="s">
        <v>745</v>
      </c>
      <c r="E36" s="15" t="s">
        <v>739</v>
      </c>
      <c r="F36" s="2" t="s">
        <v>132</v>
      </c>
      <c r="G36" s="9">
        <v>80</v>
      </c>
      <c r="H36" s="2" t="s">
        <v>684</v>
      </c>
      <c r="I36" s="2">
        <v>9</v>
      </c>
      <c r="O36" s="2">
        <f>COUNT(J36:L36)</f>
        <v>0</v>
      </c>
      <c r="P36" s="2" t="s">
        <v>916</v>
      </c>
    </row>
    <row r="37" spans="1:16" ht="26.4">
      <c r="A37" s="14"/>
      <c r="D37" s="15"/>
      <c r="E37" s="15"/>
      <c r="G37" s="9">
        <v>200</v>
      </c>
      <c r="H37" s="2" t="s">
        <v>684</v>
      </c>
      <c r="I37" s="2">
        <v>9</v>
      </c>
      <c r="O37" s="2">
        <f>COUNT(J37:L37)</f>
        <v>0</v>
      </c>
      <c r="P37" s="2" t="s">
        <v>921</v>
      </c>
    </row>
    <row r="38" spans="1:16" ht="26.4">
      <c r="A38" s="14"/>
      <c r="G38" s="9">
        <v>80</v>
      </c>
      <c r="H38" s="10" t="s">
        <v>685</v>
      </c>
      <c r="I38" s="10">
        <v>0.3</v>
      </c>
      <c r="J38" s="10"/>
      <c r="K38" s="10"/>
      <c r="L38" s="10"/>
      <c r="M38" s="10"/>
      <c r="N38" s="10"/>
      <c r="O38" s="10">
        <f>COUNT(J38:L38)</f>
        <v>0</v>
      </c>
      <c r="P38" s="10" t="s">
        <v>916</v>
      </c>
    </row>
    <row r="39" spans="1:16" ht="26.4">
      <c r="A39" s="14"/>
      <c r="G39" s="9">
        <v>200</v>
      </c>
      <c r="H39" s="10" t="s">
        <v>685</v>
      </c>
      <c r="I39" s="10">
        <v>0.3</v>
      </c>
      <c r="J39" s="10"/>
      <c r="K39" s="10"/>
      <c r="L39" s="10"/>
      <c r="M39" s="10"/>
      <c r="N39" s="10"/>
      <c r="O39" s="10">
        <f>COUNT(J39:L39)</f>
        <v>0</v>
      </c>
      <c r="P39" s="10" t="s">
        <v>921</v>
      </c>
    </row>
    <row r="40" spans="1:16">
      <c r="A40" s="14"/>
    </row>
    <row r="41" spans="1:16" ht="52.8">
      <c r="A41" s="14"/>
      <c r="B41" s="2" t="s">
        <v>680</v>
      </c>
      <c r="C41" s="2" t="s">
        <v>744</v>
      </c>
      <c r="D41" s="15" t="s">
        <v>745</v>
      </c>
      <c r="E41" s="15" t="s">
        <v>732</v>
      </c>
      <c r="F41" s="2" t="s">
        <v>132</v>
      </c>
      <c r="G41" s="9">
        <v>80</v>
      </c>
      <c r="H41" s="2" t="s">
        <v>684</v>
      </c>
      <c r="I41" s="2">
        <v>9</v>
      </c>
      <c r="O41" s="2">
        <f t="shared" ref="O41:O46" si="3">COUNT(J41:L41)</f>
        <v>0</v>
      </c>
      <c r="P41" s="2" t="s">
        <v>921</v>
      </c>
    </row>
    <row r="42" spans="1:16" ht="26.4">
      <c r="A42" s="14"/>
      <c r="D42" s="15"/>
      <c r="E42" s="15"/>
      <c r="G42" s="9">
        <v>200</v>
      </c>
      <c r="H42" s="2" t="s">
        <v>684</v>
      </c>
      <c r="I42" s="2">
        <v>9</v>
      </c>
      <c r="O42" s="2">
        <f t="shared" si="3"/>
        <v>0</v>
      </c>
      <c r="P42" s="2" t="s">
        <v>925</v>
      </c>
    </row>
    <row r="43" spans="1:16" ht="26.4">
      <c r="A43" s="14"/>
      <c r="D43" s="15"/>
      <c r="E43" s="15"/>
      <c r="G43" s="9">
        <v>400</v>
      </c>
      <c r="H43" s="2" t="s">
        <v>684</v>
      </c>
      <c r="I43" s="2">
        <v>9</v>
      </c>
      <c r="O43" s="2">
        <f t="shared" si="3"/>
        <v>0</v>
      </c>
      <c r="P43" s="2" t="s">
        <v>916</v>
      </c>
    </row>
    <row r="44" spans="1:16" ht="26.4">
      <c r="A44" s="14"/>
      <c r="G44" s="9">
        <v>80</v>
      </c>
      <c r="H44" s="10" t="s">
        <v>685</v>
      </c>
      <c r="I44" s="10">
        <v>0.3</v>
      </c>
      <c r="J44" s="10"/>
      <c r="K44" s="10"/>
      <c r="L44" s="10"/>
      <c r="M44" s="10"/>
      <c r="N44" s="10"/>
      <c r="O44" s="10">
        <f t="shared" si="3"/>
        <v>0</v>
      </c>
      <c r="P44" s="10" t="s">
        <v>916</v>
      </c>
    </row>
    <row r="45" spans="1:16" ht="26.4">
      <c r="A45" s="14"/>
      <c r="G45" s="9">
        <v>200</v>
      </c>
      <c r="H45" s="10" t="s">
        <v>685</v>
      </c>
      <c r="I45" s="10">
        <v>0.3</v>
      </c>
      <c r="J45" s="10"/>
      <c r="K45" s="10"/>
      <c r="L45" s="10"/>
      <c r="M45" s="10"/>
      <c r="N45" s="10"/>
      <c r="O45" s="10">
        <f t="shared" si="3"/>
        <v>0</v>
      </c>
      <c r="P45" s="10" t="s">
        <v>921</v>
      </c>
    </row>
    <row r="46" spans="1:16" ht="26.4">
      <c r="A46" s="14"/>
      <c r="G46" s="9">
        <v>400</v>
      </c>
      <c r="H46" s="10" t="s">
        <v>685</v>
      </c>
      <c r="I46" s="10">
        <v>0.3</v>
      </c>
      <c r="J46" s="10"/>
      <c r="K46" s="10"/>
      <c r="L46" s="10"/>
      <c r="M46" s="10"/>
      <c r="N46" s="10"/>
      <c r="O46" s="10">
        <f t="shared" si="3"/>
        <v>0</v>
      </c>
      <c r="P46" s="10" t="s">
        <v>916</v>
      </c>
    </row>
    <row r="47" spans="1:16">
      <c r="A47" s="14"/>
    </row>
    <row r="48" spans="1:16" ht="52.8">
      <c r="A48" s="14"/>
      <c r="B48" s="2" t="s">
        <v>680</v>
      </c>
      <c r="C48" s="2" t="s">
        <v>746</v>
      </c>
      <c r="D48" s="15" t="s">
        <v>747</v>
      </c>
      <c r="E48" s="15" t="s">
        <v>739</v>
      </c>
      <c r="F48" s="2" t="s">
        <v>132</v>
      </c>
      <c r="G48" s="9">
        <v>80</v>
      </c>
      <c r="H48" s="2" t="s">
        <v>684</v>
      </c>
      <c r="I48" s="2">
        <v>9</v>
      </c>
      <c r="O48" s="2">
        <f>COUNT(J48:L48)</f>
        <v>0</v>
      </c>
      <c r="P48" s="2" t="s">
        <v>925</v>
      </c>
    </row>
    <row r="49" spans="1:16" ht="26.4">
      <c r="A49" s="14"/>
      <c r="D49" s="15"/>
      <c r="E49" s="15"/>
      <c r="G49" s="9">
        <v>200</v>
      </c>
      <c r="H49" s="2" t="s">
        <v>684</v>
      </c>
      <c r="I49" s="2">
        <v>9</v>
      </c>
      <c r="O49" s="2">
        <f>COUNT(J49:L49)</f>
        <v>0</v>
      </c>
      <c r="P49" s="2" t="s">
        <v>925</v>
      </c>
    </row>
    <row r="50" spans="1:16" ht="26.4">
      <c r="A50" s="14"/>
      <c r="G50" s="9">
        <v>80</v>
      </c>
      <c r="H50" s="10" t="s">
        <v>685</v>
      </c>
      <c r="I50" s="10">
        <v>0.3</v>
      </c>
      <c r="J50" s="10"/>
      <c r="K50" s="10"/>
      <c r="L50" s="10"/>
      <c r="M50" s="10"/>
      <c r="N50" s="10"/>
      <c r="O50" s="10">
        <f>COUNT(J50:L50)</f>
        <v>0</v>
      </c>
      <c r="P50" s="10" t="s">
        <v>916</v>
      </c>
    </row>
    <row r="51" spans="1:16" ht="26.4">
      <c r="A51" s="14"/>
      <c r="G51" s="9">
        <v>200</v>
      </c>
      <c r="H51" s="10" t="s">
        <v>685</v>
      </c>
      <c r="I51" s="10">
        <v>0.3</v>
      </c>
      <c r="J51" s="10"/>
      <c r="K51" s="10"/>
      <c r="L51" s="10"/>
      <c r="M51" s="10"/>
      <c r="N51" s="10"/>
      <c r="O51" s="10">
        <f>COUNT(J51:L51)</f>
        <v>0</v>
      </c>
      <c r="P51" s="10" t="s">
        <v>925</v>
      </c>
    </row>
    <row r="52" spans="1:16">
      <c r="A52" s="14"/>
    </row>
    <row r="53" spans="1:16" ht="52.8">
      <c r="A53" s="14"/>
      <c r="B53" s="2" t="s">
        <v>680</v>
      </c>
      <c r="C53" s="2" t="s">
        <v>746</v>
      </c>
      <c r="D53" s="15" t="s">
        <v>747</v>
      </c>
      <c r="E53" s="15" t="s">
        <v>732</v>
      </c>
      <c r="F53" s="2" t="s">
        <v>132</v>
      </c>
      <c r="G53" s="9">
        <v>80</v>
      </c>
      <c r="H53" s="2" t="s">
        <v>684</v>
      </c>
      <c r="I53" s="2">
        <v>9</v>
      </c>
      <c r="O53" s="2">
        <f t="shared" ref="O53:O74" si="4">COUNT(J53:L53)</f>
        <v>0</v>
      </c>
      <c r="P53" s="2" t="s">
        <v>916</v>
      </c>
    </row>
    <row r="54" spans="1:16" ht="26.4">
      <c r="A54" s="14"/>
      <c r="D54" s="15"/>
      <c r="E54" s="15"/>
      <c r="G54" s="9">
        <v>200</v>
      </c>
      <c r="H54" s="2" t="s">
        <v>684</v>
      </c>
      <c r="I54" s="2">
        <v>9</v>
      </c>
      <c r="O54" s="2">
        <f t="shared" si="4"/>
        <v>0</v>
      </c>
      <c r="P54" s="2" t="s">
        <v>916</v>
      </c>
    </row>
    <row r="55" spans="1:16" ht="26.4">
      <c r="A55" s="14"/>
      <c r="D55" s="15"/>
      <c r="E55" s="15"/>
      <c r="G55" s="9">
        <v>400</v>
      </c>
      <c r="H55" s="2" t="s">
        <v>684</v>
      </c>
      <c r="I55" s="2">
        <v>9</v>
      </c>
      <c r="O55" s="2">
        <f t="shared" si="4"/>
        <v>0</v>
      </c>
      <c r="P55" s="2" t="s">
        <v>916</v>
      </c>
    </row>
    <row r="56" spans="1:16" ht="26.4">
      <c r="A56" s="14"/>
      <c r="G56" s="9">
        <v>80</v>
      </c>
      <c r="H56" s="10" t="s">
        <v>685</v>
      </c>
      <c r="I56" s="10">
        <v>0.3</v>
      </c>
      <c r="J56" s="10"/>
      <c r="K56" s="10"/>
      <c r="L56" s="10"/>
      <c r="M56" s="10"/>
      <c r="N56" s="10"/>
      <c r="O56" s="10">
        <f t="shared" si="4"/>
        <v>0</v>
      </c>
      <c r="P56" s="10" t="s">
        <v>921</v>
      </c>
    </row>
    <row r="57" spans="1:16" ht="26.4">
      <c r="A57" s="14"/>
      <c r="G57" s="9">
        <v>200</v>
      </c>
      <c r="H57" s="10" t="s">
        <v>685</v>
      </c>
      <c r="I57" s="10">
        <v>0.3</v>
      </c>
      <c r="J57" s="10"/>
      <c r="K57" s="10"/>
      <c r="L57" s="10"/>
      <c r="M57" s="10"/>
      <c r="N57" s="10"/>
      <c r="O57" s="10">
        <f t="shared" si="4"/>
        <v>0</v>
      </c>
      <c r="P57" s="10" t="s">
        <v>925</v>
      </c>
    </row>
    <row r="58" spans="1:16" ht="26.4">
      <c r="A58" s="14"/>
      <c r="G58" s="9">
        <v>400</v>
      </c>
      <c r="H58" s="10" t="s">
        <v>685</v>
      </c>
      <c r="I58" s="10">
        <v>0.3</v>
      </c>
      <c r="J58" s="10"/>
      <c r="K58" s="10"/>
      <c r="L58" s="10"/>
      <c r="M58" s="10"/>
      <c r="N58" s="10"/>
      <c r="O58" s="10">
        <f t="shared" si="4"/>
        <v>0</v>
      </c>
      <c r="P58" s="10" t="s">
        <v>916</v>
      </c>
    </row>
    <row r="59" spans="1:16" ht="52.8">
      <c r="A59" s="14"/>
      <c r="B59" s="2" t="s">
        <v>680</v>
      </c>
      <c r="C59" s="2" t="s">
        <v>748</v>
      </c>
      <c r="D59" s="15" t="s">
        <v>749</v>
      </c>
      <c r="E59" s="15" t="s">
        <v>750</v>
      </c>
      <c r="F59" s="2" t="s">
        <v>130</v>
      </c>
      <c r="G59" s="9">
        <v>80</v>
      </c>
      <c r="H59" s="2" t="s">
        <v>684</v>
      </c>
      <c r="I59" s="2">
        <v>9</v>
      </c>
      <c r="J59" s="2">
        <v>13.900209643605875</v>
      </c>
      <c r="M59" s="2">
        <f>AVERAGE(J59:L59)</f>
        <v>13.900209643605875</v>
      </c>
      <c r="O59" s="2">
        <f t="shared" si="4"/>
        <v>1</v>
      </c>
      <c r="P59" s="2" t="s">
        <v>913</v>
      </c>
    </row>
    <row r="60" spans="1:16" ht="26.4">
      <c r="A60" s="14"/>
      <c r="D60" s="15"/>
      <c r="E60" s="15"/>
      <c r="G60" s="9">
        <v>200</v>
      </c>
      <c r="H60" s="2" t="s">
        <v>684</v>
      </c>
      <c r="I60" s="2">
        <v>9</v>
      </c>
      <c r="J60" s="2">
        <v>16.874854507337528</v>
      </c>
      <c r="M60" s="2">
        <f>AVERAGE(J60:L60)</f>
        <v>16.874854507337528</v>
      </c>
      <c r="O60" s="2">
        <f t="shared" si="4"/>
        <v>1</v>
      </c>
      <c r="P60" s="2" t="s">
        <v>910</v>
      </c>
    </row>
    <row r="61" spans="1:16" ht="26.4">
      <c r="A61" s="14"/>
      <c r="G61" s="9">
        <v>80</v>
      </c>
      <c r="H61" s="10" t="s">
        <v>685</v>
      </c>
      <c r="I61" s="10">
        <v>0.3</v>
      </c>
      <c r="J61" s="10">
        <v>0.34750524109014685</v>
      </c>
      <c r="K61" s="10"/>
      <c r="L61" s="10"/>
      <c r="M61" s="10">
        <f>AVERAGE(J61:L61)</f>
        <v>0.34750524109014685</v>
      </c>
      <c r="N61" s="10"/>
      <c r="O61" s="10">
        <f t="shared" si="4"/>
        <v>1</v>
      </c>
      <c r="P61" s="10" t="s">
        <v>913</v>
      </c>
    </row>
    <row r="62" spans="1:16" ht="26.4">
      <c r="A62" s="14"/>
      <c r="G62" s="9">
        <v>200</v>
      </c>
      <c r="H62" s="10" t="s">
        <v>685</v>
      </c>
      <c r="I62" s="10">
        <v>0.3</v>
      </c>
      <c r="J62" s="10">
        <v>0.42187136268343817</v>
      </c>
      <c r="K62" s="10"/>
      <c r="L62" s="10"/>
      <c r="M62" s="10">
        <f>AVERAGE(J62:L62)</f>
        <v>0.42187136268343817</v>
      </c>
      <c r="N62" s="10"/>
      <c r="O62" s="10">
        <f t="shared" si="4"/>
        <v>1</v>
      </c>
      <c r="P62" s="10" t="s">
        <v>910</v>
      </c>
    </row>
    <row r="63" spans="1:16" ht="52.8">
      <c r="A63" s="14"/>
      <c r="B63" s="2" t="s">
        <v>680</v>
      </c>
      <c r="C63" s="2" t="s">
        <v>751</v>
      </c>
      <c r="D63" s="15" t="s">
        <v>775</v>
      </c>
      <c r="E63" s="15" t="s">
        <v>732</v>
      </c>
      <c r="F63" s="2" t="s">
        <v>368</v>
      </c>
      <c r="G63" s="9">
        <v>80</v>
      </c>
      <c r="H63" s="2" t="s">
        <v>684</v>
      </c>
      <c r="I63" s="2">
        <v>9</v>
      </c>
      <c r="O63" s="2">
        <f t="shared" si="4"/>
        <v>0</v>
      </c>
      <c r="P63" s="2" t="s">
        <v>954</v>
      </c>
    </row>
    <row r="64" spans="1:16" ht="26.4">
      <c r="A64" s="14"/>
      <c r="D64" s="15"/>
      <c r="E64" s="15"/>
      <c r="G64" s="9">
        <v>200</v>
      </c>
      <c r="H64" s="2" t="s">
        <v>684</v>
      </c>
      <c r="I64" s="2">
        <v>9</v>
      </c>
      <c r="O64" s="2">
        <f t="shared" si="4"/>
        <v>0</v>
      </c>
      <c r="P64" s="2" t="s">
        <v>911</v>
      </c>
    </row>
    <row r="65" spans="1:16" ht="26.4">
      <c r="A65" s="14"/>
      <c r="D65" s="15"/>
      <c r="E65" s="15"/>
      <c r="G65" s="9">
        <v>400</v>
      </c>
      <c r="H65" s="2" t="s">
        <v>684</v>
      </c>
      <c r="I65" s="2">
        <v>9</v>
      </c>
      <c r="O65" s="2">
        <f t="shared" si="4"/>
        <v>0</v>
      </c>
      <c r="P65" s="2" t="s">
        <v>916</v>
      </c>
    </row>
    <row r="66" spans="1:16" ht="26.4">
      <c r="A66" s="14"/>
      <c r="G66" s="9">
        <v>80</v>
      </c>
      <c r="H66" s="10" t="s">
        <v>685</v>
      </c>
      <c r="I66" s="10">
        <v>0.3</v>
      </c>
      <c r="J66" s="10"/>
      <c r="K66" s="10"/>
      <c r="L66" s="10"/>
      <c r="M66" s="10"/>
      <c r="N66" s="10"/>
      <c r="O66" s="10">
        <f t="shared" si="4"/>
        <v>0</v>
      </c>
      <c r="P66" s="10" t="s">
        <v>911</v>
      </c>
    </row>
    <row r="67" spans="1:16" ht="26.4">
      <c r="A67" s="14"/>
      <c r="G67" s="9">
        <v>200</v>
      </c>
      <c r="H67" s="10" t="s">
        <v>685</v>
      </c>
      <c r="I67" s="10">
        <v>0.3</v>
      </c>
      <c r="J67" s="10"/>
      <c r="K67" s="10"/>
      <c r="L67" s="10"/>
      <c r="M67" s="10"/>
      <c r="N67" s="10"/>
      <c r="O67" s="10">
        <f t="shared" si="4"/>
        <v>0</v>
      </c>
      <c r="P67" s="10" t="s">
        <v>911</v>
      </c>
    </row>
    <row r="68" spans="1:16" ht="26.4">
      <c r="A68" s="14"/>
      <c r="G68" s="9">
        <v>400</v>
      </c>
      <c r="H68" s="10" t="s">
        <v>685</v>
      </c>
      <c r="I68" s="10">
        <v>0.3</v>
      </c>
      <c r="J68" s="10"/>
      <c r="K68" s="10"/>
      <c r="L68" s="10"/>
      <c r="M68" s="10"/>
      <c r="N68" s="10"/>
      <c r="O68" s="10">
        <f t="shared" si="4"/>
        <v>0</v>
      </c>
      <c r="P68" s="10" t="s">
        <v>911</v>
      </c>
    </row>
    <row r="69" spans="1:16" ht="52.8">
      <c r="A69" s="14"/>
      <c r="B69" s="2" t="s">
        <v>680</v>
      </c>
      <c r="C69" s="13" t="s">
        <v>753</v>
      </c>
      <c r="D69" s="13" t="s">
        <v>902</v>
      </c>
      <c r="E69" s="13" t="s">
        <v>732</v>
      </c>
      <c r="F69" s="13" t="s">
        <v>130</v>
      </c>
      <c r="G69" s="9">
        <v>80</v>
      </c>
      <c r="H69" s="2" t="s">
        <v>684</v>
      </c>
      <c r="I69" s="2">
        <v>9</v>
      </c>
      <c r="O69" s="2">
        <f t="shared" si="4"/>
        <v>0</v>
      </c>
      <c r="P69" s="2" t="s">
        <v>938</v>
      </c>
    </row>
    <row r="70" spans="1:16" ht="26.4">
      <c r="A70" s="14"/>
      <c r="D70" s="15"/>
      <c r="E70" s="15"/>
      <c r="G70" s="9">
        <v>200</v>
      </c>
      <c r="H70" s="2" t="s">
        <v>684</v>
      </c>
      <c r="I70" s="2">
        <v>9</v>
      </c>
      <c r="O70" s="2">
        <f t="shared" si="4"/>
        <v>0</v>
      </c>
      <c r="P70" s="2" t="s">
        <v>911</v>
      </c>
    </row>
    <row r="71" spans="1:16" ht="26.4">
      <c r="A71" s="14"/>
      <c r="D71" s="15"/>
      <c r="E71" s="15"/>
      <c r="G71" s="9">
        <v>400</v>
      </c>
      <c r="H71" s="2" t="s">
        <v>684</v>
      </c>
      <c r="I71" s="2">
        <v>9</v>
      </c>
      <c r="O71" s="2">
        <f t="shared" si="4"/>
        <v>0</v>
      </c>
      <c r="P71" s="2" t="s">
        <v>911</v>
      </c>
    </row>
    <row r="72" spans="1:16" ht="26.4">
      <c r="A72" s="14"/>
      <c r="G72" s="9">
        <v>80</v>
      </c>
      <c r="H72" s="10" t="s">
        <v>685</v>
      </c>
      <c r="I72" s="10">
        <v>0.3</v>
      </c>
      <c r="J72" s="10"/>
      <c r="K72" s="10"/>
      <c r="L72" s="10"/>
      <c r="M72" s="10"/>
      <c r="N72" s="10"/>
      <c r="O72" s="10">
        <f t="shared" si="4"/>
        <v>0</v>
      </c>
      <c r="P72" s="10" t="s">
        <v>911</v>
      </c>
    </row>
    <row r="73" spans="1:16" ht="26.4">
      <c r="A73" s="14"/>
      <c r="G73" s="9">
        <v>200</v>
      </c>
      <c r="H73" s="10" t="s">
        <v>685</v>
      </c>
      <c r="I73" s="10">
        <v>0.3</v>
      </c>
      <c r="J73" s="10"/>
      <c r="K73" s="10"/>
      <c r="L73" s="10"/>
      <c r="M73" s="10"/>
      <c r="N73" s="10"/>
      <c r="O73" s="10">
        <f t="shared" si="4"/>
        <v>0</v>
      </c>
      <c r="P73" s="10" t="s">
        <v>938</v>
      </c>
    </row>
    <row r="74" spans="1:16" ht="26.4">
      <c r="A74" s="14"/>
      <c r="G74" s="9">
        <v>400</v>
      </c>
      <c r="H74" s="10" t="s">
        <v>685</v>
      </c>
      <c r="I74" s="10">
        <v>0.3</v>
      </c>
      <c r="J74" s="10"/>
      <c r="K74" s="10"/>
      <c r="L74" s="10"/>
      <c r="M74" s="10"/>
      <c r="N74" s="10"/>
      <c r="O74" s="10">
        <f t="shared" si="4"/>
        <v>0</v>
      </c>
      <c r="P74" s="10" t="s">
        <v>911</v>
      </c>
    </row>
    <row r="75" spans="1:16">
      <c r="A75" s="14"/>
    </row>
    <row r="76" spans="1:16">
      <c r="A76" s="5"/>
    </row>
    <row r="78" spans="1:16">
      <c r="A78" s="16"/>
      <c r="B78" s="6" t="s">
        <v>103</v>
      </c>
      <c r="C78" s="6"/>
      <c r="D78" s="6"/>
      <c r="E78" s="6"/>
      <c r="F78" s="6"/>
      <c r="G78" s="17"/>
      <c r="H78" s="6"/>
      <c r="I78" s="6"/>
      <c r="J78" s="6"/>
      <c r="K78" s="6"/>
      <c r="L78" s="6"/>
      <c r="M78" s="6"/>
      <c r="N78" s="6"/>
      <c r="O78" s="6"/>
      <c r="P78" s="6"/>
    </row>
    <row r="79" spans="1:16" ht="52.8">
      <c r="A79" s="16"/>
      <c r="B79" s="2" t="s">
        <v>680</v>
      </c>
      <c r="C79" s="2" t="s">
        <v>754</v>
      </c>
      <c r="D79" s="2" t="s">
        <v>755</v>
      </c>
      <c r="E79" s="2" t="s">
        <v>732</v>
      </c>
      <c r="H79" s="2" t="s">
        <v>684</v>
      </c>
      <c r="I79" s="2">
        <v>6.75</v>
      </c>
      <c r="O79" s="2">
        <f>COUNT(J79:L79)</f>
        <v>0</v>
      </c>
      <c r="P79" s="2" t="s">
        <v>916</v>
      </c>
    </row>
    <row r="80" spans="1:16" ht="26.4">
      <c r="A80" s="16"/>
      <c r="H80" s="10" t="s">
        <v>685</v>
      </c>
      <c r="I80" s="10">
        <v>0.21</v>
      </c>
      <c r="J80" s="10"/>
      <c r="K80" s="10"/>
      <c r="L80" s="10"/>
      <c r="M80" s="10"/>
      <c r="N80" s="10"/>
      <c r="O80" s="10">
        <f>COUNT(J80:L80)</f>
        <v>0</v>
      </c>
      <c r="P80" s="10" t="s">
        <v>954</v>
      </c>
    </row>
    <row r="81" spans="1:16">
      <c r="A81" s="16"/>
    </row>
    <row r="82" spans="1:16" ht="52.8">
      <c r="A82" s="16"/>
      <c r="B82" s="2" t="s">
        <v>680</v>
      </c>
      <c r="C82" s="2" t="s">
        <v>756</v>
      </c>
      <c r="D82" s="2" t="s">
        <v>757</v>
      </c>
      <c r="E82" s="2" t="s">
        <v>732</v>
      </c>
      <c r="H82" s="2" t="s">
        <v>684</v>
      </c>
      <c r="I82" s="2">
        <v>6.75</v>
      </c>
      <c r="O82" s="2">
        <f>COUNT(J82:L82)</f>
        <v>0</v>
      </c>
      <c r="P82" s="2" t="s">
        <v>925</v>
      </c>
    </row>
    <row r="83" spans="1:16" ht="26.4">
      <c r="A83" s="16"/>
      <c r="H83" s="10" t="s">
        <v>685</v>
      </c>
      <c r="I83" s="10">
        <v>0.21</v>
      </c>
      <c r="J83" s="10"/>
      <c r="K83" s="10"/>
      <c r="L83" s="10"/>
      <c r="M83" s="10"/>
      <c r="N83" s="10"/>
      <c r="O83" s="10">
        <f>COUNT(J83:L83)</f>
        <v>0</v>
      </c>
      <c r="P83" s="10" t="s">
        <v>911</v>
      </c>
    </row>
    <row r="84" spans="1:16" ht="52.8">
      <c r="A84" s="461"/>
      <c r="B84" s="2" t="s">
        <v>680</v>
      </c>
      <c r="C84" s="13" t="s">
        <v>737</v>
      </c>
      <c r="D84" s="13" t="s">
        <v>758</v>
      </c>
      <c r="E84" s="13" t="s">
        <v>739</v>
      </c>
      <c r="H84" s="2" t="s">
        <v>684</v>
      </c>
      <c r="I84" s="2">
        <v>6.75</v>
      </c>
      <c r="O84" s="2">
        <f>COUNT(J84:L84)</f>
        <v>0</v>
      </c>
      <c r="P84" s="2" t="s">
        <v>916</v>
      </c>
    </row>
    <row r="85" spans="1:16" ht="26.4">
      <c r="A85" s="461"/>
      <c r="H85" s="10" t="s">
        <v>685</v>
      </c>
      <c r="I85" s="10">
        <v>0.21</v>
      </c>
      <c r="J85" s="10"/>
      <c r="K85" s="10"/>
      <c r="L85" s="10"/>
      <c r="M85" s="10"/>
      <c r="N85" s="10"/>
      <c r="O85" s="10">
        <f>COUNT(J85:L85)</f>
        <v>0</v>
      </c>
      <c r="P85" s="10" t="s">
        <v>925</v>
      </c>
    </row>
    <row r="86" spans="1:16">
      <c r="A86" s="16"/>
    </row>
    <row r="87" spans="1:16" ht="12.75" customHeight="1">
      <c r="A87" s="590" t="s">
        <v>759</v>
      </c>
      <c r="B87" s="11" t="s">
        <v>104</v>
      </c>
      <c r="C87" s="11"/>
      <c r="D87" s="11"/>
      <c r="E87" s="11"/>
      <c r="F87" s="11"/>
      <c r="G87" s="12"/>
      <c r="H87" s="6"/>
      <c r="I87" s="6"/>
      <c r="J87" s="6"/>
      <c r="K87" s="6"/>
      <c r="L87" s="6"/>
      <c r="M87" s="6"/>
      <c r="N87" s="6"/>
      <c r="O87" s="6"/>
      <c r="P87" s="6"/>
    </row>
    <row r="88" spans="1:16" ht="52.8">
      <c r="A88" s="590"/>
      <c r="B88" s="2" t="s">
        <v>680</v>
      </c>
      <c r="C88" s="2" t="s">
        <v>740</v>
      </c>
      <c r="D88" s="2" t="s">
        <v>760</v>
      </c>
      <c r="E88" s="2" t="s">
        <v>739</v>
      </c>
      <c r="F88" s="2" t="s">
        <v>130</v>
      </c>
      <c r="H88" s="2" t="s">
        <v>684</v>
      </c>
      <c r="I88" s="2">
        <v>6.75</v>
      </c>
      <c r="K88" s="2">
        <v>7.0365358980093937</v>
      </c>
      <c r="M88" s="2">
        <f>AVERAGE(J88:L88)</f>
        <v>7.0365358980093937</v>
      </c>
      <c r="O88" s="2">
        <f>COUNT(J88:L88)</f>
        <v>1</v>
      </c>
      <c r="P88" s="2" t="s">
        <v>909</v>
      </c>
    </row>
    <row r="89" spans="1:16" ht="26.4">
      <c r="A89" s="590"/>
      <c r="H89" s="10" t="s">
        <v>685</v>
      </c>
      <c r="I89" s="10">
        <v>0.21</v>
      </c>
      <c r="J89" s="10"/>
      <c r="K89" s="10">
        <v>0.40456273764258549</v>
      </c>
      <c r="L89" s="10"/>
      <c r="M89" s="10">
        <f>AVERAGE(J89:L89)</f>
        <v>0.40456273764258549</v>
      </c>
      <c r="N89" s="10"/>
      <c r="O89" s="10">
        <f>COUNT(J89:L89)</f>
        <v>1</v>
      </c>
      <c r="P89" s="10" t="s">
        <v>910</v>
      </c>
    </row>
    <row r="90" spans="1:16">
      <c r="A90" s="590"/>
    </row>
    <row r="91" spans="1:16">
      <c r="A91" s="590"/>
    </row>
    <row r="92" spans="1:16" ht="52.8">
      <c r="A92" s="590"/>
      <c r="B92" s="2" t="s">
        <v>680</v>
      </c>
      <c r="C92" s="2" t="s">
        <v>742</v>
      </c>
      <c r="D92" s="2" t="s">
        <v>761</v>
      </c>
      <c r="E92" s="2" t="s">
        <v>732</v>
      </c>
      <c r="F92" s="2" t="s">
        <v>132</v>
      </c>
      <c r="H92" s="2" t="s">
        <v>684</v>
      </c>
      <c r="I92" s="2">
        <v>6.75</v>
      </c>
      <c r="O92" s="2">
        <f>COUNT(J92:L92)</f>
        <v>0</v>
      </c>
      <c r="P92" s="2" t="s">
        <v>911</v>
      </c>
    </row>
    <row r="93" spans="1:16" ht="26.4">
      <c r="A93" s="590"/>
      <c r="H93" s="10" t="s">
        <v>685</v>
      </c>
      <c r="I93" s="10">
        <v>0.21</v>
      </c>
      <c r="J93" s="10"/>
      <c r="K93" s="10"/>
      <c r="L93" s="10"/>
      <c r="M93" s="10"/>
      <c r="N93" s="10"/>
      <c r="O93" s="10">
        <f>COUNT(J93:L93)</f>
        <v>0</v>
      </c>
      <c r="P93" s="10" t="s">
        <v>911</v>
      </c>
    </row>
    <row r="94" spans="1:16">
      <c r="A94" s="18"/>
    </row>
    <row r="95" spans="1:16" ht="52.8">
      <c r="A95" s="18"/>
      <c r="B95" s="2" t="s">
        <v>680</v>
      </c>
      <c r="C95" s="2" t="s">
        <v>744</v>
      </c>
      <c r="D95" s="15" t="s">
        <v>762</v>
      </c>
      <c r="E95" s="15" t="s">
        <v>739</v>
      </c>
      <c r="F95" s="2" t="s">
        <v>132</v>
      </c>
      <c r="H95" s="2" t="s">
        <v>684</v>
      </c>
      <c r="I95" s="2">
        <v>6.75</v>
      </c>
      <c r="O95" s="2">
        <f t="shared" ref="O95:O106" si="5">COUNT(J95:L95)</f>
        <v>0</v>
      </c>
      <c r="P95" s="2" t="s">
        <v>911</v>
      </c>
    </row>
    <row r="96" spans="1:16" ht="26.4">
      <c r="A96" s="18"/>
      <c r="H96" s="10" t="s">
        <v>685</v>
      </c>
      <c r="I96" s="10">
        <v>0.21</v>
      </c>
      <c r="J96" s="10"/>
      <c r="K96" s="10"/>
      <c r="L96" s="10"/>
      <c r="M96" s="10"/>
      <c r="N96" s="10"/>
      <c r="O96" s="10">
        <f t="shared" si="5"/>
        <v>0</v>
      </c>
      <c r="P96" s="10" t="s">
        <v>911</v>
      </c>
    </row>
    <row r="97" spans="1:22" ht="52.8">
      <c r="A97" s="18"/>
      <c r="B97" s="2" t="s">
        <v>680</v>
      </c>
      <c r="C97" s="2" t="s">
        <v>763</v>
      </c>
      <c r="D97" s="15" t="s">
        <v>764</v>
      </c>
      <c r="E97" s="15" t="s">
        <v>739</v>
      </c>
      <c r="F97" s="2" t="s">
        <v>130</v>
      </c>
      <c r="H97" s="2" t="s">
        <v>684</v>
      </c>
      <c r="I97" s="2">
        <v>6.75</v>
      </c>
      <c r="J97" s="2">
        <v>10.189565217391303</v>
      </c>
      <c r="M97" s="2">
        <f>AVERAGE(J97:L97)</f>
        <v>10.189565217391303</v>
      </c>
      <c r="O97" s="2">
        <f t="shared" si="5"/>
        <v>1</v>
      </c>
      <c r="P97" s="2" t="s">
        <v>909</v>
      </c>
    </row>
    <row r="98" spans="1:22" ht="26.4">
      <c r="A98" s="18"/>
      <c r="H98" s="10" t="s">
        <v>685</v>
      </c>
      <c r="I98" s="10">
        <v>0.21</v>
      </c>
      <c r="J98" s="10">
        <v>0.31226086956521742</v>
      </c>
      <c r="K98" s="10"/>
      <c r="L98" s="10"/>
      <c r="M98" s="10">
        <f>AVERAGE(J98:L98)</f>
        <v>0.31226086956521742</v>
      </c>
      <c r="N98" s="10"/>
      <c r="O98" s="10">
        <f t="shared" si="5"/>
        <v>1</v>
      </c>
      <c r="P98" s="10" t="s">
        <v>910</v>
      </c>
    </row>
    <row r="99" spans="1:22" ht="52.8">
      <c r="A99" s="18"/>
      <c r="B99" s="2" t="s">
        <v>680</v>
      </c>
      <c r="C99" s="2" t="s">
        <v>765</v>
      </c>
      <c r="D99" s="15" t="s">
        <v>776</v>
      </c>
      <c r="E99" s="2" t="s">
        <v>732</v>
      </c>
      <c r="F99" s="2" t="s">
        <v>368</v>
      </c>
      <c r="H99" s="2" t="s">
        <v>684</v>
      </c>
      <c r="I99" s="2">
        <v>6.75</v>
      </c>
      <c r="O99" s="2">
        <f t="shared" si="5"/>
        <v>0</v>
      </c>
      <c r="P99" s="2" t="s">
        <v>911</v>
      </c>
    </row>
    <row r="100" spans="1:22" ht="26.4">
      <c r="A100" s="21"/>
      <c r="H100" s="10" t="s">
        <v>685</v>
      </c>
      <c r="I100" s="10">
        <v>0.21</v>
      </c>
      <c r="J100" s="10"/>
      <c r="K100" s="10"/>
      <c r="L100" s="10"/>
      <c r="M100" s="10"/>
      <c r="N100" s="10"/>
      <c r="O100" s="10">
        <f t="shared" si="5"/>
        <v>0</v>
      </c>
      <c r="P100" s="10" t="s">
        <v>911</v>
      </c>
    </row>
    <row r="101" spans="1:22" ht="52.8">
      <c r="A101" s="18"/>
      <c r="B101" s="2" t="s">
        <v>680</v>
      </c>
      <c r="C101" s="2" t="s">
        <v>767</v>
      </c>
      <c r="D101" s="2" t="s">
        <v>768</v>
      </c>
      <c r="E101" s="2" t="s">
        <v>739</v>
      </c>
      <c r="F101" s="2" t="s">
        <v>130</v>
      </c>
      <c r="H101" s="2" t="s">
        <v>684</v>
      </c>
      <c r="I101" s="2">
        <v>6.75</v>
      </c>
      <c r="K101" s="2">
        <v>6.0751044509058367</v>
      </c>
      <c r="M101" s="2">
        <f>AVERAGE(J101:L101)</f>
        <v>6.0751044509058367</v>
      </c>
      <c r="O101" s="2">
        <f t="shared" si="5"/>
        <v>1</v>
      </c>
      <c r="P101" s="2" t="s">
        <v>959</v>
      </c>
    </row>
    <row r="102" spans="1:22" ht="26.4">
      <c r="A102" s="18"/>
      <c r="H102" s="10" t="s">
        <v>685</v>
      </c>
      <c r="I102" s="10">
        <v>0.21</v>
      </c>
      <c r="J102" s="10"/>
      <c r="K102" s="10">
        <v>0.23321851934690224</v>
      </c>
      <c r="L102" s="10"/>
      <c r="M102" s="10">
        <f>AVERAGE(J102:L102)</f>
        <v>0.23321851934690224</v>
      </c>
      <c r="N102" s="10"/>
      <c r="O102" s="10">
        <f t="shared" si="5"/>
        <v>1</v>
      </c>
      <c r="P102" s="10" t="s">
        <v>910</v>
      </c>
    </row>
    <row r="103" spans="1:22" ht="52.8">
      <c r="A103" s="18"/>
      <c r="B103" s="2" t="s">
        <v>680</v>
      </c>
      <c r="C103" s="13" t="s">
        <v>777</v>
      </c>
      <c r="D103" s="13" t="s">
        <v>770</v>
      </c>
      <c r="E103" s="13" t="s">
        <v>732</v>
      </c>
      <c r="F103" s="13" t="s">
        <v>130</v>
      </c>
      <c r="G103" s="2"/>
      <c r="H103" s="2" t="s">
        <v>684</v>
      </c>
      <c r="I103" s="2">
        <v>6.75</v>
      </c>
      <c r="O103" s="2">
        <f t="shared" si="5"/>
        <v>0</v>
      </c>
      <c r="P103" s="2" t="s">
        <v>938</v>
      </c>
    </row>
    <row r="104" spans="1:22" ht="26.4">
      <c r="A104" s="18"/>
      <c r="G104" s="2"/>
      <c r="H104" s="10" t="s">
        <v>685</v>
      </c>
      <c r="I104" s="10">
        <v>0.21</v>
      </c>
      <c r="J104" s="10"/>
      <c r="K104" s="10"/>
      <c r="L104" s="10"/>
      <c r="M104" s="10"/>
      <c r="N104" s="10"/>
      <c r="O104" s="10">
        <f t="shared" si="5"/>
        <v>0</v>
      </c>
      <c r="P104" s="10" t="s">
        <v>911</v>
      </c>
    </row>
    <row r="105" spans="1:22" ht="52.8">
      <c r="A105" s="462"/>
      <c r="B105" s="2" t="s">
        <v>680</v>
      </c>
      <c r="C105" s="13" t="s">
        <v>771</v>
      </c>
      <c r="D105" s="13" t="s">
        <v>772</v>
      </c>
      <c r="E105" s="13" t="s">
        <v>739</v>
      </c>
      <c r="F105" s="13" t="s">
        <v>132</v>
      </c>
      <c r="G105" s="2"/>
      <c r="H105" s="2" t="s">
        <v>684</v>
      </c>
      <c r="I105" s="2">
        <v>6.75</v>
      </c>
      <c r="O105" s="2">
        <f t="shared" si="5"/>
        <v>0</v>
      </c>
      <c r="P105" s="2" t="s">
        <v>954</v>
      </c>
    </row>
    <row r="106" spans="1:22" ht="26.4">
      <c r="A106" s="462"/>
      <c r="G106" s="2"/>
      <c r="H106" s="25" t="s">
        <v>685</v>
      </c>
      <c r="I106" s="25">
        <v>0.21</v>
      </c>
      <c r="J106" s="10"/>
      <c r="K106" s="10"/>
      <c r="L106" s="10"/>
      <c r="M106" s="10"/>
      <c r="N106" s="10"/>
      <c r="O106" s="10">
        <f t="shared" si="5"/>
        <v>0</v>
      </c>
      <c r="P106" s="10" t="s">
        <v>916</v>
      </c>
    </row>
    <row r="108" spans="1:22">
      <c r="S108"/>
      <c r="T108"/>
      <c r="U108"/>
      <c r="V108" s="479"/>
    </row>
    <row r="109" spans="1:22">
      <c r="S109"/>
      <c r="T109"/>
      <c r="U109"/>
    </row>
    <row r="110" spans="1:22">
      <c r="S110"/>
      <c r="T110"/>
      <c r="U110"/>
    </row>
    <row r="111" spans="1:22">
      <c r="S111"/>
      <c r="T111"/>
      <c r="U111"/>
    </row>
    <row r="112" spans="1:22">
      <c r="S112"/>
      <c r="T112"/>
      <c r="U112"/>
    </row>
    <row r="113" spans="7:21">
      <c r="S113"/>
      <c r="T113"/>
      <c r="U113"/>
    </row>
    <row r="114" spans="7:21">
      <c r="S114"/>
      <c r="T114"/>
      <c r="U114"/>
    </row>
    <row r="115" spans="7:21">
      <c r="S115"/>
      <c r="T115"/>
      <c r="U115"/>
    </row>
    <row r="116" spans="7:21">
      <c r="S116"/>
      <c r="T116"/>
      <c r="U116"/>
    </row>
    <row r="117" spans="7:21">
      <c r="S117"/>
      <c r="T117"/>
      <c r="U117"/>
    </row>
    <row r="118" spans="7:21">
      <c r="S118"/>
      <c r="T118"/>
      <c r="U118"/>
    </row>
    <row r="119" spans="7:21">
      <c r="S119"/>
      <c r="T119"/>
      <c r="U119"/>
    </row>
    <row r="120" spans="7:21">
      <c r="S120"/>
      <c r="T120"/>
      <c r="U120"/>
    </row>
    <row r="121" spans="7:21">
      <c r="S121"/>
      <c r="T121"/>
      <c r="U121"/>
    </row>
    <row r="122" spans="7:21">
      <c r="S122"/>
      <c r="T122"/>
      <c r="U122"/>
    </row>
    <row r="123" spans="7:21">
      <c r="S123"/>
      <c r="T123"/>
      <c r="U123"/>
    </row>
    <row r="124" spans="7:21">
      <c r="S124"/>
      <c r="T124"/>
      <c r="U124"/>
    </row>
    <row r="125" spans="7:21">
      <c r="S125"/>
      <c r="T125"/>
      <c r="U125"/>
    </row>
    <row r="126" spans="7:21">
      <c r="S126"/>
      <c r="T126"/>
      <c r="U126"/>
    </row>
    <row r="127" spans="7:21">
      <c r="G127" s="485"/>
      <c r="S127"/>
      <c r="T127"/>
      <c r="U127"/>
    </row>
    <row r="128" spans="7:21">
      <c r="G128" s="485"/>
      <c r="S128"/>
      <c r="T128"/>
      <c r="U128"/>
    </row>
    <row r="129" spans="7:21">
      <c r="G129" s="485"/>
      <c r="S129"/>
      <c r="T129"/>
      <c r="U129"/>
    </row>
  </sheetData>
  <mergeCells count="3">
    <mergeCell ref="H1:I1"/>
    <mergeCell ref="A9:A32"/>
    <mergeCell ref="A87:A93"/>
  </mergeCells>
  <phoneticPr fontId="21" type="noConversion"/>
  <pageMargins left="0.69930555555555596" right="0.69930555555555596"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44"/>
  <sheetViews>
    <sheetView zoomScale="85" zoomScaleNormal="85" workbookViewId="0">
      <pane xSplit="3" ySplit="3" topLeftCell="AC16" activePane="bottomRight" state="frozen"/>
      <selection pane="topRight"/>
      <selection pane="bottomLeft"/>
      <selection pane="bottomRight" activeCell="AG30" sqref="AG30"/>
    </sheetView>
  </sheetViews>
  <sheetFormatPr defaultColWidth="9.44140625" defaultRowHeight="15.6"/>
  <cols>
    <col min="1" max="1" width="29.109375" style="325" customWidth="1"/>
    <col min="2" max="2" width="24.44140625" style="326" customWidth="1"/>
    <col min="3" max="3" width="20.5546875" style="326" customWidth="1"/>
    <col min="4" max="4" width="27.44140625" style="327" customWidth="1"/>
    <col min="5" max="6" width="30" style="328" customWidth="1"/>
    <col min="7" max="18" width="31.44140625" style="328" customWidth="1"/>
    <col min="19" max="19" width="26.44140625" style="325" customWidth="1"/>
    <col min="20" max="20" width="31" style="325" customWidth="1"/>
    <col min="21" max="21" width="26.5546875" style="325" customWidth="1"/>
    <col min="22" max="22" width="27.44140625" style="327" customWidth="1"/>
    <col min="23" max="24" width="25.109375" style="325" customWidth="1"/>
    <col min="25" max="25" width="31.44140625" style="328" customWidth="1"/>
    <col min="26" max="26" width="30.88671875" style="323" customWidth="1"/>
    <col min="27" max="27" width="33.44140625" style="323" customWidth="1"/>
    <col min="28" max="28" width="30" style="328" customWidth="1"/>
    <col min="29" max="29" width="33.109375" style="325" customWidth="1"/>
    <col min="30" max="32" width="30.5546875" style="325" customWidth="1"/>
    <col min="33" max="35" width="32.5546875" style="327" customWidth="1"/>
    <col min="36" max="36" width="33.44140625" style="325" customWidth="1"/>
    <col min="37" max="37" width="30.6640625" style="325" customWidth="1"/>
    <col min="38" max="16384" width="9.44140625" style="325"/>
  </cols>
  <sheetData>
    <row r="1" spans="1:37">
      <c r="A1" s="329" t="s">
        <v>90</v>
      </c>
      <c r="B1" s="486"/>
      <c r="C1" s="487"/>
      <c r="K1" s="356"/>
      <c r="L1" s="356"/>
      <c r="M1" s="356"/>
      <c r="N1" s="356"/>
      <c r="AC1" s="356"/>
    </row>
    <row r="2" spans="1:37" s="323" customFormat="1">
      <c r="A2" s="330" t="s">
        <v>91</v>
      </c>
      <c r="B2" s="488" t="s">
        <v>92</v>
      </c>
      <c r="C2" s="489"/>
      <c r="D2" s="490" t="s">
        <v>5</v>
      </c>
      <c r="E2" s="491"/>
      <c r="F2" s="492"/>
      <c r="G2" s="493" t="s">
        <v>8</v>
      </c>
      <c r="H2" s="494"/>
      <c r="I2" s="357" t="s">
        <v>12</v>
      </c>
      <c r="J2" s="357" t="s">
        <v>14</v>
      </c>
      <c r="K2" s="490" t="s">
        <v>16</v>
      </c>
      <c r="L2" s="491"/>
      <c r="M2" s="491"/>
      <c r="N2" s="492"/>
      <c r="O2" s="493" t="s">
        <v>21</v>
      </c>
      <c r="P2" s="494"/>
      <c r="Q2" s="357" t="s">
        <v>24</v>
      </c>
      <c r="R2" s="493" t="s">
        <v>25</v>
      </c>
      <c r="S2" s="494"/>
      <c r="T2" s="357" t="s">
        <v>26</v>
      </c>
      <c r="U2" s="362"/>
      <c r="V2" s="363" t="s">
        <v>27</v>
      </c>
      <c r="W2" s="490" t="s">
        <v>29</v>
      </c>
      <c r="X2" s="492"/>
      <c r="Y2" s="357" t="s">
        <v>31</v>
      </c>
      <c r="Z2" s="495" t="s">
        <v>33</v>
      </c>
      <c r="AA2" s="496"/>
      <c r="AB2" s="497"/>
      <c r="AC2" s="357" t="s">
        <v>36</v>
      </c>
      <c r="AD2" s="357" t="s">
        <v>37</v>
      </c>
      <c r="AE2" s="490" t="s">
        <v>39</v>
      </c>
      <c r="AF2" s="492"/>
      <c r="AG2" s="357" t="s">
        <v>80</v>
      </c>
      <c r="AH2" s="376" t="s">
        <v>93</v>
      </c>
      <c r="AI2" s="376" t="s">
        <v>93</v>
      </c>
      <c r="AJ2" s="493" t="s">
        <v>17</v>
      </c>
      <c r="AK2" s="494"/>
    </row>
    <row r="3" spans="1:37" s="323" customFormat="1">
      <c r="A3" s="330"/>
      <c r="B3" s="331"/>
      <c r="C3" s="332"/>
      <c r="D3" s="333" t="s">
        <v>94</v>
      </c>
      <c r="E3" s="334" t="s">
        <v>95</v>
      </c>
      <c r="F3" s="335" t="s">
        <v>96</v>
      </c>
      <c r="G3" s="333" t="s">
        <v>94</v>
      </c>
      <c r="H3" s="334" t="s">
        <v>95</v>
      </c>
      <c r="I3" s="358" t="s">
        <v>94</v>
      </c>
      <c r="J3" s="358" t="s">
        <v>94</v>
      </c>
      <c r="K3" s="333" t="s">
        <v>94</v>
      </c>
      <c r="L3" s="334" t="s">
        <v>95</v>
      </c>
      <c r="M3" s="359" t="s">
        <v>97</v>
      </c>
      <c r="N3" s="335" t="s">
        <v>96</v>
      </c>
      <c r="O3" s="358" t="s">
        <v>94</v>
      </c>
      <c r="P3" s="358" t="s">
        <v>788</v>
      </c>
      <c r="Q3" s="358" t="s">
        <v>94</v>
      </c>
      <c r="R3" s="333" t="s">
        <v>94</v>
      </c>
      <c r="S3" s="334" t="s">
        <v>95</v>
      </c>
      <c r="T3" s="364" t="s">
        <v>94</v>
      </c>
      <c r="U3" s="334" t="s">
        <v>95</v>
      </c>
      <c r="V3" s="333" t="s">
        <v>94</v>
      </c>
      <c r="W3" s="333" t="s">
        <v>94</v>
      </c>
      <c r="X3" s="334" t="s">
        <v>95</v>
      </c>
      <c r="Y3" s="365" t="s">
        <v>98</v>
      </c>
      <c r="Z3" s="377" t="s">
        <v>98</v>
      </c>
      <c r="AA3" s="377" t="s">
        <v>94</v>
      </c>
      <c r="AB3" s="335" t="s">
        <v>96</v>
      </c>
      <c r="AC3" s="365" t="s">
        <v>98</v>
      </c>
      <c r="AD3" s="365" t="s">
        <v>94</v>
      </c>
      <c r="AE3" s="333" t="s">
        <v>94</v>
      </c>
      <c r="AF3" s="334" t="s">
        <v>95</v>
      </c>
      <c r="AG3" s="378" t="s">
        <v>94</v>
      </c>
      <c r="AH3" s="364" t="s">
        <v>94</v>
      </c>
      <c r="AI3" s="364" t="s">
        <v>95</v>
      </c>
      <c r="AJ3" s="333" t="s">
        <v>94</v>
      </c>
      <c r="AK3" s="334" t="s">
        <v>95</v>
      </c>
    </row>
    <row r="4" spans="1:37">
      <c r="A4" s="336" t="s">
        <v>99</v>
      </c>
      <c r="B4" s="498" t="s">
        <v>100</v>
      </c>
      <c r="C4" s="499"/>
      <c r="D4" s="337" t="s">
        <v>101</v>
      </c>
      <c r="E4" s="337" t="s">
        <v>101</v>
      </c>
      <c r="F4" s="337" t="s">
        <v>101</v>
      </c>
      <c r="G4" s="337" t="s">
        <v>101</v>
      </c>
      <c r="H4" s="337" t="s">
        <v>101</v>
      </c>
      <c r="I4" s="337" t="s">
        <v>101</v>
      </c>
      <c r="J4" s="337" t="s">
        <v>101</v>
      </c>
      <c r="K4" s="337" t="s">
        <v>101</v>
      </c>
      <c r="L4" s="337" t="s">
        <v>101</v>
      </c>
      <c r="M4" s="337" t="s">
        <v>101</v>
      </c>
      <c r="N4" s="337" t="s">
        <v>101</v>
      </c>
      <c r="O4" s="337" t="s">
        <v>101</v>
      </c>
      <c r="P4" s="337" t="s">
        <v>101</v>
      </c>
      <c r="Q4" s="337" t="s">
        <v>101</v>
      </c>
      <c r="R4" s="337" t="s">
        <v>101</v>
      </c>
      <c r="S4" s="337" t="s">
        <v>101</v>
      </c>
      <c r="T4" s="366" t="s">
        <v>101</v>
      </c>
      <c r="U4" s="337" t="s">
        <v>101</v>
      </c>
      <c r="V4" s="337" t="s">
        <v>101</v>
      </c>
      <c r="W4" s="337" t="s">
        <v>101</v>
      </c>
      <c r="X4" s="337" t="s">
        <v>101</v>
      </c>
      <c r="Y4" s="337" t="s">
        <v>101</v>
      </c>
      <c r="Z4" s="379" t="s">
        <v>101</v>
      </c>
      <c r="AA4" s="379" t="s">
        <v>101</v>
      </c>
      <c r="AB4" s="337" t="s">
        <v>101</v>
      </c>
      <c r="AC4" s="337" t="s">
        <v>101</v>
      </c>
      <c r="AD4" s="337" t="s">
        <v>101</v>
      </c>
      <c r="AE4" s="337" t="s">
        <v>101</v>
      </c>
      <c r="AF4" s="337" t="s">
        <v>101</v>
      </c>
      <c r="AG4" s="337" t="s">
        <v>101</v>
      </c>
      <c r="AH4" s="337" t="s">
        <v>101</v>
      </c>
      <c r="AI4" s="337" t="s">
        <v>101</v>
      </c>
      <c r="AJ4" s="337" t="s">
        <v>101</v>
      </c>
      <c r="AK4" s="337" t="s">
        <v>101</v>
      </c>
    </row>
    <row r="5" spans="1:37">
      <c r="A5" s="338" t="s">
        <v>102</v>
      </c>
      <c r="B5" s="498"/>
      <c r="C5" s="499"/>
      <c r="D5" s="337" t="s">
        <v>103</v>
      </c>
      <c r="E5" s="336" t="s">
        <v>104</v>
      </c>
      <c r="F5" s="336" t="s">
        <v>104</v>
      </c>
      <c r="G5" s="337" t="s">
        <v>103</v>
      </c>
      <c r="H5" s="336" t="s">
        <v>104</v>
      </c>
      <c r="I5" s="337" t="s">
        <v>103</v>
      </c>
      <c r="J5" s="337" t="s">
        <v>103</v>
      </c>
      <c r="K5" s="337" t="s">
        <v>103</v>
      </c>
      <c r="L5" s="336" t="s">
        <v>104</v>
      </c>
      <c r="M5" s="337" t="s">
        <v>103</v>
      </c>
      <c r="N5" s="336" t="s">
        <v>104</v>
      </c>
      <c r="O5" s="337" t="s">
        <v>103</v>
      </c>
      <c r="P5" s="337" t="s">
        <v>789</v>
      </c>
      <c r="Q5" s="337" t="s">
        <v>103</v>
      </c>
      <c r="R5" s="337" t="s">
        <v>103</v>
      </c>
      <c r="S5" s="336" t="s">
        <v>104</v>
      </c>
      <c r="T5" s="366" t="s">
        <v>103</v>
      </c>
      <c r="U5" s="336" t="s">
        <v>104</v>
      </c>
      <c r="V5" s="337" t="s">
        <v>103</v>
      </c>
      <c r="W5" s="337" t="s">
        <v>103</v>
      </c>
      <c r="X5" s="336" t="s">
        <v>104</v>
      </c>
      <c r="Y5" s="341" t="s">
        <v>104</v>
      </c>
      <c r="Z5" s="380" t="s">
        <v>104</v>
      </c>
      <c r="AA5" s="379" t="s">
        <v>103</v>
      </c>
      <c r="AB5" s="336" t="s">
        <v>104</v>
      </c>
      <c r="AC5" s="336" t="s">
        <v>104</v>
      </c>
      <c r="AD5" s="337" t="s">
        <v>103</v>
      </c>
      <c r="AE5" s="337" t="s">
        <v>103</v>
      </c>
      <c r="AF5" s="336" t="s">
        <v>104</v>
      </c>
      <c r="AG5" s="337" t="s">
        <v>103</v>
      </c>
      <c r="AH5" s="337" t="s">
        <v>103</v>
      </c>
      <c r="AI5" s="337" t="s">
        <v>104</v>
      </c>
      <c r="AJ5" s="337" t="s">
        <v>103</v>
      </c>
      <c r="AK5" s="336" t="s">
        <v>104</v>
      </c>
    </row>
    <row r="6" spans="1:37">
      <c r="A6" s="338" t="s">
        <v>105</v>
      </c>
      <c r="B6" s="498" t="s">
        <v>106</v>
      </c>
      <c r="C6" s="499"/>
      <c r="D6" s="337" t="s">
        <v>101</v>
      </c>
      <c r="E6" s="337" t="s">
        <v>101</v>
      </c>
      <c r="F6" s="337" t="s">
        <v>101</v>
      </c>
      <c r="G6" s="337" t="s">
        <v>101</v>
      </c>
      <c r="H6" s="337" t="s">
        <v>101</v>
      </c>
      <c r="I6" s="337" t="s">
        <v>101</v>
      </c>
      <c r="J6" s="337" t="s">
        <v>101</v>
      </c>
      <c r="K6" s="337" t="s">
        <v>101</v>
      </c>
      <c r="L6" s="337" t="s">
        <v>101</v>
      </c>
      <c r="M6" s="337" t="s">
        <v>101</v>
      </c>
      <c r="N6" s="337" t="s">
        <v>101</v>
      </c>
      <c r="O6" s="337" t="s">
        <v>101</v>
      </c>
      <c r="P6" s="337" t="s">
        <v>101</v>
      </c>
      <c r="Q6" s="337" t="s">
        <v>101</v>
      </c>
      <c r="R6" s="337" t="s">
        <v>101</v>
      </c>
      <c r="S6" s="337" t="s">
        <v>101</v>
      </c>
      <c r="T6" s="366" t="s">
        <v>101</v>
      </c>
      <c r="U6" s="337" t="s">
        <v>101</v>
      </c>
      <c r="V6" s="337" t="s">
        <v>101</v>
      </c>
      <c r="W6" s="337" t="s">
        <v>101</v>
      </c>
      <c r="X6" s="337" t="s">
        <v>101</v>
      </c>
      <c r="Y6" s="337" t="s">
        <v>101</v>
      </c>
      <c r="Z6" s="379" t="s">
        <v>101</v>
      </c>
      <c r="AA6" s="379" t="s">
        <v>101</v>
      </c>
      <c r="AB6" s="337" t="s">
        <v>101</v>
      </c>
      <c r="AC6" s="337" t="s">
        <v>101</v>
      </c>
      <c r="AD6" s="337" t="s">
        <v>101</v>
      </c>
      <c r="AE6" s="337" t="s">
        <v>101</v>
      </c>
      <c r="AF6" s="337" t="s">
        <v>101</v>
      </c>
      <c r="AG6" s="337" t="s">
        <v>101</v>
      </c>
      <c r="AH6" s="337" t="s">
        <v>101</v>
      </c>
      <c r="AI6" s="337" t="s">
        <v>101</v>
      </c>
      <c r="AJ6" s="337" t="s">
        <v>101</v>
      </c>
      <c r="AK6" s="337" t="s">
        <v>101</v>
      </c>
    </row>
    <row r="7" spans="1:37">
      <c r="A7" s="338" t="s">
        <v>107</v>
      </c>
      <c r="B7" s="498" t="s">
        <v>108</v>
      </c>
      <c r="C7" s="499"/>
      <c r="D7" s="337" t="s">
        <v>101</v>
      </c>
      <c r="E7" s="337" t="s">
        <v>101</v>
      </c>
      <c r="F7" s="337" t="s">
        <v>101</v>
      </c>
      <c r="G7" s="337" t="s">
        <v>101</v>
      </c>
      <c r="H7" s="337" t="s">
        <v>101</v>
      </c>
      <c r="I7" s="337" t="s">
        <v>101</v>
      </c>
      <c r="J7" s="337" t="s">
        <v>101</v>
      </c>
      <c r="K7" s="337" t="s">
        <v>101</v>
      </c>
      <c r="L7" s="337" t="s">
        <v>101</v>
      </c>
      <c r="M7" s="337" t="s">
        <v>101</v>
      </c>
      <c r="N7" s="337" t="s">
        <v>101</v>
      </c>
      <c r="O7" s="337" t="s">
        <v>101</v>
      </c>
      <c r="P7" s="337" t="s">
        <v>101</v>
      </c>
      <c r="Q7" s="337" t="s">
        <v>101</v>
      </c>
      <c r="R7" s="337" t="s">
        <v>101</v>
      </c>
      <c r="S7" s="337" t="s">
        <v>101</v>
      </c>
      <c r="T7" s="366" t="s">
        <v>101</v>
      </c>
      <c r="U7" s="337" t="s">
        <v>101</v>
      </c>
      <c r="V7" s="337" t="s">
        <v>101</v>
      </c>
      <c r="W7" s="337" t="s">
        <v>101</v>
      </c>
      <c r="X7" s="337" t="s">
        <v>101</v>
      </c>
      <c r="Y7" s="337" t="s">
        <v>101</v>
      </c>
      <c r="Z7" s="379" t="s">
        <v>101</v>
      </c>
      <c r="AA7" s="379" t="s">
        <v>101</v>
      </c>
      <c r="AB7" s="337" t="s">
        <v>101</v>
      </c>
      <c r="AC7" s="337" t="s">
        <v>101</v>
      </c>
      <c r="AD7" s="337" t="s">
        <v>101</v>
      </c>
      <c r="AE7" s="337" t="s">
        <v>101</v>
      </c>
      <c r="AF7" s="337" t="s">
        <v>101</v>
      </c>
      <c r="AG7" s="337" t="s">
        <v>101</v>
      </c>
      <c r="AH7" s="337" t="s">
        <v>101</v>
      </c>
      <c r="AI7" s="337" t="s">
        <v>101</v>
      </c>
      <c r="AJ7" s="337" t="s">
        <v>101</v>
      </c>
      <c r="AK7" s="337" t="s">
        <v>101</v>
      </c>
    </row>
    <row r="8" spans="1:37" ht="34.5" customHeight="1">
      <c r="A8" s="336" t="s">
        <v>109</v>
      </c>
      <c r="B8" s="500" t="s">
        <v>110</v>
      </c>
      <c r="C8" s="499"/>
      <c r="D8" s="337" t="s">
        <v>101</v>
      </c>
      <c r="E8" s="337" t="s">
        <v>101</v>
      </c>
      <c r="F8" s="339" t="s">
        <v>111</v>
      </c>
      <c r="G8" s="337" t="s">
        <v>101</v>
      </c>
      <c r="H8" s="337" t="s">
        <v>101</v>
      </c>
      <c r="I8" s="337" t="s">
        <v>101</v>
      </c>
      <c r="J8" s="337" t="s">
        <v>101</v>
      </c>
      <c r="K8" s="337" t="s">
        <v>101</v>
      </c>
      <c r="L8" s="337" t="s">
        <v>101</v>
      </c>
      <c r="M8" s="339" t="s">
        <v>111</v>
      </c>
      <c r="N8" s="339" t="s">
        <v>111</v>
      </c>
      <c r="O8" s="337" t="s">
        <v>101</v>
      </c>
      <c r="P8" s="337" t="s">
        <v>101</v>
      </c>
      <c r="Q8" s="337" t="s">
        <v>101</v>
      </c>
      <c r="R8" s="337" t="s">
        <v>101</v>
      </c>
      <c r="S8" s="337" t="s">
        <v>101</v>
      </c>
      <c r="T8" s="366" t="s">
        <v>101</v>
      </c>
      <c r="U8" s="337" t="s">
        <v>101</v>
      </c>
      <c r="V8" s="337" t="s">
        <v>101</v>
      </c>
      <c r="W8" s="337" t="s">
        <v>101</v>
      </c>
      <c r="X8" s="337" t="s">
        <v>101</v>
      </c>
      <c r="Y8" s="367" t="s">
        <v>101</v>
      </c>
      <c r="Z8" s="379" t="s">
        <v>101</v>
      </c>
      <c r="AA8" s="379" t="s">
        <v>101</v>
      </c>
      <c r="AB8" s="339" t="s">
        <v>111</v>
      </c>
      <c r="AC8" s="337" t="s">
        <v>101</v>
      </c>
      <c r="AD8" s="337" t="s">
        <v>101</v>
      </c>
      <c r="AE8" s="344" t="s">
        <v>101</v>
      </c>
      <c r="AF8" s="344" t="s">
        <v>101</v>
      </c>
      <c r="AG8" s="337" t="s">
        <v>101</v>
      </c>
      <c r="AH8" s="337" t="s">
        <v>101</v>
      </c>
      <c r="AI8" s="337" t="s">
        <v>101</v>
      </c>
      <c r="AJ8" s="337" t="s">
        <v>101</v>
      </c>
      <c r="AK8" s="337" t="s">
        <v>101</v>
      </c>
    </row>
    <row r="9" spans="1:37" ht="22.8">
      <c r="A9" s="338" t="s">
        <v>112</v>
      </c>
      <c r="B9" s="500" t="s">
        <v>113</v>
      </c>
      <c r="C9" s="501"/>
      <c r="D9" s="337" t="s">
        <v>114</v>
      </c>
      <c r="E9" s="337" t="s">
        <v>115</v>
      </c>
      <c r="F9" s="337" t="s">
        <v>116</v>
      </c>
      <c r="G9" s="337" t="s">
        <v>114</v>
      </c>
      <c r="H9" s="337" t="s">
        <v>114</v>
      </c>
      <c r="I9" s="337" t="s">
        <v>114</v>
      </c>
      <c r="J9" s="337" t="s">
        <v>114</v>
      </c>
      <c r="K9" s="337" t="s">
        <v>114</v>
      </c>
      <c r="L9" s="337" t="s">
        <v>117</v>
      </c>
      <c r="M9" s="337" t="s">
        <v>116</v>
      </c>
      <c r="N9" s="337" t="s">
        <v>116</v>
      </c>
      <c r="O9" s="337" t="s">
        <v>114</v>
      </c>
      <c r="P9" s="337" t="s">
        <v>114</v>
      </c>
      <c r="Q9" s="337" t="s">
        <v>114</v>
      </c>
      <c r="R9" s="337" t="s">
        <v>114</v>
      </c>
      <c r="S9" s="337" t="s">
        <v>114</v>
      </c>
      <c r="T9" s="368" t="s">
        <v>114</v>
      </c>
      <c r="U9" s="337" t="s">
        <v>114</v>
      </c>
      <c r="V9" s="337" t="s">
        <v>114</v>
      </c>
      <c r="W9" s="337" t="s">
        <v>114</v>
      </c>
      <c r="X9" s="337" t="s">
        <v>114</v>
      </c>
      <c r="Y9" s="337" t="s">
        <v>118</v>
      </c>
      <c r="Z9" s="379" t="s">
        <v>119</v>
      </c>
      <c r="AA9" s="379" t="s">
        <v>114</v>
      </c>
      <c r="AB9" s="337" t="s">
        <v>863</v>
      </c>
      <c r="AC9" s="337" t="s">
        <v>119</v>
      </c>
      <c r="AD9" s="337" t="s">
        <v>114</v>
      </c>
      <c r="AE9" s="337" t="s">
        <v>114</v>
      </c>
      <c r="AF9" s="337" t="s">
        <v>114</v>
      </c>
      <c r="AG9" s="337" t="s">
        <v>114</v>
      </c>
      <c r="AH9" s="337" t="s">
        <v>114</v>
      </c>
      <c r="AI9" s="337" t="s">
        <v>119</v>
      </c>
      <c r="AJ9" s="337" t="s">
        <v>114</v>
      </c>
      <c r="AK9" s="337" t="s">
        <v>115</v>
      </c>
    </row>
    <row r="10" spans="1:37" ht="47.25" customHeight="1">
      <c r="A10" s="340" t="s">
        <v>120</v>
      </c>
      <c r="B10" s="502" t="s">
        <v>121</v>
      </c>
      <c r="C10" s="503"/>
      <c r="D10" s="337" t="s">
        <v>101</v>
      </c>
      <c r="E10" s="337" t="s">
        <v>101</v>
      </c>
      <c r="F10" s="337" t="s">
        <v>101</v>
      </c>
      <c r="G10" s="337" t="s">
        <v>101</v>
      </c>
      <c r="H10" s="337" t="s">
        <v>101</v>
      </c>
      <c r="I10" s="337" t="s">
        <v>101</v>
      </c>
      <c r="J10" s="337" t="s">
        <v>101</v>
      </c>
      <c r="K10" s="337" t="s">
        <v>101</v>
      </c>
      <c r="L10" s="337" t="s">
        <v>101</v>
      </c>
      <c r="M10" s="337" t="s">
        <v>101</v>
      </c>
      <c r="N10" s="337" t="s">
        <v>101</v>
      </c>
      <c r="O10" s="337" t="s">
        <v>101</v>
      </c>
      <c r="P10" s="337" t="s">
        <v>101</v>
      </c>
      <c r="Q10" s="337" t="s">
        <v>101</v>
      </c>
      <c r="R10" s="337" t="s">
        <v>101</v>
      </c>
      <c r="S10" s="337" t="s">
        <v>101</v>
      </c>
      <c r="T10" s="366" t="s">
        <v>101</v>
      </c>
      <c r="U10" s="337" t="s">
        <v>101</v>
      </c>
      <c r="V10" s="337" t="s">
        <v>101</v>
      </c>
      <c r="W10" s="337" t="s">
        <v>101</v>
      </c>
      <c r="X10" s="337" t="s">
        <v>101</v>
      </c>
      <c r="Y10" s="337" t="s">
        <v>122</v>
      </c>
      <c r="Z10" s="379" t="s">
        <v>101</v>
      </c>
      <c r="AA10" s="379" t="s">
        <v>101</v>
      </c>
      <c r="AB10" s="337" t="s">
        <v>101</v>
      </c>
      <c r="AC10" s="337" t="s">
        <v>101</v>
      </c>
      <c r="AD10" s="337" t="s">
        <v>101</v>
      </c>
      <c r="AE10" s="344" t="s">
        <v>101</v>
      </c>
      <c r="AF10" s="344" t="s">
        <v>101</v>
      </c>
      <c r="AG10" s="337" t="s">
        <v>101</v>
      </c>
      <c r="AH10" s="337" t="s">
        <v>101</v>
      </c>
      <c r="AI10" s="337" t="s">
        <v>101</v>
      </c>
      <c r="AJ10" s="337" t="s">
        <v>101</v>
      </c>
      <c r="AK10" s="337" t="s">
        <v>101</v>
      </c>
    </row>
    <row r="11" spans="1:37" ht="24" customHeight="1">
      <c r="A11" s="338" t="s">
        <v>123</v>
      </c>
      <c r="B11" s="500" t="s">
        <v>124</v>
      </c>
      <c r="C11" s="501"/>
      <c r="D11" s="337" t="s">
        <v>125</v>
      </c>
      <c r="E11" s="337" t="s">
        <v>126</v>
      </c>
      <c r="F11" s="337" t="s">
        <v>126</v>
      </c>
      <c r="G11" s="337" t="s">
        <v>125</v>
      </c>
      <c r="H11" s="337" t="s">
        <v>126</v>
      </c>
      <c r="I11" s="337" t="s">
        <v>125</v>
      </c>
      <c r="J11" s="337" t="s">
        <v>125</v>
      </c>
      <c r="K11" s="337" t="s">
        <v>125</v>
      </c>
      <c r="L11" s="337" t="s">
        <v>126</v>
      </c>
      <c r="M11" s="337" t="s">
        <v>125</v>
      </c>
      <c r="N11" s="337" t="s">
        <v>126</v>
      </c>
      <c r="O11" s="337" t="s">
        <v>125</v>
      </c>
      <c r="P11" s="403" t="s">
        <v>790</v>
      </c>
      <c r="Q11" s="337" t="s">
        <v>125</v>
      </c>
      <c r="R11" s="337" t="s">
        <v>125</v>
      </c>
      <c r="S11" s="337" t="s">
        <v>126</v>
      </c>
      <c r="T11" s="366" t="s">
        <v>125</v>
      </c>
      <c r="U11" s="337" t="s">
        <v>126</v>
      </c>
      <c r="V11" s="337" t="s">
        <v>125</v>
      </c>
      <c r="W11" s="337" t="s">
        <v>125</v>
      </c>
      <c r="X11" s="337" t="s">
        <v>126</v>
      </c>
      <c r="Y11" s="337" t="s">
        <v>127</v>
      </c>
      <c r="Z11" s="380" t="s">
        <v>127</v>
      </c>
      <c r="AA11" s="379" t="s">
        <v>125</v>
      </c>
      <c r="AB11" s="337" t="s">
        <v>126</v>
      </c>
      <c r="AC11" s="337" t="s">
        <v>126</v>
      </c>
      <c r="AD11" s="337" t="s">
        <v>125</v>
      </c>
      <c r="AE11" s="344" t="s">
        <v>101</v>
      </c>
      <c r="AF11" s="344" t="s">
        <v>101</v>
      </c>
      <c r="AG11" s="337" t="s">
        <v>125</v>
      </c>
      <c r="AH11" s="337" t="s">
        <v>101</v>
      </c>
      <c r="AI11" s="337" t="s">
        <v>101</v>
      </c>
      <c r="AJ11" s="337" t="s">
        <v>125</v>
      </c>
      <c r="AK11" s="337" t="s">
        <v>126</v>
      </c>
    </row>
    <row r="12" spans="1:37" ht="45.6">
      <c r="A12" s="338" t="s">
        <v>128</v>
      </c>
      <c r="B12" s="498"/>
      <c r="C12" s="499"/>
      <c r="D12" s="337" t="s">
        <v>129</v>
      </c>
      <c r="E12" s="341" t="s">
        <v>130</v>
      </c>
      <c r="F12" s="341" t="s">
        <v>131</v>
      </c>
      <c r="G12" s="337" t="s">
        <v>129</v>
      </c>
      <c r="H12" s="341" t="s">
        <v>132</v>
      </c>
      <c r="I12" s="337" t="s">
        <v>129</v>
      </c>
      <c r="J12" s="337" t="s">
        <v>129</v>
      </c>
      <c r="K12" s="337" t="s">
        <v>129</v>
      </c>
      <c r="L12" s="341" t="s">
        <v>132</v>
      </c>
      <c r="M12" s="337" t="s">
        <v>129</v>
      </c>
      <c r="N12" s="341" t="s">
        <v>132</v>
      </c>
      <c r="O12" s="337" t="s">
        <v>129</v>
      </c>
      <c r="P12" s="404" t="s">
        <v>132</v>
      </c>
      <c r="Q12" s="337" t="s">
        <v>129</v>
      </c>
      <c r="R12" s="337" t="s">
        <v>129</v>
      </c>
      <c r="S12" s="341" t="s">
        <v>132</v>
      </c>
      <c r="T12" s="366" t="s">
        <v>129</v>
      </c>
      <c r="U12" s="341" t="s">
        <v>132</v>
      </c>
      <c r="V12" s="337" t="s">
        <v>129</v>
      </c>
      <c r="W12" s="337" t="s">
        <v>129</v>
      </c>
      <c r="X12" s="341" t="s">
        <v>132</v>
      </c>
      <c r="Y12" s="337" t="s">
        <v>133</v>
      </c>
      <c r="Z12" s="337" t="s">
        <v>134</v>
      </c>
      <c r="AA12" s="379" t="s">
        <v>129</v>
      </c>
      <c r="AB12" s="341" t="s">
        <v>870</v>
      </c>
      <c r="AC12" s="341" t="s">
        <v>130</v>
      </c>
      <c r="AD12" s="337" t="s">
        <v>129</v>
      </c>
      <c r="AE12" s="337" t="s">
        <v>129</v>
      </c>
      <c r="AF12" s="381" t="s">
        <v>132</v>
      </c>
      <c r="AG12" s="337" t="s">
        <v>129</v>
      </c>
      <c r="AH12" s="337" t="s">
        <v>129</v>
      </c>
      <c r="AI12" s="337" t="s">
        <v>130</v>
      </c>
      <c r="AJ12" s="337" t="s">
        <v>129</v>
      </c>
      <c r="AK12" s="341" t="s">
        <v>130</v>
      </c>
    </row>
    <row r="13" spans="1:37" ht="22.8">
      <c r="A13" s="338" t="s">
        <v>135</v>
      </c>
      <c r="B13" s="498" t="s">
        <v>136</v>
      </c>
      <c r="C13" s="499"/>
      <c r="D13" s="342" t="s">
        <v>136</v>
      </c>
      <c r="E13" s="342" t="s">
        <v>136</v>
      </c>
      <c r="F13" s="342" t="s">
        <v>136</v>
      </c>
      <c r="G13" s="342" t="s">
        <v>136</v>
      </c>
      <c r="H13" s="342" t="s">
        <v>136</v>
      </c>
      <c r="I13" s="342" t="s">
        <v>136</v>
      </c>
      <c r="J13" s="342" t="s">
        <v>136</v>
      </c>
      <c r="K13" s="342" t="s">
        <v>136</v>
      </c>
      <c r="L13" s="342" t="s">
        <v>136</v>
      </c>
      <c r="M13" s="342" t="s">
        <v>136</v>
      </c>
      <c r="N13" s="342" t="s">
        <v>136</v>
      </c>
      <c r="O13" s="342" t="s">
        <v>136</v>
      </c>
      <c r="P13" s="342" t="s">
        <v>136</v>
      </c>
      <c r="Q13" s="342" t="s">
        <v>136</v>
      </c>
      <c r="R13" s="342" t="s">
        <v>136</v>
      </c>
      <c r="S13" s="342" t="s">
        <v>136</v>
      </c>
      <c r="T13" s="366" t="s">
        <v>137</v>
      </c>
      <c r="U13" s="342" t="s">
        <v>136</v>
      </c>
      <c r="V13" s="342" t="s">
        <v>136</v>
      </c>
      <c r="W13" s="342" t="s">
        <v>136</v>
      </c>
      <c r="X13" s="342" t="s">
        <v>136</v>
      </c>
      <c r="Y13" s="337" t="s">
        <v>101</v>
      </c>
      <c r="Z13" s="382" t="s">
        <v>136</v>
      </c>
      <c r="AA13" s="382" t="s">
        <v>136</v>
      </c>
      <c r="AB13" s="342" t="s">
        <v>136</v>
      </c>
      <c r="AC13" s="342" t="s">
        <v>136</v>
      </c>
      <c r="AD13" s="342" t="s">
        <v>136</v>
      </c>
      <c r="AE13" s="342" t="s">
        <v>138</v>
      </c>
      <c r="AF13" s="383" t="s">
        <v>138</v>
      </c>
      <c r="AG13" s="342" t="s">
        <v>136</v>
      </c>
      <c r="AH13" s="343" t="s">
        <v>136</v>
      </c>
      <c r="AI13" s="343" t="s">
        <v>136</v>
      </c>
      <c r="AJ13" s="342" t="s">
        <v>136</v>
      </c>
      <c r="AK13" s="342" t="s">
        <v>136</v>
      </c>
    </row>
    <row r="14" spans="1:37" ht="26.4">
      <c r="A14" s="338" t="s">
        <v>139</v>
      </c>
      <c r="B14" s="498"/>
      <c r="C14" s="499"/>
      <c r="D14" s="343" t="s">
        <v>140</v>
      </c>
      <c r="E14" s="343" t="s">
        <v>140</v>
      </c>
      <c r="F14" s="343" t="s">
        <v>141</v>
      </c>
      <c r="G14" s="343" t="s">
        <v>140</v>
      </c>
      <c r="H14" s="344" t="s">
        <v>142</v>
      </c>
      <c r="I14" s="343" t="s">
        <v>140</v>
      </c>
      <c r="J14" s="343" t="s">
        <v>140</v>
      </c>
      <c r="K14" s="343" t="s">
        <v>140</v>
      </c>
      <c r="L14" s="337" t="s">
        <v>143</v>
      </c>
      <c r="M14" s="343" t="s">
        <v>140</v>
      </c>
      <c r="N14" s="337" t="s">
        <v>144</v>
      </c>
      <c r="O14" s="343" t="s">
        <v>140</v>
      </c>
      <c r="P14" s="343" t="s">
        <v>140</v>
      </c>
      <c r="Q14" s="343" t="s">
        <v>140</v>
      </c>
      <c r="R14" s="343" t="s">
        <v>140</v>
      </c>
      <c r="S14" s="337" t="s">
        <v>145</v>
      </c>
      <c r="T14" s="366" t="s">
        <v>140</v>
      </c>
      <c r="U14" s="337" t="s">
        <v>145</v>
      </c>
      <c r="V14" s="343" t="s">
        <v>140</v>
      </c>
      <c r="W14" s="343" t="s">
        <v>140</v>
      </c>
      <c r="X14" s="337" t="s">
        <v>145</v>
      </c>
      <c r="Y14" s="337" t="s">
        <v>146</v>
      </c>
      <c r="Z14" s="384" t="s">
        <v>147</v>
      </c>
      <c r="AA14" s="382" t="s">
        <v>140</v>
      </c>
      <c r="AB14" s="343" t="s">
        <v>864</v>
      </c>
      <c r="AC14" s="385" t="s">
        <v>142</v>
      </c>
      <c r="AD14" s="343" t="s">
        <v>140</v>
      </c>
      <c r="AE14" s="343" t="s">
        <v>140</v>
      </c>
      <c r="AF14" s="344" t="s">
        <v>148</v>
      </c>
      <c r="AG14" s="343" t="s">
        <v>140</v>
      </c>
      <c r="AH14" s="343" t="s">
        <v>140</v>
      </c>
      <c r="AI14" s="343" t="s">
        <v>140</v>
      </c>
      <c r="AJ14" s="343" t="s">
        <v>140</v>
      </c>
      <c r="AK14" s="253" t="s">
        <v>373</v>
      </c>
    </row>
    <row r="15" spans="1:37" ht="57">
      <c r="A15" s="338" t="s">
        <v>149</v>
      </c>
      <c r="B15" s="498"/>
      <c r="C15" s="499"/>
      <c r="D15" s="343" t="s">
        <v>150</v>
      </c>
      <c r="E15" s="343" t="s">
        <v>150</v>
      </c>
      <c r="F15" s="343" t="s">
        <v>151</v>
      </c>
      <c r="G15" s="343" t="s">
        <v>150</v>
      </c>
      <c r="H15" s="343" t="s">
        <v>150</v>
      </c>
      <c r="I15" s="343" t="s">
        <v>152</v>
      </c>
      <c r="J15" s="343" t="s">
        <v>152</v>
      </c>
      <c r="K15" s="343" t="s">
        <v>153</v>
      </c>
      <c r="L15" s="337" t="s">
        <v>154</v>
      </c>
      <c r="M15" s="337" t="s">
        <v>155</v>
      </c>
      <c r="N15" s="337" t="s">
        <v>156</v>
      </c>
      <c r="O15" s="360" t="s">
        <v>157</v>
      </c>
      <c r="P15" s="423" t="s">
        <v>799</v>
      </c>
      <c r="Q15" s="343" t="s">
        <v>158</v>
      </c>
      <c r="R15" s="343" t="s">
        <v>159</v>
      </c>
      <c r="S15" s="341" t="s">
        <v>160</v>
      </c>
      <c r="T15" s="366" t="s">
        <v>161</v>
      </c>
      <c r="U15" s="341" t="s">
        <v>160</v>
      </c>
      <c r="V15" s="343" t="s">
        <v>150</v>
      </c>
      <c r="W15" s="343" t="s">
        <v>150</v>
      </c>
      <c r="X15" s="341" t="s">
        <v>160</v>
      </c>
      <c r="Y15" s="369" t="s">
        <v>160</v>
      </c>
      <c r="Z15" s="386" t="s">
        <v>160</v>
      </c>
      <c r="AA15" s="386" t="s">
        <v>162</v>
      </c>
      <c r="AB15" s="341" t="s">
        <v>160</v>
      </c>
      <c r="AC15" s="341" t="s">
        <v>160</v>
      </c>
      <c r="AD15" s="343" t="s">
        <v>150</v>
      </c>
      <c r="AE15" s="343" t="s">
        <v>150</v>
      </c>
      <c r="AF15" s="341" t="s">
        <v>160</v>
      </c>
      <c r="AG15" s="343" t="s">
        <v>150</v>
      </c>
      <c r="AH15" s="343" t="s">
        <v>150</v>
      </c>
      <c r="AI15" s="343" t="s">
        <v>150</v>
      </c>
      <c r="AJ15" s="343" t="s">
        <v>150</v>
      </c>
      <c r="AK15" s="254" t="s">
        <v>160</v>
      </c>
    </row>
    <row r="16" spans="1:37">
      <c r="A16" s="338" t="s">
        <v>163</v>
      </c>
      <c r="B16" s="504"/>
      <c r="C16" s="505"/>
      <c r="D16" s="343" t="s">
        <v>164</v>
      </c>
      <c r="E16" s="343" t="s">
        <v>164</v>
      </c>
      <c r="F16" s="343" t="s">
        <v>165</v>
      </c>
      <c r="G16" s="343" t="s">
        <v>164</v>
      </c>
      <c r="H16" s="343" t="s">
        <v>164</v>
      </c>
      <c r="I16" s="343" t="s">
        <v>164</v>
      </c>
      <c r="J16" s="343" t="s">
        <v>164</v>
      </c>
      <c r="K16" s="343" t="s">
        <v>164</v>
      </c>
      <c r="L16" s="343" t="s">
        <v>164</v>
      </c>
      <c r="M16" s="343" t="s">
        <v>166</v>
      </c>
      <c r="N16" s="343" t="s">
        <v>165</v>
      </c>
      <c r="O16" s="343" t="s">
        <v>164</v>
      </c>
      <c r="P16" s="343" t="s">
        <v>164</v>
      </c>
      <c r="Q16" s="343" t="s">
        <v>164</v>
      </c>
      <c r="R16" s="343" t="s">
        <v>164</v>
      </c>
      <c r="S16" s="343" t="s">
        <v>164</v>
      </c>
      <c r="T16" s="366" t="s">
        <v>164</v>
      </c>
      <c r="U16" s="343" t="s">
        <v>164</v>
      </c>
      <c r="V16" s="343" t="s">
        <v>164</v>
      </c>
      <c r="W16" s="343" t="s">
        <v>164</v>
      </c>
      <c r="X16" s="343" t="s">
        <v>164</v>
      </c>
      <c r="Y16" s="370" t="s">
        <v>164</v>
      </c>
      <c r="Z16" s="382" t="s">
        <v>164</v>
      </c>
      <c r="AA16" s="382" t="s">
        <v>164</v>
      </c>
      <c r="AB16" s="343" t="s">
        <v>165</v>
      </c>
      <c r="AC16" s="343" t="s">
        <v>164</v>
      </c>
      <c r="AD16" s="343" t="s">
        <v>164</v>
      </c>
      <c r="AE16" s="387" t="s">
        <v>164</v>
      </c>
      <c r="AF16" s="387" t="s">
        <v>164</v>
      </c>
      <c r="AG16" s="343" t="s">
        <v>164</v>
      </c>
      <c r="AH16" s="343" t="s">
        <v>164</v>
      </c>
      <c r="AI16" s="343" t="s">
        <v>164</v>
      </c>
      <c r="AJ16" s="343" t="s">
        <v>164</v>
      </c>
      <c r="AK16" s="343" t="s">
        <v>164</v>
      </c>
    </row>
    <row r="17" spans="1:37">
      <c r="A17" s="338" t="s">
        <v>167</v>
      </c>
      <c r="B17" s="498"/>
      <c r="C17" s="499"/>
      <c r="D17" s="342" t="s">
        <v>168</v>
      </c>
      <c r="E17" s="342" t="s">
        <v>168</v>
      </c>
      <c r="F17" s="342" t="s">
        <v>169</v>
      </c>
      <c r="G17" s="342" t="s">
        <v>168</v>
      </c>
      <c r="H17" s="342" t="s">
        <v>168</v>
      </c>
      <c r="I17" s="342" t="s">
        <v>168</v>
      </c>
      <c r="J17" s="342" t="s">
        <v>168</v>
      </c>
      <c r="K17" s="342" t="s">
        <v>168</v>
      </c>
      <c r="L17" s="342" t="s">
        <v>168</v>
      </c>
      <c r="M17" s="342" t="s">
        <v>169</v>
      </c>
      <c r="N17" s="342" t="s">
        <v>169</v>
      </c>
      <c r="O17" s="342" t="s">
        <v>168</v>
      </c>
      <c r="P17" s="342" t="s">
        <v>168</v>
      </c>
      <c r="Q17" s="342" t="s">
        <v>168</v>
      </c>
      <c r="R17" s="342" t="s">
        <v>168</v>
      </c>
      <c r="S17" s="342" t="s">
        <v>168</v>
      </c>
      <c r="T17" s="366" t="s">
        <v>160</v>
      </c>
      <c r="U17" s="342" t="s">
        <v>168</v>
      </c>
      <c r="V17" s="342" t="s">
        <v>168</v>
      </c>
      <c r="W17" s="342" t="s">
        <v>168</v>
      </c>
      <c r="X17" s="342" t="s">
        <v>168</v>
      </c>
      <c r="Y17" s="343" t="s">
        <v>168</v>
      </c>
      <c r="Z17" s="382" t="s">
        <v>168</v>
      </c>
      <c r="AA17" s="382" t="s">
        <v>168</v>
      </c>
      <c r="AB17" s="342" t="s">
        <v>866</v>
      </c>
      <c r="AC17" s="342" t="s">
        <v>168</v>
      </c>
      <c r="AD17" s="342" t="s">
        <v>168</v>
      </c>
      <c r="AE17" s="342" t="s">
        <v>170</v>
      </c>
      <c r="AF17" s="342" t="s">
        <v>171</v>
      </c>
      <c r="AG17" s="342" t="s">
        <v>168</v>
      </c>
      <c r="AH17" s="342" t="s">
        <v>168</v>
      </c>
      <c r="AI17" s="342" t="s">
        <v>168</v>
      </c>
      <c r="AJ17" s="342" t="s">
        <v>168</v>
      </c>
      <c r="AK17" s="342" t="s">
        <v>168</v>
      </c>
    </row>
    <row r="18" spans="1:37" ht="22.8">
      <c r="A18" s="338" t="s">
        <v>172</v>
      </c>
      <c r="B18" s="498"/>
      <c r="C18" s="499"/>
      <c r="D18" s="343" t="s">
        <v>173</v>
      </c>
      <c r="E18" s="343" t="s">
        <v>173</v>
      </c>
      <c r="F18" s="343" t="s">
        <v>174</v>
      </c>
      <c r="G18" s="343" t="s">
        <v>173</v>
      </c>
      <c r="H18" s="343" t="s">
        <v>173</v>
      </c>
      <c r="I18" s="343" t="s">
        <v>173</v>
      </c>
      <c r="J18" s="343" t="s">
        <v>173</v>
      </c>
      <c r="K18" s="343" t="s">
        <v>173</v>
      </c>
      <c r="L18" s="343" t="s">
        <v>173</v>
      </c>
      <c r="M18" s="343" t="s">
        <v>173</v>
      </c>
      <c r="N18" s="343" t="s">
        <v>173</v>
      </c>
      <c r="O18" s="343" t="s">
        <v>173</v>
      </c>
      <c r="P18" s="343" t="s">
        <v>173</v>
      </c>
      <c r="Q18" s="343" t="s">
        <v>175</v>
      </c>
      <c r="R18" s="343" t="s">
        <v>173</v>
      </c>
      <c r="S18" s="343" t="s">
        <v>173</v>
      </c>
      <c r="T18" s="366" t="s">
        <v>173</v>
      </c>
      <c r="U18" s="343" t="s">
        <v>173</v>
      </c>
      <c r="V18" s="343" t="s">
        <v>176</v>
      </c>
      <c r="W18" s="343" t="s">
        <v>173</v>
      </c>
      <c r="X18" s="343" t="s">
        <v>173</v>
      </c>
      <c r="Y18" s="343" t="s">
        <v>173</v>
      </c>
      <c r="Z18" s="382" t="s">
        <v>173</v>
      </c>
      <c r="AA18" s="382" t="s">
        <v>173</v>
      </c>
      <c r="AB18" s="343" t="s">
        <v>865</v>
      </c>
      <c r="AC18" s="343" t="s">
        <v>173</v>
      </c>
      <c r="AD18" s="343" t="s">
        <v>173</v>
      </c>
      <c r="AE18" s="343" t="s">
        <v>177</v>
      </c>
      <c r="AF18" s="343" t="s">
        <v>177</v>
      </c>
      <c r="AG18" s="343" t="s">
        <v>176</v>
      </c>
      <c r="AH18" s="343" t="s">
        <v>176</v>
      </c>
      <c r="AI18" s="343" t="s">
        <v>176</v>
      </c>
      <c r="AJ18" s="343" t="s">
        <v>173</v>
      </c>
      <c r="AK18" s="343" t="s">
        <v>173</v>
      </c>
    </row>
    <row r="19" spans="1:37" ht="32.25" customHeight="1">
      <c r="A19" s="336" t="s">
        <v>178</v>
      </c>
      <c r="B19" s="500" t="s">
        <v>179</v>
      </c>
      <c r="C19" s="501"/>
      <c r="D19" s="337" t="s">
        <v>101</v>
      </c>
      <c r="E19" s="337" t="s">
        <v>101</v>
      </c>
      <c r="F19" s="337" t="s">
        <v>180</v>
      </c>
      <c r="G19" s="337" t="s">
        <v>101</v>
      </c>
      <c r="H19" s="337" t="s">
        <v>101</v>
      </c>
      <c r="I19" s="337" t="s">
        <v>101</v>
      </c>
      <c r="J19" s="337" t="s">
        <v>101</v>
      </c>
      <c r="K19" s="337" t="s">
        <v>101</v>
      </c>
      <c r="L19" s="337" t="s">
        <v>101</v>
      </c>
      <c r="M19" s="337" t="s">
        <v>180</v>
      </c>
      <c r="N19" s="337" t="s">
        <v>180</v>
      </c>
      <c r="O19" s="337" t="s">
        <v>101</v>
      </c>
      <c r="P19" s="337" t="s">
        <v>101</v>
      </c>
      <c r="Q19" s="337" t="s">
        <v>101</v>
      </c>
      <c r="R19" s="337" t="s">
        <v>101</v>
      </c>
      <c r="S19" s="337" t="s">
        <v>101</v>
      </c>
      <c r="T19" s="366" t="s">
        <v>101</v>
      </c>
      <c r="U19" s="337" t="s">
        <v>101</v>
      </c>
      <c r="V19" s="337" t="s">
        <v>101</v>
      </c>
      <c r="W19" s="337" t="s">
        <v>101</v>
      </c>
      <c r="X19" s="337" t="s">
        <v>101</v>
      </c>
      <c r="Y19" s="367" t="s">
        <v>101</v>
      </c>
      <c r="Z19" s="379" t="s">
        <v>101</v>
      </c>
      <c r="AA19" s="379" t="s">
        <v>101</v>
      </c>
      <c r="AB19" s="337" t="s">
        <v>180</v>
      </c>
      <c r="AC19" s="337" t="s">
        <v>101</v>
      </c>
      <c r="AD19" s="337" t="s">
        <v>101</v>
      </c>
      <c r="AE19" s="337" t="s">
        <v>101</v>
      </c>
      <c r="AF19" s="337" t="s">
        <v>101</v>
      </c>
      <c r="AG19" s="337" t="s">
        <v>101</v>
      </c>
      <c r="AH19" s="337" t="s">
        <v>101</v>
      </c>
      <c r="AI19" s="337" t="s">
        <v>101</v>
      </c>
      <c r="AJ19" s="337" t="s">
        <v>101</v>
      </c>
      <c r="AK19" s="337" t="s">
        <v>101</v>
      </c>
    </row>
    <row r="20" spans="1:37" ht="86.25" customHeight="1">
      <c r="A20" s="338" t="s">
        <v>181</v>
      </c>
      <c r="B20" s="500" t="s">
        <v>182</v>
      </c>
      <c r="C20" s="501"/>
      <c r="D20" s="343" t="s">
        <v>160</v>
      </c>
      <c r="E20" s="337" t="s">
        <v>183</v>
      </c>
      <c r="F20" s="337" t="s">
        <v>184</v>
      </c>
      <c r="G20" s="343" t="s">
        <v>160</v>
      </c>
      <c r="H20" s="344" t="s">
        <v>160</v>
      </c>
      <c r="I20" s="343" t="s">
        <v>160</v>
      </c>
      <c r="J20" s="343" t="s">
        <v>160</v>
      </c>
      <c r="K20" s="343" t="s">
        <v>160</v>
      </c>
      <c r="L20" s="337" t="s">
        <v>185</v>
      </c>
      <c r="M20" s="343" t="s">
        <v>160</v>
      </c>
      <c r="N20" s="337" t="s">
        <v>186</v>
      </c>
      <c r="O20" s="343" t="s">
        <v>160</v>
      </c>
      <c r="P20" s="343" t="s">
        <v>160</v>
      </c>
      <c r="Q20" s="343" t="s">
        <v>160</v>
      </c>
      <c r="R20" s="343" t="s">
        <v>160</v>
      </c>
      <c r="S20" s="337" t="s">
        <v>185</v>
      </c>
      <c r="T20" s="366" t="s">
        <v>160</v>
      </c>
      <c r="U20" s="337" t="s">
        <v>185</v>
      </c>
      <c r="V20" s="343" t="s">
        <v>160</v>
      </c>
      <c r="W20" s="343" t="s">
        <v>160</v>
      </c>
      <c r="X20" s="337" t="s">
        <v>187</v>
      </c>
      <c r="Y20" s="367" t="s">
        <v>188</v>
      </c>
      <c r="Z20" s="382" t="s">
        <v>189</v>
      </c>
      <c r="AA20" s="382" t="s">
        <v>160</v>
      </c>
      <c r="AB20" s="337" t="s">
        <v>184</v>
      </c>
      <c r="AC20" s="337" t="s">
        <v>190</v>
      </c>
      <c r="AD20" s="343" t="s">
        <v>160</v>
      </c>
      <c r="AE20" s="343" t="s">
        <v>160</v>
      </c>
      <c r="AF20" s="344" t="s">
        <v>191</v>
      </c>
      <c r="AG20" s="343" t="s">
        <v>160</v>
      </c>
      <c r="AH20" s="343" t="s">
        <v>160</v>
      </c>
      <c r="AI20" s="337" t="s">
        <v>190</v>
      </c>
      <c r="AJ20" s="343" t="s">
        <v>160</v>
      </c>
      <c r="AK20" s="337" t="s">
        <v>190</v>
      </c>
    </row>
    <row r="21" spans="1:37" ht="34.200000000000003">
      <c r="A21" s="336" t="s">
        <v>192</v>
      </c>
      <c r="B21" s="498"/>
      <c r="C21" s="499"/>
      <c r="D21" s="343" t="s">
        <v>193</v>
      </c>
      <c r="E21" s="337" t="s">
        <v>194</v>
      </c>
      <c r="F21" s="337" t="s">
        <v>194</v>
      </c>
      <c r="G21" s="343" t="s">
        <v>193</v>
      </c>
      <c r="H21" s="337" t="s">
        <v>194</v>
      </c>
      <c r="I21" s="343" t="s">
        <v>193</v>
      </c>
      <c r="J21" s="343" t="s">
        <v>193</v>
      </c>
      <c r="K21" s="343" t="s">
        <v>195</v>
      </c>
      <c r="L21" s="337" t="s">
        <v>196</v>
      </c>
      <c r="M21" s="343" t="s">
        <v>195</v>
      </c>
      <c r="N21" s="337" t="s">
        <v>196</v>
      </c>
      <c r="O21" s="343" t="s">
        <v>193</v>
      </c>
      <c r="P21" s="343" t="s">
        <v>193</v>
      </c>
      <c r="Q21" s="343" t="s">
        <v>193</v>
      </c>
      <c r="R21" s="343" t="s">
        <v>193</v>
      </c>
      <c r="S21" s="337" t="s">
        <v>194</v>
      </c>
      <c r="T21" s="368" t="s">
        <v>193</v>
      </c>
      <c r="U21" s="337" t="s">
        <v>194</v>
      </c>
      <c r="V21" s="343" t="s">
        <v>193</v>
      </c>
      <c r="W21" s="343" t="s">
        <v>193</v>
      </c>
      <c r="X21" s="337" t="s">
        <v>194</v>
      </c>
      <c r="Y21" s="367" t="s">
        <v>197</v>
      </c>
      <c r="Z21" s="382" t="s">
        <v>193</v>
      </c>
      <c r="AA21" s="382" t="s">
        <v>193</v>
      </c>
      <c r="AB21" s="337" t="s">
        <v>867</v>
      </c>
      <c r="AC21" s="337" t="s">
        <v>194</v>
      </c>
      <c r="AD21" s="343" t="s">
        <v>193</v>
      </c>
      <c r="AE21" s="387" t="s">
        <v>198</v>
      </c>
      <c r="AF21" s="344" t="s">
        <v>199</v>
      </c>
      <c r="AG21" s="343" t="s">
        <v>193</v>
      </c>
      <c r="AH21" s="343" t="s">
        <v>193</v>
      </c>
      <c r="AI21" s="343" t="s">
        <v>193</v>
      </c>
      <c r="AJ21" s="343" t="s">
        <v>193</v>
      </c>
      <c r="AK21" s="337" t="s">
        <v>194</v>
      </c>
    </row>
    <row r="22" spans="1:37" ht="22.8">
      <c r="A22" s="336" t="s">
        <v>200</v>
      </c>
      <c r="B22" s="498"/>
      <c r="C22" s="499"/>
      <c r="D22" s="343" t="s">
        <v>201</v>
      </c>
      <c r="E22" s="343" t="s">
        <v>201</v>
      </c>
      <c r="F22" s="343" t="s">
        <v>201</v>
      </c>
      <c r="G22" s="343" t="s">
        <v>201</v>
      </c>
      <c r="H22" s="343" t="s">
        <v>201</v>
      </c>
      <c r="I22" s="343" t="s">
        <v>201</v>
      </c>
      <c r="J22" s="343" t="s">
        <v>201</v>
      </c>
      <c r="K22" s="343" t="s">
        <v>201</v>
      </c>
      <c r="L22" s="343" t="s">
        <v>201</v>
      </c>
      <c r="M22" s="343" t="s">
        <v>201</v>
      </c>
      <c r="N22" s="343" t="s">
        <v>201</v>
      </c>
      <c r="O22" s="343" t="s">
        <v>201</v>
      </c>
      <c r="P22" s="343" t="s">
        <v>201</v>
      </c>
      <c r="Q22" s="343" t="s">
        <v>201</v>
      </c>
      <c r="R22" s="343" t="s">
        <v>201</v>
      </c>
      <c r="S22" s="343" t="s">
        <v>201</v>
      </c>
      <c r="T22" s="368" t="s">
        <v>201</v>
      </c>
      <c r="U22" s="343" t="s">
        <v>201</v>
      </c>
      <c r="V22" s="343" t="s">
        <v>201</v>
      </c>
      <c r="W22" s="343" t="s">
        <v>201</v>
      </c>
      <c r="X22" s="343" t="s">
        <v>201</v>
      </c>
      <c r="Y22" s="370" t="s">
        <v>201</v>
      </c>
      <c r="Z22" s="382" t="s">
        <v>201</v>
      </c>
      <c r="AA22" s="382" t="s">
        <v>201</v>
      </c>
      <c r="AB22" s="343" t="s">
        <v>201</v>
      </c>
      <c r="AC22" s="343" t="s">
        <v>201</v>
      </c>
      <c r="AD22" s="343" t="s">
        <v>201</v>
      </c>
      <c r="AE22" s="387" t="s">
        <v>201</v>
      </c>
      <c r="AF22" s="387" t="s">
        <v>201</v>
      </c>
      <c r="AG22" s="343" t="s">
        <v>201</v>
      </c>
      <c r="AH22" s="343" t="s">
        <v>201</v>
      </c>
      <c r="AI22" s="343" t="s">
        <v>201</v>
      </c>
      <c r="AJ22" s="343" t="s">
        <v>201</v>
      </c>
      <c r="AK22" s="343" t="s">
        <v>201</v>
      </c>
    </row>
    <row r="23" spans="1:37">
      <c r="A23" s="336" t="s">
        <v>202</v>
      </c>
      <c r="B23" s="498">
        <v>1</v>
      </c>
      <c r="C23" s="499"/>
      <c r="D23" s="337" t="s">
        <v>101</v>
      </c>
      <c r="E23" s="337" t="s">
        <v>101</v>
      </c>
      <c r="F23" s="337" t="s">
        <v>101</v>
      </c>
      <c r="G23" s="337" t="s">
        <v>101</v>
      </c>
      <c r="H23" s="337" t="s">
        <v>101</v>
      </c>
      <c r="I23" s="337" t="s">
        <v>101</v>
      </c>
      <c r="J23" s="337" t="s">
        <v>101</v>
      </c>
      <c r="K23" s="337" t="s">
        <v>101</v>
      </c>
      <c r="L23" s="337" t="s">
        <v>101</v>
      </c>
      <c r="M23" s="337" t="s">
        <v>101</v>
      </c>
      <c r="N23" s="337" t="s">
        <v>101</v>
      </c>
      <c r="O23" s="337" t="s">
        <v>101</v>
      </c>
      <c r="P23" s="337" t="s">
        <v>101</v>
      </c>
      <c r="Q23" s="337" t="s">
        <v>101</v>
      </c>
      <c r="R23" s="337" t="s">
        <v>101</v>
      </c>
      <c r="S23" s="337" t="s">
        <v>101</v>
      </c>
      <c r="T23" s="366" t="s">
        <v>101</v>
      </c>
      <c r="U23" s="337" t="s">
        <v>101</v>
      </c>
      <c r="V23" s="337" t="s">
        <v>101</v>
      </c>
      <c r="W23" s="337" t="s">
        <v>101</v>
      </c>
      <c r="X23" s="337" t="s">
        <v>101</v>
      </c>
      <c r="Y23" s="337" t="s">
        <v>101</v>
      </c>
      <c r="Z23" s="379" t="s">
        <v>101</v>
      </c>
      <c r="AA23" s="379" t="s">
        <v>101</v>
      </c>
      <c r="AB23" s="337" t="s">
        <v>101</v>
      </c>
      <c r="AC23" s="337" t="s">
        <v>101</v>
      </c>
      <c r="AD23" s="337" t="s">
        <v>101</v>
      </c>
      <c r="AE23" s="344" t="s">
        <v>101</v>
      </c>
      <c r="AF23" s="344" t="s">
        <v>101</v>
      </c>
      <c r="AG23" s="337" t="s">
        <v>101</v>
      </c>
      <c r="AH23" s="337" t="s">
        <v>101</v>
      </c>
      <c r="AI23" s="337" t="s">
        <v>101</v>
      </c>
      <c r="AJ23" s="337" t="s">
        <v>101</v>
      </c>
      <c r="AK23" s="337" t="s">
        <v>101</v>
      </c>
    </row>
    <row r="24" spans="1:37">
      <c r="A24" s="336" t="s">
        <v>203</v>
      </c>
      <c r="B24" s="498"/>
      <c r="C24" s="499"/>
      <c r="D24" s="343" t="s">
        <v>204</v>
      </c>
      <c r="E24" s="343" t="s">
        <v>204</v>
      </c>
      <c r="F24" s="343" t="s">
        <v>205</v>
      </c>
      <c r="G24" s="343" t="s">
        <v>204</v>
      </c>
      <c r="H24" s="343" t="s">
        <v>204</v>
      </c>
      <c r="I24" s="343" t="s">
        <v>204</v>
      </c>
      <c r="J24" s="343" t="s">
        <v>204</v>
      </c>
      <c r="K24" s="343" t="s">
        <v>204</v>
      </c>
      <c r="L24" s="343" t="s">
        <v>204</v>
      </c>
      <c r="M24" s="336" t="s">
        <v>206</v>
      </c>
      <c r="N24" s="336" t="s">
        <v>205</v>
      </c>
      <c r="O24" s="343" t="s">
        <v>204</v>
      </c>
      <c r="P24" s="343" t="s">
        <v>204</v>
      </c>
      <c r="Q24" s="343" t="s">
        <v>204</v>
      </c>
      <c r="R24" s="343" t="s">
        <v>204</v>
      </c>
      <c r="S24" s="343" t="s">
        <v>204</v>
      </c>
      <c r="T24" s="366" t="s">
        <v>204</v>
      </c>
      <c r="U24" s="343" t="s">
        <v>204</v>
      </c>
      <c r="V24" s="343" t="s">
        <v>204</v>
      </c>
      <c r="W24" s="343" t="s">
        <v>204</v>
      </c>
      <c r="X24" s="343" t="s">
        <v>204</v>
      </c>
      <c r="Y24" s="370" t="s">
        <v>204</v>
      </c>
      <c r="Z24" s="382" t="s">
        <v>204</v>
      </c>
      <c r="AA24" s="382" t="s">
        <v>204</v>
      </c>
      <c r="AB24" s="343" t="s">
        <v>205</v>
      </c>
      <c r="AC24" s="343" t="s">
        <v>204</v>
      </c>
      <c r="AD24" s="343" t="s">
        <v>204</v>
      </c>
      <c r="AE24" s="387" t="s">
        <v>204</v>
      </c>
      <c r="AF24" s="387" t="s">
        <v>204</v>
      </c>
      <c r="AG24" s="388" t="s">
        <v>204</v>
      </c>
      <c r="AH24" s="387" t="s">
        <v>204</v>
      </c>
      <c r="AI24" s="387" t="s">
        <v>204</v>
      </c>
      <c r="AJ24" s="343" t="s">
        <v>204</v>
      </c>
      <c r="AK24" s="343" t="s">
        <v>204</v>
      </c>
    </row>
    <row r="25" spans="1:37" ht="22.8">
      <c r="A25" s="336" t="s">
        <v>207</v>
      </c>
      <c r="B25" s="498"/>
      <c r="C25" s="499"/>
      <c r="D25" s="337" t="s">
        <v>208</v>
      </c>
      <c r="E25" s="337" t="s">
        <v>208</v>
      </c>
      <c r="F25" s="343" t="s">
        <v>209</v>
      </c>
      <c r="G25" s="337" t="s">
        <v>210</v>
      </c>
      <c r="H25" s="337" t="s">
        <v>210</v>
      </c>
      <c r="I25" s="337" t="s">
        <v>208</v>
      </c>
      <c r="J25" s="337" t="s">
        <v>208</v>
      </c>
      <c r="K25" s="337" t="s">
        <v>208</v>
      </c>
      <c r="L25" s="337" t="s">
        <v>208</v>
      </c>
      <c r="M25" s="336" t="s">
        <v>211</v>
      </c>
      <c r="N25" s="336" t="s">
        <v>211</v>
      </c>
      <c r="O25" s="337" t="s">
        <v>208</v>
      </c>
      <c r="P25" s="337" t="s">
        <v>208</v>
      </c>
      <c r="Q25" s="337" t="s">
        <v>208</v>
      </c>
      <c r="R25" s="337" t="s">
        <v>208</v>
      </c>
      <c r="S25" s="337" t="s">
        <v>208</v>
      </c>
      <c r="T25" s="368" t="s">
        <v>208</v>
      </c>
      <c r="U25" s="337" t="s">
        <v>208</v>
      </c>
      <c r="V25" s="337" t="s">
        <v>208</v>
      </c>
      <c r="W25" s="337" t="s">
        <v>208</v>
      </c>
      <c r="X25" s="337" t="s">
        <v>208</v>
      </c>
      <c r="Y25" s="367" t="s">
        <v>208</v>
      </c>
      <c r="Z25" s="379" t="s">
        <v>210</v>
      </c>
      <c r="AA25" s="379" t="s">
        <v>210</v>
      </c>
      <c r="AB25" s="343" t="s">
        <v>209</v>
      </c>
      <c r="AC25" s="337" t="s">
        <v>208</v>
      </c>
      <c r="AD25" s="337" t="s">
        <v>208</v>
      </c>
      <c r="AE25" s="344" t="s">
        <v>208</v>
      </c>
      <c r="AF25" s="344" t="s">
        <v>208</v>
      </c>
      <c r="AG25" s="337" t="s">
        <v>208</v>
      </c>
      <c r="AH25" s="344" t="s">
        <v>208</v>
      </c>
      <c r="AI25" s="344" t="s">
        <v>208</v>
      </c>
      <c r="AJ25" s="337" t="s">
        <v>208</v>
      </c>
      <c r="AK25" s="337" t="s">
        <v>208</v>
      </c>
    </row>
    <row r="26" spans="1:37" ht="129.75" customHeight="1">
      <c r="A26" s="345" t="s">
        <v>212</v>
      </c>
      <c r="B26" s="508" t="s">
        <v>213</v>
      </c>
      <c r="C26" s="509"/>
      <c r="D26" s="344" t="s">
        <v>214</v>
      </c>
      <c r="E26" s="344" t="s">
        <v>214</v>
      </c>
      <c r="F26" s="344" t="s">
        <v>215</v>
      </c>
      <c r="G26" s="344" t="s">
        <v>214</v>
      </c>
      <c r="H26" s="344" t="s">
        <v>214</v>
      </c>
      <c r="I26" s="344" t="s">
        <v>214</v>
      </c>
      <c r="J26" s="344" t="s">
        <v>214</v>
      </c>
      <c r="K26" s="344" t="s">
        <v>214</v>
      </c>
      <c r="L26" s="344" t="s">
        <v>214</v>
      </c>
      <c r="M26" s="344" t="s">
        <v>216</v>
      </c>
      <c r="N26" s="344" t="s">
        <v>217</v>
      </c>
      <c r="O26" s="344" t="s">
        <v>218</v>
      </c>
      <c r="P26" s="403" t="s">
        <v>791</v>
      </c>
      <c r="Q26" s="344" t="s">
        <v>214</v>
      </c>
      <c r="R26" s="344" t="s">
        <v>216</v>
      </c>
      <c r="S26" s="344" t="s">
        <v>216</v>
      </c>
      <c r="T26" s="368" t="s">
        <v>219</v>
      </c>
      <c r="U26" s="344" t="s">
        <v>216</v>
      </c>
      <c r="V26" s="344" t="s">
        <v>216</v>
      </c>
      <c r="W26" s="344" t="s">
        <v>214</v>
      </c>
      <c r="X26" s="344" t="s">
        <v>214</v>
      </c>
      <c r="Y26" s="344" t="s">
        <v>216</v>
      </c>
      <c r="Z26" s="389" t="s">
        <v>220</v>
      </c>
      <c r="AA26" s="389" t="s">
        <v>220</v>
      </c>
      <c r="AB26" s="344" t="s">
        <v>868</v>
      </c>
      <c r="AC26" s="344" t="s">
        <v>872</v>
      </c>
      <c r="AD26" s="344" t="s">
        <v>220</v>
      </c>
      <c r="AE26" s="344" t="s">
        <v>221</v>
      </c>
      <c r="AF26" s="344" t="s">
        <v>221</v>
      </c>
      <c r="AG26" s="344" t="s">
        <v>216</v>
      </c>
      <c r="AH26" s="344" t="s">
        <v>221</v>
      </c>
      <c r="AI26" s="344" t="s">
        <v>221</v>
      </c>
      <c r="AJ26" s="179" t="s">
        <v>396</v>
      </c>
      <c r="AK26" s="179" t="s">
        <v>396</v>
      </c>
    </row>
    <row r="27" spans="1:37" ht="71.25" customHeight="1">
      <c r="A27" s="345" t="s">
        <v>222</v>
      </c>
      <c r="B27" s="508" t="s">
        <v>223</v>
      </c>
      <c r="C27" s="509"/>
      <c r="D27" s="339" t="s">
        <v>224</v>
      </c>
      <c r="E27" s="339" t="s">
        <v>225</v>
      </c>
      <c r="F27" s="339" t="s">
        <v>226</v>
      </c>
      <c r="G27" s="339" t="s">
        <v>227</v>
      </c>
      <c r="H27" s="339" t="s">
        <v>228</v>
      </c>
      <c r="I27" s="339" t="s">
        <v>224</v>
      </c>
      <c r="J27" s="339" t="s">
        <v>229</v>
      </c>
      <c r="K27" s="339" t="s">
        <v>224</v>
      </c>
      <c r="L27" s="339" t="s">
        <v>225</v>
      </c>
      <c r="M27" s="339" t="s">
        <v>224</v>
      </c>
      <c r="N27" s="339" t="s">
        <v>225</v>
      </c>
      <c r="O27" s="339" t="s">
        <v>228</v>
      </c>
      <c r="P27" s="339" t="s">
        <v>228</v>
      </c>
      <c r="Q27" s="339" t="s">
        <v>229</v>
      </c>
      <c r="R27" s="339" t="s">
        <v>224</v>
      </c>
      <c r="S27" s="339" t="s">
        <v>225</v>
      </c>
      <c r="T27" s="368" t="s">
        <v>224</v>
      </c>
      <c r="U27" s="339" t="s">
        <v>225</v>
      </c>
      <c r="V27" s="339" t="s">
        <v>224</v>
      </c>
      <c r="W27" s="339" t="s">
        <v>224</v>
      </c>
      <c r="X27" s="339" t="s">
        <v>225</v>
      </c>
      <c r="Y27" s="337" t="s">
        <v>230</v>
      </c>
      <c r="Z27" s="379" t="s">
        <v>224</v>
      </c>
      <c r="AA27" s="379" t="s">
        <v>224</v>
      </c>
      <c r="AB27" s="339" t="s">
        <v>226</v>
      </c>
      <c r="AC27" s="339" t="s">
        <v>231</v>
      </c>
      <c r="AD27" s="339" t="s">
        <v>224</v>
      </c>
      <c r="AE27" s="339" t="s">
        <v>232</v>
      </c>
      <c r="AF27" s="339" t="s">
        <v>233</v>
      </c>
      <c r="AG27" s="339" t="s">
        <v>224</v>
      </c>
      <c r="AH27" s="339" t="s">
        <v>234</v>
      </c>
      <c r="AI27" s="339" t="s">
        <v>234</v>
      </c>
      <c r="AJ27" s="339" t="s">
        <v>224</v>
      </c>
      <c r="AK27" s="339" t="s">
        <v>224</v>
      </c>
    </row>
    <row r="28" spans="1:37">
      <c r="A28" s="336" t="s">
        <v>235</v>
      </c>
      <c r="B28" s="498" t="s">
        <v>236</v>
      </c>
      <c r="C28" s="499"/>
      <c r="D28" s="337" t="s">
        <v>101</v>
      </c>
      <c r="E28" s="337" t="s">
        <v>101</v>
      </c>
      <c r="F28" s="337" t="s">
        <v>101</v>
      </c>
      <c r="G28" s="337" t="s">
        <v>101</v>
      </c>
      <c r="H28" s="337" t="s">
        <v>101</v>
      </c>
      <c r="I28" s="337" t="s">
        <v>101</v>
      </c>
      <c r="J28" s="337" t="s">
        <v>101</v>
      </c>
      <c r="K28" s="337" t="s">
        <v>101</v>
      </c>
      <c r="L28" s="337" t="s">
        <v>101</v>
      </c>
      <c r="M28" s="337" t="s">
        <v>101</v>
      </c>
      <c r="N28" s="337" t="s">
        <v>101</v>
      </c>
      <c r="O28" s="337" t="s">
        <v>101</v>
      </c>
      <c r="P28" s="337" t="s">
        <v>101</v>
      </c>
      <c r="Q28" s="337" t="s">
        <v>101</v>
      </c>
      <c r="R28" s="337" t="s">
        <v>101</v>
      </c>
      <c r="S28" s="337" t="s">
        <v>101</v>
      </c>
      <c r="T28" s="366" t="s">
        <v>101</v>
      </c>
      <c r="U28" s="337" t="s">
        <v>101</v>
      </c>
      <c r="V28" s="337" t="s">
        <v>101</v>
      </c>
      <c r="W28" s="337" t="s">
        <v>101</v>
      </c>
      <c r="X28" s="337" t="s">
        <v>101</v>
      </c>
      <c r="Y28" s="337" t="s">
        <v>101</v>
      </c>
      <c r="Z28" s="379" t="s">
        <v>101</v>
      </c>
      <c r="AA28" s="379" t="s">
        <v>101</v>
      </c>
      <c r="AB28" s="337" t="s">
        <v>101</v>
      </c>
      <c r="AC28" s="337" t="s">
        <v>101</v>
      </c>
      <c r="AD28" s="337" t="s">
        <v>101</v>
      </c>
      <c r="AE28" s="337" t="s">
        <v>101</v>
      </c>
      <c r="AF28" s="337" t="s">
        <v>101</v>
      </c>
      <c r="AG28" s="337" t="s">
        <v>101</v>
      </c>
      <c r="AH28" s="337" t="s">
        <v>101</v>
      </c>
      <c r="AI28" s="337" t="s">
        <v>101</v>
      </c>
      <c r="AJ28" s="337" t="s">
        <v>101</v>
      </c>
      <c r="AK28" s="337" t="s">
        <v>101</v>
      </c>
    </row>
    <row r="29" spans="1:37">
      <c r="A29" s="336" t="s">
        <v>237</v>
      </c>
      <c r="B29" s="498" t="s">
        <v>238</v>
      </c>
      <c r="C29" s="499"/>
      <c r="D29" s="337" t="s">
        <v>101</v>
      </c>
      <c r="E29" s="337" t="s">
        <v>101</v>
      </c>
      <c r="F29" s="337" t="s">
        <v>101</v>
      </c>
      <c r="G29" s="337" t="s">
        <v>101</v>
      </c>
      <c r="H29" s="337" t="s">
        <v>101</v>
      </c>
      <c r="I29" s="337" t="s">
        <v>101</v>
      </c>
      <c r="J29" s="337" t="s">
        <v>101</v>
      </c>
      <c r="K29" s="337" t="s">
        <v>101</v>
      </c>
      <c r="L29" s="337" t="s">
        <v>101</v>
      </c>
      <c r="M29" s="337" t="s">
        <v>101</v>
      </c>
      <c r="N29" s="337" t="s">
        <v>101</v>
      </c>
      <c r="O29" s="337" t="s">
        <v>101</v>
      </c>
      <c r="P29" s="337" t="s">
        <v>101</v>
      </c>
      <c r="Q29" s="337" t="s">
        <v>101</v>
      </c>
      <c r="R29" s="337" t="s">
        <v>101</v>
      </c>
      <c r="S29" s="337" t="s">
        <v>101</v>
      </c>
      <c r="T29" s="366" t="s">
        <v>101</v>
      </c>
      <c r="U29" s="337" t="s">
        <v>101</v>
      </c>
      <c r="V29" s="337" t="s">
        <v>101</v>
      </c>
      <c r="W29" s="337" t="s">
        <v>101</v>
      </c>
      <c r="X29" s="337" t="s">
        <v>101</v>
      </c>
      <c r="Y29" s="337" t="s">
        <v>101</v>
      </c>
      <c r="Z29" s="379" t="s">
        <v>101</v>
      </c>
      <c r="AA29" s="379" t="s">
        <v>101</v>
      </c>
      <c r="AB29" s="337" t="s">
        <v>101</v>
      </c>
      <c r="AC29" s="337" t="s">
        <v>101</v>
      </c>
      <c r="AD29" s="337" t="s">
        <v>101</v>
      </c>
      <c r="AE29" s="472" t="s">
        <v>101</v>
      </c>
      <c r="AF29" s="472" t="s">
        <v>101</v>
      </c>
      <c r="AG29" s="337" t="s">
        <v>101</v>
      </c>
      <c r="AH29" s="337" t="s">
        <v>101</v>
      </c>
      <c r="AI29" s="337" t="s">
        <v>101</v>
      </c>
      <c r="AJ29" s="337" t="s">
        <v>101</v>
      </c>
      <c r="AK29" s="337" t="s">
        <v>101</v>
      </c>
    </row>
    <row r="30" spans="1:37" ht="22.8">
      <c r="A30" s="336" t="s">
        <v>240</v>
      </c>
      <c r="B30" s="498" t="s">
        <v>241</v>
      </c>
      <c r="C30" s="499"/>
      <c r="D30" s="337" t="s">
        <v>241</v>
      </c>
      <c r="E30" s="337" t="s">
        <v>241</v>
      </c>
      <c r="F30" s="337" t="s">
        <v>241</v>
      </c>
      <c r="G30" s="337" t="s">
        <v>241</v>
      </c>
      <c r="H30" s="337" t="s">
        <v>241</v>
      </c>
      <c r="I30" s="337" t="s">
        <v>241</v>
      </c>
      <c r="J30" s="337" t="s">
        <v>241</v>
      </c>
      <c r="K30" s="337" t="s">
        <v>241</v>
      </c>
      <c r="L30" s="337" t="s">
        <v>241</v>
      </c>
      <c r="M30" s="337" t="s">
        <v>241</v>
      </c>
      <c r="N30" s="337" t="s">
        <v>241</v>
      </c>
      <c r="O30" s="361" t="s">
        <v>242</v>
      </c>
      <c r="P30" s="405" t="s">
        <v>792</v>
      </c>
      <c r="Q30" s="337" t="s">
        <v>241</v>
      </c>
      <c r="R30" s="337" t="s">
        <v>241</v>
      </c>
      <c r="S30" s="337" t="s">
        <v>241</v>
      </c>
      <c r="T30" s="366" t="s">
        <v>241</v>
      </c>
      <c r="U30" s="337" t="s">
        <v>241</v>
      </c>
      <c r="V30" s="337" t="s">
        <v>241</v>
      </c>
      <c r="W30" s="337" t="s">
        <v>241</v>
      </c>
      <c r="X30" s="337" t="s">
        <v>241</v>
      </c>
      <c r="Y30" s="337" t="s">
        <v>241</v>
      </c>
      <c r="Z30" s="379" t="s">
        <v>241</v>
      </c>
      <c r="AA30" s="379" t="s">
        <v>241</v>
      </c>
      <c r="AB30" s="337" t="s">
        <v>241</v>
      </c>
      <c r="AC30" s="390" t="s">
        <v>243</v>
      </c>
      <c r="AD30" s="337" t="s">
        <v>241</v>
      </c>
      <c r="AE30" s="472" t="s">
        <v>241</v>
      </c>
      <c r="AF30" s="472" t="s">
        <v>241</v>
      </c>
      <c r="AG30" s="337" t="s">
        <v>241</v>
      </c>
      <c r="AH30" s="337" t="s">
        <v>241</v>
      </c>
      <c r="AI30" s="337" t="s">
        <v>241</v>
      </c>
      <c r="AJ30" s="337" t="s">
        <v>241</v>
      </c>
      <c r="AK30" s="337" t="s">
        <v>241</v>
      </c>
    </row>
    <row r="31" spans="1:37">
      <c r="B31" s="510"/>
      <c r="C31" s="511"/>
      <c r="D31" s="346"/>
      <c r="E31" s="336"/>
      <c r="F31" s="336"/>
      <c r="G31" s="346"/>
      <c r="H31" s="336"/>
      <c r="I31" s="346"/>
      <c r="J31" s="336"/>
      <c r="K31" s="346"/>
      <c r="L31" s="336"/>
      <c r="M31" s="346"/>
      <c r="N31" s="336"/>
      <c r="O31" s="336"/>
      <c r="P31" s="336"/>
      <c r="Q31" s="336"/>
      <c r="R31" s="346"/>
      <c r="S31" s="336"/>
      <c r="T31" s="366"/>
      <c r="U31" s="336"/>
      <c r="V31" s="346"/>
      <c r="W31" s="346"/>
      <c r="X31" s="336"/>
      <c r="Y31" s="341"/>
      <c r="Z31" s="380"/>
      <c r="AA31" s="380"/>
      <c r="AB31" s="336"/>
      <c r="AC31" s="336"/>
      <c r="AD31" s="380"/>
      <c r="AE31" s="346"/>
      <c r="AF31" s="336"/>
      <c r="AG31" s="346"/>
      <c r="AH31" s="337"/>
      <c r="AI31" s="337"/>
      <c r="AJ31" s="346"/>
      <c r="AK31" s="336"/>
    </row>
    <row r="32" spans="1:37" ht="24.75" customHeight="1">
      <c r="A32" s="329" t="s">
        <v>245</v>
      </c>
      <c r="B32" s="512" t="s">
        <v>246</v>
      </c>
      <c r="C32" s="513"/>
      <c r="D32" s="337"/>
      <c r="E32" s="336"/>
      <c r="F32" s="336"/>
      <c r="G32" s="337"/>
      <c r="H32" s="336"/>
      <c r="I32" s="336"/>
      <c r="J32" s="336"/>
      <c r="K32" s="337"/>
      <c r="L32" s="336"/>
      <c r="M32" s="337"/>
      <c r="N32" s="336"/>
      <c r="O32" s="336"/>
      <c r="P32" s="336"/>
      <c r="Q32" s="336"/>
      <c r="R32" s="337"/>
      <c r="S32" s="336"/>
      <c r="T32" s="366"/>
      <c r="U32" s="336"/>
      <c r="V32" s="337"/>
      <c r="W32" s="337"/>
      <c r="X32" s="336"/>
      <c r="Y32" s="341"/>
      <c r="Z32" s="380"/>
      <c r="AA32" s="380"/>
      <c r="AB32" s="336"/>
      <c r="AC32" s="336"/>
      <c r="AD32" s="380"/>
      <c r="AE32" s="337"/>
      <c r="AF32" s="336"/>
      <c r="AG32" s="337"/>
      <c r="AH32" s="337"/>
      <c r="AI32" s="337"/>
      <c r="AJ32" s="337"/>
      <c r="AK32" s="336"/>
    </row>
    <row r="33" spans="1:37">
      <c r="A33" s="345" t="s">
        <v>247</v>
      </c>
      <c r="B33" s="347">
        <v>1</v>
      </c>
      <c r="C33" s="348">
        <v>3</v>
      </c>
      <c r="D33" s="349" t="s">
        <v>101</v>
      </c>
      <c r="E33" s="349" t="s">
        <v>101</v>
      </c>
      <c r="F33" s="349" t="s">
        <v>101</v>
      </c>
      <c r="G33" s="349" t="s">
        <v>101</v>
      </c>
      <c r="H33" s="349" t="s">
        <v>101</v>
      </c>
      <c r="I33" s="349" t="s">
        <v>101</v>
      </c>
      <c r="J33" s="349" t="s">
        <v>101</v>
      </c>
      <c r="K33" s="349" t="s">
        <v>101</v>
      </c>
      <c r="L33" s="349" t="s">
        <v>101</v>
      </c>
      <c r="M33" s="349" t="s">
        <v>101</v>
      </c>
      <c r="N33" s="349" t="s">
        <v>101</v>
      </c>
      <c r="O33" s="349" t="s">
        <v>101</v>
      </c>
      <c r="P33" s="349" t="s">
        <v>101</v>
      </c>
      <c r="Q33" s="336"/>
      <c r="R33" s="349">
        <v>1</v>
      </c>
      <c r="S33" s="349">
        <v>1</v>
      </c>
      <c r="T33" s="371" t="s">
        <v>101</v>
      </c>
      <c r="U33" s="349">
        <v>1</v>
      </c>
      <c r="V33" s="349" t="s">
        <v>101</v>
      </c>
      <c r="W33" s="349" t="s">
        <v>101</v>
      </c>
      <c r="X33" s="349" t="s">
        <v>101</v>
      </c>
      <c r="Y33" s="372" t="s">
        <v>101</v>
      </c>
      <c r="Z33" s="386">
        <v>1</v>
      </c>
      <c r="AA33" s="386">
        <v>1</v>
      </c>
      <c r="AB33" s="386">
        <v>1</v>
      </c>
      <c r="AC33" s="349" t="s">
        <v>101</v>
      </c>
      <c r="AD33" s="386">
        <v>1</v>
      </c>
      <c r="AE33" s="380">
        <v>1</v>
      </c>
      <c r="AF33" s="380">
        <v>1</v>
      </c>
      <c r="AG33" s="349" t="s">
        <v>101</v>
      </c>
      <c r="AH33" s="380">
        <v>1</v>
      </c>
      <c r="AI33" s="380">
        <v>1</v>
      </c>
      <c r="AJ33" s="349" t="s">
        <v>101</v>
      </c>
      <c r="AK33" s="349" t="s">
        <v>101</v>
      </c>
    </row>
    <row r="34" spans="1:37" ht="27.75" customHeight="1">
      <c r="A34" s="350" t="s">
        <v>248</v>
      </c>
      <c r="B34" s="347" t="s">
        <v>249</v>
      </c>
      <c r="C34" s="351" t="s">
        <v>250</v>
      </c>
      <c r="D34" s="352" t="s">
        <v>101</v>
      </c>
      <c r="E34" s="352" t="s">
        <v>101</v>
      </c>
      <c r="F34" s="352" t="s">
        <v>101</v>
      </c>
      <c r="G34" s="352" t="s">
        <v>101</v>
      </c>
      <c r="H34" s="352" t="s">
        <v>101</v>
      </c>
      <c r="I34" s="352" t="s">
        <v>101</v>
      </c>
      <c r="J34" s="352" t="s">
        <v>101</v>
      </c>
      <c r="K34" s="352" t="s">
        <v>101</v>
      </c>
      <c r="L34" s="352" t="s">
        <v>101</v>
      </c>
      <c r="M34" s="352" t="s">
        <v>101</v>
      </c>
      <c r="N34" s="352" t="s">
        <v>101</v>
      </c>
      <c r="O34" s="352" t="s">
        <v>101</v>
      </c>
      <c r="P34" s="352" t="s">
        <v>101</v>
      </c>
      <c r="Q34" s="336"/>
      <c r="R34" s="352" t="s">
        <v>101</v>
      </c>
      <c r="S34" s="352" t="s">
        <v>101</v>
      </c>
      <c r="T34" s="373" t="s">
        <v>101</v>
      </c>
      <c r="U34" s="352" t="s">
        <v>101</v>
      </c>
      <c r="V34" s="352" t="s">
        <v>101</v>
      </c>
      <c r="W34" s="352" t="s">
        <v>101</v>
      </c>
      <c r="X34" s="352" t="s">
        <v>101</v>
      </c>
      <c r="Y34" s="372" t="s">
        <v>101</v>
      </c>
      <c r="Z34" s="347" t="s">
        <v>101</v>
      </c>
      <c r="AA34" s="347" t="s">
        <v>101</v>
      </c>
      <c r="AB34" s="352" t="s">
        <v>101</v>
      </c>
      <c r="AC34" s="352" t="s">
        <v>101</v>
      </c>
      <c r="AD34" s="347" t="s">
        <v>101</v>
      </c>
      <c r="AE34" s="352" t="s">
        <v>101</v>
      </c>
      <c r="AF34" s="352" t="s">
        <v>101</v>
      </c>
      <c r="AG34" s="352" t="s">
        <v>101</v>
      </c>
      <c r="AH34" s="352" t="s">
        <v>101</v>
      </c>
      <c r="AI34" s="352" t="s">
        <v>101</v>
      </c>
      <c r="AJ34" s="352" t="s">
        <v>101</v>
      </c>
      <c r="AK34" s="352" t="s">
        <v>101</v>
      </c>
    </row>
    <row r="35" spans="1:37">
      <c r="A35" s="345" t="s">
        <v>251</v>
      </c>
      <c r="B35" s="347" t="s">
        <v>252</v>
      </c>
      <c r="C35" s="348" t="s">
        <v>252</v>
      </c>
      <c r="D35" s="352" t="s">
        <v>101</v>
      </c>
      <c r="E35" s="352" t="s">
        <v>101</v>
      </c>
      <c r="F35" s="352" t="s">
        <v>101</v>
      </c>
      <c r="G35" s="352" t="s">
        <v>101</v>
      </c>
      <c r="H35" s="352" t="s">
        <v>101</v>
      </c>
      <c r="I35" s="352" t="s">
        <v>101</v>
      </c>
      <c r="J35" s="352" t="s">
        <v>101</v>
      </c>
      <c r="K35" s="352" t="s">
        <v>101</v>
      </c>
      <c r="L35" s="352" t="s">
        <v>101</v>
      </c>
      <c r="M35" s="352" t="s">
        <v>101</v>
      </c>
      <c r="N35" s="352" t="s">
        <v>101</v>
      </c>
      <c r="O35" s="352" t="s">
        <v>101</v>
      </c>
      <c r="P35" s="352" t="s">
        <v>101</v>
      </c>
      <c r="Q35" s="336"/>
      <c r="R35" s="352" t="s">
        <v>101</v>
      </c>
      <c r="S35" s="352" t="s">
        <v>101</v>
      </c>
      <c r="T35" s="373" t="s">
        <v>101</v>
      </c>
      <c r="U35" s="352" t="s">
        <v>101</v>
      </c>
      <c r="V35" s="352" t="s">
        <v>101</v>
      </c>
      <c r="W35" s="352" t="s">
        <v>101</v>
      </c>
      <c r="X35" s="352" t="s">
        <v>101</v>
      </c>
      <c r="Y35" s="372" t="s">
        <v>101</v>
      </c>
      <c r="Z35" s="347" t="s">
        <v>101</v>
      </c>
      <c r="AA35" s="347" t="s">
        <v>101</v>
      </c>
      <c r="AB35" s="352" t="s">
        <v>101</v>
      </c>
      <c r="AC35" s="352" t="s">
        <v>101</v>
      </c>
      <c r="AD35" s="347" t="s">
        <v>101</v>
      </c>
      <c r="AE35" s="352" t="s">
        <v>101</v>
      </c>
      <c r="AF35" s="352" t="s">
        <v>101</v>
      </c>
      <c r="AG35" s="352" t="s">
        <v>101</v>
      </c>
      <c r="AH35" s="352" t="s">
        <v>101</v>
      </c>
      <c r="AI35" s="352" t="s">
        <v>101</v>
      </c>
      <c r="AJ35" s="352" t="s">
        <v>101</v>
      </c>
      <c r="AK35" s="352" t="s">
        <v>101</v>
      </c>
    </row>
    <row r="36" spans="1:37">
      <c r="A36" s="345" t="s">
        <v>253</v>
      </c>
      <c r="B36" s="514"/>
      <c r="C36" s="515"/>
      <c r="D36" s="352">
        <v>1</v>
      </c>
      <c r="E36" s="352">
        <v>1</v>
      </c>
      <c r="F36" s="352">
        <v>1</v>
      </c>
      <c r="G36" s="352">
        <v>1</v>
      </c>
      <c r="H36" s="352">
        <v>1</v>
      </c>
      <c r="I36" s="341">
        <v>1</v>
      </c>
      <c r="J36" s="341">
        <v>1</v>
      </c>
      <c r="K36" s="352">
        <v>1</v>
      </c>
      <c r="L36" s="352">
        <v>1</v>
      </c>
      <c r="M36" s="352">
        <v>1</v>
      </c>
      <c r="N36" s="352">
        <v>1</v>
      </c>
      <c r="O36" s="341">
        <v>0</v>
      </c>
      <c r="P36" s="341">
        <v>0</v>
      </c>
      <c r="Q36" s="336"/>
      <c r="R36" s="352">
        <v>1</v>
      </c>
      <c r="S36" s="352">
        <v>1</v>
      </c>
      <c r="T36" s="369">
        <v>1</v>
      </c>
      <c r="U36" s="352">
        <v>1</v>
      </c>
      <c r="V36" s="352">
        <v>1</v>
      </c>
      <c r="W36" s="352">
        <v>1</v>
      </c>
      <c r="X36" s="352">
        <v>1</v>
      </c>
      <c r="Y36" s="374">
        <v>1</v>
      </c>
      <c r="Z36" s="347">
        <v>1</v>
      </c>
      <c r="AA36" s="347">
        <v>1</v>
      </c>
      <c r="AB36" s="352">
        <v>1</v>
      </c>
      <c r="AC36" s="352">
        <v>1</v>
      </c>
      <c r="AD36" s="347">
        <v>1</v>
      </c>
      <c r="AE36" s="352"/>
      <c r="AF36" s="352"/>
      <c r="AG36" s="352">
        <v>1</v>
      </c>
      <c r="AH36" s="347">
        <v>1</v>
      </c>
      <c r="AI36" s="347">
        <v>1</v>
      </c>
      <c r="AJ36" s="352">
        <v>0</v>
      </c>
      <c r="AK36" s="352">
        <v>0</v>
      </c>
    </row>
    <row r="37" spans="1:37" s="324" customFormat="1" ht="96" customHeight="1">
      <c r="A37" s="353" t="s">
        <v>254</v>
      </c>
      <c r="B37" s="516" t="s">
        <v>255</v>
      </c>
      <c r="C37" s="517"/>
      <c r="D37" s="354" t="s">
        <v>101</v>
      </c>
      <c r="E37" s="354" t="s">
        <v>101</v>
      </c>
      <c r="F37" s="354" t="s">
        <v>101</v>
      </c>
      <c r="G37" s="354" t="s">
        <v>101</v>
      </c>
      <c r="H37" s="354" t="s">
        <v>101</v>
      </c>
      <c r="I37" s="354" t="s">
        <v>101</v>
      </c>
      <c r="J37" s="354" t="s">
        <v>101</v>
      </c>
      <c r="K37" s="354" t="s">
        <v>101</v>
      </c>
      <c r="L37" s="354" t="s">
        <v>101</v>
      </c>
      <c r="M37" s="354" t="s">
        <v>101</v>
      </c>
      <c r="N37" s="354" t="s">
        <v>101</v>
      </c>
      <c r="O37" s="354" t="s">
        <v>101</v>
      </c>
      <c r="P37" s="354" t="s">
        <v>101</v>
      </c>
      <c r="Q37" s="336"/>
      <c r="R37" s="354" t="s">
        <v>101</v>
      </c>
      <c r="S37" s="354" t="s">
        <v>101</v>
      </c>
      <c r="T37" s="375" t="s">
        <v>101</v>
      </c>
      <c r="U37" s="354" t="s">
        <v>101</v>
      </c>
      <c r="V37" s="354" t="s">
        <v>101</v>
      </c>
      <c r="W37" s="354" t="s">
        <v>101</v>
      </c>
      <c r="X37" s="354" t="s">
        <v>101</v>
      </c>
      <c r="Y37" s="352" t="s">
        <v>101</v>
      </c>
      <c r="Z37" s="391" t="s">
        <v>101</v>
      </c>
      <c r="AA37" s="391" t="s">
        <v>101</v>
      </c>
      <c r="AB37" s="354" t="s">
        <v>101</v>
      </c>
      <c r="AC37" s="354" t="s">
        <v>101</v>
      </c>
      <c r="AD37" s="391" t="s">
        <v>101</v>
      </c>
      <c r="AE37" s="354" t="s">
        <v>101</v>
      </c>
      <c r="AF37" s="354" t="s">
        <v>101</v>
      </c>
      <c r="AG37" s="354" t="s">
        <v>101</v>
      </c>
      <c r="AH37" s="354" t="s">
        <v>101</v>
      </c>
      <c r="AI37" s="354" t="s">
        <v>101</v>
      </c>
      <c r="AJ37" s="354" t="s">
        <v>101</v>
      </c>
      <c r="AK37" s="354" t="s">
        <v>101</v>
      </c>
    </row>
    <row r="38" spans="1:37">
      <c r="A38" s="345" t="s">
        <v>256</v>
      </c>
      <c r="B38" s="508" t="s">
        <v>257</v>
      </c>
      <c r="C38" s="509"/>
      <c r="D38" s="352" t="s">
        <v>101</v>
      </c>
      <c r="E38" s="352" t="s">
        <v>101</v>
      </c>
      <c r="F38" s="352" t="s">
        <v>101</v>
      </c>
      <c r="G38" s="352" t="s">
        <v>101</v>
      </c>
      <c r="H38" s="352" t="s">
        <v>101</v>
      </c>
      <c r="I38" s="352" t="s">
        <v>101</v>
      </c>
      <c r="J38" s="352" t="s">
        <v>101</v>
      </c>
      <c r="K38" s="352" t="s">
        <v>101</v>
      </c>
      <c r="L38" s="352" t="s">
        <v>101</v>
      </c>
      <c r="M38" s="352" t="s">
        <v>101</v>
      </c>
      <c r="N38" s="352" t="s">
        <v>101</v>
      </c>
      <c r="O38" s="352" t="s">
        <v>101</v>
      </c>
      <c r="P38" s="352" t="s">
        <v>101</v>
      </c>
      <c r="Q38" s="336"/>
      <c r="R38" s="352" t="s">
        <v>101</v>
      </c>
      <c r="S38" s="352" t="s">
        <v>101</v>
      </c>
      <c r="T38" s="366" t="s">
        <v>101</v>
      </c>
      <c r="U38" s="352" t="s">
        <v>101</v>
      </c>
      <c r="V38" s="352" t="s">
        <v>101</v>
      </c>
      <c r="W38" s="352" t="s">
        <v>101</v>
      </c>
      <c r="X38" s="352" t="s">
        <v>101</v>
      </c>
      <c r="Y38" s="352" t="s">
        <v>101</v>
      </c>
      <c r="Z38" s="347" t="s">
        <v>101</v>
      </c>
      <c r="AA38" s="347" t="s">
        <v>101</v>
      </c>
      <c r="AB38" s="352" t="s">
        <v>101</v>
      </c>
      <c r="AC38" s="352" t="s">
        <v>101</v>
      </c>
      <c r="AD38" s="347" t="s">
        <v>101</v>
      </c>
      <c r="AE38" s="352" t="s">
        <v>101</v>
      </c>
      <c r="AF38" s="352" t="s">
        <v>101</v>
      </c>
      <c r="AG38" s="352" t="s">
        <v>101</v>
      </c>
      <c r="AH38" s="354" t="s">
        <v>101</v>
      </c>
      <c r="AI38" s="354" t="s">
        <v>101</v>
      </c>
      <c r="AJ38" s="352" t="s">
        <v>101</v>
      </c>
      <c r="AK38" s="352" t="s">
        <v>101</v>
      </c>
    </row>
    <row r="39" spans="1:37" ht="42" customHeight="1">
      <c r="A39" s="345" t="s">
        <v>258</v>
      </c>
      <c r="B39" s="506" t="s">
        <v>210</v>
      </c>
      <c r="C39" s="507"/>
      <c r="D39" s="347" t="s">
        <v>210</v>
      </c>
      <c r="E39" s="347" t="s">
        <v>210</v>
      </c>
      <c r="F39" s="347" t="s">
        <v>210</v>
      </c>
      <c r="G39" s="347" t="s">
        <v>210</v>
      </c>
      <c r="H39" s="347" t="s">
        <v>210</v>
      </c>
      <c r="I39" s="347" t="s">
        <v>210</v>
      </c>
      <c r="J39" s="347" t="s">
        <v>210</v>
      </c>
      <c r="K39" s="347" t="s">
        <v>210</v>
      </c>
      <c r="L39" s="347" t="s">
        <v>210</v>
      </c>
      <c r="M39" s="347" t="s">
        <v>210</v>
      </c>
      <c r="N39" s="347" t="s">
        <v>210</v>
      </c>
      <c r="O39" s="347" t="s">
        <v>210</v>
      </c>
      <c r="P39" s="347" t="s">
        <v>210</v>
      </c>
      <c r="Q39" s="336"/>
      <c r="R39" s="347" t="s">
        <v>210</v>
      </c>
      <c r="S39" s="347" t="s">
        <v>210</v>
      </c>
      <c r="T39" s="366" t="s">
        <v>210</v>
      </c>
      <c r="U39" s="347" t="s">
        <v>210</v>
      </c>
      <c r="V39" s="347" t="s">
        <v>210</v>
      </c>
      <c r="W39" s="347" t="s">
        <v>210</v>
      </c>
      <c r="X39" s="347" t="s">
        <v>210</v>
      </c>
      <c r="Y39" s="352" t="s">
        <v>210</v>
      </c>
      <c r="Z39" s="347" t="s">
        <v>210</v>
      </c>
      <c r="AA39" s="347" t="s">
        <v>210</v>
      </c>
      <c r="AB39" s="347" t="s">
        <v>210</v>
      </c>
      <c r="AC39" s="347" t="s">
        <v>210</v>
      </c>
      <c r="AD39" s="347" t="s">
        <v>210</v>
      </c>
      <c r="AE39" s="347" t="s">
        <v>210</v>
      </c>
      <c r="AF39" s="347" t="s">
        <v>210</v>
      </c>
      <c r="AG39" s="347" t="s">
        <v>210</v>
      </c>
      <c r="AH39" s="347" t="s">
        <v>210</v>
      </c>
      <c r="AI39" s="347" t="s">
        <v>210</v>
      </c>
      <c r="AJ39" s="347" t="s">
        <v>210</v>
      </c>
      <c r="AK39" s="347" t="s">
        <v>210</v>
      </c>
    </row>
    <row r="40" spans="1:37" ht="41.25" customHeight="1">
      <c r="A40" s="345" t="s">
        <v>259</v>
      </c>
      <c r="B40" s="506" t="s">
        <v>210</v>
      </c>
      <c r="C40" s="507"/>
      <c r="D40" s="347" t="s">
        <v>210</v>
      </c>
      <c r="E40" s="347" t="s">
        <v>210</v>
      </c>
      <c r="F40" s="347" t="s">
        <v>210</v>
      </c>
      <c r="G40" s="347" t="s">
        <v>210</v>
      </c>
      <c r="H40" s="347" t="s">
        <v>210</v>
      </c>
      <c r="I40" s="347" t="s">
        <v>210</v>
      </c>
      <c r="J40" s="347" t="s">
        <v>210</v>
      </c>
      <c r="K40" s="347" t="s">
        <v>210</v>
      </c>
      <c r="L40" s="347" t="s">
        <v>210</v>
      </c>
      <c r="M40" s="347" t="s">
        <v>210</v>
      </c>
      <c r="N40" s="347" t="s">
        <v>210</v>
      </c>
      <c r="O40" s="347" t="s">
        <v>210</v>
      </c>
      <c r="P40" s="347" t="s">
        <v>210</v>
      </c>
      <c r="Q40" s="336"/>
      <c r="R40" s="347" t="s">
        <v>210</v>
      </c>
      <c r="S40" s="347" t="s">
        <v>210</v>
      </c>
      <c r="T40" s="366" t="s">
        <v>210</v>
      </c>
      <c r="U40" s="347" t="s">
        <v>210</v>
      </c>
      <c r="V40" s="347" t="s">
        <v>210</v>
      </c>
      <c r="W40" s="347" t="s">
        <v>210</v>
      </c>
      <c r="X40" s="347" t="s">
        <v>210</v>
      </c>
      <c r="Y40" s="352" t="s">
        <v>210</v>
      </c>
      <c r="Z40" s="347" t="s">
        <v>210</v>
      </c>
      <c r="AA40" s="347" t="s">
        <v>210</v>
      </c>
      <c r="AB40" s="347" t="s">
        <v>210</v>
      </c>
      <c r="AC40" s="347" t="s">
        <v>210</v>
      </c>
      <c r="AD40" s="347" t="s">
        <v>210</v>
      </c>
      <c r="AE40" s="347" t="s">
        <v>210</v>
      </c>
      <c r="AF40" s="347" t="s">
        <v>210</v>
      </c>
      <c r="AG40" s="347" t="s">
        <v>210</v>
      </c>
      <c r="AH40" s="347" t="s">
        <v>210</v>
      </c>
      <c r="AI40" s="347" t="s">
        <v>210</v>
      </c>
      <c r="AJ40" s="347" t="s">
        <v>210</v>
      </c>
      <c r="AK40" s="347" t="s">
        <v>210</v>
      </c>
    </row>
    <row r="41" spans="1:37" ht="35.25" customHeight="1">
      <c r="A41" s="345" t="s">
        <v>260</v>
      </c>
      <c r="B41" s="508" t="s">
        <v>261</v>
      </c>
      <c r="C41" s="509"/>
      <c r="D41" s="352" t="s">
        <v>101</v>
      </c>
      <c r="E41" s="352" t="s">
        <v>101</v>
      </c>
      <c r="F41" s="352" t="s">
        <v>101</v>
      </c>
      <c r="G41" s="352" t="s">
        <v>101</v>
      </c>
      <c r="H41" s="352" t="s">
        <v>101</v>
      </c>
      <c r="I41" s="352" t="s">
        <v>101</v>
      </c>
      <c r="J41" s="352" t="s">
        <v>101</v>
      </c>
      <c r="K41" s="352" t="s">
        <v>101</v>
      </c>
      <c r="L41" s="352" t="s">
        <v>101</v>
      </c>
      <c r="M41" s="352" t="s">
        <v>101</v>
      </c>
      <c r="N41" s="352" t="s">
        <v>101</v>
      </c>
      <c r="O41" s="352" t="s">
        <v>101</v>
      </c>
      <c r="P41" s="352" t="s">
        <v>101</v>
      </c>
      <c r="Q41" s="336"/>
      <c r="R41" s="352" t="s">
        <v>101</v>
      </c>
      <c r="S41" s="352" t="s">
        <v>101</v>
      </c>
      <c r="T41" s="373" t="s">
        <v>101</v>
      </c>
      <c r="U41" s="352" t="s">
        <v>101</v>
      </c>
      <c r="V41" s="352" t="s">
        <v>101</v>
      </c>
      <c r="W41" s="352" t="s">
        <v>101</v>
      </c>
      <c r="X41" s="352" t="s">
        <v>101</v>
      </c>
      <c r="Y41" s="352" t="s">
        <v>101</v>
      </c>
      <c r="Z41" s="347" t="s">
        <v>101</v>
      </c>
      <c r="AA41" s="347" t="s">
        <v>101</v>
      </c>
      <c r="AB41" s="352" t="s">
        <v>101</v>
      </c>
      <c r="AC41" s="352" t="s">
        <v>101</v>
      </c>
      <c r="AD41" s="347" t="s">
        <v>101</v>
      </c>
      <c r="AE41" s="352" t="s">
        <v>101</v>
      </c>
      <c r="AF41" s="352" t="s">
        <v>101</v>
      </c>
      <c r="AG41" s="352" t="s">
        <v>101</v>
      </c>
      <c r="AH41" s="354" t="s">
        <v>101</v>
      </c>
      <c r="AI41" s="354" t="s">
        <v>101</v>
      </c>
      <c r="AJ41" s="352" t="s">
        <v>101</v>
      </c>
      <c r="AK41" s="352" t="s">
        <v>101</v>
      </c>
    </row>
    <row r="42" spans="1:37" ht="36.75" customHeight="1">
      <c r="A42" s="345" t="s">
        <v>262</v>
      </c>
      <c r="B42" s="506" t="s">
        <v>210</v>
      </c>
      <c r="C42" s="507"/>
      <c r="D42" s="347" t="s">
        <v>210</v>
      </c>
      <c r="E42" s="347" t="s">
        <v>210</v>
      </c>
      <c r="F42" s="347" t="s">
        <v>210</v>
      </c>
      <c r="G42" s="347" t="s">
        <v>210</v>
      </c>
      <c r="H42" s="347" t="s">
        <v>210</v>
      </c>
      <c r="I42" s="347" t="s">
        <v>210</v>
      </c>
      <c r="J42" s="347" t="s">
        <v>210</v>
      </c>
      <c r="K42" s="347" t="s">
        <v>210</v>
      </c>
      <c r="L42" s="347" t="s">
        <v>210</v>
      </c>
      <c r="M42" s="347" t="s">
        <v>210</v>
      </c>
      <c r="N42" s="347" t="s">
        <v>210</v>
      </c>
      <c r="O42" s="347" t="s">
        <v>210</v>
      </c>
      <c r="P42" s="347" t="s">
        <v>210</v>
      </c>
      <c r="Q42" s="336"/>
      <c r="R42" s="347" t="s">
        <v>210</v>
      </c>
      <c r="S42" s="347" t="s">
        <v>210</v>
      </c>
      <c r="T42" s="366" t="s">
        <v>210</v>
      </c>
      <c r="U42" s="347" t="s">
        <v>210</v>
      </c>
      <c r="V42" s="347" t="s">
        <v>210</v>
      </c>
      <c r="W42" s="347" t="s">
        <v>210</v>
      </c>
      <c r="X42" s="347" t="s">
        <v>210</v>
      </c>
      <c r="Y42" s="352" t="s">
        <v>210</v>
      </c>
      <c r="Z42" s="347" t="s">
        <v>210</v>
      </c>
      <c r="AA42" s="347" t="s">
        <v>210</v>
      </c>
      <c r="AB42" s="347" t="s">
        <v>210</v>
      </c>
      <c r="AC42" s="347" t="s">
        <v>210</v>
      </c>
      <c r="AD42" s="347" t="s">
        <v>210</v>
      </c>
      <c r="AE42" s="347" t="s">
        <v>210</v>
      </c>
      <c r="AF42" s="347" t="s">
        <v>210</v>
      </c>
      <c r="AG42" s="347" t="s">
        <v>210</v>
      </c>
      <c r="AH42" s="347" t="s">
        <v>210</v>
      </c>
      <c r="AI42" s="347" t="s">
        <v>210</v>
      </c>
      <c r="AJ42" s="347" t="s">
        <v>210</v>
      </c>
      <c r="AK42" s="347" t="s">
        <v>210</v>
      </c>
    </row>
    <row r="43" spans="1:37" ht="22.8">
      <c r="A43" s="345" t="s">
        <v>263</v>
      </c>
      <c r="B43" s="506" t="s">
        <v>210</v>
      </c>
      <c r="C43" s="507"/>
      <c r="D43" s="347" t="s">
        <v>210</v>
      </c>
      <c r="E43" s="347" t="s">
        <v>210</v>
      </c>
      <c r="F43" s="347" t="s">
        <v>210</v>
      </c>
      <c r="G43" s="347" t="s">
        <v>210</v>
      </c>
      <c r="H43" s="347" t="s">
        <v>210</v>
      </c>
      <c r="I43" s="347" t="s">
        <v>210</v>
      </c>
      <c r="J43" s="347" t="s">
        <v>210</v>
      </c>
      <c r="K43" s="347" t="s">
        <v>210</v>
      </c>
      <c r="L43" s="347" t="s">
        <v>210</v>
      </c>
      <c r="M43" s="347" t="s">
        <v>210</v>
      </c>
      <c r="N43" s="347" t="s">
        <v>210</v>
      </c>
      <c r="O43" s="347" t="s">
        <v>210</v>
      </c>
      <c r="P43" s="347" t="s">
        <v>210</v>
      </c>
      <c r="Q43" s="336"/>
      <c r="R43" s="347" t="s">
        <v>210</v>
      </c>
      <c r="S43" s="347" t="s">
        <v>210</v>
      </c>
      <c r="T43" s="366" t="s">
        <v>210</v>
      </c>
      <c r="U43" s="347" t="s">
        <v>210</v>
      </c>
      <c r="V43" s="347" t="s">
        <v>210</v>
      </c>
      <c r="W43" s="347" t="s">
        <v>210</v>
      </c>
      <c r="X43" s="347" t="s">
        <v>210</v>
      </c>
      <c r="Y43" s="352" t="s">
        <v>210</v>
      </c>
      <c r="Z43" s="347" t="s">
        <v>210</v>
      </c>
      <c r="AA43" s="347" t="s">
        <v>210</v>
      </c>
      <c r="AB43" s="347" t="s">
        <v>210</v>
      </c>
      <c r="AC43" s="347" t="s">
        <v>210</v>
      </c>
      <c r="AD43" s="347" t="s">
        <v>210</v>
      </c>
      <c r="AE43" s="347" t="s">
        <v>210</v>
      </c>
      <c r="AF43" s="347" t="s">
        <v>210</v>
      </c>
      <c r="AG43" s="347" t="s">
        <v>210</v>
      </c>
      <c r="AH43" s="347" t="s">
        <v>210</v>
      </c>
      <c r="AI43" s="347" t="s">
        <v>210</v>
      </c>
      <c r="AJ43" s="347" t="s">
        <v>210</v>
      </c>
      <c r="AK43" s="347" t="s">
        <v>210</v>
      </c>
    </row>
    <row r="44" spans="1:37">
      <c r="A44" s="355" t="s">
        <v>264</v>
      </c>
      <c r="B44" s="325"/>
      <c r="K44" s="356"/>
      <c r="L44" s="356"/>
      <c r="M44" s="356"/>
      <c r="N44" s="356"/>
      <c r="AC44" s="356"/>
    </row>
  </sheetData>
  <mergeCells count="48">
    <mergeCell ref="AJ2:AK2"/>
    <mergeCell ref="B43:C43"/>
    <mergeCell ref="B38:C38"/>
    <mergeCell ref="B39:C39"/>
    <mergeCell ref="B40:C40"/>
    <mergeCell ref="B41:C41"/>
    <mergeCell ref="B42:C42"/>
    <mergeCell ref="B30:C30"/>
    <mergeCell ref="B31:C31"/>
    <mergeCell ref="B32:C32"/>
    <mergeCell ref="B36:C36"/>
    <mergeCell ref="B37:C37"/>
    <mergeCell ref="B25:C25"/>
    <mergeCell ref="B26:C26"/>
    <mergeCell ref="B27:C27"/>
    <mergeCell ref="B28:C28"/>
    <mergeCell ref="B29:C29"/>
    <mergeCell ref="B20:C20"/>
    <mergeCell ref="B21:C21"/>
    <mergeCell ref="B22:C22"/>
    <mergeCell ref="B23:C23"/>
    <mergeCell ref="B24:C24"/>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R2:S2"/>
    <mergeCell ref="W2:X2"/>
    <mergeCell ref="Z2:AB2"/>
    <mergeCell ref="AE2:AF2"/>
    <mergeCell ref="B4:C4"/>
    <mergeCell ref="O2:P2"/>
    <mergeCell ref="B1:C1"/>
    <mergeCell ref="B2:C2"/>
    <mergeCell ref="D2:F2"/>
    <mergeCell ref="G2:H2"/>
    <mergeCell ref="K2:N2"/>
  </mergeCells>
  <phoneticPr fontId="21" type="noConversion"/>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41"/>
  <sheetViews>
    <sheetView zoomScale="85" zoomScaleNormal="85" workbookViewId="0">
      <pane xSplit="3" ySplit="3" topLeftCell="D19" activePane="bottomRight" state="frozen"/>
      <selection pane="topRight"/>
      <selection pane="bottomLeft"/>
      <selection pane="bottomRight" activeCell="D22" sqref="D22"/>
    </sheetView>
  </sheetViews>
  <sheetFormatPr defaultColWidth="9.44140625" defaultRowHeight="15.6"/>
  <cols>
    <col min="1" max="1" width="29.44140625" style="165" customWidth="1"/>
    <col min="2" max="2" width="23.88671875" style="225" customWidth="1"/>
    <col min="3" max="3" width="24.88671875" style="225" customWidth="1"/>
    <col min="4" max="4" width="31.5546875" style="227" customWidth="1"/>
    <col min="5" max="5" width="31.5546875" style="166" customWidth="1"/>
    <col min="6" max="9" width="31.44140625" style="166" customWidth="1"/>
    <col min="10" max="11" width="31.44140625" style="227" customWidth="1"/>
    <col min="12" max="17" width="31.44140625" style="166" customWidth="1"/>
    <col min="18" max="18" width="31.5546875" style="204" customWidth="1"/>
    <col min="19" max="20" width="31.44140625" style="166" customWidth="1"/>
    <col min="21" max="21" width="31.5546875" style="227" customWidth="1"/>
    <col min="22" max="27" width="31.44140625" style="166" customWidth="1"/>
    <col min="28" max="16384" width="9.44140625" style="165"/>
  </cols>
  <sheetData>
    <row r="1" spans="1:27">
      <c r="A1" s="226" t="s">
        <v>90</v>
      </c>
      <c r="B1" s="297"/>
      <c r="C1" s="267"/>
    </row>
    <row r="2" spans="1:27" s="265" customFormat="1">
      <c r="A2" s="228" t="s">
        <v>91</v>
      </c>
      <c r="B2" s="522" t="s">
        <v>92</v>
      </c>
      <c r="C2" s="523"/>
      <c r="D2" s="524" t="s">
        <v>5</v>
      </c>
      <c r="E2" s="525"/>
      <c r="F2" s="526"/>
      <c r="G2" s="524" t="s">
        <v>8</v>
      </c>
      <c r="H2" s="526"/>
      <c r="I2" s="171" t="s">
        <v>12</v>
      </c>
      <c r="J2" s="524" t="s">
        <v>16</v>
      </c>
      <c r="K2" s="525"/>
      <c r="L2" s="525"/>
      <c r="M2" s="526"/>
      <c r="N2" s="520" t="s">
        <v>21</v>
      </c>
      <c r="O2" s="521"/>
      <c r="P2" s="171" t="s">
        <v>24</v>
      </c>
      <c r="Q2" s="171" t="s">
        <v>26</v>
      </c>
      <c r="R2" s="518" t="s">
        <v>33</v>
      </c>
      <c r="S2" s="519"/>
      <c r="T2" s="171" t="s">
        <v>39</v>
      </c>
      <c r="U2" s="171" t="s">
        <v>80</v>
      </c>
      <c r="V2" s="222" t="s">
        <v>93</v>
      </c>
      <c r="W2" s="222" t="s">
        <v>93</v>
      </c>
      <c r="X2" s="171"/>
      <c r="Y2" s="171"/>
      <c r="Z2" s="171"/>
      <c r="AA2" s="171"/>
    </row>
    <row r="3" spans="1:27" s="265" customFormat="1">
      <c r="A3" s="228"/>
      <c r="B3" s="229"/>
      <c r="C3" s="269"/>
      <c r="D3" s="298" t="s">
        <v>94</v>
      </c>
      <c r="E3" s="230" t="s">
        <v>98</v>
      </c>
      <c r="F3" s="299" t="s">
        <v>265</v>
      </c>
      <c r="G3" s="298" t="s">
        <v>94</v>
      </c>
      <c r="H3" s="230" t="s">
        <v>98</v>
      </c>
      <c r="I3" s="305" t="s">
        <v>94</v>
      </c>
      <c r="J3" s="298" t="s">
        <v>94</v>
      </c>
      <c r="K3" s="230" t="s">
        <v>98</v>
      </c>
      <c r="L3" s="306" t="s">
        <v>97</v>
      </c>
      <c r="M3" s="307" t="s">
        <v>265</v>
      </c>
      <c r="N3" s="305" t="s">
        <v>94</v>
      </c>
      <c r="O3" s="305" t="s">
        <v>788</v>
      </c>
      <c r="P3" s="305" t="s">
        <v>94</v>
      </c>
      <c r="Q3" s="276" t="s">
        <v>94</v>
      </c>
      <c r="R3" s="315" t="s">
        <v>98</v>
      </c>
      <c r="S3" s="299" t="s">
        <v>265</v>
      </c>
      <c r="T3" s="276" t="s">
        <v>94</v>
      </c>
      <c r="U3" s="276" t="s">
        <v>94</v>
      </c>
      <c r="V3" s="298" t="s">
        <v>94</v>
      </c>
      <c r="W3" s="230" t="s">
        <v>98</v>
      </c>
      <c r="X3" s="249"/>
      <c r="Y3" s="171"/>
      <c r="Z3" s="171"/>
      <c r="AA3" s="171"/>
    </row>
    <row r="4" spans="1:27">
      <c r="A4" s="206" t="s">
        <v>99</v>
      </c>
      <c r="B4" s="527" t="s">
        <v>100</v>
      </c>
      <c r="C4" s="528"/>
      <c r="D4" s="232" t="s">
        <v>101</v>
      </c>
      <c r="E4" s="232" t="s">
        <v>101</v>
      </c>
      <c r="F4" s="232" t="s">
        <v>266</v>
      </c>
      <c r="G4" s="232" t="s">
        <v>101</v>
      </c>
      <c r="H4" s="232" t="s">
        <v>101</v>
      </c>
      <c r="I4" s="232" t="s">
        <v>101</v>
      </c>
      <c r="J4" s="232" t="s">
        <v>101</v>
      </c>
      <c r="K4" s="232" t="s">
        <v>101</v>
      </c>
      <c r="L4" s="308" t="s">
        <v>266</v>
      </c>
      <c r="M4" s="308" t="s">
        <v>266</v>
      </c>
      <c r="N4" s="232" t="s">
        <v>101</v>
      </c>
      <c r="O4" s="232" t="s">
        <v>101</v>
      </c>
      <c r="P4" s="232" t="s">
        <v>101</v>
      </c>
      <c r="Q4" s="309" t="s">
        <v>101</v>
      </c>
      <c r="R4" s="214" t="s">
        <v>101</v>
      </c>
      <c r="S4" s="232" t="s">
        <v>266</v>
      </c>
      <c r="T4" s="309" t="s">
        <v>101</v>
      </c>
      <c r="U4" s="232" t="s">
        <v>101</v>
      </c>
      <c r="V4" s="232" t="s">
        <v>101</v>
      </c>
      <c r="W4" s="232" t="s">
        <v>101</v>
      </c>
      <c r="X4" s="232"/>
      <c r="Y4" s="178"/>
      <c r="Z4" s="178"/>
      <c r="AA4" s="178"/>
    </row>
    <row r="5" spans="1:27">
      <c r="A5" s="206" t="s">
        <v>102</v>
      </c>
      <c r="B5" s="527"/>
      <c r="C5" s="528"/>
      <c r="D5" s="232" t="s">
        <v>103</v>
      </c>
      <c r="E5" s="178" t="s">
        <v>104</v>
      </c>
      <c r="F5" s="178" t="s">
        <v>104</v>
      </c>
      <c r="G5" s="232" t="s">
        <v>103</v>
      </c>
      <c r="H5" s="178" t="s">
        <v>104</v>
      </c>
      <c r="I5" s="232" t="s">
        <v>103</v>
      </c>
      <c r="J5" s="232" t="s">
        <v>103</v>
      </c>
      <c r="K5" s="178" t="s">
        <v>104</v>
      </c>
      <c r="L5" s="232" t="s">
        <v>103</v>
      </c>
      <c r="M5" s="178" t="s">
        <v>104</v>
      </c>
      <c r="N5" s="232" t="s">
        <v>103</v>
      </c>
      <c r="O5" s="406" t="s">
        <v>789</v>
      </c>
      <c r="P5" s="232" t="s">
        <v>103</v>
      </c>
      <c r="Q5" s="309" t="s">
        <v>103</v>
      </c>
      <c r="R5" s="221" t="s">
        <v>104</v>
      </c>
      <c r="S5" s="178" t="s">
        <v>104</v>
      </c>
      <c r="T5" s="309" t="s">
        <v>103</v>
      </c>
      <c r="U5" s="232" t="s">
        <v>103</v>
      </c>
      <c r="V5" s="178" t="s">
        <v>103</v>
      </c>
      <c r="W5" s="178" t="s">
        <v>104</v>
      </c>
      <c r="X5" s="178"/>
      <c r="Y5" s="178"/>
      <c r="Z5" s="178"/>
      <c r="AA5" s="178"/>
    </row>
    <row r="6" spans="1:27">
      <c r="A6" s="206" t="s">
        <v>105</v>
      </c>
      <c r="B6" s="527" t="s">
        <v>106</v>
      </c>
      <c r="C6" s="528"/>
      <c r="D6" s="232" t="s">
        <v>101</v>
      </c>
      <c r="E6" s="232" t="s">
        <v>101</v>
      </c>
      <c r="F6" s="232" t="s">
        <v>101</v>
      </c>
      <c r="G6" s="232" t="s">
        <v>101</v>
      </c>
      <c r="H6" s="232" t="s">
        <v>101</v>
      </c>
      <c r="I6" s="232" t="s">
        <v>101</v>
      </c>
      <c r="J6" s="232" t="s">
        <v>101</v>
      </c>
      <c r="K6" s="232" t="s">
        <v>101</v>
      </c>
      <c r="L6" s="232" t="s">
        <v>101</v>
      </c>
      <c r="M6" s="232" t="s">
        <v>101</v>
      </c>
      <c r="N6" s="232" t="s">
        <v>101</v>
      </c>
      <c r="O6" s="232" t="s">
        <v>101</v>
      </c>
      <c r="P6" s="232" t="s">
        <v>101</v>
      </c>
      <c r="Q6" s="309" t="s">
        <v>101</v>
      </c>
      <c r="R6" s="214" t="s">
        <v>101</v>
      </c>
      <c r="S6" s="232" t="s">
        <v>101</v>
      </c>
      <c r="T6" s="309" t="s">
        <v>101</v>
      </c>
      <c r="U6" s="232" t="s">
        <v>101</v>
      </c>
      <c r="V6" s="232" t="s">
        <v>101</v>
      </c>
      <c r="W6" s="232" t="s">
        <v>101</v>
      </c>
      <c r="X6" s="232"/>
      <c r="Y6" s="178"/>
      <c r="Z6" s="178"/>
      <c r="AA6" s="178"/>
    </row>
    <row r="7" spans="1:27">
      <c r="A7" s="206" t="s">
        <v>107</v>
      </c>
      <c r="B7" s="527" t="s">
        <v>267</v>
      </c>
      <c r="C7" s="528"/>
      <c r="D7" s="232" t="s">
        <v>101</v>
      </c>
      <c r="E7" s="232" t="s">
        <v>101</v>
      </c>
      <c r="F7" s="232" t="s">
        <v>101</v>
      </c>
      <c r="G7" s="232" t="s">
        <v>101</v>
      </c>
      <c r="H7" s="232" t="s">
        <v>101</v>
      </c>
      <c r="I7" s="232" t="s">
        <v>101</v>
      </c>
      <c r="J7" s="232" t="s">
        <v>101</v>
      </c>
      <c r="K7" s="232" t="s">
        <v>101</v>
      </c>
      <c r="L7" s="232" t="s">
        <v>101</v>
      </c>
      <c r="M7" s="232" t="s">
        <v>101</v>
      </c>
      <c r="N7" s="232" t="s">
        <v>101</v>
      </c>
      <c r="O7" s="232" t="s">
        <v>101</v>
      </c>
      <c r="P7" s="232" t="s">
        <v>101</v>
      </c>
      <c r="Q7" s="309" t="s">
        <v>101</v>
      </c>
      <c r="R7" s="214" t="s">
        <v>101</v>
      </c>
      <c r="S7" s="232" t="s">
        <v>101</v>
      </c>
      <c r="T7" s="309" t="s">
        <v>101</v>
      </c>
      <c r="U7" s="232" t="s">
        <v>101</v>
      </c>
      <c r="V7" s="232" t="s">
        <v>101</v>
      </c>
      <c r="W7" s="232" t="s">
        <v>101</v>
      </c>
      <c r="X7" s="232"/>
      <c r="Y7" s="178"/>
      <c r="Z7" s="178"/>
      <c r="AA7" s="178"/>
    </row>
    <row r="8" spans="1:27" ht="42" customHeight="1">
      <c r="A8" s="178" t="s">
        <v>268</v>
      </c>
      <c r="B8" s="529" t="s">
        <v>110</v>
      </c>
      <c r="C8" s="528"/>
      <c r="D8" s="232" t="s">
        <v>101</v>
      </c>
      <c r="E8" s="232" t="s">
        <v>101</v>
      </c>
      <c r="F8" s="232" t="s">
        <v>111</v>
      </c>
      <c r="G8" s="232" t="s">
        <v>101</v>
      </c>
      <c r="H8" s="232" t="s">
        <v>101</v>
      </c>
      <c r="I8" s="232" t="s">
        <v>101</v>
      </c>
      <c r="J8" s="232" t="s">
        <v>101</v>
      </c>
      <c r="K8" s="232" t="s">
        <v>101</v>
      </c>
      <c r="L8" s="176" t="s">
        <v>111</v>
      </c>
      <c r="M8" s="176" t="s">
        <v>111</v>
      </c>
      <c r="N8" s="232" t="s">
        <v>101</v>
      </c>
      <c r="O8" s="232" t="s">
        <v>101</v>
      </c>
      <c r="P8" s="232" t="s">
        <v>101</v>
      </c>
      <c r="Q8" s="309" t="s">
        <v>101</v>
      </c>
      <c r="R8" s="214" t="s">
        <v>101</v>
      </c>
      <c r="S8" s="232" t="s">
        <v>111</v>
      </c>
      <c r="T8" s="206" t="s">
        <v>101</v>
      </c>
      <c r="U8" s="232" t="s">
        <v>101</v>
      </c>
      <c r="V8" s="232" t="s">
        <v>101</v>
      </c>
      <c r="W8" s="232" t="s">
        <v>101</v>
      </c>
      <c r="X8" s="232"/>
      <c r="Y8" s="178"/>
      <c r="Z8" s="165"/>
      <c r="AA8" s="165"/>
    </row>
    <row r="9" spans="1:27" ht="22.8">
      <c r="A9" s="206" t="s">
        <v>112</v>
      </c>
      <c r="B9" s="529" t="s">
        <v>113</v>
      </c>
      <c r="C9" s="530"/>
      <c r="D9" s="232" t="s">
        <v>114</v>
      </c>
      <c r="E9" s="232" t="s">
        <v>119</v>
      </c>
      <c r="F9" s="232" t="s">
        <v>269</v>
      </c>
      <c r="G9" s="232" t="s">
        <v>114</v>
      </c>
      <c r="H9" s="232" t="s">
        <v>114</v>
      </c>
      <c r="I9" s="232" t="s">
        <v>114</v>
      </c>
      <c r="J9" s="232" t="s">
        <v>114</v>
      </c>
      <c r="K9" s="232" t="s">
        <v>117</v>
      </c>
      <c r="L9" s="232" t="s">
        <v>114</v>
      </c>
      <c r="M9" s="232" t="s">
        <v>114</v>
      </c>
      <c r="N9" s="232" t="s">
        <v>114</v>
      </c>
      <c r="O9" s="232" t="s">
        <v>114</v>
      </c>
      <c r="P9" s="232" t="s">
        <v>114</v>
      </c>
      <c r="Q9" s="260" t="s">
        <v>114</v>
      </c>
      <c r="R9" s="214" t="s">
        <v>119</v>
      </c>
      <c r="S9" s="232" t="s">
        <v>269</v>
      </c>
      <c r="T9" s="260" t="s">
        <v>114</v>
      </c>
      <c r="U9" s="232" t="s">
        <v>114</v>
      </c>
      <c r="V9" s="232" t="s">
        <v>114</v>
      </c>
      <c r="W9" s="232" t="s">
        <v>119</v>
      </c>
      <c r="X9" s="232"/>
      <c r="Y9" s="178"/>
      <c r="Z9" s="178"/>
      <c r="AA9" s="178"/>
    </row>
    <row r="10" spans="1:27" ht="34.5" customHeight="1">
      <c r="A10" s="177" t="s">
        <v>120</v>
      </c>
      <c r="B10" s="531" t="s">
        <v>121</v>
      </c>
      <c r="C10" s="532"/>
      <c r="D10" s="232" t="s">
        <v>101</v>
      </c>
      <c r="E10" s="232" t="s">
        <v>101</v>
      </c>
      <c r="F10" s="232" t="s">
        <v>101</v>
      </c>
      <c r="G10" s="232" t="s">
        <v>101</v>
      </c>
      <c r="H10" s="232" t="s">
        <v>101</v>
      </c>
      <c r="I10" s="232" t="s">
        <v>101</v>
      </c>
      <c r="J10" s="232" t="s">
        <v>101</v>
      </c>
      <c r="K10" s="232" t="s">
        <v>101</v>
      </c>
      <c r="L10" s="310">
        <v>0.1</v>
      </c>
      <c r="M10" s="310">
        <v>0.1</v>
      </c>
      <c r="N10" s="232" t="s">
        <v>101</v>
      </c>
      <c r="O10" s="232" t="s">
        <v>101</v>
      </c>
      <c r="P10" s="232" t="s">
        <v>101</v>
      </c>
      <c r="Q10" s="309" t="s">
        <v>101</v>
      </c>
      <c r="R10" s="214" t="s">
        <v>101</v>
      </c>
      <c r="S10" s="232" t="s">
        <v>101</v>
      </c>
      <c r="T10" s="206" t="s">
        <v>101</v>
      </c>
      <c r="U10" s="232" t="s">
        <v>101</v>
      </c>
      <c r="V10" s="232" t="s">
        <v>101</v>
      </c>
      <c r="W10" s="232" t="s">
        <v>101</v>
      </c>
      <c r="X10" s="232"/>
      <c r="Y10" s="178"/>
      <c r="Z10" s="178"/>
      <c r="AA10" s="178"/>
    </row>
    <row r="11" spans="1:27" ht="27.75" customHeight="1">
      <c r="A11" s="178" t="s">
        <v>123</v>
      </c>
      <c r="B11" s="529" t="s">
        <v>124</v>
      </c>
      <c r="C11" s="530"/>
      <c r="D11" s="232" t="s">
        <v>125</v>
      </c>
      <c r="E11" s="178" t="s">
        <v>126</v>
      </c>
      <c r="F11" s="232" t="s">
        <v>101</v>
      </c>
      <c r="G11" s="232" t="s">
        <v>125</v>
      </c>
      <c r="H11" s="178" t="s">
        <v>126</v>
      </c>
      <c r="I11" s="232" t="s">
        <v>125</v>
      </c>
      <c r="J11" s="232" t="s">
        <v>125</v>
      </c>
      <c r="K11" s="178" t="s">
        <v>126</v>
      </c>
      <c r="L11" s="232" t="s">
        <v>101</v>
      </c>
      <c r="M11" s="232" t="s">
        <v>101</v>
      </c>
      <c r="N11" s="232" t="s">
        <v>125</v>
      </c>
      <c r="O11" s="406" t="s">
        <v>790</v>
      </c>
      <c r="P11" s="232" t="s">
        <v>125</v>
      </c>
      <c r="Q11" s="309" t="s">
        <v>125</v>
      </c>
      <c r="R11" s="221" t="s">
        <v>126</v>
      </c>
      <c r="S11" s="232" t="s">
        <v>101</v>
      </c>
      <c r="T11" s="309" t="s">
        <v>125</v>
      </c>
      <c r="U11" s="232" t="s">
        <v>125</v>
      </c>
      <c r="V11" s="232" t="s">
        <v>101</v>
      </c>
      <c r="W11" s="232" t="s">
        <v>101</v>
      </c>
      <c r="X11" s="232"/>
      <c r="Y11" s="178"/>
      <c r="Z11" s="178"/>
      <c r="AA11" s="178"/>
    </row>
    <row r="12" spans="1:27" ht="45.6">
      <c r="A12" s="178" t="s">
        <v>128</v>
      </c>
      <c r="B12" s="527"/>
      <c r="C12" s="528"/>
      <c r="D12" s="232" t="s">
        <v>270</v>
      </c>
      <c r="E12" s="178" t="s">
        <v>130</v>
      </c>
      <c r="F12" s="178" t="s">
        <v>131</v>
      </c>
      <c r="G12" s="232" t="s">
        <v>270</v>
      </c>
      <c r="H12" s="178" t="s">
        <v>132</v>
      </c>
      <c r="I12" s="232" t="s">
        <v>270</v>
      </c>
      <c r="J12" s="232" t="s">
        <v>270</v>
      </c>
      <c r="K12" s="178" t="s">
        <v>132</v>
      </c>
      <c r="L12" s="232" t="s">
        <v>271</v>
      </c>
      <c r="M12" s="178" t="s">
        <v>132</v>
      </c>
      <c r="N12" s="232" t="s">
        <v>270</v>
      </c>
      <c r="O12" s="407" t="s">
        <v>132</v>
      </c>
      <c r="P12" s="232" t="s">
        <v>270</v>
      </c>
      <c r="Q12" s="309" t="s">
        <v>270</v>
      </c>
      <c r="R12" s="232" t="s">
        <v>134</v>
      </c>
      <c r="S12" s="178" t="s">
        <v>869</v>
      </c>
      <c r="T12" s="309" t="s">
        <v>270</v>
      </c>
      <c r="U12" s="232" t="s">
        <v>270</v>
      </c>
      <c r="V12" s="178" t="s">
        <v>271</v>
      </c>
      <c r="W12" s="178" t="s">
        <v>130</v>
      </c>
      <c r="X12" s="178"/>
      <c r="Y12" s="178"/>
      <c r="Z12" s="178"/>
      <c r="AA12" s="178"/>
    </row>
    <row r="13" spans="1:27" ht="22.8">
      <c r="A13" s="178" t="s">
        <v>135</v>
      </c>
      <c r="B13" s="527" t="s">
        <v>272</v>
      </c>
      <c r="C13" s="528"/>
      <c r="D13" s="253" t="s">
        <v>273</v>
      </c>
      <c r="E13" s="253" t="s">
        <v>273</v>
      </c>
      <c r="F13" s="234" t="s">
        <v>273</v>
      </c>
      <c r="G13" s="253" t="s">
        <v>274</v>
      </c>
      <c r="H13" s="253" t="s">
        <v>274</v>
      </c>
      <c r="I13" s="253" t="s">
        <v>273</v>
      </c>
      <c r="J13" s="253" t="s">
        <v>273</v>
      </c>
      <c r="K13" s="253" t="s">
        <v>273</v>
      </c>
      <c r="L13" s="203" t="s">
        <v>275</v>
      </c>
      <c r="M13" s="203" t="s">
        <v>275</v>
      </c>
      <c r="N13" s="253" t="s">
        <v>273</v>
      </c>
      <c r="O13" s="253" t="s">
        <v>273</v>
      </c>
      <c r="P13" s="253" t="s">
        <v>273</v>
      </c>
      <c r="Q13" s="309" t="s">
        <v>273</v>
      </c>
      <c r="R13" s="316" t="s">
        <v>273</v>
      </c>
      <c r="S13" s="234" t="s">
        <v>273</v>
      </c>
      <c r="T13" s="260" t="s">
        <v>276</v>
      </c>
      <c r="U13" s="253" t="s">
        <v>273</v>
      </c>
      <c r="V13" s="253" t="s">
        <v>274</v>
      </c>
      <c r="W13" s="253" t="s">
        <v>274</v>
      </c>
      <c r="X13" s="253"/>
      <c r="Y13" s="178"/>
      <c r="Z13" s="178"/>
      <c r="AA13" s="178"/>
    </row>
    <row r="14" spans="1:27" ht="22.8">
      <c r="A14" s="178" t="s">
        <v>277</v>
      </c>
      <c r="B14" s="527"/>
      <c r="C14" s="528"/>
      <c r="D14" s="234" t="s">
        <v>278</v>
      </c>
      <c r="E14" s="234" t="s">
        <v>278</v>
      </c>
      <c r="F14" s="234" t="s">
        <v>279</v>
      </c>
      <c r="G14" s="234" t="s">
        <v>280</v>
      </c>
      <c r="H14" s="234" t="s">
        <v>280</v>
      </c>
      <c r="I14" s="234" t="s">
        <v>281</v>
      </c>
      <c r="J14" s="234" t="s">
        <v>280</v>
      </c>
      <c r="K14" s="254" t="s">
        <v>282</v>
      </c>
      <c r="L14" s="234" t="s">
        <v>283</v>
      </c>
      <c r="M14" s="234" t="s">
        <v>283</v>
      </c>
      <c r="N14" s="234" t="s">
        <v>284</v>
      </c>
      <c r="O14" s="423" t="s">
        <v>799</v>
      </c>
      <c r="P14" s="234" t="s">
        <v>281</v>
      </c>
      <c r="Q14" s="309" t="s">
        <v>281</v>
      </c>
      <c r="R14" s="317" t="s">
        <v>281</v>
      </c>
      <c r="S14" s="234" t="s">
        <v>279</v>
      </c>
      <c r="T14" s="309" t="s">
        <v>280</v>
      </c>
      <c r="U14" s="234" t="s">
        <v>285</v>
      </c>
      <c r="V14" s="234" t="s">
        <v>285</v>
      </c>
      <c r="W14" s="234" t="s">
        <v>285</v>
      </c>
      <c r="X14" s="178"/>
      <c r="Y14" s="178"/>
      <c r="Z14" s="178"/>
      <c r="AA14" s="178"/>
    </row>
    <row r="15" spans="1:27">
      <c r="A15" s="178" t="s">
        <v>167</v>
      </c>
      <c r="B15" s="527"/>
      <c r="C15" s="528"/>
      <c r="D15" s="254" t="s">
        <v>282</v>
      </c>
      <c r="E15" s="254" t="s">
        <v>282</v>
      </c>
      <c r="F15" s="234" t="s">
        <v>160</v>
      </c>
      <c r="G15" s="254" t="s">
        <v>286</v>
      </c>
      <c r="H15" s="254" t="s">
        <v>286</v>
      </c>
      <c r="I15" s="254" t="s">
        <v>282</v>
      </c>
      <c r="J15" s="254" t="s">
        <v>282</v>
      </c>
      <c r="K15" s="254" t="s">
        <v>282</v>
      </c>
      <c r="L15" s="254" t="s">
        <v>282</v>
      </c>
      <c r="M15" s="254" t="s">
        <v>282</v>
      </c>
      <c r="N15" s="254" t="s">
        <v>282</v>
      </c>
      <c r="O15" s="254" t="s">
        <v>282</v>
      </c>
      <c r="P15" s="254" t="s">
        <v>282</v>
      </c>
      <c r="Q15" s="309" t="s">
        <v>160</v>
      </c>
      <c r="R15" s="318" t="s">
        <v>282</v>
      </c>
      <c r="S15" s="234" t="s">
        <v>160</v>
      </c>
      <c r="T15" s="473" t="s">
        <v>881</v>
      </c>
      <c r="U15" s="254" t="s">
        <v>282</v>
      </c>
      <c r="V15" s="178" t="s">
        <v>287</v>
      </c>
      <c r="W15" s="178" t="s">
        <v>287</v>
      </c>
      <c r="X15" s="178"/>
      <c r="Y15" s="178"/>
      <c r="Z15" s="178"/>
      <c r="AA15" s="178"/>
    </row>
    <row r="16" spans="1:27">
      <c r="A16" s="178" t="s">
        <v>172</v>
      </c>
      <c r="B16" s="527"/>
      <c r="C16" s="528"/>
      <c r="D16" s="234" t="s">
        <v>288</v>
      </c>
      <c r="E16" s="234" t="s">
        <v>288</v>
      </c>
      <c r="F16" s="234" t="s">
        <v>289</v>
      </c>
      <c r="G16" s="235" t="s">
        <v>290</v>
      </c>
      <c r="H16" s="235" t="s">
        <v>290</v>
      </c>
      <c r="I16" s="234" t="s">
        <v>289</v>
      </c>
      <c r="J16" s="234" t="s">
        <v>291</v>
      </c>
      <c r="K16" s="234" t="s">
        <v>291</v>
      </c>
      <c r="L16" s="253" t="s">
        <v>292</v>
      </c>
      <c r="M16" s="253" t="s">
        <v>292</v>
      </c>
      <c r="N16" s="235" t="s">
        <v>290</v>
      </c>
      <c r="O16" s="235" t="s">
        <v>290</v>
      </c>
      <c r="P16" s="234" t="s">
        <v>290</v>
      </c>
      <c r="Q16" s="309" t="s">
        <v>289</v>
      </c>
      <c r="R16" s="317" t="s">
        <v>289</v>
      </c>
      <c r="S16" s="234" t="s">
        <v>289</v>
      </c>
      <c r="T16" s="309" t="s">
        <v>293</v>
      </c>
      <c r="U16" s="234" t="s">
        <v>174</v>
      </c>
      <c r="V16" s="234" t="s">
        <v>174</v>
      </c>
      <c r="W16" s="234" t="s">
        <v>174</v>
      </c>
      <c r="X16" s="178"/>
      <c r="Y16" s="178"/>
      <c r="Z16" s="178"/>
      <c r="AA16" s="178"/>
    </row>
    <row r="17" spans="1:27" ht="24" customHeight="1">
      <c r="A17" s="178" t="s">
        <v>178</v>
      </c>
      <c r="B17" s="529" t="s">
        <v>179</v>
      </c>
      <c r="C17" s="530"/>
      <c r="D17" s="232" t="s">
        <v>101</v>
      </c>
      <c r="E17" s="232" t="s">
        <v>101</v>
      </c>
      <c r="F17" s="232" t="s">
        <v>180</v>
      </c>
      <c r="G17" s="232" t="s">
        <v>101</v>
      </c>
      <c r="H17" s="232" t="s">
        <v>101</v>
      </c>
      <c r="I17" s="232" t="s">
        <v>101</v>
      </c>
      <c r="J17" s="232" t="s">
        <v>101</v>
      </c>
      <c r="K17" s="232" t="s">
        <v>101</v>
      </c>
      <c r="L17" s="232" t="s">
        <v>180</v>
      </c>
      <c r="M17" s="232" t="s">
        <v>180</v>
      </c>
      <c r="N17" s="232" t="s">
        <v>101</v>
      </c>
      <c r="O17" s="232" t="s">
        <v>101</v>
      </c>
      <c r="P17" s="232" t="s">
        <v>101</v>
      </c>
      <c r="Q17" s="309" t="s">
        <v>101</v>
      </c>
      <c r="R17" s="214" t="s">
        <v>101</v>
      </c>
      <c r="S17" s="232" t="s">
        <v>180</v>
      </c>
      <c r="T17" s="309" t="s">
        <v>101</v>
      </c>
      <c r="U17" s="232" t="s">
        <v>101</v>
      </c>
      <c r="V17" s="232" t="s">
        <v>101</v>
      </c>
      <c r="W17" s="232" t="s">
        <v>101</v>
      </c>
      <c r="X17" s="178"/>
      <c r="Y17" s="178"/>
      <c r="Z17" s="165"/>
      <c r="AA17" s="165"/>
    </row>
    <row r="18" spans="1:27" ht="78" customHeight="1">
      <c r="A18" s="178" t="s">
        <v>181</v>
      </c>
      <c r="B18" s="529" t="s">
        <v>182</v>
      </c>
      <c r="C18" s="530"/>
      <c r="D18" s="232" t="s">
        <v>294</v>
      </c>
      <c r="E18" s="232" t="s">
        <v>294</v>
      </c>
      <c r="F18" s="232" t="s">
        <v>295</v>
      </c>
      <c r="G18" s="179" t="s">
        <v>296</v>
      </c>
      <c r="H18" s="179" t="s">
        <v>296</v>
      </c>
      <c r="I18" s="232" t="s">
        <v>297</v>
      </c>
      <c r="J18" s="232" t="s">
        <v>298</v>
      </c>
      <c r="K18" s="232" t="s">
        <v>299</v>
      </c>
      <c r="L18" s="232" t="s">
        <v>300</v>
      </c>
      <c r="M18" s="232" t="s">
        <v>300</v>
      </c>
      <c r="N18" s="179" t="s">
        <v>296</v>
      </c>
      <c r="O18" s="179" t="s">
        <v>296</v>
      </c>
      <c r="P18" s="232" t="s">
        <v>301</v>
      </c>
      <c r="Q18" s="260" t="s">
        <v>297</v>
      </c>
      <c r="R18" s="214" t="s">
        <v>302</v>
      </c>
      <c r="S18" s="232" t="s">
        <v>295</v>
      </c>
      <c r="T18" s="179" t="s">
        <v>303</v>
      </c>
      <c r="U18" s="232" t="s">
        <v>304</v>
      </c>
      <c r="V18" s="179" t="s">
        <v>305</v>
      </c>
      <c r="W18" s="179" t="s">
        <v>305</v>
      </c>
      <c r="X18" s="178"/>
      <c r="Y18" s="178"/>
      <c r="Z18" s="178"/>
      <c r="AA18" s="178"/>
    </row>
    <row r="19" spans="1:27" ht="91.2">
      <c r="A19" s="182" t="s">
        <v>212</v>
      </c>
      <c r="B19" s="533" t="s">
        <v>213</v>
      </c>
      <c r="C19" s="534"/>
      <c r="D19" s="179" t="s">
        <v>306</v>
      </c>
      <c r="E19" s="179" t="s">
        <v>307</v>
      </c>
      <c r="F19" s="179" t="s">
        <v>308</v>
      </c>
      <c r="G19" s="179" t="s">
        <v>214</v>
      </c>
      <c r="H19" s="179" t="s">
        <v>214</v>
      </c>
      <c r="I19" s="179" t="s">
        <v>309</v>
      </c>
      <c r="J19" s="179" t="s">
        <v>310</v>
      </c>
      <c r="K19" s="179" t="s">
        <v>311</v>
      </c>
      <c r="L19" s="179" t="s">
        <v>312</v>
      </c>
      <c r="M19" s="179" t="s">
        <v>313</v>
      </c>
      <c r="N19" s="179" t="s">
        <v>306</v>
      </c>
      <c r="O19" s="179" t="s">
        <v>306</v>
      </c>
      <c r="P19" s="179" t="s">
        <v>314</v>
      </c>
      <c r="Q19" s="260" t="s">
        <v>315</v>
      </c>
      <c r="R19" s="216" t="s">
        <v>316</v>
      </c>
      <c r="S19" s="179" t="s">
        <v>878</v>
      </c>
      <c r="T19" s="474" t="s">
        <v>882</v>
      </c>
      <c r="U19" s="179" t="s">
        <v>306</v>
      </c>
      <c r="V19" s="179" t="s">
        <v>306</v>
      </c>
      <c r="W19" s="179" t="s">
        <v>306</v>
      </c>
      <c r="X19" s="178"/>
      <c r="Y19" s="178"/>
      <c r="Z19" s="178"/>
      <c r="AA19" s="178"/>
    </row>
    <row r="20" spans="1:27" ht="79.8">
      <c r="A20" s="182" t="s">
        <v>222</v>
      </c>
      <c r="B20" s="533" t="s">
        <v>223</v>
      </c>
      <c r="C20" s="534"/>
      <c r="D20" s="176" t="s">
        <v>317</v>
      </c>
      <c r="E20" s="176" t="s">
        <v>317</v>
      </c>
      <c r="F20" s="176" t="s">
        <v>318</v>
      </c>
      <c r="G20" s="176" t="s">
        <v>319</v>
      </c>
      <c r="H20" s="176" t="s">
        <v>320</v>
      </c>
      <c r="I20" s="176" t="s">
        <v>321</v>
      </c>
      <c r="J20" s="176" t="s">
        <v>322</v>
      </c>
      <c r="K20" s="176" t="s">
        <v>323</v>
      </c>
      <c r="L20" s="176" t="s">
        <v>324</v>
      </c>
      <c r="M20" s="176" t="s">
        <v>325</v>
      </c>
      <c r="N20" s="176" t="s">
        <v>794</v>
      </c>
      <c r="O20" s="408" t="s">
        <v>793</v>
      </c>
      <c r="P20" s="176" t="s">
        <v>321</v>
      </c>
      <c r="Q20" s="260" t="s">
        <v>326</v>
      </c>
      <c r="R20" s="216" t="s">
        <v>327</v>
      </c>
      <c r="S20" s="176" t="s">
        <v>318</v>
      </c>
      <c r="T20" s="260" t="s">
        <v>328</v>
      </c>
      <c r="U20" s="176" t="s">
        <v>329</v>
      </c>
      <c r="V20" s="260" t="s">
        <v>328</v>
      </c>
      <c r="W20" s="260" t="s">
        <v>328</v>
      </c>
      <c r="X20" s="178"/>
      <c r="Y20" s="178"/>
      <c r="Z20" s="178"/>
      <c r="AA20" s="178"/>
    </row>
    <row r="21" spans="1:27" ht="24" customHeight="1">
      <c r="A21" s="182" t="s">
        <v>330</v>
      </c>
      <c r="B21" s="533">
        <v>1</v>
      </c>
      <c r="C21" s="534"/>
      <c r="D21" s="232" t="s">
        <v>101</v>
      </c>
      <c r="E21" s="232" t="s">
        <v>101</v>
      </c>
      <c r="F21" s="232" t="s">
        <v>101</v>
      </c>
      <c r="G21" s="232" t="s">
        <v>101</v>
      </c>
      <c r="H21" s="232" t="s">
        <v>101</v>
      </c>
      <c r="I21" s="232" t="s">
        <v>101</v>
      </c>
      <c r="J21" s="232" t="s">
        <v>101</v>
      </c>
      <c r="K21" s="232" t="s">
        <v>101</v>
      </c>
      <c r="L21" s="232" t="s">
        <v>101</v>
      </c>
      <c r="M21" s="232" t="s">
        <v>101</v>
      </c>
      <c r="N21" s="232" t="s">
        <v>101</v>
      </c>
      <c r="O21" s="232" t="s">
        <v>101</v>
      </c>
      <c r="P21" s="232" t="s">
        <v>101</v>
      </c>
      <c r="Q21" s="309" t="s">
        <v>101</v>
      </c>
      <c r="R21" s="214" t="s">
        <v>101</v>
      </c>
      <c r="S21" s="232" t="s">
        <v>101</v>
      </c>
      <c r="T21" s="206" t="s">
        <v>101</v>
      </c>
      <c r="U21" s="232" t="s">
        <v>101</v>
      </c>
      <c r="V21" s="232" t="s">
        <v>101</v>
      </c>
      <c r="W21" s="232" t="s">
        <v>101</v>
      </c>
      <c r="X21" s="178"/>
      <c r="Y21" s="178"/>
      <c r="Z21" s="178"/>
      <c r="AA21" s="178"/>
    </row>
    <row r="22" spans="1:27" ht="32.25" customHeight="1">
      <c r="A22" s="182" t="s">
        <v>331</v>
      </c>
      <c r="B22" s="533"/>
      <c r="C22" s="534"/>
      <c r="D22" s="289" t="s">
        <v>332</v>
      </c>
      <c r="E22" s="289" t="s">
        <v>332</v>
      </c>
      <c r="F22" s="179" t="s">
        <v>205</v>
      </c>
      <c r="G22" s="289"/>
      <c r="H22" s="289"/>
      <c r="I22" s="289" t="s">
        <v>332</v>
      </c>
      <c r="J22" s="289" t="s">
        <v>332</v>
      </c>
      <c r="K22" s="289" t="s">
        <v>332</v>
      </c>
      <c r="L22" s="178" t="s">
        <v>211</v>
      </c>
      <c r="M22" s="178" t="s">
        <v>333</v>
      </c>
      <c r="N22" s="289" t="s">
        <v>332</v>
      </c>
      <c r="O22" s="289" t="s">
        <v>332</v>
      </c>
      <c r="P22" s="289" t="s">
        <v>332</v>
      </c>
      <c r="Q22" s="311" t="s">
        <v>332</v>
      </c>
      <c r="R22" s="304" t="s">
        <v>210</v>
      </c>
      <c r="S22" s="179" t="s">
        <v>205</v>
      </c>
      <c r="T22" s="319" t="s">
        <v>332</v>
      </c>
      <c r="U22" s="289" t="s">
        <v>332</v>
      </c>
      <c r="V22" s="289" t="s">
        <v>332</v>
      </c>
      <c r="W22" s="289" t="s">
        <v>332</v>
      </c>
      <c r="X22" s="178"/>
      <c r="Y22" s="178"/>
      <c r="Z22" s="178"/>
      <c r="AA22" s="178"/>
    </row>
    <row r="23" spans="1:27">
      <c r="A23" s="178" t="s">
        <v>235</v>
      </c>
      <c r="B23" s="527" t="s">
        <v>236</v>
      </c>
      <c r="C23" s="528"/>
      <c r="D23" s="232" t="s">
        <v>101</v>
      </c>
      <c r="E23" s="232" t="s">
        <v>101</v>
      </c>
      <c r="F23" s="232" t="s">
        <v>101</v>
      </c>
      <c r="G23" s="232" t="s">
        <v>334</v>
      </c>
      <c r="H23" s="232" t="s">
        <v>334</v>
      </c>
      <c r="I23" s="232" t="s">
        <v>101</v>
      </c>
      <c r="J23" s="232" t="s">
        <v>101</v>
      </c>
      <c r="K23" s="232" t="s">
        <v>101</v>
      </c>
      <c r="L23" s="232" t="s">
        <v>101</v>
      </c>
      <c r="M23" s="232" t="s">
        <v>101</v>
      </c>
      <c r="N23" s="232" t="s">
        <v>101</v>
      </c>
      <c r="O23" s="232" t="s">
        <v>101</v>
      </c>
      <c r="P23" s="232" t="s">
        <v>101</v>
      </c>
      <c r="Q23" s="309" t="s">
        <v>101</v>
      </c>
      <c r="R23" s="214" t="s">
        <v>101</v>
      </c>
      <c r="S23" s="232" t="s">
        <v>101</v>
      </c>
      <c r="T23" s="309" t="s">
        <v>101</v>
      </c>
      <c r="U23" s="232" t="s">
        <v>101</v>
      </c>
      <c r="V23" s="232" t="s">
        <v>101</v>
      </c>
      <c r="W23" s="232" t="s">
        <v>101</v>
      </c>
      <c r="X23" s="178"/>
      <c r="Y23" s="178"/>
      <c r="Z23" s="178"/>
      <c r="AA23" s="178"/>
    </row>
    <row r="24" spans="1:27">
      <c r="A24" s="178" t="s">
        <v>237</v>
      </c>
      <c r="B24" s="527" t="s">
        <v>238</v>
      </c>
      <c r="C24" s="528"/>
      <c r="D24" s="232" t="s">
        <v>101</v>
      </c>
      <c r="E24" s="232" t="s">
        <v>101</v>
      </c>
      <c r="F24" s="232" t="s">
        <v>101</v>
      </c>
      <c r="G24" s="232" t="s">
        <v>101</v>
      </c>
      <c r="H24" s="232" t="s">
        <v>101</v>
      </c>
      <c r="I24" s="232" t="s">
        <v>101</v>
      </c>
      <c r="J24" s="232" t="s">
        <v>101</v>
      </c>
      <c r="K24" s="232" t="s">
        <v>101</v>
      </c>
      <c r="L24" s="232" t="s">
        <v>101</v>
      </c>
      <c r="M24" s="232" t="s">
        <v>101</v>
      </c>
      <c r="N24" s="232" t="s">
        <v>101</v>
      </c>
      <c r="O24" s="232" t="s">
        <v>101</v>
      </c>
      <c r="P24" s="232" t="s">
        <v>101</v>
      </c>
      <c r="Q24" s="309" t="s">
        <v>101</v>
      </c>
      <c r="R24" s="214" t="s">
        <v>101</v>
      </c>
      <c r="S24" s="232" t="s">
        <v>101</v>
      </c>
      <c r="T24" s="206" t="s">
        <v>239</v>
      </c>
      <c r="U24" s="232" t="s">
        <v>101</v>
      </c>
      <c r="V24" s="232" t="s">
        <v>101</v>
      </c>
      <c r="W24" s="232" t="s">
        <v>101</v>
      </c>
      <c r="X24" s="178"/>
      <c r="Y24" s="178"/>
      <c r="Z24" s="178"/>
      <c r="AA24" s="178"/>
    </row>
    <row r="25" spans="1:27" ht="22.8">
      <c r="A25" s="178" t="s">
        <v>240</v>
      </c>
      <c r="B25" s="527"/>
      <c r="C25" s="528"/>
      <c r="D25" s="232" t="s">
        <v>241</v>
      </c>
      <c r="E25" s="232" t="s">
        <v>241</v>
      </c>
      <c r="F25" s="232" t="s">
        <v>241</v>
      </c>
      <c r="G25" s="232" t="s">
        <v>241</v>
      </c>
      <c r="H25" s="232" t="s">
        <v>241</v>
      </c>
      <c r="I25" s="232" t="s">
        <v>241</v>
      </c>
      <c r="J25" s="179" t="s">
        <v>335</v>
      </c>
      <c r="K25" s="179" t="s">
        <v>335</v>
      </c>
      <c r="L25" s="232" t="s">
        <v>241</v>
      </c>
      <c r="M25" s="232" t="s">
        <v>241</v>
      </c>
      <c r="N25" s="282" t="s">
        <v>242</v>
      </c>
      <c r="O25" s="402" t="s">
        <v>792</v>
      </c>
      <c r="P25" s="232" t="s">
        <v>241</v>
      </c>
      <c r="Q25" s="309" t="s">
        <v>241</v>
      </c>
      <c r="R25" s="214" t="s">
        <v>241</v>
      </c>
      <c r="S25" s="232" t="s">
        <v>241</v>
      </c>
      <c r="T25" s="473" t="s">
        <v>241</v>
      </c>
      <c r="U25" s="232" t="s">
        <v>241</v>
      </c>
      <c r="V25" s="232" t="s">
        <v>241</v>
      </c>
      <c r="W25" s="232" t="s">
        <v>241</v>
      </c>
      <c r="X25" s="178"/>
      <c r="Y25" s="178"/>
      <c r="Z25" s="178"/>
      <c r="AA25" s="178"/>
    </row>
    <row r="26" spans="1:27" ht="22.8">
      <c r="A26" s="178" t="s">
        <v>336</v>
      </c>
      <c r="B26" s="527"/>
      <c r="C26" s="528"/>
      <c r="D26" s="179" t="s">
        <v>337</v>
      </c>
      <c r="E26" s="179" t="s">
        <v>337</v>
      </c>
      <c r="F26" s="179" t="s">
        <v>338</v>
      </c>
      <c r="G26" s="476" t="s">
        <v>893</v>
      </c>
      <c r="H26" s="476" t="s">
        <v>893</v>
      </c>
      <c r="I26" s="179" t="s">
        <v>337</v>
      </c>
      <c r="J26" s="179" t="s">
        <v>339</v>
      </c>
      <c r="K26" s="179" t="s">
        <v>340</v>
      </c>
      <c r="L26" s="179" t="s">
        <v>339</v>
      </c>
      <c r="M26" s="179" t="s">
        <v>340</v>
      </c>
      <c r="N26" s="179" t="s">
        <v>337</v>
      </c>
      <c r="O26" s="179" t="s">
        <v>337</v>
      </c>
      <c r="P26" s="179" t="s">
        <v>341</v>
      </c>
      <c r="Q26" s="309" t="s">
        <v>337</v>
      </c>
      <c r="R26" s="216" t="s">
        <v>342</v>
      </c>
      <c r="S26" s="179" t="s">
        <v>871</v>
      </c>
      <c r="T26" s="206" t="s">
        <v>343</v>
      </c>
      <c r="U26" s="179" t="s">
        <v>160</v>
      </c>
      <c r="V26" s="309" t="s">
        <v>337</v>
      </c>
      <c r="W26" s="309" t="s">
        <v>337</v>
      </c>
      <c r="X26" s="178"/>
      <c r="Y26" s="178"/>
      <c r="Z26" s="178"/>
      <c r="AA26" s="178"/>
    </row>
    <row r="27" spans="1:27" ht="45.6">
      <c r="A27" s="178" t="s">
        <v>344</v>
      </c>
      <c r="B27" s="535"/>
      <c r="C27" s="536"/>
      <c r="D27" s="176" t="s">
        <v>345</v>
      </c>
      <c r="E27" s="176" t="s">
        <v>345</v>
      </c>
      <c r="F27" s="176" t="s">
        <v>346</v>
      </c>
      <c r="G27" s="475" t="s">
        <v>891</v>
      </c>
      <c r="H27" s="475" t="s">
        <v>891</v>
      </c>
      <c r="I27" s="176" t="s">
        <v>345</v>
      </c>
      <c r="J27" s="176" t="s">
        <v>347</v>
      </c>
      <c r="K27" s="176" t="s">
        <v>347</v>
      </c>
      <c r="L27" s="199" t="s">
        <v>348</v>
      </c>
      <c r="M27" s="199" t="s">
        <v>348</v>
      </c>
      <c r="N27" s="176" t="s">
        <v>349</v>
      </c>
      <c r="O27" s="176" t="s">
        <v>349</v>
      </c>
      <c r="P27" s="176" t="s">
        <v>345</v>
      </c>
      <c r="Q27" s="309" t="s">
        <v>160</v>
      </c>
      <c r="R27" s="304" t="s">
        <v>210</v>
      </c>
      <c r="S27" s="304" t="s">
        <v>210</v>
      </c>
      <c r="T27" s="206" t="s">
        <v>210</v>
      </c>
      <c r="U27" s="176" t="s">
        <v>160</v>
      </c>
      <c r="V27" s="176" t="s">
        <v>345</v>
      </c>
      <c r="W27" s="176" t="s">
        <v>345</v>
      </c>
      <c r="X27" s="178"/>
      <c r="Y27" s="178"/>
      <c r="Z27" s="178"/>
      <c r="AA27" s="165"/>
    </row>
    <row r="28" spans="1:27">
      <c r="A28" s="180"/>
      <c r="B28" s="537"/>
      <c r="C28" s="537"/>
      <c r="D28" s="232"/>
      <c r="E28" s="178"/>
      <c r="F28" s="300"/>
      <c r="G28" s="232"/>
      <c r="H28" s="178"/>
      <c r="I28" s="178"/>
      <c r="J28" s="232"/>
      <c r="K28" s="178"/>
      <c r="L28" s="178"/>
      <c r="M28" s="178"/>
      <c r="N28" s="178"/>
      <c r="O28" s="178"/>
      <c r="P28" s="178"/>
      <c r="Q28" s="309"/>
      <c r="R28" s="221"/>
      <c r="S28" s="300"/>
      <c r="T28" s="309"/>
      <c r="U28" s="232"/>
      <c r="V28" s="178"/>
      <c r="W28" s="178"/>
      <c r="X28" s="178"/>
      <c r="Y28" s="178"/>
      <c r="Z28" s="178"/>
      <c r="AA28" s="178"/>
    </row>
    <row r="29" spans="1:27">
      <c r="A29" s="226" t="s">
        <v>245</v>
      </c>
      <c r="B29" s="538" t="s">
        <v>246</v>
      </c>
      <c r="C29" s="539"/>
      <c r="D29" s="232"/>
      <c r="E29" s="178"/>
      <c r="F29" s="178"/>
      <c r="G29" s="232"/>
      <c r="H29" s="178"/>
      <c r="I29" s="178"/>
      <c r="J29" s="232"/>
      <c r="K29" s="178"/>
      <c r="L29" s="178"/>
      <c r="M29" s="178"/>
      <c r="N29" s="178"/>
      <c r="O29" s="178"/>
      <c r="P29" s="178"/>
      <c r="Q29" s="309"/>
      <c r="R29" s="221"/>
      <c r="S29" s="178"/>
      <c r="T29" s="309"/>
      <c r="U29" s="232"/>
      <c r="V29" s="178"/>
      <c r="W29" s="178"/>
      <c r="X29" s="178"/>
      <c r="Y29" s="178"/>
      <c r="Z29" s="178"/>
      <c r="AA29" s="178"/>
    </row>
    <row r="30" spans="1:27">
      <c r="A30" s="182" t="s">
        <v>247</v>
      </c>
      <c r="B30" s="243">
        <v>1</v>
      </c>
      <c r="C30" s="236">
        <v>3</v>
      </c>
      <c r="D30" s="301" t="s">
        <v>101</v>
      </c>
      <c r="E30" s="301" t="s">
        <v>101</v>
      </c>
      <c r="F30" s="243" t="s">
        <v>101</v>
      </c>
      <c r="G30" s="301" t="s">
        <v>101</v>
      </c>
      <c r="H30" s="301" t="s">
        <v>101</v>
      </c>
      <c r="I30" s="301" t="s">
        <v>101</v>
      </c>
      <c r="J30" s="301" t="s">
        <v>101</v>
      </c>
      <c r="K30" s="301" t="s">
        <v>101</v>
      </c>
      <c r="L30" s="301" t="s">
        <v>101</v>
      </c>
      <c r="M30" s="301" t="s">
        <v>101</v>
      </c>
      <c r="N30" s="301" t="s">
        <v>101</v>
      </c>
      <c r="O30" s="301" t="s">
        <v>101</v>
      </c>
      <c r="P30" s="301" t="s">
        <v>101</v>
      </c>
      <c r="Q30" s="309" t="s">
        <v>101</v>
      </c>
      <c r="R30" s="320" t="s">
        <v>101</v>
      </c>
      <c r="S30" s="448" t="s">
        <v>101</v>
      </c>
      <c r="T30" s="321">
        <v>1</v>
      </c>
      <c r="U30" s="301" t="s">
        <v>101</v>
      </c>
      <c r="V30" s="221">
        <v>1</v>
      </c>
      <c r="W30" s="221">
        <v>1</v>
      </c>
      <c r="X30" s="178"/>
      <c r="Y30" s="178"/>
      <c r="Z30" s="178"/>
      <c r="AA30" s="178"/>
    </row>
    <row r="31" spans="1:27" ht="22.8">
      <c r="A31" s="302" t="s">
        <v>248</v>
      </c>
      <c r="B31" s="243" t="s">
        <v>249</v>
      </c>
      <c r="C31" s="303" t="s">
        <v>250</v>
      </c>
      <c r="D31" s="301" t="s">
        <v>101</v>
      </c>
      <c r="E31" s="301" t="s">
        <v>101</v>
      </c>
      <c r="F31" s="179" t="s">
        <v>350</v>
      </c>
      <c r="G31" s="301" t="s">
        <v>101</v>
      </c>
      <c r="H31" s="301" t="s">
        <v>101</v>
      </c>
      <c r="I31" s="301" t="s">
        <v>101</v>
      </c>
      <c r="J31" s="301" t="s">
        <v>101</v>
      </c>
      <c r="K31" s="301" t="s">
        <v>101</v>
      </c>
      <c r="L31" s="301" t="s">
        <v>101</v>
      </c>
      <c r="M31" s="301" t="s">
        <v>101</v>
      </c>
      <c r="N31" s="301" t="s">
        <v>101</v>
      </c>
      <c r="O31" s="301" t="s">
        <v>101</v>
      </c>
      <c r="P31" s="301" t="s">
        <v>101</v>
      </c>
      <c r="Q31" s="309" t="s">
        <v>101</v>
      </c>
      <c r="R31" s="320" t="s">
        <v>101</v>
      </c>
      <c r="S31" s="471" t="s">
        <v>101</v>
      </c>
      <c r="T31" s="309" t="s">
        <v>101</v>
      </c>
      <c r="U31" s="301" t="s">
        <v>101</v>
      </c>
      <c r="V31" s="301" t="s">
        <v>101</v>
      </c>
      <c r="W31" s="301" t="s">
        <v>101</v>
      </c>
      <c r="X31" s="178"/>
      <c r="Y31" s="178"/>
      <c r="Z31" s="178"/>
      <c r="AA31" s="178"/>
    </row>
    <row r="32" spans="1:27">
      <c r="A32" s="182" t="s">
        <v>251</v>
      </c>
      <c r="B32" s="243" t="s">
        <v>252</v>
      </c>
      <c r="C32" s="236" t="s">
        <v>252</v>
      </c>
      <c r="D32" s="301" t="s">
        <v>101</v>
      </c>
      <c r="E32" s="301" t="s">
        <v>101</v>
      </c>
      <c r="F32" s="243">
        <v>1</v>
      </c>
      <c r="G32" s="301" t="s">
        <v>101</v>
      </c>
      <c r="H32" s="301" t="s">
        <v>101</v>
      </c>
      <c r="I32" s="301" t="s">
        <v>101</v>
      </c>
      <c r="J32" s="301" t="s">
        <v>101</v>
      </c>
      <c r="K32" s="301" t="s">
        <v>101</v>
      </c>
      <c r="L32" s="301" t="s">
        <v>101</v>
      </c>
      <c r="M32" s="301" t="s">
        <v>101</v>
      </c>
      <c r="N32" s="301" t="s">
        <v>101</v>
      </c>
      <c r="O32" s="301" t="s">
        <v>101</v>
      </c>
      <c r="P32" s="301" t="s">
        <v>101</v>
      </c>
      <c r="Q32" s="309" t="s">
        <v>101</v>
      </c>
      <c r="R32" s="320" t="s">
        <v>101</v>
      </c>
      <c r="S32" s="301" t="s">
        <v>101</v>
      </c>
      <c r="T32" s="309" t="s">
        <v>101</v>
      </c>
      <c r="U32" s="301" t="s">
        <v>101</v>
      </c>
      <c r="V32" s="301" t="s">
        <v>101</v>
      </c>
      <c r="W32" s="301" t="s">
        <v>101</v>
      </c>
      <c r="X32" s="178"/>
      <c r="Y32" s="178"/>
      <c r="Z32" s="178"/>
      <c r="AA32" s="178"/>
    </row>
    <row r="33" spans="1:27">
      <c r="A33" s="182" t="s">
        <v>253</v>
      </c>
      <c r="B33" s="540"/>
      <c r="C33" s="541"/>
      <c r="D33" s="243">
        <v>1</v>
      </c>
      <c r="E33" s="243">
        <v>1</v>
      </c>
      <c r="F33" s="243" t="s">
        <v>101</v>
      </c>
      <c r="G33" s="243">
        <v>1</v>
      </c>
      <c r="H33" s="243">
        <v>1</v>
      </c>
      <c r="I33" s="243">
        <v>1</v>
      </c>
      <c r="J33" s="243">
        <v>1</v>
      </c>
      <c r="K33" s="243">
        <v>1</v>
      </c>
      <c r="L33" s="243">
        <v>1</v>
      </c>
      <c r="M33" s="243">
        <v>1</v>
      </c>
      <c r="N33" s="267">
        <v>0</v>
      </c>
      <c r="O33" s="267">
        <v>0</v>
      </c>
      <c r="P33" s="267">
        <v>0</v>
      </c>
      <c r="Q33" s="312">
        <v>1</v>
      </c>
      <c r="R33" s="448">
        <v>1</v>
      </c>
      <c r="S33" s="448">
        <v>1</v>
      </c>
      <c r="T33" s="312"/>
      <c r="U33" s="243">
        <v>1</v>
      </c>
      <c r="V33" s="204">
        <v>1</v>
      </c>
      <c r="W33" s="204">
        <v>1</v>
      </c>
    </row>
    <row r="34" spans="1:27" s="266" customFormat="1" ht="96" customHeight="1">
      <c r="A34" s="240" t="s">
        <v>254</v>
      </c>
      <c r="B34" s="542" t="s">
        <v>255</v>
      </c>
      <c r="C34" s="543"/>
      <c r="D34" s="251" t="s">
        <v>101</v>
      </c>
      <c r="E34" s="251" t="s">
        <v>101</v>
      </c>
      <c r="F34" s="243" t="s">
        <v>101</v>
      </c>
      <c r="G34" s="251" t="s">
        <v>101</v>
      </c>
      <c r="H34" s="251" t="s">
        <v>101</v>
      </c>
      <c r="I34" s="251" t="s">
        <v>101</v>
      </c>
      <c r="J34" s="251" t="s">
        <v>101</v>
      </c>
      <c r="K34" s="251" t="s">
        <v>101</v>
      </c>
      <c r="L34" s="251"/>
      <c r="M34" s="251" t="s">
        <v>101</v>
      </c>
      <c r="N34" s="251" t="s">
        <v>101</v>
      </c>
      <c r="O34" s="251" t="s">
        <v>101</v>
      </c>
      <c r="P34" s="251" t="s">
        <v>101</v>
      </c>
      <c r="Q34" s="313" t="s">
        <v>101</v>
      </c>
      <c r="R34" s="322" t="s">
        <v>101</v>
      </c>
      <c r="S34" s="448" t="s">
        <v>101</v>
      </c>
      <c r="T34" s="313" t="s">
        <v>101</v>
      </c>
      <c r="U34" s="251" t="s">
        <v>101</v>
      </c>
      <c r="V34" s="251" t="s">
        <v>101</v>
      </c>
      <c r="W34" s="251" t="s">
        <v>101</v>
      </c>
      <c r="X34" s="178"/>
      <c r="Y34" s="178"/>
      <c r="Z34" s="178"/>
      <c r="AA34" s="178"/>
    </row>
    <row r="35" spans="1:27">
      <c r="A35" s="182" t="s">
        <v>256</v>
      </c>
      <c r="B35" s="533" t="s">
        <v>257</v>
      </c>
      <c r="C35" s="534"/>
      <c r="D35" s="243" t="s">
        <v>101</v>
      </c>
      <c r="E35" s="243" t="s">
        <v>101</v>
      </c>
      <c r="F35" s="243" t="s">
        <v>210</v>
      </c>
      <c r="G35" s="243" t="s">
        <v>101</v>
      </c>
      <c r="H35" s="243" t="s">
        <v>101</v>
      </c>
      <c r="I35" s="243" t="s">
        <v>101</v>
      </c>
      <c r="J35" s="243" t="s">
        <v>101</v>
      </c>
      <c r="K35" s="243" t="s">
        <v>101</v>
      </c>
      <c r="L35" s="243" t="s">
        <v>101</v>
      </c>
      <c r="M35" s="243" t="s">
        <v>101</v>
      </c>
      <c r="N35" s="243" t="s">
        <v>101</v>
      </c>
      <c r="O35" s="397" t="s">
        <v>101</v>
      </c>
      <c r="P35" s="243" t="s">
        <v>101</v>
      </c>
      <c r="Q35" s="312" t="s">
        <v>101</v>
      </c>
      <c r="R35" s="186" t="s">
        <v>101</v>
      </c>
      <c r="S35" s="448" t="s">
        <v>101</v>
      </c>
      <c r="T35" s="312" t="s">
        <v>101</v>
      </c>
      <c r="U35" s="236" t="s">
        <v>101</v>
      </c>
      <c r="V35" s="236" t="s">
        <v>101</v>
      </c>
      <c r="W35" s="236" t="s">
        <v>101</v>
      </c>
    </row>
    <row r="36" spans="1:27" ht="42" customHeight="1">
      <c r="A36" s="182" t="s">
        <v>258</v>
      </c>
      <c r="B36" s="533" t="s">
        <v>210</v>
      </c>
      <c r="C36" s="534"/>
      <c r="D36" s="304" t="s">
        <v>210</v>
      </c>
      <c r="E36" s="304" t="s">
        <v>210</v>
      </c>
      <c r="F36" s="243" t="s">
        <v>210</v>
      </c>
      <c r="G36" s="304" t="s">
        <v>210</v>
      </c>
      <c r="H36" s="304" t="s">
        <v>210</v>
      </c>
      <c r="I36" s="304" t="s">
        <v>210</v>
      </c>
      <c r="J36" s="304" t="s">
        <v>210</v>
      </c>
      <c r="K36" s="304" t="s">
        <v>210</v>
      </c>
      <c r="L36" s="243" t="s">
        <v>210</v>
      </c>
      <c r="M36" s="243" t="s">
        <v>210</v>
      </c>
      <c r="N36" s="304" t="s">
        <v>210</v>
      </c>
      <c r="O36" s="304" t="s">
        <v>210</v>
      </c>
      <c r="P36" s="304" t="s">
        <v>210</v>
      </c>
      <c r="Q36" s="314" t="s">
        <v>210</v>
      </c>
      <c r="R36" s="304" t="s">
        <v>210</v>
      </c>
      <c r="S36" s="448" t="s">
        <v>210</v>
      </c>
      <c r="T36" s="314" t="s">
        <v>210</v>
      </c>
      <c r="U36" s="304" t="s">
        <v>210</v>
      </c>
      <c r="V36" s="304" t="s">
        <v>210</v>
      </c>
      <c r="W36" s="186" t="s">
        <v>210</v>
      </c>
    </row>
    <row r="37" spans="1:27" ht="41.25" customHeight="1">
      <c r="A37" s="182" t="s">
        <v>259</v>
      </c>
      <c r="B37" s="533" t="s">
        <v>210</v>
      </c>
      <c r="C37" s="534"/>
      <c r="D37" s="304" t="s">
        <v>210</v>
      </c>
      <c r="E37" s="304" t="s">
        <v>210</v>
      </c>
      <c r="F37" s="243" t="s">
        <v>101</v>
      </c>
      <c r="G37" s="304" t="s">
        <v>210</v>
      </c>
      <c r="H37" s="304" t="s">
        <v>210</v>
      </c>
      <c r="I37" s="304" t="s">
        <v>210</v>
      </c>
      <c r="J37" s="304" t="s">
        <v>210</v>
      </c>
      <c r="K37" s="304" t="s">
        <v>210</v>
      </c>
      <c r="L37" s="243" t="s">
        <v>210</v>
      </c>
      <c r="M37" s="243" t="s">
        <v>210</v>
      </c>
      <c r="N37" s="304" t="s">
        <v>210</v>
      </c>
      <c r="O37" s="304" t="s">
        <v>210</v>
      </c>
      <c r="P37" s="304" t="s">
        <v>210</v>
      </c>
      <c r="Q37" s="314" t="s">
        <v>210</v>
      </c>
      <c r="R37" s="304" t="s">
        <v>210</v>
      </c>
      <c r="S37" s="447" t="s">
        <v>210</v>
      </c>
      <c r="T37" s="314" t="s">
        <v>210</v>
      </c>
      <c r="U37" s="304" t="s">
        <v>210</v>
      </c>
      <c r="V37" s="304" t="s">
        <v>210</v>
      </c>
      <c r="W37" s="186" t="s">
        <v>210</v>
      </c>
    </row>
    <row r="38" spans="1:27" ht="35.25" customHeight="1">
      <c r="A38" s="182" t="s">
        <v>260</v>
      </c>
      <c r="B38" s="533" t="s">
        <v>261</v>
      </c>
      <c r="C38" s="534"/>
      <c r="D38" s="243" t="s">
        <v>101</v>
      </c>
      <c r="E38" s="243" t="s">
        <v>101</v>
      </c>
      <c r="F38" s="243" t="s">
        <v>210</v>
      </c>
      <c r="G38" s="243" t="s">
        <v>101</v>
      </c>
      <c r="H38" s="243" t="s">
        <v>101</v>
      </c>
      <c r="I38" s="243" t="s">
        <v>101</v>
      </c>
      <c r="J38" s="243" t="s">
        <v>101</v>
      </c>
      <c r="K38" s="243" t="s">
        <v>101</v>
      </c>
      <c r="L38" s="243" t="s">
        <v>101</v>
      </c>
      <c r="M38" s="243" t="s">
        <v>101</v>
      </c>
      <c r="N38" s="243" t="s">
        <v>101</v>
      </c>
      <c r="O38" s="397" t="s">
        <v>101</v>
      </c>
      <c r="P38" s="243" t="s">
        <v>101</v>
      </c>
      <c r="Q38" s="312" t="s">
        <v>101</v>
      </c>
      <c r="R38" s="186" t="s">
        <v>101</v>
      </c>
      <c r="S38" s="448" t="s">
        <v>101</v>
      </c>
      <c r="T38" s="312" t="s">
        <v>101</v>
      </c>
      <c r="U38" s="236" t="s">
        <v>101</v>
      </c>
      <c r="V38" s="236" t="s">
        <v>101</v>
      </c>
      <c r="W38" s="243" t="s">
        <v>101</v>
      </c>
    </row>
    <row r="39" spans="1:27" ht="36.75" customHeight="1">
      <c r="A39" s="182" t="s">
        <v>262</v>
      </c>
      <c r="B39" s="533" t="s">
        <v>210</v>
      </c>
      <c r="C39" s="534"/>
      <c r="D39" s="304" t="s">
        <v>210</v>
      </c>
      <c r="E39" s="304" t="s">
        <v>210</v>
      </c>
      <c r="F39" s="243" t="s">
        <v>210</v>
      </c>
      <c r="G39" s="304" t="s">
        <v>210</v>
      </c>
      <c r="H39" s="304" t="s">
        <v>210</v>
      </c>
      <c r="I39" s="304" t="s">
        <v>210</v>
      </c>
      <c r="J39" s="304" t="s">
        <v>210</v>
      </c>
      <c r="K39" s="304" t="s">
        <v>210</v>
      </c>
      <c r="L39" s="243" t="s">
        <v>210</v>
      </c>
      <c r="M39" s="243" t="s">
        <v>210</v>
      </c>
      <c r="N39" s="304" t="s">
        <v>210</v>
      </c>
      <c r="O39" s="304" t="s">
        <v>210</v>
      </c>
      <c r="P39" s="304" t="s">
        <v>210</v>
      </c>
      <c r="Q39" s="314" t="s">
        <v>210</v>
      </c>
      <c r="R39" s="304" t="s">
        <v>210</v>
      </c>
      <c r="S39" s="448" t="s">
        <v>210</v>
      </c>
      <c r="T39" s="314" t="s">
        <v>210</v>
      </c>
      <c r="U39" s="304" t="s">
        <v>210</v>
      </c>
      <c r="V39" s="304" t="s">
        <v>210</v>
      </c>
      <c r="W39" s="186" t="s">
        <v>210</v>
      </c>
    </row>
    <row r="40" spans="1:27" ht="22.8">
      <c r="A40" s="182" t="s">
        <v>263</v>
      </c>
      <c r="B40" s="533" t="s">
        <v>210</v>
      </c>
      <c r="C40" s="534"/>
      <c r="D40" s="304" t="s">
        <v>210</v>
      </c>
      <c r="E40" s="304" t="s">
        <v>210</v>
      </c>
      <c r="F40" s="178"/>
      <c r="G40" s="304" t="s">
        <v>210</v>
      </c>
      <c r="H40" s="304" t="s">
        <v>210</v>
      </c>
      <c r="I40" s="304" t="s">
        <v>210</v>
      </c>
      <c r="J40" s="304" t="s">
        <v>210</v>
      </c>
      <c r="K40" s="304" t="s">
        <v>210</v>
      </c>
      <c r="L40" s="243" t="s">
        <v>210</v>
      </c>
      <c r="M40" s="243" t="s">
        <v>210</v>
      </c>
      <c r="N40" s="304" t="s">
        <v>210</v>
      </c>
      <c r="O40" s="304" t="s">
        <v>210</v>
      </c>
      <c r="P40" s="304" t="s">
        <v>210</v>
      </c>
      <c r="Q40" s="314" t="s">
        <v>210</v>
      </c>
      <c r="R40" s="304" t="s">
        <v>210</v>
      </c>
      <c r="S40" s="178"/>
      <c r="T40" s="314" t="s">
        <v>210</v>
      </c>
      <c r="U40" s="304" t="s">
        <v>210</v>
      </c>
      <c r="V40" s="304" t="s">
        <v>210</v>
      </c>
      <c r="W40" s="186" t="s">
        <v>210</v>
      </c>
    </row>
    <row r="41" spans="1:27">
      <c r="A41" s="244" t="s">
        <v>264</v>
      </c>
      <c r="M41" s="267"/>
    </row>
  </sheetData>
  <mergeCells count="40">
    <mergeCell ref="B29:C29"/>
    <mergeCell ref="B38:C38"/>
    <mergeCell ref="B39:C39"/>
    <mergeCell ref="B40:C40"/>
    <mergeCell ref="B33:C33"/>
    <mergeCell ref="B34:C34"/>
    <mergeCell ref="B35:C35"/>
    <mergeCell ref="B36:C36"/>
    <mergeCell ref="B37:C37"/>
    <mergeCell ref="B24:C24"/>
    <mergeCell ref="B25:C25"/>
    <mergeCell ref="B26:C26"/>
    <mergeCell ref="B27:C27"/>
    <mergeCell ref="B28:C28"/>
    <mergeCell ref="B19:C19"/>
    <mergeCell ref="B20:C20"/>
    <mergeCell ref="B21:C21"/>
    <mergeCell ref="B22:C22"/>
    <mergeCell ref="B23:C23"/>
    <mergeCell ref="B14:C14"/>
    <mergeCell ref="B15:C15"/>
    <mergeCell ref="B16:C16"/>
    <mergeCell ref="B17:C17"/>
    <mergeCell ref="B18:C18"/>
    <mergeCell ref="B9:C9"/>
    <mergeCell ref="B10:C10"/>
    <mergeCell ref="B11:C11"/>
    <mergeCell ref="B12:C12"/>
    <mergeCell ref="B13:C13"/>
    <mergeCell ref="B4:C4"/>
    <mergeCell ref="B5:C5"/>
    <mergeCell ref="B6:C6"/>
    <mergeCell ref="B7:C7"/>
    <mergeCell ref="B8:C8"/>
    <mergeCell ref="R2:S2"/>
    <mergeCell ref="N2:O2"/>
    <mergeCell ref="B2:C2"/>
    <mergeCell ref="D2:F2"/>
    <mergeCell ref="G2:H2"/>
    <mergeCell ref="J2:M2"/>
  </mergeCells>
  <phoneticPr fontId="21" type="noConversion"/>
  <conditionalFormatting sqref="A6">
    <cfRule type="duplicateValues" dxfId="1" priority="1"/>
  </conditionalFormatting>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45"/>
  <sheetViews>
    <sheetView zoomScale="90" zoomScaleNormal="90" workbookViewId="0">
      <pane xSplit="1" ySplit="2" topLeftCell="M3" activePane="bottomRight" state="frozen"/>
      <selection pane="topRight"/>
      <selection pane="bottomLeft"/>
      <selection pane="bottomRight" activeCell="M19" sqref="M19"/>
    </sheetView>
  </sheetViews>
  <sheetFormatPr defaultColWidth="9.44140625" defaultRowHeight="15.6"/>
  <cols>
    <col min="1" max="1" width="29.44140625" style="165" customWidth="1"/>
    <col min="2" max="2" width="23.44140625" style="165" customWidth="1"/>
    <col min="3" max="3" width="25.44140625" style="166" customWidth="1"/>
    <col min="4" max="7" width="31.44140625" style="166" customWidth="1"/>
    <col min="8" max="8" width="31.44140625" style="433" customWidth="1"/>
    <col min="9" max="13" width="31.44140625" style="166" customWidth="1"/>
    <col min="14" max="14" width="31.44140625" style="224" customWidth="1"/>
    <col min="15" max="20" width="31.44140625" style="166" customWidth="1"/>
    <col min="21" max="16384" width="9.44140625" style="165"/>
  </cols>
  <sheetData>
    <row r="1" spans="1:21">
      <c r="A1" s="226" t="s">
        <v>90</v>
      </c>
      <c r="B1" s="245"/>
      <c r="N1" s="104"/>
    </row>
    <row r="2" spans="1:21" s="265" customFormat="1">
      <c r="A2" s="228" t="s">
        <v>91</v>
      </c>
      <c r="B2" s="546" t="s">
        <v>92</v>
      </c>
      <c r="C2" s="547"/>
      <c r="D2" s="288" t="s">
        <v>5</v>
      </c>
      <c r="E2" s="288" t="s">
        <v>8</v>
      </c>
      <c r="F2" s="288" t="s">
        <v>12</v>
      </c>
      <c r="G2" s="288" t="s">
        <v>16</v>
      </c>
      <c r="H2" s="434" t="s">
        <v>17</v>
      </c>
      <c r="I2" s="171" t="s">
        <v>21</v>
      </c>
      <c r="J2" s="288" t="s">
        <v>27</v>
      </c>
      <c r="K2" s="171" t="s">
        <v>37</v>
      </c>
      <c r="L2" s="171" t="s">
        <v>42</v>
      </c>
      <c r="M2" s="247" t="s">
        <v>93</v>
      </c>
      <c r="N2" s="290" t="s">
        <v>33</v>
      </c>
      <c r="O2" s="544" t="s">
        <v>17</v>
      </c>
      <c r="P2" s="545"/>
      <c r="Q2" s="171"/>
      <c r="R2" s="171"/>
      <c r="S2" s="171"/>
      <c r="T2" s="171"/>
      <c r="U2" s="171"/>
    </row>
    <row r="3" spans="1:21" s="265" customFormat="1">
      <c r="A3" s="228"/>
      <c r="B3" s="246"/>
      <c r="C3" s="287"/>
      <c r="D3" s="230" t="s">
        <v>98</v>
      </c>
      <c r="E3" s="230" t="s">
        <v>98</v>
      </c>
      <c r="F3" s="230" t="s">
        <v>94</v>
      </c>
      <c r="G3" s="230" t="s">
        <v>98</v>
      </c>
      <c r="H3" s="435" t="s">
        <v>98</v>
      </c>
      <c r="I3" s="230" t="s">
        <v>94</v>
      </c>
      <c r="J3" s="230" t="s">
        <v>98</v>
      </c>
      <c r="K3" s="230" t="s">
        <v>822</v>
      </c>
      <c r="L3" s="230" t="s">
        <v>98</v>
      </c>
      <c r="M3" s="230" t="s">
        <v>98</v>
      </c>
      <c r="N3" s="291" t="s">
        <v>98</v>
      </c>
      <c r="O3" s="230" t="s">
        <v>94</v>
      </c>
      <c r="P3" s="230" t="s">
        <v>98</v>
      </c>
      <c r="Q3" s="171"/>
      <c r="R3" s="171"/>
      <c r="S3" s="171"/>
      <c r="T3" s="171"/>
      <c r="U3" s="296"/>
    </row>
    <row r="4" spans="1:21">
      <c r="A4" s="178" t="s">
        <v>99</v>
      </c>
      <c r="B4" s="527" t="s">
        <v>100</v>
      </c>
      <c r="C4" s="528"/>
      <c r="D4" s="232" t="s">
        <v>101</v>
      </c>
      <c r="E4" s="232" t="s">
        <v>101</v>
      </c>
      <c r="F4" s="232" t="s">
        <v>101</v>
      </c>
      <c r="G4" s="232" t="s">
        <v>101</v>
      </c>
      <c r="H4" s="436" t="s">
        <v>101</v>
      </c>
      <c r="I4" s="232" t="s">
        <v>101</v>
      </c>
      <c r="J4" s="232" t="s">
        <v>101</v>
      </c>
      <c r="K4" s="232" t="s">
        <v>101</v>
      </c>
      <c r="L4" s="232" t="s">
        <v>101</v>
      </c>
      <c r="M4" s="232" t="s">
        <v>101</v>
      </c>
      <c r="N4" s="179" t="s">
        <v>101</v>
      </c>
      <c r="O4" s="232" t="s">
        <v>101</v>
      </c>
      <c r="P4" s="232" t="s">
        <v>101</v>
      </c>
      <c r="Q4" s="178"/>
      <c r="R4" s="178"/>
      <c r="S4" s="178"/>
      <c r="T4" s="178"/>
    </row>
    <row r="5" spans="1:21">
      <c r="A5" s="206" t="s">
        <v>102</v>
      </c>
      <c r="B5" s="527"/>
      <c r="C5" s="528"/>
      <c r="D5" s="232" t="s">
        <v>104</v>
      </c>
      <c r="E5" s="232" t="s">
        <v>104</v>
      </c>
      <c r="F5" s="176" t="s">
        <v>103</v>
      </c>
      <c r="G5" s="232" t="s">
        <v>104</v>
      </c>
      <c r="H5" s="436" t="s">
        <v>104</v>
      </c>
      <c r="I5" s="178" t="s">
        <v>103</v>
      </c>
      <c r="J5" s="232" t="s">
        <v>104</v>
      </c>
      <c r="K5" s="178" t="s">
        <v>823</v>
      </c>
      <c r="L5" s="178" t="s">
        <v>104</v>
      </c>
      <c r="M5" s="232" t="s">
        <v>104</v>
      </c>
      <c r="N5" s="179" t="s">
        <v>104</v>
      </c>
      <c r="O5" s="176" t="s">
        <v>103</v>
      </c>
      <c r="P5" s="232" t="s">
        <v>104</v>
      </c>
      <c r="Q5" s="178"/>
      <c r="R5" s="178"/>
      <c r="S5" s="178"/>
      <c r="T5" s="178"/>
    </row>
    <row r="6" spans="1:21">
      <c r="A6" s="206" t="s">
        <v>105</v>
      </c>
      <c r="B6" s="527" t="s">
        <v>106</v>
      </c>
      <c r="C6" s="528"/>
      <c r="D6" s="232" t="s">
        <v>101</v>
      </c>
      <c r="E6" s="232" t="s">
        <v>101</v>
      </c>
      <c r="F6" s="232" t="s">
        <v>101</v>
      </c>
      <c r="G6" s="232" t="s">
        <v>101</v>
      </c>
      <c r="H6" s="436" t="s">
        <v>101</v>
      </c>
      <c r="I6" s="232" t="s">
        <v>101</v>
      </c>
      <c r="J6" s="232" t="s">
        <v>101</v>
      </c>
      <c r="K6" s="232" t="s">
        <v>101</v>
      </c>
      <c r="L6" s="232" t="s">
        <v>101</v>
      </c>
      <c r="M6" s="232" t="s">
        <v>101</v>
      </c>
      <c r="N6" s="179" t="s">
        <v>101</v>
      </c>
      <c r="O6" s="232" t="s">
        <v>101</v>
      </c>
      <c r="P6" s="232" t="s">
        <v>101</v>
      </c>
      <c r="Q6" s="178"/>
      <c r="R6" s="178"/>
      <c r="S6" s="178"/>
      <c r="T6" s="178"/>
    </row>
    <row r="7" spans="1:21">
      <c r="A7" s="206" t="s">
        <v>107</v>
      </c>
      <c r="B7" s="527" t="s">
        <v>108</v>
      </c>
      <c r="C7" s="528"/>
      <c r="D7" s="232" t="s">
        <v>101</v>
      </c>
      <c r="E7" s="232" t="s">
        <v>101</v>
      </c>
      <c r="F7" s="232" t="s">
        <v>101</v>
      </c>
      <c r="G7" s="232" t="s">
        <v>101</v>
      </c>
      <c r="H7" s="436" t="s">
        <v>101</v>
      </c>
      <c r="I7" s="232" t="s">
        <v>101</v>
      </c>
      <c r="J7" s="232" t="s">
        <v>101</v>
      </c>
      <c r="K7" s="232" t="s">
        <v>101</v>
      </c>
      <c r="L7" s="232" t="s">
        <v>101</v>
      </c>
      <c r="M7" s="232" t="s">
        <v>101</v>
      </c>
      <c r="N7" s="179" t="s">
        <v>101</v>
      </c>
      <c r="O7" s="232" t="s">
        <v>101</v>
      </c>
      <c r="P7" s="232" t="s">
        <v>101</v>
      </c>
      <c r="Q7" s="178"/>
      <c r="R7" s="178"/>
      <c r="S7" s="178"/>
      <c r="T7" s="178"/>
    </row>
    <row r="8" spans="1:21" ht="41.25" customHeight="1">
      <c r="A8" s="178" t="s">
        <v>109</v>
      </c>
      <c r="B8" s="529" t="s">
        <v>110</v>
      </c>
      <c r="C8" s="528"/>
      <c r="D8" s="232" t="s">
        <v>101</v>
      </c>
      <c r="E8" s="232" t="s">
        <v>101</v>
      </c>
      <c r="F8" s="232" t="s">
        <v>101</v>
      </c>
      <c r="G8" s="232" t="s">
        <v>101</v>
      </c>
      <c r="H8" s="436" t="s">
        <v>101</v>
      </c>
      <c r="I8" s="232" t="s">
        <v>101</v>
      </c>
      <c r="J8" s="232" t="s">
        <v>101</v>
      </c>
      <c r="K8" s="232" t="s">
        <v>101</v>
      </c>
      <c r="L8" s="232" t="s">
        <v>101</v>
      </c>
      <c r="M8" s="232" t="s">
        <v>101</v>
      </c>
      <c r="N8" s="179" t="s">
        <v>101</v>
      </c>
      <c r="O8" s="232" t="s">
        <v>101</v>
      </c>
      <c r="P8" s="232" t="s">
        <v>101</v>
      </c>
      <c r="Q8" s="178"/>
      <c r="R8" s="178"/>
      <c r="S8" s="178"/>
      <c r="T8" s="178"/>
    </row>
    <row r="9" spans="1:21" ht="22.8">
      <c r="A9" s="206" t="s">
        <v>112</v>
      </c>
      <c r="B9" s="529" t="s">
        <v>351</v>
      </c>
      <c r="C9" s="530"/>
      <c r="D9" s="232" t="s">
        <v>352</v>
      </c>
      <c r="E9" s="232" t="s">
        <v>353</v>
      </c>
      <c r="F9" s="232" t="s">
        <v>354</v>
      </c>
      <c r="G9" s="232" t="s">
        <v>355</v>
      </c>
      <c r="H9" s="436" t="s">
        <v>352</v>
      </c>
      <c r="I9" s="232" t="s">
        <v>356</v>
      </c>
      <c r="J9" s="232" t="s">
        <v>352</v>
      </c>
      <c r="K9" s="232" t="s">
        <v>356</v>
      </c>
      <c r="L9" s="232" t="s">
        <v>356</v>
      </c>
      <c r="M9" s="232" t="s">
        <v>353</v>
      </c>
      <c r="N9" s="179" t="s">
        <v>357</v>
      </c>
      <c r="O9" s="232" t="s">
        <v>356</v>
      </c>
      <c r="P9" s="232" t="s">
        <v>355</v>
      </c>
      <c r="Q9" s="178"/>
      <c r="R9" s="178"/>
      <c r="S9" s="178"/>
      <c r="T9" s="178"/>
    </row>
    <row r="10" spans="1:21" ht="22.8">
      <c r="A10" s="177" t="s">
        <v>120</v>
      </c>
      <c r="B10" s="531" t="s">
        <v>358</v>
      </c>
      <c r="C10" s="532"/>
      <c r="D10" s="232" t="s">
        <v>359</v>
      </c>
      <c r="E10" s="232"/>
      <c r="F10" s="232" t="s">
        <v>359</v>
      </c>
      <c r="G10" s="232" t="s">
        <v>359</v>
      </c>
      <c r="H10" s="436" t="s">
        <v>359</v>
      </c>
      <c r="I10" s="232" t="s">
        <v>359</v>
      </c>
      <c r="J10" s="232" t="s">
        <v>359</v>
      </c>
      <c r="K10" s="232" t="s">
        <v>359</v>
      </c>
      <c r="L10" s="232" t="s">
        <v>360</v>
      </c>
      <c r="M10" s="292" t="s">
        <v>359</v>
      </c>
      <c r="N10" s="179" t="s">
        <v>359</v>
      </c>
      <c r="O10" s="232" t="s">
        <v>359</v>
      </c>
      <c r="P10" s="232" t="s">
        <v>359</v>
      </c>
      <c r="Q10" s="178"/>
      <c r="R10" s="178"/>
      <c r="S10" s="178"/>
      <c r="T10" s="178"/>
    </row>
    <row r="11" spans="1:21">
      <c r="A11" s="206" t="s">
        <v>123</v>
      </c>
      <c r="B11" s="529" t="s">
        <v>361</v>
      </c>
      <c r="C11" s="530"/>
      <c r="D11" s="232" t="s">
        <v>101</v>
      </c>
      <c r="E11" s="232" t="s">
        <v>101</v>
      </c>
      <c r="F11" s="232" t="s">
        <v>101</v>
      </c>
      <c r="G11" s="232" t="s">
        <v>101</v>
      </c>
      <c r="H11" s="436" t="s">
        <v>101</v>
      </c>
      <c r="I11" s="232" t="s">
        <v>101</v>
      </c>
      <c r="J11" s="232" t="s">
        <v>101</v>
      </c>
      <c r="K11" s="232" t="s">
        <v>101</v>
      </c>
      <c r="L11" s="232" t="s">
        <v>101</v>
      </c>
      <c r="M11" s="232" t="s">
        <v>101</v>
      </c>
      <c r="N11" s="179" t="s">
        <v>101</v>
      </c>
      <c r="O11" s="232" t="s">
        <v>101</v>
      </c>
      <c r="P11" s="232" t="s">
        <v>101</v>
      </c>
      <c r="Q11" s="178"/>
      <c r="R11" s="178"/>
      <c r="S11" s="178"/>
      <c r="T11" s="178"/>
    </row>
    <row r="12" spans="1:21" ht="36" customHeight="1">
      <c r="A12" s="177" t="s">
        <v>362</v>
      </c>
      <c r="B12" s="529" t="s">
        <v>363</v>
      </c>
      <c r="C12" s="530"/>
      <c r="D12" s="232" t="s">
        <v>101</v>
      </c>
      <c r="E12" s="232" t="s">
        <v>101</v>
      </c>
      <c r="F12" s="232" t="s">
        <v>101</v>
      </c>
      <c r="G12" s="232" t="s">
        <v>101</v>
      </c>
      <c r="H12" s="436" t="s">
        <v>101</v>
      </c>
      <c r="I12" s="232" t="s">
        <v>364</v>
      </c>
      <c r="J12" s="232" t="s">
        <v>101</v>
      </c>
      <c r="K12" s="232" t="s">
        <v>364</v>
      </c>
      <c r="L12" s="232" t="s">
        <v>101</v>
      </c>
      <c r="M12" s="232" t="s">
        <v>101</v>
      </c>
      <c r="N12" s="179" t="s">
        <v>101</v>
      </c>
      <c r="O12" s="232" t="s">
        <v>101</v>
      </c>
      <c r="P12" s="232" t="s">
        <v>101</v>
      </c>
      <c r="Q12" s="178"/>
      <c r="R12" s="178"/>
      <c r="S12" s="178"/>
      <c r="T12" s="178"/>
    </row>
    <row r="13" spans="1:21" ht="22.8">
      <c r="A13" s="206" t="s">
        <v>128</v>
      </c>
      <c r="B13" s="527"/>
      <c r="C13" s="528"/>
      <c r="D13" s="232" t="s">
        <v>365</v>
      </c>
      <c r="E13" s="232" t="s">
        <v>366</v>
      </c>
      <c r="F13" s="232" t="s">
        <v>367</v>
      </c>
      <c r="G13" s="232" t="s">
        <v>132</v>
      </c>
      <c r="H13" s="437" t="s">
        <v>367</v>
      </c>
      <c r="I13" s="232" t="s">
        <v>367</v>
      </c>
      <c r="J13" s="232" t="s">
        <v>365</v>
      </c>
      <c r="K13" s="232" t="s">
        <v>365</v>
      </c>
      <c r="L13" s="178" t="s">
        <v>368</v>
      </c>
      <c r="M13" s="232" t="s">
        <v>365</v>
      </c>
      <c r="N13" s="179" t="s">
        <v>132</v>
      </c>
      <c r="O13" s="232" t="s">
        <v>367</v>
      </c>
      <c r="P13" s="232" t="s">
        <v>365</v>
      </c>
      <c r="Q13" s="178"/>
      <c r="R13" s="178"/>
      <c r="S13" s="178"/>
      <c r="T13" s="178"/>
    </row>
    <row r="14" spans="1:21">
      <c r="A14" s="206" t="s">
        <v>135</v>
      </c>
      <c r="B14" s="527" t="s">
        <v>369</v>
      </c>
      <c r="C14" s="528"/>
      <c r="D14" s="252" t="s">
        <v>136</v>
      </c>
      <c r="E14" s="252" t="s">
        <v>136</v>
      </c>
      <c r="F14" s="234" t="s">
        <v>370</v>
      </c>
      <c r="G14" s="252" t="s">
        <v>136</v>
      </c>
      <c r="H14" s="438" t="s">
        <v>371</v>
      </c>
      <c r="I14" s="234" t="s">
        <v>372</v>
      </c>
      <c r="J14" s="252" t="s">
        <v>136</v>
      </c>
      <c r="K14" s="252" t="s">
        <v>136</v>
      </c>
      <c r="L14" s="178" t="s">
        <v>370</v>
      </c>
      <c r="M14" s="252" t="s">
        <v>136</v>
      </c>
      <c r="N14" s="256" t="s">
        <v>136</v>
      </c>
      <c r="O14" s="234" t="s">
        <v>370</v>
      </c>
      <c r="P14" s="252" t="s">
        <v>136</v>
      </c>
      <c r="Q14" s="178"/>
      <c r="R14" s="178"/>
      <c r="S14" s="178"/>
      <c r="T14" s="178"/>
    </row>
    <row r="15" spans="1:21" ht="26.4">
      <c r="A15" s="206" t="s">
        <v>139</v>
      </c>
      <c r="B15" s="527"/>
      <c r="C15" s="528"/>
      <c r="D15" s="253" t="s">
        <v>373</v>
      </c>
      <c r="E15" s="253" t="s">
        <v>374</v>
      </c>
      <c r="F15" s="234" t="s">
        <v>140</v>
      </c>
      <c r="G15" s="232" t="s">
        <v>375</v>
      </c>
      <c r="H15" s="436" t="s">
        <v>376</v>
      </c>
      <c r="I15" s="234" t="s">
        <v>140</v>
      </c>
      <c r="J15" s="253" t="s">
        <v>373</v>
      </c>
      <c r="K15" s="253" t="s">
        <v>373</v>
      </c>
      <c r="L15" s="178" t="s">
        <v>377</v>
      </c>
      <c r="M15" s="253" t="s">
        <v>373</v>
      </c>
      <c r="N15" s="179" t="s">
        <v>375</v>
      </c>
      <c r="O15" s="234" t="s">
        <v>140</v>
      </c>
      <c r="P15" s="253" t="s">
        <v>373</v>
      </c>
      <c r="Q15" s="178"/>
      <c r="R15" s="178"/>
      <c r="S15" s="178"/>
      <c r="T15" s="178"/>
    </row>
    <row r="16" spans="1:21" ht="22.8">
      <c r="A16" s="206" t="s">
        <v>149</v>
      </c>
      <c r="B16" s="527"/>
      <c r="C16" s="528"/>
      <c r="D16" s="254" t="s">
        <v>160</v>
      </c>
      <c r="E16" s="254" t="s">
        <v>378</v>
      </c>
      <c r="F16" s="234" t="s">
        <v>152</v>
      </c>
      <c r="G16" s="254" t="s">
        <v>160</v>
      </c>
      <c r="H16" s="439" t="s">
        <v>379</v>
      </c>
      <c r="I16" s="178" t="s">
        <v>244</v>
      </c>
      <c r="J16" s="254" t="s">
        <v>160</v>
      </c>
      <c r="K16" s="254" t="s">
        <v>160</v>
      </c>
      <c r="L16" s="178" t="s">
        <v>244</v>
      </c>
      <c r="M16" s="254" t="s">
        <v>160</v>
      </c>
      <c r="N16" s="293" t="s">
        <v>160</v>
      </c>
      <c r="O16" s="234" t="s">
        <v>152</v>
      </c>
      <c r="P16" s="254" t="s">
        <v>160</v>
      </c>
      <c r="Q16" s="178"/>
      <c r="R16" s="178"/>
      <c r="S16" s="178"/>
      <c r="T16" s="178"/>
    </row>
    <row r="17" spans="1:20">
      <c r="A17" s="206" t="s">
        <v>163</v>
      </c>
      <c r="B17" s="231"/>
      <c r="C17" s="271"/>
      <c r="D17" s="254" t="s">
        <v>164</v>
      </c>
      <c r="E17" s="254" t="s">
        <v>164</v>
      </c>
      <c r="F17" s="235" t="s">
        <v>164</v>
      </c>
      <c r="G17" s="254" t="s">
        <v>164</v>
      </c>
      <c r="H17" s="439" t="s">
        <v>164</v>
      </c>
      <c r="I17" s="235" t="s">
        <v>164</v>
      </c>
      <c r="J17" s="254" t="s">
        <v>164</v>
      </c>
      <c r="K17" s="254" t="s">
        <v>164</v>
      </c>
      <c r="L17" s="254" t="s">
        <v>164</v>
      </c>
      <c r="M17" s="254" t="s">
        <v>164</v>
      </c>
      <c r="N17" s="293" t="s">
        <v>164</v>
      </c>
      <c r="O17" s="235" t="s">
        <v>164</v>
      </c>
      <c r="P17" s="254" t="s">
        <v>164</v>
      </c>
      <c r="Q17" s="178"/>
      <c r="R17" s="178"/>
      <c r="S17" s="178"/>
      <c r="T17" s="178"/>
    </row>
    <row r="18" spans="1:20" ht="26.4">
      <c r="A18" s="206" t="s">
        <v>167</v>
      </c>
      <c r="B18" s="527"/>
      <c r="C18" s="528"/>
      <c r="D18" s="255" t="s">
        <v>380</v>
      </c>
      <c r="E18" s="255" t="s">
        <v>380</v>
      </c>
      <c r="F18" s="176" t="s">
        <v>381</v>
      </c>
      <c r="G18" s="256" t="s">
        <v>381</v>
      </c>
      <c r="H18" s="440" t="s">
        <v>382</v>
      </c>
      <c r="I18" s="178" t="s">
        <v>160</v>
      </c>
      <c r="J18" s="255" t="s">
        <v>380</v>
      </c>
      <c r="K18" s="176" t="s">
        <v>381</v>
      </c>
      <c r="L18" s="178" t="s">
        <v>169</v>
      </c>
      <c r="M18" s="255" t="s">
        <v>380</v>
      </c>
      <c r="N18" s="256" t="s">
        <v>381</v>
      </c>
      <c r="O18" s="176" t="s">
        <v>381</v>
      </c>
      <c r="P18" s="176" t="s">
        <v>381</v>
      </c>
      <c r="Q18" s="178"/>
      <c r="R18" s="178"/>
      <c r="S18" s="178"/>
      <c r="T18" s="178"/>
    </row>
    <row r="19" spans="1:20" ht="22.8">
      <c r="A19" s="206" t="s">
        <v>172</v>
      </c>
      <c r="B19" s="527"/>
      <c r="C19" s="528"/>
      <c r="D19" s="235" t="s">
        <v>383</v>
      </c>
      <c r="E19" s="235" t="s">
        <v>384</v>
      </c>
      <c r="F19" s="176" t="s">
        <v>383</v>
      </c>
      <c r="G19" s="235" t="s">
        <v>383</v>
      </c>
      <c r="H19" s="441" t="s">
        <v>383</v>
      </c>
      <c r="I19" s="178" t="s">
        <v>169</v>
      </c>
      <c r="J19" s="235" t="s">
        <v>383</v>
      </c>
      <c r="K19" s="176" t="s">
        <v>383</v>
      </c>
      <c r="L19" s="178" t="s">
        <v>174</v>
      </c>
      <c r="M19" s="294" t="s">
        <v>385</v>
      </c>
      <c r="N19" s="235" t="s">
        <v>383</v>
      </c>
      <c r="O19" s="176" t="s">
        <v>385</v>
      </c>
      <c r="P19" s="235" t="s">
        <v>383</v>
      </c>
      <c r="Q19" s="178"/>
      <c r="R19" s="178"/>
      <c r="S19" s="178"/>
      <c r="T19" s="178"/>
    </row>
    <row r="20" spans="1:20" ht="28.5" customHeight="1">
      <c r="A20" s="178" t="s">
        <v>178</v>
      </c>
      <c r="B20" s="529" t="s">
        <v>179</v>
      </c>
      <c r="C20" s="530"/>
      <c r="D20" s="232" t="s">
        <v>101</v>
      </c>
      <c r="E20" s="232" t="s">
        <v>101</v>
      </c>
      <c r="F20" s="179" t="s">
        <v>101</v>
      </c>
      <c r="G20" s="232" t="s">
        <v>101</v>
      </c>
      <c r="H20" s="436" t="s">
        <v>101</v>
      </c>
      <c r="I20" s="179" t="s">
        <v>101</v>
      </c>
      <c r="J20" s="232" t="s">
        <v>101</v>
      </c>
      <c r="K20" s="232" t="s">
        <v>101</v>
      </c>
      <c r="L20" s="232" t="s">
        <v>101</v>
      </c>
      <c r="M20" s="232" t="s">
        <v>101</v>
      </c>
      <c r="N20" s="179" t="s">
        <v>101</v>
      </c>
      <c r="O20" s="179" t="s">
        <v>101</v>
      </c>
      <c r="P20" s="232" t="s">
        <v>101</v>
      </c>
      <c r="Q20" s="178"/>
      <c r="R20" s="178"/>
      <c r="S20" s="178"/>
      <c r="T20" s="178"/>
    </row>
    <row r="21" spans="1:20" ht="82.5" customHeight="1">
      <c r="A21" s="206" t="s">
        <v>181</v>
      </c>
      <c r="B21" s="529" t="s">
        <v>182</v>
      </c>
      <c r="C21" s="530"/>
      <c r="D21" s="179" t="s">
        <v>305</v>
      </c>
      <c r="E21" s="179" t="s">
        <v>160</v>
      </c>
      <c r="F21" s="234" t="s">
        <v>160</v>
      </c>
      <c r="G21" s="179" t="s">
        <v>386</v>
      </c>
      <c r="H21" s="442" t="s">
        <v>387</v>
      </c>
      <c r="I21" s="234" t="s">
        <v>160</v>
      </c>
      <c r="J21" s="179" t="s">
        <v>305</v>
      </c>
      <c r="K21" s="179" t="s">
        <v>386</v>
      </c>
      <c r="L21" s="234" t="s">
        <v>388</v>
      </c>
      <c r="M21" s="179" t="s">
        <v>305</v>
      </c>
      <c r="N21" s="179" t="s">
        <v>386</v>
      </c>
      <c r="O21" s="234" t="s">
        <v>160</v>
      </c>
      <c r="P21" s="179" t="s">
        <v>305</v>
      </c>
      <c r="Q21" s="178"/>
      <c r="R21" s="178"/>
      <c r="S21" s="178"/>
      <c r="T21" s="178"/>
    </row>
    <row r="22" spans="1:20" ht="52.8">
      <c r="A22" s="178" t="s">
        <v>192</v>
      </c>
      <c r="B22" s="527"/>
      <c r="C22" s="528"/>
      <c r="D22" s="252" t="s">
        <v>389</v>
      </c>
      <c r="E22" s="252" t="s">
        <v>389</v>
      </c>
      <c r="F22" s="257" t="s">
        <v>390</v>
      </c>
      <c r="G22" s="252" t="s">
        <v>391</v>
      </c>
      <c r="H22" s="438" t="s">
        <v>389</v>
      </c>
      <c r="I22" s="257" t="s">
        <v>389</v>
      </c>
      <c r="J22" s="252" t="s">
        <v>389</v>
      </c>
      <c r="K22" s="257" t="s">
        <v>392</v>
      </c>
      <c r="L22" s="257" t="s">
        <v>393</v>
      </c>
      <c r="M22" s="252" t="s">
        <v>389</v>
      </c>
      <c r="N22" s="256" t="s">
        <v>391</v>
      </c>
      <c r="O22" s="343" t="s">
        <v>193</v>
      </c>
      <c r="P22" s="252" t="s">
        <v>389</v>
      </c>
      <c r="Q22" s="178"/>
      <c r="R22" s="178"/>
      <c r="S22" s="178"/>
      <c r="T22" s="178"/>
    </row>
    <row r="23" spans="1:20" ht="26.4">
      <c r="A23" s="178" t="s">
        <v>200</v>
      </c>
      <c r="B23" s="535"/>
      <c r="C23" s="536"/>
      <c r="D23" s="252" t="s">
        <v>394</v>
      </c>
      <c r="E23" s="252" t="s">
        <v>394</v>
      </c>
      <c r="F23" s="234" t="s">
        <v>201</v>
      </c>
      <c r="G23" s="252" t="s">
        <v>395</v>
      </c>
      <c r="H23" s="438" t="s">
        <v>395</v>
      </c>
      <c r="I23" s="234" t="s">
        <v>201</v>
      </c>
      <c r="J23" s="252" t="s">
        <v>394</v>
      </c>
      <c r="K23" s="252" t="s">
        <v>395</v>
      </c>
      <c r="L23" s="252" t="s">
        <v>395</v>
      </c>
      <c r="M23" s="252" t="s">
        <v>394</v>
      </c>
      <c r="N23" s="256" t="s">
        <v>395</v>
      </c>
      <c r="O23" s="256" t="s">
        <v>395</v>
      </c>
      <c r="P23" s="256" t="s">
        <v>395</v>
      </c>
      <c r="Q23" s="178"/>
      <c r="R23" s="178"/>
      <c r="S23" s="178"/>
      <c r="T23" s="178"/>
    </row>
    <row r="24" spans="1:20">
      <c r="A24" s="178" t="s">
        <v>202</v>
      </c>
      <c r="B24" s="527">
        <v>1</v>
      </c>
      <c r="C24" s="528"/>
      <c r="D24" s="232" t="s">
        <v>101</v>
      </c>
      <c r="E24" s="232" t="s">
        <v>101</v>
      </c>
      <c r="F24" s="232" t="s">
        <v>101</v>
      </c>
      <c r="G24" s="232" t="s">
        <v>101</v>
      </c>
      <c r="H24" s="436" t="s">
        <v>101</v>
      </c>
      <c r="I24" s="232" t="s">
        <v>101</v>
      </c>
      <c r="J24" s="232" t="s">
        <v>101</v>
      </c>
      <c r="K24" s="232" t="s">
        <v>101</v>
      </c>
      <c r="L24" s="232" t="s">
        <v>101</v>
      </c>
      <c r="M24" s="232" t="s">
        <v>101</v>
      </c>
      <c r="N24" s="179" t="s">
        <v>101</v>
      </c>
      <c r="O24" s="232" t="s">
        <v>101</v>
      </c>
      <c r="P24" s="232" t="s">
        <v>101</v>
      </c>
      <c r="Q24" s="178"/>
      <c r="R24" s="178"/>
      <c r="S24" s="178"/>
      <c r="T24" s="178"/>
    </row>
    <row r="25" spans="1:20">
      <c r="A25" s="178" t="s">
        <v>203</v>
      </c>
      <c r="B25" s="535"/>
      <c r="C25" s="536"/>
      <c r="D25" s="253" t="s">
        <v>204</v>
      </c>
      <c r="E25" s="253" t="s">
        <v>204</v>
      </c>
      <c r="F25" s="234" t="s">
        <v>204</v>
      </c>
      <c r="G25" s="253" t="s">
        <v>204</v>
      </c>
      <c r="H25" s="439" t="s">
        <v>204</v>
      </c>
      <c r="I25" s="234" t="s">
        <v>204</v>
      </c>
      <c r="J25" s="253" t="s">
        <v>204</v>
      </c>
      <c r="K25" s="234" t="s">
        <v>204</v>
      </c>
      <c r="L25" s="234" t="s">
        <v>204</v>
      </c>
      <c r="M25" s="253" t="s">
        <v>204</v>
      </c>
      <c r="N25" s="295" t="s">
        <v>204</v>
      </c>
      <c r="O25" s="234" t="s">
        <v>204</v>
      </c>
      <c r="P25" s="253" t="s">
        <v>204</v>
      </c>
      <c r="Q25" s="178"/>
      <c r="R25" s="178"/>
      <c r="S25" s="178"/>
      <c r="T25" s="178"/>
    </row>
    <row r="26" spans="1:20" ht="26.4">
      <c r="A26" s="178" t="s">
        <v>207</v>
      </c>
      <c r="B26" s="535"/>
      <c r="C26" s="536"/>
      <c r="D26" s="258" t="s">
        <v>208</v>
      </c>
      <c r="E26" s="289"/>
      <c r="F26" s="232" t="s">
        <v>208</v>
      </c>
      <c r="G26" s="258" t="s">
        <v>208</v>
      </c>
      <c r="H26" s="443" t="s">
        <v>208</v>
      </c>
      <c r="I26" s="232" t="s">
        <v>208</v>
      </c>
      <c r="J26" s="258" t="s">
        <v>208</v>
      </c>
      <c r="K26" s="232" t="s">
        <v>208</v>
      </c>
      <c r="L26" s="232" t="s">
        <v>208</v>
      </c>
      <c r="M26" s="258" t="s">
        <v>208</v>
      </c>
      <c r="N26" s="289" t="s">
        <v>208</v>
      </c>
      <c r="O26" s="232" t="s">
        <v>208</v>
      </c>
      <c r="P26" s="258" t="s">
        <v>208</v>
      </c>
      <c r="Q26" s="178"/>
      <c r="R26" s="178"/>
      <c r="S26" s="178"/>
      <c r="T26" s="178"/>
    </row>
    <row r="27" spans="1:20" ht="148.19999999999999">
      <c r="A27" s="182" t="s">
        <v>212</v>
      </c>
      <c r="B27" s="533" t="s">
        <v>213</v>
      </c>
      <c r="C27" s="534"/>
      <c r="D27" s="179" t="s">
        <v>396</v>
      </c>
      <c r="E27" s="179" t="s">
        <v>397</v>
      </c>
      <c r="F27" s="177" t="s">
        <v>398</v>
      </c>
      <c r="G27" s="179" t="s">
        <v>399</v>
      </c>
      <c r="H27" s="444" t="s">
        <v>400</v>
      </c>
      <c r="I27" s="176" t="s">
        <v>401</v>
      </c>
      <c r="J27" s="179" t="s">
        <v>396</v>
      </c>
      <c r="K27" s="176" t="s">
        <v>821</v>
      </c>
      <c r="L27" s="176" t="s">
        <v>402</v>
      </c>
      <c r="M27" s="179" t="s">
        <v>403</v>
      </c>
      <c r="N27" s="179" t="s">
        <v>404</v>
      </c>
      <c r="O27" s="179" t="s">
        <v>396</v>
      </c>
      <c r="P27" s="179" t="s">
        <v>396</v>
      </c>
      <c r="Q27" s="178"/>
      <c r="R27" s="178"/>
      <c r="S27" s="178"/>
      <c r="T27" s="178"/>
    </row>
    <row r="28" spans="1:20" ht="102.6">
      <c r="A28" s="182" t="s">
        <v>222</v>
      </c>
      <c r="B28" s="533" t="s">
        <v>223</v>
      </c>
      <c r="C28" s="534"/>
      <c r="D28" s="177" t="s">
        <v>405</v>
      </c>
      <c r="E28" s="177" t="s">
        <v>406</v>
      </c>
      <c r="F28" s="177" t="s">
        <v>407</v>
      </c>
      <c r="G28" s="177" t="s">
        <v>408</v>
      </c>
      <c r="H28" s="445" t="s">
        <v>409</v>
      </c>
      <c r="I28" s="177" t="s">
        <v>410</v>
      </c>
      <c r="J28" s="177" t="s">
        <v>405</v>
      </c>
      <c r="K28" s="177" t="s">
        <v>406</v>
      </c>
      <c r="L28" s="177" t="s">
        <v>411</v>
      </c>
      <c r="M28" s="177" t="s">
        <v>405</v>
      </c>
      <c r="N28" s="177" t="s">
        <v>405</v>
      </c>
      <c r="O28" s="177" t="s">
        <v>407</v>
      </c>
      <c r="P28" s="177" t="s">
        <v>405</v>
      </c>
      <c r="Q28" s="178"/>
      <c r="R28" s="178"/>
      <c r="S28" s="178"/>
      <c r="T28" s="178"/>
    </row>
    <row r="29" spans="1:20">
      <c r="A29" s="178" t="s">
        <v>235</v>
      </c>
      <c r="B29" s="535" t="s">
        <v>236</v>
      </c>
      <c r="C29" s="536"/>
      <c r="D29" s="232" t="s">
        <v>101</v>
      </c>
      <c r="E29" s="232" t="s">
        <v>101</v>
      </c>
      <c r="F29" s="232" t="s">
        <v>101</v>
      </c>
      <c r="G29" s="232" t="s">
        <v>101</v>
      </c>
      <c r="H29" s="436" t="s">
        <v>101</v>
      </c>
      <c r="I29" s="232" t="s">
        <v>101</v>
      </c>
      <c r="J29" s="232" t="s">
        <v>101</v>
      </c>
      <c r="K29" s="232" t="s">
        <v>101</v>
      </c>
      <c r="L29" s="232" t="s">
        <v>101</v>
      </c>
      <c r="M29" s="232" t="s">
        <v>101</v>
      </c>
      <c r="N29" s="179" t="s">
        <v>101</v>
      </c>
      <c r="O29" s="232" t="s">
        <v>101</v>
      </c>
      <c r="P29" s="232" t="s">
        <v>101</v>
      </c>
      <c r="Q29" s="178"/>
      <c r="R29" s="178"/>
      <c r="S29" s="178"/>
      <c r="T29" s="178"/>
    </row>
    <row r="30" spans="1:20">
      <c r="A30" s="178" t="s">
        <v>237</v>
      </c>
      <c r="B30" s="535" t="s">
        <v>238</v>
      </c>
      <c r="C30" s="536"/>
      <c r="D30" s="232" t="s">
        <v>101</v>
      </c>
      <c r="E30" s="232" t="s">
        <v>101</v>
      </c>
      <c r="F30" s="232" t="s">
        <v>101</v>
      </c>
      <c r="G30" s="232" t="s">
        <v>101</v>
      </c>
      <c r="H30" s="436" t="s">
        <v>101</v>
      </c>
      <c r="I30" s="232" t="s">
        <v>101</v>
      </c>
      <c r="J30" s="232" t="s">
        <v>101</v>
      </c>
      <c r="K30" s="232" t="s">
        <v>101</v>
      </c>
      <c r="L30" s="232" t="s">
        <v>101</v>
      </c>
      <c r="M30" s="232" t="s">
        <v>101</v>
      </c>
      <c r="N30" s="179" t="s">
        <v>101</v>
      </c>
      <c r="O30" s="232" t="s">
        <v>101</v>
      </c>
      <c r="P30" s="232" t="s">
        <v>101</v>
      </c>
      <c r="Q30" s="178"/>
      <c r="R30" s="178"/>
      <c r="S30" s="178"/>
      <c r="T30" s="178"/>
    </row>
    <row r="31" spans="1:20">
      <c r="A31" s="178" t="s">
        <v>240</v>
      </c>
      <c r="B31" s="548" t="s">
        <v>241</v>
      </c>
      <c r="C31" s="549"/>
      <c r="D31" s="232" t="s">
        <v>241</v>
      </c>
      <c r="E31" s="232" t="s">
        <v>241</v>
      </c>
      <c r="F31" s="232" t="s">
        <v>241</v>
      </c>
      <c r="G31" s="232" t="s">
        <v>241</v>
      </c>
      <c r="H31" s="436" t="s">
        <v>241</v>
      </c>
      <c r="I31" s="282" t="s">
        <v>242</v>
      </c>
      <c r="J31" s="232" t="s">
        <v>241</v>
      </c>
      <c r="K31" s="178" t="s">
        <v>412</v>
      </c>
      <c r="L31" s="178" t="s">
        <v>412</v>
      </c>
      <c r="M31" s="232" t="s">
        <v>241</v>
      </c>
      <c r="N31" s="179" t="s">
        <v>241</v>
      </c>
      <c r="O31" s="232" t="s">
        <v>241</v>
      </c>
      <c r="P31" s="232" t="s">
        <v>241</v>
      </c>
      <c r="Q31" s="178"/>
      <c r="R31" s="178"/>
      <c r="S31" s="178"/>
      <c r="T31" s="178"/>
    </row>
    <row r="32" spans="1:20">
      <c r="A32" s="180"/>
      <c r="B32" s="550"/>
      <c r="C32" s="550"/>
      <c r="D32" s="178"/>
      <c r="E32" s="178"/>
      <c r="F32" s="176"/>
      <c r="G32" s="178"/>
      <c r="H32" s="437"/>
      <c r="I32" s="178"/>
      <c r="J32" s="178"/>
      <c r="K32" s="178"/>
      <c r="L32" s="178"/>
      <c r="M32" s="178"/>
      <c r="N32" s="206"/>
      <c r="O32" s="176"/>
      <c r="P32" s="178"/>
      <c r="Q32" s="178"/>
      <c r="R32" s="178"/>
      <c r="S32" s="178"/>
      <c r="T32" s="178"/>
    </row>
    <row r="33" spans="1:21">
      <c r="A33" s="226" t="s">
        <v>245</v>
      </c>
      <c r="B33" s="551" t="s">
        <v>92</v>
      </c>
      <c r="C33" s="552"/>
      <c r="D33" s="178"/>
      <c r="E33" s="178"/>
      <c r="F33" s="176"/>
      <c r="G33" s="178"/>
      <c r="H33" s="437"/>
      <c r="I33" s="178"/>
      <c r="J33" s="178"/>
      <c r="K33" s="178"/>
      <c r="L33" s="178"/>
      <c r="M33" s="178"/>
      <c r="N33" s="206"/>
      <c r="O33" s="176"/>
      <c r="P33" s="178"/>
      <c r="Q33" s="178"/>
      <c r="R33" s="178"/>
      <c r="S33" s="178"/>
      <c r="T33" s="178"/>
    </row>
    <row r="34" spans="1:21" s="266" customFormat="1">
      <c r="A34" s="191" t="s">
        <v>247</v>
      </c>
      <c r="B34" s="264">
        <v>1</v>
      </c>
      <c r="C34" s="264">
        <v>3</v>
      </c>
      <c r="D34" s="232" t="s">
        <v>101</v>
      </c>
      <c r="E34" s="178"/>
      <c r="F34" s="232" t="s">
        <v>101</v>
      </c>
      <c r="G34" s="178"/>
      <c r="H34" s="437"/>
      <c r="I34" s="232" t="s">
        <v>101</v>
      </c>
      <c r="J34" s="178"/>
      <c r="K34" s="232" t="s">
        <v>101</v>
      </c>
      <c r="L34" s="232" t="s">
        <v>101</v>
      </c>
      <c r="M34" s="232" t="s">
        <v>101</v>
      </c>
      <c r="N34" s="179" t="s">
        <v>101</v>
      </c>
      <c r="O34" s="232" t="s">
        <v>101</v>
      </c>
      <c r="P34" s="232" t="s">
        <v>101</v>
      </c>
      <c r="Q34" s="178"/>
      <c r="R34" s="178"/>
      <c r="S34" s="178"/>
      <c r="T34" s="178"/>
      <c r="U34" s="178"/>
    </row>
    <row r="35" spans="1:21" s="266" customFormat="1" ht="30" customHeight="1">
      <c r="A35" s="191" t="s">
        <v>248</v>
      </c>
      <c r="B35" s="264" t="s">
        <v>249</v>
      </c>
      <c r="C35" s="264" t="s">
        <v>250</v>
      </c>
      <c r="D35" s="232" t="s">
        <v>101</v>
      </c>
      <c r="E35" s="232" t="s">
        <v>101</v>
      </c>
      <c r="F35" s="232" t="s">
        <v>101</v>
      </c>
      <c r="G35" s="232" t="s">
        <v>101</v>
      </c>
      <c r="H35" s="436" t="s">
        <v>101</v>
      </c>
      <c r="I35" s="232" t="s">
        <v>101</v>
      </c>
      <c r="J35" s="232" t="s">
        <v>101</v>
      </c>
      <c r="K35" s="232" t="s">
        <v>101</v>
      </c>
      <c r="L35" s="232" t="s">
        <v>101</v>
      </c>
      <c r="M35" s="232" t="s">
        <v>101</v>
      </c>
      <c r="N35" s="179" t="s">
        <v>101</v>
      </c>
      <c r="O35" s="232" t="s">
        <v>101</v>
      </c>
      <c r="P35" s="232" t="s">
        <v>101</v>
      </c>
      <c r="Q35" s="178"/>
      <c r="R35" s="178"/>
      <c r="S35" s="178"/>
      <c r="T35" s="178"/>
      <c r="U35" s="178"/>
    </row>
    <row r="36" spans="1:21" s="266" customFormat="1" ht="22.8">
      <c r="A36" s="191" t="s">
        <v>251</v>
      </c>
      <c r="B36" s="264" t="s">
        <v>413</v>
      </c>
      <c r="C36" s="264" t="s">
        <v>413</v>
      </c>
      <c r="D36" s="232" t="s">
        <v>101</v>
      </c>
      <c r="E36" s="232" t="s">
        <v>101</v>
      </c>
      <c r="F36" s="232" t="s">
        <v>101</v>
      </c>
      <c r="G36" s="232" t="s">
        <v>101</v>
      </c>
      <c r="H36" s="436" t="s">
        <v>101</v>
      </c>
      <c r="I36" s="232" t="s">
        <v>101</v>
      </c>
      <c r="J36" s="232" t="s">
        <v>101</v>
      </c>
      <c r="K36" s="232" t="s">
        <v>101</v>
      </c>
      <c r="L36" s="232" t="s">
        <v>101</v>
      </c>
      <c r="M36" s="232" t="s">
        <v>101</v>
      </c>
      <c r="N36" s="179" t="s">
        <v>101</v>
      </c>
      <c r="O36" s="232" t="s">
        <v>101</v>
      </c>
      <c r="P36" s="232" t="s">
        <v>101</v>
      </c>
      <c r="Q36" s="178"/>
      <c r="R36" s="178"/>
      <c r="S36" s="178"/>
      <c r="T36" s="178"/>
      <c r="U36" s="178"/>
    </row>
    <row r="37" spans="1:21" s="266" customFormat="1">
      <c r="A37" s="191" t="s">
        <v>253</v>
      </c>
      <c r="B37" s="554"/>
      <c r="C37" s="555"/>
      <c r="D37" s="232">
        <v>1</v>
      </c>
      <c r="E37" s="232">
        <v>1</v>
      </c>
      <c r="F37" s="243">
        <v>1</v>
      </c>
      <c r="G37" s="232">
        <v>1</v>
      </c>
      <c r="H37" s="436">
        <v>3</v>
      </c>
      <c r="I37" s="283">
        <v>0</v>
      </c>
      <c r="J37" s="232">
        <v>1</v>
      </c>
      <c r="K37" s="283">
        <v>1</v>
      </c>
      <c r="L37" s="283">
        <v>0</v>
      </c>
      <c r="M37" s="232">
        <v>1</v>
      </c>
      <c r="N37" s="179">
        <v>0</v>
      </c>
      <c r="O37" s="427">
        <v>0</v>
      </c>
      <c r="P37" s="232">
        <v>0</v>
      </c>
      <c r="Q37" s="178"/>
      <c r="R37" s="178"/>
      <c r="S37" s="178"/>
      <c r="T37" s="178"/>
      <c r="U37" s="178"/>
    </row>
    <row r="38" spans="1:21" s="266" customFormat="1" ht="96" customHeight="1">
      <c r="A38" s="240" t="s">
        <v>254</v>
      </c>
      <c r="B38" s="542" t="s">
        <v>255</v>
      </c>
      <c r="C38" s="534"/>
      <c r="D38" s="232" t="s">
        <v>101</v>
      </c>
      <c r="E38" s="232" t="s">
        <v>101</v>
      </c>
      <c r="F38" s="176" t="s">
        <v>101</v>
      </c>
      <c r="G38" s="232" t="s">
        <v>101</v>
      </c>
      <c r="H38" s="436" t="s">
        <v>101</v>
      </c>
      <c r="I38" s="273" t="s">
        <v>101</v>
      </c>
      <c r="J38" s="232" t="s">
        <v>101</v>
      </c>
      <c r="K38" s="273" t="s">
        <v>101</v>
      </c>
      <c r="L38" s="243" t="s">
        <v>101</v>
      </c>
      <c r="M38" s="232" t="s">
        <v>101</v>
      </c>
      <c r="N38" s="179" t="s">
        <v>101</v>
      </c>
      <c r="O38" s="176" t="s">
        <v>101</v>
      </c>
      <c r="P38" s="232" t="s">
        <v>101</v>
      </c>
      <c r="Q38" s="178"/>
      <c r="R38" s="178"/>
      <c r="S38" s="178"/>
      <c r="T38" s="178"/>
      <c r="U38" s="178"/>
    </row>
    <row r="39" spans="1:21" s="266" customFormat="1">
      <c r="A39" s="191" t="s">
        <v>256</v>
      </c>
      <c r="B39" s="533" t="s">
        <v>257</v>
      </c>
      <c r="C39" s="534"/>
      <c r="D39" s="232" t="s">
        <v>101</v>
      </c>
      <c r="E39" s="232" t="s">
        <v>101</v>
      </c>
      <c r="F39" s="243" t="s">
        <v>101</v>
      </c>
      <c r="G39" s="232" t="s">
        <v>101</v>
      </c>
      <c r="H39" s="436" t="s">
        <v>101</v>
      </c>
      <c r="I39" s="243" t="s">
        <v>101</v>
      </c>
      <c r="J39" s="232" t="s">
        <v>101</v>
      </c>
      <c r="K39" s="243" t="s">
        <v>101</v>
      </c>
      <c r="L39" s="243" t="s">
        <v>101</v>
      </c>
      <c r="M39" s="232" t="s">
        <v>101</v>
      </c>
      <c r="N39" s="179" t="s">
        <v>101</v>
      </c>
      <c r="O39" s="427" t="s">
        <v>101</v>
      </c>
      <c r="P39" s="232" t="s">
        <v>101</v>
      </c>
      <c r="Q39" s="178"/>
      <c r="R39" s="178"/>
      <c r="S39" s="178"/>
      <c r="T39" s="178"/>
      <c r="U39" s="178"/>
    </row>
    <row r="40" spans="1:21" s="266" customFormat="1" ht="111" customHeight="1">
      <c r="A40" s="240" t="s">
        <v>258</v>
      </c>
      <c r="B40" s="553" t="s">
        <v>414</v>
      </c>
      <c r="C40" s="553"/>
      <c r="D40" s="179" t="s">
        <v>415</v>
      </c>
      <c r="E40" s="179" t="s">
        <v>416</v>
      </c>
      <c r="F40" s="176" t="s">
        <v>415</v>
      </c>
      <c r="G40" s="179" t="s">
        <v>417</v>
      </c>
      <c r="H40" s="442" t="s">
        <v>417</v>
      </c>
      <c r="I40" s="273" t="s">
        <v>101</v>
      </c>
      <c r="J40" s="179" t="s">
        <v>415</v>
      </c>
      <c r="K40" s="273" t="s">
        <v>101</v>
      </c>
      <c r="L40" s="178" t="s">
        <v>418</v>
      </c>
      <c r="M40" s="179" t="s">
        <v>415</v>
      </c>
      <c r="N40" s="179" t="s">
        <v>419</v>
      </c>
      <c r="O40" s="176" t="s">
        <v>415</v>
      </c>
      <c r="P40" s="179" t="s">
        <v>415</v>
      </c>
      <c r="Q40" s="178"/>
      <c r="R40" s="178"/>
      <c r="S40" s="178"/>
      <c r="T40" s="178"/>
      <c r="U40" s="178"/>
    </row>
    <row r="41" spans="1:21" s="266" customFormat="1" ht="93.75" customHeight="1">
      <c r="A41" s="240" t="s">
        <v>259</v>
      </c>
      <c r="B41" s="553" t="s">
        <v>420</v>
      </c>
      <c r="C41" s="553"/>
      <c r="D41" s="179" t="s">
        <v>421</v>
      </c>
      <c r="E41" s="179" t="s">
        <v>422</v>
      </c>
      <c r="F41" s="176" t="s">
        <v>423</v>
      </c>
      <c r="G41" s="179" t="s">
        <v>419</v>
      </c>
      <c r="H41" s="442" t="s">
        <v>424</v>
      </c>
      <c r="I41" s="273" t="s">
        <v>101</v>
      </c>
      <c r="J41" s="179" t="s">
        <v>425</v>
      </c>
      <c r="K41" s="273" t="s">
        <v>101</v>
      </c>
      <c r="L41" s="178" t="s">
        <v>418</v>
      </c>
      <c r="M41" s="179" t="s">
        <v>421</v>
      </c>
      <c r="N41" s="179" t="s">
        <v>419</v>
      </c>
      <c r="O41" s="179" t="s">
        <v>421</v>
      </c>
      <c r="P41" s="179" t="s">
        <v>421</v>
      </c>
      <c r="Q41" s="178"/>
      <c r="R41" s="178"/>
      <c r="S41" s="178"/>
      <c r="T41" s="178"/>
      <c r="U41" s="178"/>
    </row>
    <row r="42" spans="1:21" s="266" customFormat="1" ht="24.75" customHeight="1">
      <c r="A42" s="240" t="s">
        <v>260</v>
      </c>
      <c r="B42" s="553" t="s">
        <v>426</v>
      </c>
      <c r="C42" s="553"/>
      <c r="D42" s="232" t="s">
        <v>101</v>
      </c>
      <c r="E42" s="232" t="s">
        <v>101</v>
      </c>
      <c r="F42" s="177" t="s">
        <v>101</v>
      </c>
      <c r="G42" s="232" t="s">
        <v>101</v>
      </c>
      <c r="H42" s="436" t="s">
        <v>101</v>
      </c>
      <c r="I42" s="274" t="s">
        <v>101</v>
      </c>
      <c r="J42" s="232" t="s">
        <v>101</v>
      </c>
      <c r="K42" s="274" t="s">
        <v>101</v>
      </c>
      <c r="L42" s="274" t="s">
        <v>101</v>
      </c>
      <c r="M42" s="232" t="s">
        <v>101</v>
      </c>
      <c r="N42" s="179" t="s">
        <v>101</v>
      </c>
      <c r="O42" s="177" t="s">
        <v>101</v>
      </c>
      <c r="P42" s="232" t="s">
        <v>101</v>
      </c>
      <c r="Q42" s="178"/>
      <c r="R42" s="178"/>
      <c r="S42" s="178"/>
      <c r="T42" s="178"/>
      <c r="U42" s="178"/>
    </row>
    <row r="43" spans="1:21" s="266" customFormat="1" ht="36.75" customHeight="1">
      <c r="A43" s="240" t="s">
        <v>262</v>
      </c>
      <c r="B43" s="553" t="s">
        <v>427</v>
      </c>
      <c r="C43" s="553"/>
      <c r="D43" s="232" t="s">
        <v>101</v>
      </c>
      <c r="E43" s="232" t="s">
        <v>101</v>
      </c>
      <c r="F43" s="177" t="s">
        <v>101</v>
      </c>
      <c r="G43" s="232" t="s">
        <v>101</v>
      </c>
      <c r="H43" s="436" t="s">
        <v>101</v>
      </c>
      <c r="I43" s="274" t="s">
        <v>101</v>
      </c>
      <c r="J43" s="232" t="s">
        <v>101</v>
      </c>
      <c r="K43" s="274" t="s">
        <v>101</v>
      </c>
      <c r="L43" s="274" t="s">
        <v>101</v>
      </c>
      <c r="M43" s="232" t="s">
        <v>101</v>
      </c>
      <c r="N43" s="179" t="s">
        <v>101</v>
      </c>
      <c r="O43" s="177" t="s">
        <v>101</v>
      </c>
      <c r="P43" s="232" t="s">
        <v>101</v>
      </c>
      <c r="Q43" s="178"/>
      <c r="R43" s="178"/>
      <c r="S43" s="178"/>
      <c r="T43" s="178"/>
      <c r="U43" s="178"/>
    </row>
    <row r="44" spans="1:21" s="266" customFormat="1" ht="24" customHeight="1">
      <c r="A44" s="240" t="s">
        <v>263</v>
      </c>
      <c r="B44" s="533" t="s">
        <v>428</v>
      </c>
      <c r="C44" s="534"/>
      <c r="D44" s="232" t="s">
        <v>101</v>
      </c>
      <c r="E44" s="232" t="s">
        <v>101</v>
      </c>
      <c r="F44" s="177" t="s">
        <v>101</v>
      </c>
      <c r="G44" s="232" t="s">
        <v>101</v>
      </c>
      <c r="H44" s="436" t="s">
        <v>101</v>
      </c>
      <c r="I44" s="274" t="s">
        <v>101</v>
      </c>
      <c r="J44" s="232" t="s">
        <v>101</v>
      </c>
      <c r="K44" s="274" t="s">
        <v>101</v>
      </c>
      <c r="L44" s="274" t="s">
        <v>101</v>
      </c>
      <c r="M44" s="232" t="s">
        <v>101</v>
      </c>
      <c r="N44" s="179" t="s">
        <v>101</v>
      </c>
      <c r="O44" s="177" t="s">
        <v>101</v>
      </c>
      <c r="P44" s="232" t="s">
        <v>101</v>
      </c>
      <c r="Q44" s="178"/>
      <c r="R44" s="178"/>
      <c r="S44" s="178"/>
      <c r="T44" s="178"/>
      <c r="U44" s="178"/>
    </row>
    <row r="45" spans="1:21">
      <c r="A45" s="244" t="s">
        <v>264</v>
      </c>
    </row>
  </sheetData>
  <mergeCells count="39">
    <mergeCell ref="B33:C33"/>
    <mergeCell ref="B42:C42"/>
    <mergeCell ref="B43:C43"/>
    <mergeCell ref="B44:C44"/>
    <mergeCell ref="B37:C37"/>
    <mergeCell ref="B38:C38"/>
    <mergeCell ref="B39:C39"/>
    <mergeCell ref="B40:C40"/>
    <mergeCell ref="B41:C41"/>
    <mergeCell ref="B28:C28"/>
    <mergeCell ref="B29:C29"/>
    <mergeCell ref="B30:C30"/>
    <mergeCell ref="B31:C31"/>
    <mergeCell ref="B32:C32"/>
    <mergeCell ref="B23:C23"/>
    <mergeCell ref="B24:C24"/>
    <mergeCell ref="B25:C25"/>
    <mergeCell ref="B26:C26"/>
    <mergeCell ref="B27:C27"/>
    <mergeCell ref="B18:C18"/>
    <mergeCell ref="B19:C19"/>
    <mergeCell ref="B20:C20"/>
    <mergeCell ref="B21:C21"/>
    <mergeCell ref="B22:C22"/>
    <mergeCell ref="B12:C12"/>
    <mergeCell ref="B13:C13"/>
    <mergeCell ref="B14:C14"/>
    <mergeCell ref="B15:C15"/>
    <mergeCell ref="B16:C16"/>
    <mergeCell ref="B7:C7"/>
    <mergeCell ref="B8:C8"/>
    <mergeCell ref="B9:C9"/>
    <mergeCell ref="B10:C10"/>
    <mergeCell ref="B11:C11"/>
    <mergeCell ref="O2:P2"/>
    <mergeCell ref="B2:C2"/>
    <mergeCell ref="B4:C4"/>
    <mergeCell ref="B5:C5"/>
    <mergeCell ref="B6:C6"/>
  </mergeCells>
  <phoneticPr fontId="21" type="noConversion"/>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42"/>
  <sheetViews>
    <sheetView topLeftCell="D13" workbookViewId="0">
      <selection activeCell="I26" sqref="I26"/>
    </sheetView>
  </sheetViews>
  <sheetFormatPr defaultColWidth="9.44140625" defaultRowHeight="15.6"/>
  <cols>
    <col min="1" max="1" width="29.44140625" style="165" customWidth="1"/>
    <col min="2" max="2" width="26.44140625" style="225" customWidth="1"/>
    <col min="3" max="3" width="20.5546875" style="267" customWidth="1"/>
    <col min="4" max="12" width="31.44140625" style="166" customWidth="1"/>
    <col min="13" max="13" width="31.44140625" style="268" customWidth="1"/>
    <col min="14" max="20" width="31.44140625" style="166" customWidth="1"/>
    <col min="21" max="16384" width="9.44140625" style="165"/>
  </cols>
  <sheetData>
    <row r="1" spans="1:20">
      <c r="A1" s="226" t="s">
        <v>90</v>
      </c>
      <c r="B1" s="227"/>
    </row>
    <row r="2" spans="1:20" s="265" customFormat="1">
      <c r="A2" s="228" t="s">
        <v>91</v>
      </c>
      <c r="B2" s="522" t="s">
        <v>92</v>
      </c>
      <c r="C2" s="523"/>
      <c r="D2" s="171" t="s">
        <v>5</v>
      </c>
      <c r="E2" s="171" t="s">
        <v>8</v>
      </c>
      <c r="F2" s="171" t="s">
        <v>12</v>
      </c>
      <c r="G2" s="171" t="s">
        <v>16</v>
      </c>
      <c r="H2" s="171" t="s">
        <v>17</v>
      </c>
      <c r="I2" s="171" t="s">
        <v>21</v>
      </c>
      <c r="J2" s="171" t="s">
        <v>37</v>
      </c>
      <c r="K2" s="171" t="s">
        <v>42</v>
      </c>
      <c r="L2" s="222" t="s">
        <v>93</v>
      </c>
      <c r="M2" s="275" t="s">
        <v>33</v>
      </c>
      <c r="N2" s="171"/>
      <c r="O2" s="171"/>
      <c r="P2" s="171"/>
      <c r="Q2" s="171"/>
      <c r="R2" s="171"/>
      <c r="S2" s="171"/>
      <c r="T2" s="171"/>
    </row>
    <row r="3" spans="1:20" s="265" customFormat="1">
      <c r="A3" s="228"/>
      <c r="B3" s="229"/>
      <c r="C3" s="269"/>
      <c r="D3" s="230" t="s">
        <v>98</v>
      </c>
      <c r="E3" s="230" t="s">
        <v>98</v>
      </c>
      <c r="F3" s="270" t="s">
        <v>94</v>
      </c>
      <c r="G3" s="230" t="s">
        <v>98</v>
      </c>
      <c r="H3" s="230" t="s">
        <v>98</v>
      </c>
      <c r="I3" s="276" t="s">
        <v>94</v>
      </c>
      <c r="J3" s="171" t="s">
        <v>824</v>
      </c>
      <c r="K3" s="230" t="s">
        <v>98</v>
      </c>
      <c r="L3" s="249" t="s">
        <v>98</v>
      </c>
      <c r="M3" s="275" t="s">
        <v>98</v>
      </c>
      <c r="N3" s="171"/>
      <c r="O3" s="171"/>
      <c r="P3" s="171"/>
      <c r="Q3" s="171"/>
      <c r="R3" s="171"/>
      <c r="S3" s="171"/>
      <c r="T3" s="171"/>
    </row>
    <row r="4" spans="1:20">
      <c r="A4" s="178" t="s">
        <v>99</v>
      </c>
      <c r="B4" s="527" t="s">
        <v>100</v>
      </c>
      <c r="C4" s="528"/>
      <c r="D4" s="232" t="s">
        <v>101</v>
      </c>
      <c r="E4" s="232" t="s">
        <v>101</v>
      </c>
      <c r="F4" s="232" t="s">
        <v>101</v>
      </c>
      <c r="G4" s="232" t="s">
        <v>101</v>
      </c>
      <c r="H4" s="232" t="s">
        <v>101</v>
      </c>
      <c r="I4" s="232" t="s">
        <v>101</v>
      </c>
      <c r="J4" s="232" t="s">
        <v>101</v>
      </c>
      <c r="K4" s="178" t="s">
        <v>101</v>
      </c>
      <c r="L4" s="178" t="s">
        <v>101</v>
      </c>
      <c r="M4" s="277" t="s">
        <v>101</v>
      </c>
      <c r="N4" s="178"/>
      <c r="O4" s="178"/>
      <c r="P4" s="178"/>
      <c r="Q4" s="178"/>
      <c r="R4" s="178"/>
      <c r="S4" s="178"/>
      <c r="T4" s="178"/>
    </row>
    <row r="5" spans="1:20">
      <c r="A5" s="206" t="s">
        <v>102</v>
      </c>
      <c r="B5" s="527"/>
      <c r="C5" s="528"/>
      <c r="D5" s="232" t="s">
        <v>104</v>
      </c>
      <c r="E5" s="232" t="s">
        <v>104</v>
      </c>
      <c r="F5" s="232" t="s">
        <v>103</v>
      </c>
      <c r="G5" s="232" t="s">
        <v>104</v>
      </c>
      <c r="H5" s="232" t="s">
        <v>104</v>
      </c>
      <c r="I5" s="232" t="s">
        <v>103</v>
      </c>
      <c r="J5" s="232" t="s">
        <v>825</v>
      </c>
      <c r="K5" s="178" t="s">
        <v>104</v>
      </c>
      <c r="L5" s="178" t="s">
        <v>104</v>
      </c>
      <c r="M5" s="277" t="s">
        <v>104</v>
      </c>
      <c r="N5" s="178"/>
      <c r="O5" s="178"/>
      <c r="P5" s="178"/>
      <c r="Q5" s="178"/>
      <c r="R5" s="178"/>
      <c r="S5" s="178"/>
      <c r="T5" s="178"/>
    </row>
    <row r="6" spans="1:20">
      <c r="A6" s="206" t="s">
        <v>105</v>
      </c>
      <c r="B6" s="527" t="s">
        <v>106</v>
      </c>
      <c r="C6" s="528"/>
      <c r="D6" s="232" t="s">
        <v>101</v>
      </c>
      <c r="E6" s="232" t="s">
        <v>101</v>
      </c>
      <c r="F6" s="232" t="s">
        <v>101</v>
      </c>
      <c r="G6" s="232" t="s">
        <v>101</v>
      </c>
      <c r="H6" s="232" t="s">
        <v>101</v>
      </c>
      <c r="I6" s="232" t="s">
        <v>101</v>
      </c>
      <c r="J6" s="232" t="s">
        <v>101</v>
      </c>
      <c r="K6" s="178" t="s">
        <v>101</v>
      </c>
      <c r="L6" s="178" t="s">
        <v>101</v>
      </c>
      <c r="M6" s="277" t="s">
        <v>101</v>
      </c>
      <c r="N6" s="178"/>
      <c r="O6" s="178"/>
      <c r="P6" s="178"/>
      <c r="Q6" s="178"/>
      <c r="R6" s="178"/>
      <c r="S6" s="178"/>
      <c r="T6" s="178"/>
    </row>
    <row r="7" spans="1:20">
      <c r="A7" s="206" t="s">
        <v>107</v>
      </c>
      <c r="B7" s="527" t="s">
        <v>267</v>
      </c>
      <c r="C7" s="528"/>
      <c r="D7" s="232" t="s">
        <v>101</v>
      </c>
      <c r="E7" s="232" t="s">
        <v>101</v>
      </c>
      <c r="F7" s="232" t="s">
        <v>101</v>
      </c>
      <c r="G7" s="232" t="s">
        <v>101</v>
      </c>
      <c r="H7" s="232" t="s">
        <v>101</v>
      </c>
      <c r="I7" s="232" t="s">
        <v>101</v>
      </c>
      <c r="J7" s="232" t="s">
        <v>101</v>
      </c>
      <c r="K7" s="178" t="s">
        <v>101</v>
      </c>
      <c r="L7" s="178" t="s">
        <v>101</v>
      </c>
      <c r="M7" s="277" t="s">
        <v>101</v>
      </c>
      <c r="N7" s="178"/>
      <c r="O7" s="178"/>
      <c r="P7" s="178"/>
      <c r="Q7" s="178"/>
      <c r="R7" s="178"/>
      <c r="S7" s="178"/>
      <c r="T7" s="178"/>
    </row>
    <row r="8" spans="1:20" ht="34.5" customHeight="1">
      <c r="A8" s="178" t="s">
        <v>268</v>
      </c>
      <c r="B8" s="529" t="s">
        <v>110</v>
      </c>
      <c r="C8" s="528"/>
      <c r="D8" s="232" t="s">
        <v>101</v>
      </c>
      <c r="E8" s="232" t="s">
        <v>101</v>
      </c>
      <c r="F8" s="232" t="s">
        <v>101</v>
      </c>
      <c r="G8" s="232" t="s">
        <v>101</v>
      </c>
      <c r="H8" s="232" t="s">
        <v>101</v>
      </c>
      <c r="I8" s="232" t="s">
        <v>101</v>
      </c>
      <c r="J8" s="232" t="s">
        <v>101</v>
      </c>
      <c r="K8" s="178" t="s">
        <v>101</v>
      </c>
      <c r="L8" s="178" t="s">
        <v>101</v>
      </c>
      <c r="M8" s="277" t="s">
        <v>101</v>
      </c>
      <c r="N8" s="178"/>
      <c r="O8" s="178"/>
      <c r="P8" s="178"/>
      <c r="Q8" s="178"/>
      <c r="R8" s="178"/>
      <c r="S8" s="178"/>
      <c r="T8" s="178"/>
    </row>
    <row r="9" spans="1:20" ht="22.8">
      <c r="A9" s="206" t="s">
        <v>112</v>
      </c>
      <c r="B9" s="529" t="s">
        <v>351</v>
      </c>
      <c r="C9" s="530"/>
      <c r="D9" s="232" t="s">
        <v>352</v>
      </c>
      <c r="E9" s="232" t="s">
        <v>353</v>
      </c>
      <c r="F9" s="232" t="s">
        <v>429</v>
      </c>
      <c r="G9" s="232" t="s">
        <v>352</v>
      </c>
      <c r="H9" s="232" t="s">
        <v>352</v>
      </c>
      <c r="I9" s="232" t="s">
        <v>430</v>
      </c>
      <c r="J9" s="232" t="s">
        <v>430</v>
      </c>
      <c r="K9" s="178" t="s">
        <v>431</v>
      </c>
      <c r="L9" s="232" t="s">
        <v>430</v>
      </c>
      <c r="M9" s="278" t="s">
        <v>429</v>
      </c>
      <c r="N9" s="178"/>
      <c r="O9" s="178"/>
      <c r="P9" s="178"/>
      <c r="Q9" s="178"/>
      <c r="R9" s="178"/>
      <c r="S9" s="178"/>
      <c r="T9" s="178"/>
    </row>
    <row r="10" spans="1:20" ht="22.8">
      <c r="A10" s="177" t="s">
        <v>120</v>
      </c>
      <c r="B10" s="527"/>
      <c r="C10" s="528"/>
      <c r="D10" s="232" t="s">
        <v>359</v>
      </c>
      <c r="E10" s="232"/>
      <c r="F10" s="232" t="s">
        <v>359</v>
      </c>
      <c r="G10" s="232" t="s">
        <v>359</v>
      </c>
      <c r="H10" s="232"/>
      <c r="I10" s="232" t="s">
        <v>359</v>
      </c>
      <c r="J10" s="232" t="s">
        <v>359</v>
      </c>
      <c r="K10" s="178" t="s">
        <v>360</v>
      </c>
      <c r="L10" s="232" t="s">
        <v>359</v>
      </c>
      <c r="M10" s="278" t="s">
        <v>359</v>
      </c>
      <c r="N10" s="178"/>
      <c r="O10" s="178"/>
      <c r="P10" s="178"/>
      <c r="Q10" s="178"/>
      <c r="R10" s="178"/>
      <c r="S10" s="178"/>
      <c r="T10" s="178"/>
    </row>
    <row r="11" spans="1:20">
      <c r="A11" s="206" t="s">
        <v>123</v>
      </c>
      <c r="B11" s="527" t="s">
        <v>361</v>
      </c>
      <c r="C11" s="528"/>
      <c r="D11" s="232" t="s">
        <v>101</v>
      </c>
      <c r="E11" s="232" t="s">
        <v>101</v>
      </c>
      <c r="F11" s="232" t="s">
        <v>101</v>
      </c>
      <c r="G11" s="232" t="s">
        <v>101</v>
      </c>
      <c r="H11" s="232" t="s">
        <v>101</v>
      </c>
      <c r="I11" s="232" t="s">
        <v>101</v>
      </c>
      <c r="J11" s="232" t="s">
        <v>101</v>
      </c>
      <c r="K11" s="178" t="s">
        <v>101</v>
      </c>
      <c r="L11" s="178" t="s">
        <v>101</v>
      </c>
      <c r="M11" s="277" t="s">
        <v>101</v>
      </c>
      <c r="N11" s="178"/>
      <c r="O11" s="178"/>
      <c r="P11" s="178"/>
      <c r="Q11" s="178"/>
      <c r="R11" s="178"/>
      <c r="S11" s="178"/>
      <c r="T11" s="178"/>
    </row>
    <row r="12" spans="1:20" ht="22.8">
      <c r="A12" s="177" t="s">
        <v>362</v>
      </c>
      <c r="B12" s="529" t="s">
        <v>363</v>
      </c>
      <c r="C12" s="530"/>
      <c r="D12" s="232" t="s">
        <v>101</v>
      </c>
      <c r="E12" s="232" t="s">
        <v>101</v>
      </c>
      <c r="F12" s="232" t="s">
        <v>101</v>
      </c>
      <c r="G12" s="232" t="s">
        <v>101</v>
      </c>
      <c r="H12" s="232" t="s">
        <v>101</v>
      </c>
      <c r="I12" s="232" t="s">
        <v>101</v>
      </c>
      <c r="J12" s="232" t="s">
        <v>101</v>
      </c>
      <c r="K12" s="178" t="s">
        <v>101</v>
      </c>
      <c r="L12" s="178" t="s">
        <v>101</v>
      </c>
      <c r="M12" s="277" t="s">
        <v>101</v>
      </c>
      <c r="N12" s="178"/>
      <c r="O12" s="178"/>
      <c r="P12" s="178"/>
      <c r="Q12" s="178"/>
      <c r="R12" s="178"/>
      <c r="S12" s="178"/>
      <c r="T12" s="178"/>
    </row>
    <row r="13" spans="1:20">
      <c r="A13" s="206" t="s">
        <v>128</v>
      </c>
      <c r="B13" s="527"/>
      <c r="C13" s="528"/>
      <c r="D13" s="232" t="s">
        <v>130</v>
      </c>
      <c r="E13" s="232" t="s">
        <v>132</v>
      </c>
      <c r="F13" s="232" t="s">
        <v>271</v>
      </c>
      <c r="G13" s="232" t="s">
        <v>132</v>
      </c>
      <c r="H13" s="232" t="s">
        <v>271</v>
      </c>
      <c r="I13" s="232" t="s">
        <v>271</v>
      </c>
      <c r="J13" s="232" t="s">
        <v>826</v>
      </c>
      <c r="K13" s="178" t="s">
        <v>368</v>
      </c>
      <c r="L13" s="178" t="s">
        <v>130</v>
      </c>
      <c r="M13" s="277" t="s">
        <v>132</v>
      </c>
      <c r="N13" s="178"/>
      <c r="O13" s="178"/>
      <c r="P13" s="178"/>
      <c r="Q13" s="178"/>
      <c r="R13" s="178"/>
      <c r="S13" s="178"/>
      <c r="T13" s="178"/>
    </row>
    <row r="14" spans="1:20">
      <c r="A14" s="206" t="s">
        <v>135</v>
      </c>
      <c r="B14" s="527" t="s">
        <v>369</v>
      </c>
      <c r="C14" s="528"/>
      <c r="D14" s="234" t="s">
        <v>273</v>
      </c>
      <c r="E14" s="234" t="s">
        <v>274</v>
      </c>
      <c r="F14" s="234" t="s">
        <v>273</v>
      </c>
      <c r="G14" s="234" t="s">
        <v>273</v>
      </c>
      <c r="H14" s="234" t="s">
        <v>274</v>
      </c>
      <c r="I14" s="234" t="s">
        <v>273</v>
      </c>
      <c r="J14" s="234" t="s">
        <v>274</v>
      </c>
      <c r="K14" s="178" t="s">
        <v>273</v>
      </c>
      <c r="L14" s="234" t="s">
        <v>274</v>
      </c>
      <c r="M14" s="279" t="s">
        <v>273</v>
      </c>
      <c r="N14" s="178"/>
      <c r="O14" s="178"/>
      <c r="P14" s="178"/>
      <c r="Q14" s="178"/>
      <c r="R14" s="178"/>
      <c r="S14" s="178"/>
      <c r="T14" s="178"/>
    </row>
    <row r="15" spans="1:20" ht="22.8">
      <c r="A15" s="206" t="s">
        <v>277</v>
      </c>
      <c r="B15" s="527"/>
      <c r="C15" s="528"/>
      <c r="D15" s="235" t="s">
        <v>432</v>
      </c>
      <c r="E15" s="235" t="s">
        <v>432</v>
      </c>
      <c r="F15" s="234" t="s">
        <v>433</v>
      </c>
      <c r="G15" s="234" t="s">
        <v>160</v>
      </c>
      <c r="H15" s="234" t="s">
        <v>434</v>
      </c>
      <c r="I15" s="235" t="s">
        <v>435</v>
      </c>
      <c r="J15" s="235" t="s">
        <v>432</v>
      </c>
      <c r="K15" s="178" t="s">
        <v>436</v>
      </c>
      <c r="L15" s="235" t="s">
        <v>432</v>
      </c>
      <c r="M15" s="280" t="s">
        <v>432</v>
      </c>
      <c r="N15" s="178"/>
      <c r="O15" s="178"/>
      <c r="P15" s="178"/>
      <c r="Q15" s="178"/>
      <c r="R15" s="178"/>
      <c r="S15" s="178"/>
      <c r="T15" s="178"/>
    </row>
    <row r="16" spans="1:20">
      <c r="A16" s="206" t="s">
        <v>167</v>
      </c>
      <c r="B16" s="527"/>
      <c r="C16" s="528"/>
      <c r="D16" s="234" t="s">
        <v>160</v>
      </c>
      <c r="E16" s="234" t="s">
        <v>437</v>
      </c>
      <c r="F16" s="234" t="s">
        <v>160</v>
      </c>
      <c r="G16" s="234" t="s">
        <v>160</v>
      </c>
      <c r="H16" s="234" t="s">
        <v>438</v>
      </c>
      <c r="I16" s="234" t="s">
        <v>160</v>
      </c>
      <c r="J16" s="178" t="s">
        <v>828</v>
      </c>
      <c r="K16" s="178" t="s">
        <v>160</v>
      </c>
      <c r="L16" s="178" t="s">
        <v>382</v>
      </c>
      <c r="M16" s="279" t="s">
        <v>160</v>
      </c>
      <c r="N16" s="178"/>
      <c r="O16" s="178"/>
      <c r="P16" s="178"/>
      <c r="Q16" s="178"/>
      <c r="R16" s="178"/>
      <c r="S16" s="178"/>
      <c r="T16" s="178"/>
    </row>
    <row r="17" spans="1:21" ht="22.8">
      <c r="A17" s="206" t="s">
        <v>172</v>
      </c>
      <c r="B17" s="527"/>
      <c r="C17" s="528"/>
      <c r="D17" s="234" t="s">
        <v>439</v>
      </c>
      <c r="E17" s="234" t="s">
        <v>439</v>
      </c>
      <c r="F17" s="234" t="s">
        <v>439</v>
      </c>
      <c r="G17" s="234" t="s">
        <v>439</v>
      </c>
      <c r="H17" s="234" t="s">
        <v>439</v>
      </c>
      <c r="I17" s="234" t="s">
        <v>440</v>
      </c>
      <c r="J17" s="234" t="s">
        <v>439</v>
      </c>
      <c r="K17" s="178" t="s">
        <v>174</v>
      </c>
      <c r="L17" s="234" t="s">
        <v>439</v>
      </c>
      <c r="M17" s="279" t="s">
        <v>440</v>
      </c>
      <c r="N17" s="178"/>
      <c r="O17" s="178"/>
      <c r="P17" s="178"/>
      <c r="Q17" s="178"/>
      <c r="R17" s="178"/>
      <c r="S17" s="178"/>
      <c r="T17" s="178"/>
    </row>
    <row r="18" spans="1:21" ht="28.5" customHeight="1">
      <c r="A18" s="178" t="s">
        <v>178</v>
      </c>
      <c r="B18" s="529" t="s">
        <v>179</v>
      </c>
      <c r="C18" s="530"/>
      <c r="D18" s="232" t="s">
        <v>101</v>
      </c>
      <c r="E18" s="232" t="s">
        <v>101</v>
      </c>
      <c r="F18" s="232" t="s">
        <v>101</v>
      </c>
      <c r="G18" s="232" t="s">
        <v>101</v>
      </c>
      <c r="H18" s="232" t="s">
        <v>101</v>
      </c>
      <c r="I18" s="232" t="s">
        <v>101</v>
      </c>
      <c r="J18" s="232" t="s">
        <v>101</v>
      </c>
      <c r="K18" s="178" t="s">
        <v>101</v>
      </c>
      <c r="L18" s="178" t="s">
        <v>101</v>
      </c>
      <c r="M18" s="277" t="s">
        <v>101</v>
      </c>
      <c r="N18" s="178"/>
      <c r="O18" s="178"/>
      <c r="P18" s="178"/>
      <c r="Q18" s="178"/>
      <c r="R18" s="178"/>
      <c r="S18" s="178"/>
      <c r="T18" s="178"/>
    </row>
    <row r="19" spans="1:21" ht="79.5" customHeight="1">
      <c r="A19" s="206" t="s">
        <v>181</v>
      </c>
      <c r="B19" s="529" t="s">
        <v>182</v>
      </c>
      <c r="C19" s="530"/>
      <c r="D19" s="234" t="s">
        <v>305</v>
      </c>
      <c r="E19" s="179" t="s">
        <v>296</v>
      </c>
      <c r="F19" s="232" t="s">
        <v>441</v>
      </c>
      <c r="G19" s="234" t="s">
        <v>299</v>
      </c>
      <c r="H19" s="259" t="s">
        <v>442</v>
      </c>
      <c r="I19" s="234" t="s">
        <v>305</v>
      </c>
      <c r="J19" s="234" t="s">
        <v>305</v>
      </c>
      <c r="K19" s="234" t="s">
        <v>388</v>
      </c>
      <c r="L19" s="234" t="s">
        <v>305</v>
      </c>
      <c r="M19" s="202" t="s">
        <v>299</v>
      </c>
      <c r="N19" s="178"/>
      <c r="O19" s="178"/>
      <c r="P19" s="178"/>
      <c r="Q19" s="178"/>
      <c r="R19" s="178"/>
      <c r="S19" s="178"/>
      <c r="T19" s="178"/>
    </row>
    <row r="20" spans="1:21" ht="79.8">
      <c r="A20" s="182" t="s">
        <v>212</v>
      </c>
      <c r="B20" s="533" t="s">
        <v>213</v>
      </c>
      <c r="C20" s="534"/>
      <c r="D20" s="179" t="s">
        <v>443</v>
      </c>
      <c r="E20" s="179" t="s">
        <v>397</v>
      </c>
      <c r="F20" s="179" t="s">
        <v>444</v>
      </c>
      <c r="G20" s="179" t="s">
        <v>445</v>
      </c>
      <c r="H20" s="259" t="s">
        <v>446</v>
      </c>
      <c r="I20" s="179" t="s">
        <v>447</v>
      </c>
      <c r="J20" s="176" t="s">
        <v>448</v>
      </c>
      <c r="K20" s="176" t="s">
        <v>449</v>
      </c>
      <c r="L20" s="176" t="s">
        <v>450</v>
      </c>
      <c r="M20" s="202" t="s">
        <v>451</v>
      </c>
      <c r="N20" s="178"/>
      <c r="O20" s="178"/>
      <c r="P20" s="178"/>
      <c r="Q20" s="178"/>
      <c r="R20" s="178"/>
      <c r="S20" s="178"/>
      <c r="T20" s="178"/>
    </row>
    <row r="21" spans="1:21" ht="71.25" customHeight="1">
      <c r="A21" s="182" t="s">
        <v>222</v>
      </c>
      <c r="B21" s="533" t="s">
        <v>223</v>
      </c>
      <c r="C21" s="534"/>
      <c r="D21" s="177" t="s">
        <v>452</v>
      </c>
      <c r="E21" s="177" t="s">
        <v>406</v>
      </c>
      <c r="F21" s="179" t="s">
        <v>453</v>
      </c>
      <c r="G21" s="177" t="s">
        <v>452</v>
      </c>
      <c r="H21" s="177" t="s">
        <v>454</v>
      </c>
      <c r="I21" s="177" t="s">
        <v>452</v>
      </c>
      <c r="J21" s="177" t="s">
        <v>455</v>
      </c>
      <c r="K21" s="177" t="s">
        <v>411</v>
      </c>
      <c r="L21" s="177" t="s">
        <v>452</v>
      </c>
      <c r="M21" s="202" t="s">
        <v>452</v>
      </c>
      <c r="N21" s="178"/>
      <c r="O21" s="178"/>
      <c r="P21" s="178"/>
      <c r="Q21" s="178"/>
      <c r="R21" s="178"/>
      <c r="S21" s="178"/>
      <c r="T21" s="178"/>
    </row>
    <row r="22" spans="1:21" ht="18" customHeight="1">
      <c r="A22" s="182" t="s">
        <v>330</v>
      </c>
      <c r="B22" s="533">
        <v>1</v>
      </c>
      <c r="C22" s="534"/>
      <c r="D22" s="232" t="s">
        <v>101</v>
      </c>
      <c r="E22" s="232" t="s">
        <v>101</v>
      </c>
      <c r="F22" s="232" t="s">
        <v>101</v>
      </c>
      <c r="G22" s="232" t="s">
        <v>101</v>
      </c>
      <c r="H22" s="232" t="s">
        <v>101</v>
      </c>
      <c r="I22" s="232" t="s">
        <v>101</v>
      </c>
      <c r="J22" s="232" t="s">
        <v>101</v>
      </c>
      <c r="K22" s="178" t="s">
        <v>101</v>
      </c>
      <c r="L22" s="178" t="s">
        <v>101</v>
      </c>
      <c r="M22" s="277" t="s">
        <v>101</v>
      </c>
      <c r="N22" s="178"/>
      <c r="O22" s="178"/>
      <c r="P22" s="178"/>
      <c r="Q22" s="178"/>
      <c r="R22" s="178"/>
      <c r="S22" s="178"/>
      <c r="T22" s="178"/>
    </row>
    <row r="23" spans="1:21" ht="27" customHeight="1">
      <c r="A23" s="182" t="s">
        <v>331</v>
      </c>
      <c r="B23" s="533"/>
      <c r="C23" s="534"/>
      <c r="D23" s="179" t="s">
        <v>332</v>
      </c>
      <c r="E23" s="179" t="s">
        <v>332</v>
      </c>
      <c r="F23" s="179" t="s">
        <v>456</v>
      </c>
      <c r="G23" s="179" t="s">
        <v>332</v>
      </c>
      <c r="H23" s="179" t="s">
        <v>332</v>
      </c>
      <c r="I23" s="179" t="s">
        <v>456</v>
      </c>
      <c r="J23" s="179" t="s">
        <v>456</v>
      </c>
      <c r="K23" s="179" t="s">
        <v>456</v>
      </c>
      <c r="L23" s="179" t="s">
        <v>456</v>
      </c>
      <c r="M23" s="281" t="s">
        <v>456</v>
      </c>
      <c r="N23" s="178"/>
      <c r="O23" s="178"/>
      <c r="P23" s="178"/>
      <c r="Q23" s="178"/>
      <c r="R23" s="178"/>
      <c r="S23" s="178"/>
      <c r="T23" s="178"/>
    </row>
    <row r="24" spans="1:21">
      <c r="A24" s="178" t="s">
        <v>235</v>
      </c>
      <c r="B24" s="527" t="s">
        <v>236</v>
      </c>
      <c r="C24" s="528"/>
      <c r="D24" s="232" t="s">
        <v>101</v>
      </c>
      <c r="E24" s="232" t="s">
        <v>101</v>
      </c>
      <c r="F24" s="232" t="s">
        <v>101</v>
      </c>
      <c r="G24" s="232" t="s">
        <v>101</v>
      </c>
      <c r="H24" s="232" t="s">
        <v>101</v>
      </c>
      <c r="I24" s="232" t="s">
        <v>101</v>
      </c>
      <c r="J24" s="232" t="s">
        <v>101</v>
      </c>
      <c r="K24" s="178" t="s">
        <v>101</v>
      </c>
      <c r="L24" s="178" t="s">
        <v>101</v>
      </c>
      <c r="M24" s="277" t="s">
        <v>101</v>
      </c>
      <c r="N24" s="178"/>
      <c r="O24" s="178"/>
      <c r="P24" s="178"/>
      <c r="Q24" s="178"/>
      <c r="R24" s="178"/>
      <c r="S24" s="178"/>
      <c r="T24" s="178"/>
    </row>
    <row r="25" spans="1:21">
      <c r="A25" s="178" t="s">
        <v>237</v>
      </c>
      <c r="B25" s="527" t="s">
        <v>238</v>
      </c>
      <c r="C25" s="528"/>
      <c r="D25" s="232" t="s">
        <v>101</v>
      </c>
      <c r="E25" s="232" t="s">
        <v>101</v>
      </c>
      <c r="F25" s="232" t="s">
        <v>101</v>
      </c>
      <c r="G25" s="232" t="s">
        <v>101</v>
      </c>
      <c r="H25" s="232" t="s">
        <v>101</v>
      </c>
      <c r="I25" s="232" t="s">
        <v>101</v>
      </c>
      <c r="J25" s="232" t="s">
        <v>101</v>
      </c>
      <c r="K25" s="178" t="s">
        <v>101</v>
      </c>
      <c r="L25" s="178" t="s">
        <v>101</v>
      </c>
      <c r="M25" s="277" t="s">
        <v>101</v>
      </c>
      <c r="N25" s="178"/>
      <c r="O25" s="178"/>
      <c r="P25" s="178"/>
      <c r="Q25" s="178"/>
      <c r="R25" s="178"/>
      <c r="S25" s="178"/>
      <c r="T25" s="178"/>
    </row>
    <row r="26" spans="1:21" ht="22.8">
      <c r="A26" s="178" t="s">
        <v>240</v>
      </c>
      <c r="B26" s="527"/>
      <c r="C26" s="528"/>
      <c r="D26" s="232" t="s">
        <v>241</v>
      </c>
      <c r="E26" s="232" t="s">
        <v>241</v>
      </c>
      <c r="F26" s="232" t="s">
        <v>241</v>
      </c>
      <c r="G26" s="272" t="s">
        <v>457</v>
      </c>
      <c r="H26" s="232" t="s">
        <v>241</v>
      </c>
      <c r="I26" s="282" t="s">
        <v>242</v>
      </c>
      <c r="J26" s="232" t="s">
        <v>241</v>
      </c>
      <c r="K26" s="178" t="s">
        <v>241</v>
      </c>
      <c r="L26" s="178" t="s">
        <v>241</v>
      </c>
      <c r="M26" s="277" t="s">
        <v>241</v>
      </c>
      <c r="N26" s="178"/>
      <c r="O26" s="178"/>
      <c r="P26" s="178"/>
      <c r="Q26" s="178"/>
      <c r="R26" s="178"/>
      <c r="S26" s="178"/>
      <c r="T26" s="178"/>
    </row>
    <row r="27" spans="1:21" ht="22.8">
      <c r="A27" s="178" t="s">
        <v>336</v>
      </c>
      <c r="B27" s="527"/>
      <c r="C27" s="528"/>
      <c r="D27" s="179" t="s">
        <v>337</v>
      </c>
      <c r="E27" s="476" t="s">
        <v>894</v>
      </c>
      <c r="F27" s="179" t="s">
        <v>458</v>
      </c>
      <c r="G27" s="179" t="s">
        <v>339</v>
      </c>
      <c r="H27" s="179" t="s">
        <v>459</v>
      </c>
      <c r="I27" s="179" t="s">
        <v>337</v>
      </c>
      <c r="J27" s="179" t="s">
        <v>841</v>
      </c>
      <c r="K27" s="178"/>
      <c r="L27" s="179" t="s">
        <v>342</v>
      </c>
      <c r="M27" s="281" t="s">
        <v>342</v>
      </c>
      <c r="N27" s="178"/>
      <c r="O27" s="178"/>
      <c r="P27" s="178"/>
      <c r="Q27" s="178"/>
      <c r="R27" s="178"/>
      <c r="S27" s="178"/>
      <c r="T27" s="178"/>
    </row>
    <row r="28" spans="1:21" ht="45.6">
      <c r="A28" s="178" t="s">
        <v>344</v>
      </c>
      <c r="B28" s="535"/>
      <c r="C28" s="536"/>
      <c r="D28" s="176" t="s">
        <v>460</v>
      </c>
      <c r="E28" s="475" t="s">
        <v>892</v>
      </c>
      <c r="F28" s="176" t="s">
        <v>345</v>
      </c>
      <c r="G28" s="176" t="s">
        <v>347</v>
      </c>
      <c r="H28" s="176" t="s">
        <v>461</v>
      </c>
      <c r="I28" s="176" t="s">
        <v>349</v>
      </c>
      <c r="J28" s="178" t="s">
        <v>462</v>
      </c>
      <c r="K28" s="178" t="s">
        <v>462</v>
      </c>
      <c r="L28" s="176"/>
      <c r="M28" s="277" t="s">
        <v>462</v>
      </c>
      <c r="N28" s="178"/>
      <c r="O28" s="178"/>
      <c r="P28" s="178"/>
      <c r="Q28" s="178"/>
      <c r="R28" s="178"/>
      <c r="S28" s="178"/>
      <c r="T28" s="178"/>
    </row>
    <row r="29" spans="1:21">
      <c r="B29" s="556"/>
      <c r="C29" s="557"/>
      <c r="D29" s="178"/>
      <c r="E29" s="178"/>
      <c r="F29" s="178"/>
      <c r="G29" s="178"/>
      <c r="H29" s="178"/>
      <c r="I29" s="178"/>
      <c r="J29" s="178"/>
      <c r="K29" s="178"/>
      <c r="L29" s="178"/>
      <c r="M29" s="277"/>
      <c r="N29" s="178"/>
      <c r="O29" s="178"/>
      <c r="P29" s="178"/>
      <c r="Q29" s="178"/>
      <c r="R29" s="178"/>
      <c r="S29" s="178"/>
      <c r="T29" s="178"/>
    </row>
    <row r="30" spans="1:21">
      <c r="A30" s="226" t="s">
        <v>245</v>
      </c>
      <c r="B30" s="538" t="s">
        <v>92</v>
      </c>
      <c r="C30" s="539"/>
      <c r="D30" s="178"/>
      <c r="E30" s="178"/>
      <c r="F30" s="178"/>
      <c r="G30" s="178"/>
      <c r="H30" s="178"/>
      <c r="I30" s="178"/>
      <c r="J30" s="178"/>
      <c r="K30" s="178"/>
      <c r="L30" s="178"/>
      <c r="M30" s="277"/>
      <c r="N30" s="178"/>
      <c r="O30" s="178"/>
      <c r="P30" s="178"/>
      <c r="Q30" s="178"/>
      <c r="R30" s="178"/>
      <c r="S30" s="178"/>
      <c r="T30" s="178"/>
    </row>
    <row r="31" spans="1:21" s="266" customFormat="1">
      <c r="A31" s="191" t="s">
        <v>247</v>
      </c>
      <c r="B31" s="240">
        <v>1</v>
      </c>
      <c r="C31" s="240">
        <v>3</v>
      </c>
      <c r="D31" s="232" t="s">
        <v>101</v>
      </c>
      <c r="E31" s="178"/>
      <c r="F31" s="232" t="s">
        <v>101</v>
      </c>
      <c r="G31" s="178"/>
      <c r="H31" s="178"/>
      <c r="I31" s="232" t="s">
        <v>101</v>
      </c>
      <c r="J31" s="232" t="s">
        <v>101</v>
      </c>
      <c r="K31" s="232" t="s">
        <v>101</v>
      </c>
      <c r="L31" s="221">
        <v>1</v>
      </c>
      <c r="M31" s="278" t="s">
        <v>101</v>
      </c>
      <c r="N31" s="178"/>
      <c r="O31" s="178"/>
      <c r="P31" s="178"/>
      <c r="Q31" s="178"/>
      <c r="R31" s="178"/>
      <c r="S31" s="178"/>
      <c r="T31" s="178"/>
      <c r="U31" s="178"/>
    </row>
    <row r="32" spans="1:21" s="266" customFormat="1" ht="24" customHeight="1">
      <c r="A32" s="191" t="s">
        <v>248</v>
      </c>
      <c r="B32" s="240" t="s">
        <v>463</v>
      </c>
      <c r="C32" s="240" t="s">
        <v>250</v>
      </c>
      <c r="D32" s="232" t="s">
        <v>101</v>
      </c>
      <c r="E32" s="232" t="s">
        <v>101</v>
      </c>
      <c r="F32" s="232" t="s">
        <v>101</v>
      </c>
      <c r="G32" s="232" t="s">
        <v>101</v>
      </c>
      <c r="H32" s="232" t="s">
        <v>101</v>
      </c>
      <c r="I32" s="232" t="s">
        <v>101</v>
      </c>
      <c r="J32" s="232" t="s">
        <v>101</v>
      </c>
      <c r="K32" s="232" t="s">
        <v>101</v>
      </c>
      <c r="L32" s="232" t="s">
        <v>101</v>
      </c>
      <c r="M32" s="278" t="s">
        <v>101</v>
      </c>
      <c r="N32" s="178"/>
      <c r="O32" s="178"/>
      <c r="P32" s="178"/>
      <c r="Q32" s="178"/>
      <c r="R32" s="178"/>
      <c r="S32" s="178"/>
      <c r="T32" s="178"/>
      <c r="U32" s="178"/>
    </row>
    <row r="33" spans="1:21" s="266" customFormat="1" ht="24" customHeight="1">
      <c r="A33" s="191" t="s">
        <v>251</v>
      </c>
      <c r="B33" s="240" t="s">
        <v>413</v>
      </c>
      <c r="C33" s="240" t="s">
        <v>413</v>
      </c>
      <c r="D33" s="232" t="s">
        <v>101</v>
      </c>
      <c r="E33" s="232" t="s">
        <v>101</v>
      </c>
      <c r="F33" s="232" t="s">
        <v>101</v>
      </c>
      <c r="G33" s="232" t="s">
        <v>101</v>
      </c>
      <c r="H33" s="232" t="s">
        <v>101</v>
      </c>
      <c r="I33" s="232" t="s">
        <v>101</v>
      </c>
      <c r="J33" s="232" t="s">
        <v>101</v>
      </c>
      <c r="K33" s="232" t="s">
        <v>101</v>
      </c>
      <c r="L33" s="232" t="s">
        <v>101</v>
      </c>
      <c r="M33" s="278" t="s">
        <v>101</v>
      </c>
      <c r="N33" s="178"/>
      <c r="O33" s="178"/>
      <c r="P33" s="178"/>
      <c r="Q33" s="178"/>
      <c r="R33" s="178"/>
      <c r="S33" s="178"/>
      <c r="T33" s="178"/>
      <c r="U33" s="178"/>
    </row>
    <row r="34" spans="1:21" s="266" customFormat="1">
      <c r="A34" s="191" t="s">
        <v>253</v>
      </c>
      <c r="B34" s="554"/>
      <c r="C34" s="555"/>
      <c r="D34" s="232">
        <v>1</v>
      </c>
      <c r="E34" s="232">
        <v>1</v>
      </c>
      <c r="F34" s="243">
        <v>1</v>
      </c>
      <c r="G34" s="232">
        <v>1</v>
      </c>
      <c r="H34" s="232">
        <v>3</v>
      </c>
      <c r="I34" s="283">
        <v>0</v>
      </c>
      <c r="J34" s="283">
        <v>0</v>
      </c>
      <c r="K34" s="283">
        <v>0</v>
      </c>
      <c r="L34" s="221">
        <v>1</v>
      </c>
      <c r="M34" s="284">
        <v>1</v>
      </c>
      <c r="N34" s="178"/>
      <c r="O34" s="178"/>
      <c r="P34" s="178"/>
      <c r="Q34" s="178"/>
      <c r="R34" s="178"/>
      <c r="S34" s="178"/>
      <c r="T34" s="178"/>
      <c r="U34" s="178"/>
    </row>
    <row r="35" spans="1:21" s="266" customFormat="1" ht="96" customHeight="1">
      <c r="A35" s="240" t="s">
        <v>254</v>
      </c>
      <c r="B35" s="542" t="s">
        <v>255</v>
      </c>
      <c r="C35" s="534"/>
      <c r="D35" s="232" t="s">
        <v>101</v>
      </c>
      <c r="E35" s="232" t="s">
        <v>101</v>
      </c>
      <c r="F35" s="273" t="s">
        <v>101</v>
      </c>
      <c r="G35" s="232" t="s">
        <v>101</v>
      </c>
      <c r="H35" s="232" t="s">
        <v>101</v>
      </c>
      <c r="I35" s="273" t="s">
        <v>101</v>
      </c>
      <c r="J35" s="273" t="s">
        <v>101</v>
      </c>
      <c r="K35" s="273" t="s">
        <v>101</v>
      </c>
      <c r="L35" s="232" t="s">
        <v>101</v>
      </c>
      <c r="M35" s="285" t="s">
        <v>101</v>
      </c>
      <c r="N35" s="178"/>
      <c r="O35" s="178"/>
      <c r="P35" s="178"/>
      <c r="Q35" s="178"/>
      <c r="R35" s="178"/>
      <c r="S35" s="178"/>
      <c r="T35" s="178"/>
      <c r="U35" s="178"/>
    </row>
    <row r="36" spans="1:21" s="266" customFormat="1">
      <c r="A36" s="191" t="s">
        <v>256</v>
      </c>
      <c r="B36" s="533" t="s">
        <v>257</v>
      </c>
      <c r="C36" s="534"/>
      <c r="D36" s="232" t="s">
        <v>101</v>
      </c>
      <c r="E36" s="232" t="s">
        <v>101</v>
      </c>
      <c r="F36" s="243" t="s">
        <v>101</v>
      </c>
      <c r="G36" s="232" t="s">
        <v>101</v>
      </c>
      <c r="H36" s="232" t="s">
        <v>101</v>
      </c>
      <c r="I36" s="243" t="s">
        <v>101</v>
      </c>
      <c r="J36" s="243" t="s">
        <v>101</v>
      </c>
      <c r="K36" s="243" t="s">
        <v>101</v>
      </c>
      <c r="L36" s="232" t="s">
        <v>101</v>
      </c>
      <c r="M36" s="284" t="s">
        <v>101</v>
      </c>
      <c r="N36" s="178"/>
      <c r="O36" s="178"/>
      <c r="P36" s="178"/>
      <c r="Q36" s="178"/>
      <c r="R36" s="178"/>
      <c r="S36" s="178"/>
      <c r="T36" s="178"/>
      <c r="U36" s="178"/>
    </row>
    <row r="37" spans="1:21" s="266" customFormat="1" ht="106.5" customHeight="1">
      <c r="A37" s="240" t="s">
        <v>258</v>
      </c>
      <c r="B37" s="553" t="s">
        <v>414</v>
      </c>
      <c r="C37" s="553"/>
      <c r="D37" s="179" t="s">
        <v>464</v>
      </c>
      <c r="E37" s="179" t="s">
        <v>465</v>
      </c>
      <c r="F37" s="176" t="s">
        <v>466</v>
      </c>
      <c r="G37" s="179" t="s">
        <v>467</v>
      </c>
      <c r="H37" s="179" t="s">
        <v>422</v>
      </c>
      <c r="I37" s="273" t="s">
        <v>101</v>
      </c>
      <c r="J37" s="273" t="s">
        <v>101</v>
      </c>
      <c r="K37" s="178" t="s">
        <v>468</v>
      </c>
      <c r="L37" s="179" t="s">
        <v>415</v>
      </c>
      <c r="M37" s="285" t="s">
        <v>101</v>
      </c>
      <c r="N37" s="178"/>
      <c r="O37" s="178"/>
      <c r="P37" s="178"/>
      <c r="Q37" s="178"/>
      <c r="R37" s="178"/>
      <c r="S37" s="178"/>
      <c r="T37" s="178"/>
      <c r="U37" s="178"/>
    </row>
    <row r="38" spans="1:21" s="266" customFormat="1" ht="93.75" customHeight="1">
      <c r="A38" s="240" t="s">
        <v>259</v>
      </c>
      <c r="B38" s="553" t="s">
        <v>420</v>
      </c>
      <c r="C38" s="553"/>
      <c r="D38" s="179" t="s">
        <v>421</v>
      </c>
      <c r="E38" s="179" t="s">
        <v>422</v>
      </c>
      <c r="F38" s="176" t="s">
        <v>469</v>
      </c>
      <c r="G38" s="179" t="s">
        <v>470</v>
      </c>
      <c r="H38" s="179" t="s">
        <v>422</v>
      </c>
      <c r="I38" s="273" t="s">
        <v>101</v>
      </c>
      <c r="J38" s="273" t="s">
        <v>101</v>
      </c>
      <c r="K38" s="178" t="s">
        <v>468</v>
      </c>
      <c r="L38" s="179" t="s">
        <v>421</v>
      </c>
      <c r="M38" s="285" t="s">
        <v>101</v>
      </c>
      <c r="N38" s="178"/>
      <c r="O38" s="178"/>
      <c r="P38" s="178"/>
      <c r="Q38" s="178"/>
      <c r="R38" s="178"/>
      <c r="S38" s="178"/>
      <c r="T38" s="178"/>
      <c r="U38" s="178"/>
    </row>
    <row r="39" spans="1:21" s="266" customFormat="1" ht="24.75" customHeight="1">
      <c r="A39" s="240" t="s">
        <v>260</v>
      </c>
      <c r="B39" s="553" t="s">
        <v>426</v>
      </c>
      <c r="C39" s="553"/>
      <c r="D39" s="232" t="s">
        <v>101</v>
      </c>
      <c r="E39" s="232" t="s">
        <v>101</v>
      </c>
      <c r="F39" s="274" t="s">
        <v>101</v>
      </c>
      <c r="G39" s="232" t="s">
        <v>101</v>
      </c>
      <c r="H39" s="232" t="s">
        <v>101</v>
      </c>
      <c r="I39" s="274" t="s">
        <v>101</v>
      </c>
      <c r="J39" s="274" t="s">
        <v>101</v>
      </c>
      <c r="K39" s="274" t="s">
        <v>101</v>
      </c>
      <c r="L39" s="274" t="s">
        <v>101</v>
      </c>
      <c r="M39" s="286" t="s">
        <v>101</v>
      </c>
      <c r="N39" s="178"/>
      <c r="O39" s="178"/>
      <c r="P39" s="178"/>
      <c r="Q39" s="178"/>
      <c r="R39" s="178"/>
      <c r="S39" s="178"/>
      <c r="T39" s="178"/>
      <c r="U39" s="178"/>
    </row>
    <row r="40" spans="1:21" s="266" customFormat="1" ht="36.75" customHeight="1">
      <c r="A40" s="240" t="s">
        <v>262</v>
      </c>
      <c r="B40" s="553" t="s">
        <v>427</v>
      </c>
      <c r="C40" s="553"/>
      <c r="D40" s="232" t="s">
        <v>101</v>
      </c>
      <c r="E40" s="232" t="s">
        <v>101</v>
      </c>
      <c r="F40" s="274" t="s">
        <v>101</v>
      </c>
      <c r="G40" s="232" t="s">
        <v>101</v>
      </c>
      <c r="H40" s="232" t="s">
        <v>101</v>
      </c>
      <c r="I40" s="274" t="s">
        <v>101</v>
      </c>
      <c r="J40" s="274" t="s">
        <v>101</v>
      </c>
      <c r="K40" s="274" t="s">
        <v>101</v>
      </c>
      <c r="L40" s="274" t="s">
        <v>101</v>
      </c>
      <c r="M40" s="286" t="s">
        <v>101</v>
      </c>
      <c r="N40" s="178"/>
      <c r="O40" s="178"/>
      <c r="P40" s="178"/>
      <c r="Q40" s="178"/>
      <c r="R40" s="178"/>
      <c r="S40" s="178"/>
      <c r="T40" s="178"/>
      <c r="U40" s="178"/>
    </row>
    <row r="41" spans="1:21" s="266" customFormat="1" ht="24" customHeight="1">
      <c r="A41" s="240" t="s">
        <v>263</v>
      </c>
      <c r="B41" s="533" t="s">
        <v>428</v>
      </c>
      <c r="C41" s="534"/>
      <c r="D41" s="232" t="s">
        <v>101</v>
      </c>
      <c r="E41" s="232" t="s">
        <v>101</v>
      </c>
      <c r="F41" s="274" t="s">
        <v>101</v>
      </c>
      <c r="G41" s="232" t="s">
        <v>101</v>
      </c>
      <c r="H41" s="232" t="s">
        <v>101</v>
      </c>
      <c r="I41" s="274" t="s">
        <v>101</v>
      </c>
      <c r="J41" s="274" t="s">
        <v>101</v>
      </c>
      <c r="K41" s="274" t="s">
        <v>101</v>
      </c>
      <c r="L41" s="274" t="s">
        <v>101</v>
      </c>
      <c r="M41" s="286" t="s">
        <v>101</v>
      </c>
      <c r="N41" s="178"/>
      <c r="O41" s="178"/>
      <c r="P41" s="178"/>
      <c r="Q41" s="178"/>
      <c r="R41" s="178"/>
      <c r="S41" s="178"/>
      <c r="T41" s="178"/>
      <c r="U41" s="178"/>
    </row>
    <row r="42" spans="1:21">
      <c r="A42" s="244" t="s">
        <v>264</v>
      </c>
      <c r="B42" s="165"/>
      <c r="C42" s="166"/>
    </row>
  </sheetData>
  <mergeCells count="36">
    <mergeCell ref="B41:C41"/>
    <mergeCell ref="B36:C36"/>
    <mergeCell ref="B37:C37"/>
    <mergeCell ref="B38:C38"/>
    <mergeCell ref="B39:C39"/>
    <mergeCell ref="B40:C40"/>
    <mergeCell ref="B28:C28"/>
    <mergeCell ref="B29:C29"/>
    <mergeCell ref="B30:C30"/>
    <mergeCell ref="B34:C34"/>
    <mergeCell ref="B35:C35"/>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B2:C2"/>
    <mergeCell ref="B4:C4"/>
    <mergeCell ref="B5:C5"/>
    <mergeCell ref="B6:C6"/>
    <mergeCell ref="B7:C7"/>
  </mergeCells>
  <phoneticPr fontId="21" type="noConversion"/>
  <conditionalFormatting sqref="A6:B6">
    <cfRule type="duplicateValues" dxfId="0" priority="1"/>
  </conditionalFormatting>
  <pageMargins left="0.74791666666666701" right="0.74791666666666701" top="0.98402777777777795" bottom="0.98402777777777795" header="0.51180555555555596" footer="0.51180555555555596"/>
  <pageSetup paperSize="9" orientation="portrait" r:id="rId1"/>
  <headerFooter alignWithMargins="0">
    <oddHeader>&amp;L&amp;G&amp;C&amp;F&amp;R文档密级</oddHeader>
    <oddFooter>&amp;L&amp;D&amp;C华为保密信息,未经授权禁止扩散&amp;R第&amp;P页，共&amp;N页</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45"/>
  <sheetViews>
    <sheetView workbookViewId="0">
      <selection activeCell="F9" sqref="F9"/>
    </sheetView>
  </sheetViews>
  <sheetFormatPr defaultColWidth="9" defaultRowHeight="15.6"/>
  <cols>
    <col min="1" max="1" width="29.44140625" style="165" customWidth="1"/>
    <col min="2" max="2" width="42.88671875" style="165" customWidth="1"/>
    <col min="3" max="3" width="31.44140625" style="166" customWidth="1"/>
    <col min="4" max="4" width="26.109375" customWidth="1"/>
    <col min="5" max="5" width="25.33203125" customWidth="1"/>
    <col min="6" max="6" width="25.44140625" customWidth="1"/>
    <col min="7" max="7" width="26.44140625" customWidth="1"/>
    <col min="8" max="8" width="31.44140625" style="166" customWidth="1"/>
  </cols>
  <sheetData>
    <row r="1" spans="1:8" ht="13.2">
      <c r="A1" s="226" t="s">
        <v>90</v>
      </c>
      <c r="B1" s="245"/>
    </row>
    <row r="2" spans="1:8" ht="13.2">
      <c r="A2" s="228" t="s">
        <v>91</v>
      </c>
      <c r="B2" s="246" t="s">
        <v>92</v>
      </c>
      <c r="C2" s="247" t="s">
        <v>5</v>
      </c>
      <c r="D2" s="248" t="s">
        <v>12</v>
      </c>
      <c r="E2" s="544" t="s">
        <v>17</v>
      </c>
      <c r="F2" s="545"/>
      <c r="G2" s="247" t="s">
        <v>829</v>
      </c>
      <c r="H2" s="247" t="s">
        <v>851</v>
      </c>
    </row>
    <row r="3" spans="1:8" ht="13.2">
      <c r="A3" s="228"/>
      <c r="B3" s="246"/>
      <c r="C3" s="249" t="s">
        <v>98</v>
      </c>
      <c r="D3" s="249" t="s">
        <v>94</v>
      </c>
      <c r="E3" s="230" t="s">
        <v>94</v>
      </c>
      <c r="F3" s="230" t="s">
        <v>98</v>
      </c>
      <c r="G3" s="249" t="s">
        <v>98</v>
      </c>
      <c r="H3" s="249" t="s">
        <v>98</v>
      </c>
    </row>
    <row r="4" spans="1:8" ht="13.2">
      <c r="A4" s="178" t="s">
        <v>99</v>
      </c>
      <c r="B4" s="231" t="s">
        <v>100</v>
      </c>
      <c r="C4" s="232" t="s">
        <v>101</v>
      </c>
      <c r="D4" s="232" t="s">
        <v>101</v>
      </c>
      <c r="E4" s="232" t="s">
        <v>101</v>
      </c>
      <c r="F4" s="232" t="s">
        <v>101</v>
      </c>
      <c r="G4" s="232" t="s">
        <v>101</v>
      </c>
      <c r="H4" s="232" t="s">
        <v>101</v>
      </c>
    </row>
    <row r="5" spans="1:8" ht="13.2">
      <c r="A5" s="206" t="s">
        <v>102</v>
      </c>
      <c r="B5" s="231"/>
      <c r="C5" s="232" t="s">
        <v>104</v>
      </c>
      <c r="D5" s="176" t="s">
        <v>103</v>
      </c>
      <c r="E5" s="176" t="s">
        <v>103</v>
      </c>
      <c r="F5" s="232" t="s">
        <v>104</v>
      </c>
      <c r="G5" s="232" t="s">
        <v>104</v>
      </c>
      <c r="H5" s="232" t="s">
        <v>104</v>
      </c>
    </row>
    <row r="6" spans="1:8" ht="13.2">
      <c r="A6" s="206" t="s">
        <v>105</v>
      </c>
      <c r="B6" s="231" t="s">
        <v>106</v>
      </c>
      <c r="C6" s="232" t="s">
        <v>101</v>
      </c>
      <c r="D6" s="232" t="s">
        <v>101</v>
      </c>
      <c r="E6" s="232" t="s">
        <v>101</v>
      </c>
      <c r="F6" s="232" t="s">
        <v>101</v>
      </c>
      <c r="G6" s="232" t="s">
        <v>101</v>
      </c>
      <c r="H6" s="232" t="s">
        <v>101</v>
      </c>
    </row>
    <row r="7" spans="1:8" ht="13.2">
      <c r="A7" s="206" t="s">
        <v>107</v>
      </c>
      <c r="B7" s="231" t="s">
        <v>108</v>
      </c>
      <c r="C7" s="232" t="s">
        <v>101</v>
      </c>
      <c r="D7" s="232" t="s">
        <v>101</v>
      </c>
      <c r="E7" s="232" t="s">
        <v>101</v>
      </c>
      <c r="F7" s="232" t="s">
        <v>101</v>
      </c>
      <c r="G7" s="232" t="s">
        <v>101</v>
      </c>
      <c r="H7" s="232" t="s">
        <v>101</v>
      </c>
    </row>
    <row r="8" spans="1:8" ht="34.200000000000003">
      <c r="A8" s="178" t="s">
        <v>109</v>
      </c>
      <c r="B8" s="233" t="s">
        <v>110</v>
      </c>
      <c r="C8" s="232" t="s">
        <v>101</v>
      </c>
      <c r="D8" s="232" t="s">
        <v>101</v>
      </c>
      <c r="E8" s="232" t="s">
        <v>101</v>
      </c>
      <c r="F8" s="232" t="s">
        <v>101</v>
      </c>
      <c r="G8" s="232" t="s">
        <v>101</v>
      </c>
      <c r="H8" s="232" t="s">
        <v>101</v>
      </c>
    </row>
    <row r="9" spans="1:8" ht="22.8">
      <c r="A9" s="206" t="s">
        <v>112</v>
      </c>
      <c r="B9" s="233" t="s">
        <v>351</v>
      </c>
      <c r="C9" s="232" t="s">
        <v>352</v>
      </c>
      <c r="D9" s="232" t="s">
        <v>354</v>
      </c>
      <c r="E9" s="232" t="s">
        <v>356</v>
      </c>
      <c r="F9" s="232" t="s">
        <v>355</v>
      </c>
      <c r="G9" s="232" t="s">
        <v>830</v>
      </c>
      <c r="H9" s="232" t="s">
        <v>352</v>
      </c>
    </row>
    <row r="10" spans="1:8" ht="22.8">
      <c r="A10" s="177" t="s">
        <v>120</v>
      </c>
      <c r="B10" s="250" t="s">
        <v>358</v>
      </c>
      <c r="C10" s="232" t="s">
        <v>359</v>
      </c>
      <c r="D10" s="232" t="s">
        <v>359</v>
      </c>
      <c r="E10" s="232" t="s">
        <v>359</v>
      </c>
      <c r="F10" s="232" t="s">
        <v>359</v>
      </c>
      <c r="G10" s="232" t="s">
        <v>359</v>
      </c>
      <c r="H10" s="232" t="s">
        <v>359</v>
      </c>
    </row>
    <row r="11" spans="1:8" ht="13.2">
      <c r="A11" s="206" t="s">
        <v>123</v>
      </c>
      <c r="B11" s="233" t="s">
        <v>361</v>
      </c>
      <c r="C11" s="232" t="s">
        <v>101</v>
      </c>
      <c r="D11" s="232" t="s">
        <v>101</v>
      </c>
      <c r="E11" s="232" t="s">
        <v>101</v>
      </c>
      <c r="F11" s="232" t="s">
        <v>101</v>
      </c>
      <c r="G11" s="232" t="s">
        <v>831</v>
      </c>
      <c r="H11" s="232" t="s">
        <v>101</v>
      </c>
    </row>
    <row r="12" spans="1:8" ht="22.8">
      <c r="A12" s="177" t="s">
        <v>362</v>
      </c>
      <c r="B12" s="233" t="s">
        <v>363</v>
      </c>
      <c r="C12" s="232" t="s">
        <v>101</v>
      </c>
      <c r="D12" s="232" t="s">
        <v>101</v>
      </c>
      <c r="E12" s="232" t="s">
        <v>101</v>
      </c>
      <c r="F12" s="232" t="s">
        <v>101</v>
      </c>
      <c r="G12" s="232" t="s">
        <v>101</v>
      </c>
      <c r="H12" s="232" t="s">
        <v>101</v>
      </c>
    </row>
    <row r="13" spans="1:8" ht="22.8">
      <c r="A13" s="206" t="s">
        <v>128</v>
      </c>
      <c r="B13" s="231"/>
      <c r="C13" s="232" t="s">
        <v>365</v>
      </c>
      <c r="D13" s="232" t="s">
        <v>367</v>
      </c>
      <c r="E13" s="232" t="s">
        <v>367</v>
      </c>
      <c r="F13" s="232" t="s">
        <v>365</v>
      </c>
      <c r="G13" s="232" t="s">
        <v>365</v>
      </c>
      <c r="H13" s="232" t="s">
        <v>365</v>
      </c>
    </row>
    <row r="14" spans="1:8" ht="26.4">
      <c r="A14" s="206" t="s">
        <v>135</v>
      </c>
      <c r="B14" s="231" t="s">
        <v>369</v>
      </c>
      <c r="C14" s="252" t="s">
        <v>136</v>
      </c>
      <c r="D14" s="234" t="s">
        <v>370</v>
      </c>
      <c r="E14" s="234" t="s">
        <v>370</v>
      </c>
      <c r="F14" s="252" t="s">
        <v>136</v>
      </c>
      <c r="G14" s="252" t="s">
        <v>136</v>
      </c>
      <c r="H14" s="252" t="s">
        <v>136</v>
      </c>
    </row>
    <row r="15" spans="1:8" ht="39.6">
      <c r="A15" s="206" t="s">
        <v>139</v>
      </c>
      <c r="B15" s="231"/>
      <c r="C15" s="253" t="s">
        <v>373</v>
      </c>
      <c r="D15" s="234" t="s">
        <v>140</v>
      </c>
      <c r="E15" s="234" t="s">
        <v>140</v>
      </c>
      <c r="F15" s="253" t="s">
        <v>373</v>
      </c>
      <c r="G15" s="253" t="s">
        <v>373</v>
      </c>
      <c r="H15" s="253" t="s">
        <v>373</v>
      </c>
    </row>
    <row r="16" spans="1:8" ht="22.8">
      <c r="A16" s="206" t="s">
        <v>149</v>
      </c>
      <c r="B16" s="231"/>
      <c r="C16" s="254" t="s">
        <v>160</v>
      </c>
      <c r="D16" s="234" t="s">
        <v>152</v>
      </c>
      <c r="E16" s="234" t="s">
        <v>152</v>
      </c>
      <c r="F16" s="254" t="s">
        <v>160</v>
      </c>
      <c r="G16" s="254" t="s">
        <v>160</v>
      </c>
      <c r="H16" s="254" t="s">
        <v>160</v>
      </c>
    </row>
    <row r="17" spans="1:8" ht="13.2">
      <c r="A17" s="206" t="s">
        <v>163</v>
      </c>
      <c r="B17" s="231"/>
      <c r="C17" s="254" t="s">
        <v>164</v>
      </c>
      <c r="D17" s="235" t="s">
        <v>164</v>
      </c>
      <c r="E17" s="235" t="s">
        <v>164</v>
      </c>
      <c r="F17" s="254" t="s">
        <v>164</v>
      </c>
      <c r="G17" s="254" t="s">
        <v>164</v>
      </c>
      <c r="H17" s="254" t="s">
        <v>164</v>
      </c>
    </row>
    <row r="18" spans="1:8" ht="26.4">
      <c r="A18" s="206" t="s">
        <v>167</v>
      </c>
      <c r="B18" s="231"/>
      <c r="C18" s="255" t="s">
        <v>380</v>
      </c>
      <c r="D18" s="176" t="s">
        <v>381</v>
      </c>
      <c r="E18" s="176" t="s">
        <v>381</v>
      </c>
      <c r="F18" s="176" t="s">
        <v>381</v>
      </c>
      <c r="G18" s="451" t="s">
        <v>381</v>
      </c>
      <c r="H18" s="451" t="s">
        <v>852</v>
      </c>
    </row>
    <row r="19" spans="1:8" ht="22.8">
      <c r="A19" s="206" t="s">
        <v>172</v>
      </c>
      <c r="B19" s="231"/>
      <c r="C19" s="235" t="s">
        <v>383</v>
      </c>
      <c r="D19" s="176" t="s">
        <v>383</v>
      </c>
      <c r="E19" s="176" t="s">
        <v>385</v>
      </c>
      <c r="F19" s="235" t="s">
        <v>383</v>
      </c>
      <c r="G19" s="235" t="s">
        <v>383</v>
      </c>
      <c r="H19" s="235" t="s">
        <v>383</v>
      </c>
    </row>
    <row r="20" spans="1:8" ht="22.8">
      <c r="A20" s="178" t="s">
        <v>178</v>
      </c>
      <c r="B20" s="233" t="s">
        <v>179</v>
      </c>
      <c r="C20" s="232" t="s">
        <v>101</v>
      </c>
      <c r="D20" s="179" t="s">
        <v>101</v>
      </c>
      <c r="E20" s="179" t="s">
        <v>101</v>
      </c>
      <c r="F20" s="232" t="s">
        <v>101</v>
      </c>
      <c r="G20" s="232" t="s">
        <v>101</v>
      </c>
      <c r="H20" s="232" t="s">
        <v>101</v>
      </c>
    </row>
    <row r="21" spans="1:8" ht="68.400000000000006">
      <c r="A21" s="206" t="s">
        <v>181</v>
      </c>
      <c r="B21" s="233" t="s">
        <v>182</v>
      </c>
      <c r="C21" s="179" t="s">
        <v>305</v>
      </c>
      <c r="D21" s="234" t="s">
        <v>160</v>
      </c>
      <c r="E21" s="234" t="s">
        <v>160</v>
      </c>
      <c r="F21" s="179" t="s">
        <v>305</v>
      </c>
      <c r="G21" s="179" t="s">
        <v>305</v>
      </c>
      <c r="H21" s="179" t="s">
        <v>859</v>
      </c>
    </row>
    <row r="22" spans="1:8" ht="52.8">
      <c r="A22" s="178" t="s">
        <v>192</v>
      </c>
      <c r="B22" s="231"/>
      <c r="C22" s="252" t="s">
        <v>389</v>
      </c>
      <c r="D22" s="257" t="s">
        <v>390</v>
      </c>
      <c r="E22" s="343" t="s">
        <v>193</v>
      </c>
      <c r="F22" s="252" t="s">
        <v>389</v>
      </c>
      <c r="G22" s="446" t="s">
        <v>832</v>
      </c>
      <c r="H22" s="252" t="s">
        <v>389</v>
      </c>
    </row>
    <row r="23" spans="1:8" ht="26.4">
      <c r="A23" s="178" t="s">
        <v>200</v>
      </c>
      <c r="B23" s="237"/>
      <c r="C23" s="252" t="s">
        <v>394</v>
      </c>
      <c r="D23" s="234" t="s">
        <v>201</v>
      </c>
      <c r="E23" s="256" t="s">
        <v>395</v>
      </c>
      <c r="F23" s="256" t="s">
        <v>395</v>
      </c>
      <c r="G23" s="252" t="s">
        <v>394</v>
      </c>
      <c r="H23" s="252" t="s">
        <v>394</v>
      </c>
    </row>
    <row r="24" spans="1:8" ht="13.2">
      <c r="A24" s="178" t="s">
        <v>202</v>
      </c>
      <c r="B24" s="231">
        <v>1</v>
      </c>
      <c r="C24" s="232" t="s">
        <v>101</v>
      </c>
      <c r="D24" s="232" t="s">
        <v>101</v>
      </c>
      <c r="E24" s="232" t="s">
        <v>101</v>
      </c>
      <c r="F24" s="232" t="s">
        <v>101</v>
      </c>
      <c r="G24" s="232" t="s">
        <v>101</v>
      </c>
      <c r="H24" s="232" t="s">
        <v>101</v>
      </c>
    </row>
    <row r="25" spans="1:8" ht="13.2">
      <c r="A25" s="178" t="s">
        <v>203</v>
      </c>
      <c r="B25" s="237"/>
      <c r="C25" s="253" t="s">
        <v>204</v>
      </c>
      <c r="D25" s="234" t="s">
        <v>204</v>
      </c>
      <c r="E25" s="234" t="s">
        <v>204</v>
      </c>
      <c r="F25" s="253" t="s">
        <v>204</v>
      </c>
      <c r="G25" s="253" t="s">
        <v>204</v>
      </c>
      <c r="H25" s="253" t="s">
        <v>204</v>
      </c>
    </row>
    <row r="26" spans="1:8" ht="26.4">
      <c r="A26" s="178" t="s">
        <v>207</v>
      </c>
      <c r="B26" s="237"/>
      <c r="C26" s="258" t="s">
        <v>208</v>
      </c>
      <c r="D26" s="232" t="s">
        <v>208</v>
      </c>
      <c r="E26" s="232" t="s">
        <v>208</v>
      </c>
      <c r="F26" s="258" t="s">
        <v>208</v>
      </c>
      <c r="G26" s="258" t="s">
        <v>208</v>
      </c>
      <c r="H26" s="258" t="s">
        <v>208</v>
      </c>
    </row>
    <row r="27" spans="1:8" ht="137.4">
      <c r="A27" s="182" t="s">
        <v>212</v>
      </c>
      <c r="B27" s="236" t="s">
        <v>835</v>
      </c>
      <c r="C27" s="179" t="s">
        <v>403</v>
      </c>
      <c r="D27" s="177" t="s">
        <v>398</v>
      </c>
      <c r="E27" s="179" t="s">
        <v>396</v>
      </c>
      <c r="F27" s="179" t="s">
        <v>396</v>
      </c>
      <c r="G27" s="179" t="s">
        <v>833</v>
      </c>
      <c r="H27" s="179" t="s">
        <v>861</v>
      </c>
    </row>
    <row r="28" spans="1:8" ht="137.4">
      <c r="A28" s="182" t="s">
        <v>222</v>
      </c>
      <c r="B28" s="236" t="s">
        <v>223</v>
      </c>
      <c r="C28" s="177" t="s">
        <v>405</v>
      </c>
      <c r="D28" s="177" t="s">
        <v>471</v>
      </c>
      <c r="E28" s="177" t="s">
        <v>407</v>
      </c>
      <c r="F28" s="177" t="s">
        <v>405</v>
      </c>
      <c r="G28" s="177" t="s">
        <v>834</v>
      </c>
      <c r="H28" s="177" t="s">
        <v>405</v>
      </c>
    </row>
    <row r="29" spans="1:8" ht="13.2">
      <c r="A29" s="178" t="s">
        <v>235</v>
      </c>
      <c r="B29" s="237" t="s">
        <v>236</v>
      </c>
      <c r="C29" s="232" t="s">
        <v>101</v>
      </c>
      <c r="D29" s="232" t="s">
        <v>101</v>
      </c>
      <c r="E29" s="232" t="s">
        <v>101</v>
      </c>
      <c r="F29" s="232" t="s">
        <v>101</v>
      </c>
      <c r="G29" s="232" t="s">
        <v>101</v>
      </c>
      <c r="H29" s="232" t="s">
        <v>101</v>
      </c>
    </row>
    <row r="30" spans="1:8" ht="13.2">
      <c r="A30" s="178" t="s">
        <v>237</v>
      </c>
      <c r="B30" s="237" t="s">
        <v>238</v>
      </c>
      <c r="C30" s="232" t="s">
        <v>101</v>
      </c>
      <c r="D30" s="232" t="s">
        <v>101</v>
      </c>
      <c r="E30" s="232" t="s">
        <v>101</v>
      </c>
      <c r="F30" s="232" t="s">
        <v>101</v>
      </c>
      <c r="G30" s="232" t="s">
        <v>101</v>
      </c>
      <c r="H30" s="232" t="s">
        <v>101</v>
      </c>
    </row>
    <row r="31" spans="1:8" ht="13.2">
      <c r="A31" s="178" t="s">
        <v>240</v>
      </c>
      <c r="B31" s="261" t="s">
        <v>241</v>
      </c>
      <c r="C31" s="232" t="s">
        <v>241</v>
      </c>
      <c r="D31" s="232" t="s">
        <v>241</v>
      </c>
      <c r="E31" s="232" t="s">
        <v>241</v>
      </c>
      <c r="F31" s="232" t="s">
        <v>241</v>
      </c>
      <c r="G31" s="232" t="s">
        <v>241</v>
      </c>
      <c r="H31" s="232" t="s">
        <v>241</v>
      </c>
    </row>
    <row r="32" spans="1:8">
      <c r="A32" s="180"/>
      <c r="B32" s="262"/>
      <c r="C32" s="178"/>
      <c r="D32" s="176"/>
      <c r="E32" s="176"/>
      <c r="F32" s="178"/>
      <c r="G32" s="178"/>
      <c r="H32" s="178"/>
    </row>
    <row r="33" spans="1:8" ht="13.2">
      <c r="A33" s="226" t="s">
        <v>245</v>
      </c>
      <c r="B33" s="263" t="s">
        <v>92</v>
      </c>
      <c r="C33" s="178"/>
      <c r="D33" s="176"/>
      <c r="E33" s="176"/>
      <c r="F33" s="178"/>
      <c r="G33" s="178"/>
      <c r="H33" s="178"/>
    </row>
    <row r="34" spans="1:8" ht="13.2">
      <c r="A34" s="191" t="s">
        <v>247</v>
      </c>
      <c r="B34" s="264">
        <v>1</v>
      </c>
      <c r="C34" s="232" t="s">
        <v>101</v>
      </c>
      <c r="D34" s="232" t="s">
        <v>101</v>
      </c>
      <c r="E34" s="232" t="s">
        <v>101</v>
      </c>
      <c r="F34" s="232" t="s">
        <v>101</v>
      </c>
      <c r="G34" s="232" t="s">
        <v>101</v>
      </c>
      <c r="H34" s="232" t="s">
        <v>101</v>
      </c>
    </row>
    <row r="35" spans="1:8" ht="13.2">
      <c r="A35" s="191" t="s">
        <v>248</v>
      </c>
      <c r="B35" s="264" t="s">
        <v>249</v>
      </c>
      <c r="C35" s="232" t="s">
        <v>101</v>
      </c>
      <c r="D35" s="232" t="s">
        <v>101</v>
      </c>
      <c r="E35" s="232" t="s">
        <v>101</v>
      </c>
      <c r="F35" s="232" t="s">
        <v>101</v>
      </c>
      <c r="G35" s="232" t="s">
        <v>101</v>
      </c>
      <c r="H35" s="232" t="s">
        <v>101</v>
      </c>
    </row>
    <row r="36" spans="1:8" ht="13.2">
      <c r="A36" s="191" t="s">
        <v>251</v>
      </c>
      <c r="B36" s="264" t="s">
        <v>413</v>
      </c>
      <c r="C36" s="232" t="s">
        <v>101</v>
      </c>
      <c r="D36" s="232" t="s">
        <v>101</v>
      </c>
      <c r="E36" s="232" t="s">
        <v>101</v>
      </c>
      <c r="F36" s="232" t="s">
        <v>101</v>
      </c>
      <c r="G36" s="232" t="s">
        <v>101</v>
      </c>
      <c r="H36" s="232" t="s">
        <v>101</v>
      </c>
    </row>
    <row r="37" spans="1:8" ht="13.2">
      <c r="A37" s="191" t="s">
        <v>253</v>
      </c>
      <c r="B37" s="241"/>
      <c r="C37" s="232">
        <v>1</v>
      </c>
      <c r="D37" s="243">
        <v>1</v>
      </c>
      <c r="E37" s="427">
        <v>0</v>
      </c>
      <c r="F37" s="232">
        <v>0</v>
      </c>
      <c r="G37" s="232">
        <v>0</v>
      </c>
      <c r="H37" s="232">
        <v>1</v>
      </c>
    </row>
    <row r="38" spans="1:8" ht="57.6">
      <c r="A38" s="240" t="s">
        <v>254</v>
      </c>
      <c r="B38" s="242" t="s">
        <v>255</v>
      </c>
      <c r="C38" s="232" t="s">
        <v>101</v>
      </c>
      <c r="D38" s="176" t="s">
        <v>101</v>
      </c>
      <c r="E38" s="176" t="s">
        <v>101</v>
      </c>
      <c r="F38" s="232" t="s">
        <v>101</v>
      </c>
      <c r="G38" s="232" t="s">
        <v>101</v>
      </c>
      <c r="H38" s="232" t="s">
        <v>101</v>
      </c>
    </row>
    <row r="39" spans="1:8" ht="13.2">
      <c r="A39" s="191" t="s">
        <v>256</v>
      </c>
      <c r="B39" s="236" t="s">
        <v>257</v>
      </c>
      <c r="C39" s="232" t="s">
        <v>101</v>
      </c>
      <c r="D39" s="243" t="s">
        <v>101</v>
      </c>
      <c r="E39" s="427" t="s">
        <v>101</v>
      </c>
      <c r="F39" s="232" t="s">
        <v>101</v>
      </c>
      <c r="G39" s="232" t="s">
        <v>101</v>
      </c>
      <c r="H39" s="232" t="s">
        <v>101</v>
      </c>
    </row>
    <row r="40" spans="1:8" ht="114.6">
      <c r="A40" s="240" t="s">
        <v>258</v>
      </c>
      <c r="B40" s="243" t="s">
        <v>414</v>
      </c>
      <c r="C40" s="179" t="s">
        <v>472</v>
      </c>
      <c r="D40" s="176" t="s">
        <v>415</v>
      </c>
      <c r="E40" s="176" t="s">
        <v>415</v>
      </c>
      <c r="F40" s="179" t="s">
        <v>415</v>
      </c>
      <c r="G40" s="232" t="s">
        <v>101</v>
      </c>
      <c r="H40" s="179" t="s">
        <v>853</v>
      </c>
    </row>
    <row r="41" spans="1:8" ht="80.400000000000006">
      <c r="A41" s="240" t="s">
        <v>259</v>
      </c>
      <c r="B41" s="243" t="s">
        <v>420</v>
      </c>
      <c r="C41" s="179" t="s">
        <v>856</v>
      </c>
      <c r="D41" s="176" t="s">
        <v>423</v>
      </c>
      <c r="E41" s="179" t="s">
        <v>855</v>
      </c>
      <c r="F41" s="179" t="s">
        <v>856</v>
      </c>
      <c r="G41" s="232" t="s">
        <v>101</v>
      </c>
      <c r="H41" s="179" t="s">
        <v>854</v>
      </c>
    </row>
    <row r="42" spans="1:8" ht="23.4">
      <c r="A42" s="240" t="s">
        <v>260</v>
      </c>
      <c r="B42" s="243" t="s">
        <v>426</v>
      </c>
      <c r="C42" s="232" t="s">
        <v>101</v>
      </c>
      <c r="D42" s="177" t="s">
        <v>101</v>
      </c>
      <c r="E42" s="177" t="s">
        <v>101</v>
      </c>
      <c r="F42" s="232" t="s">
        <v>101</v>
      </c>
      <c r="G42" s="232" t="s">
        <v>101</v>
      </c>
      <c r="H42" s="232" t="s">
        <v>101</v>
      </c>
    </row>
    <row r="43" spans="1:8" ht="34.799999999999997">
      <c r="A43" s="240" t="s">
        <v>262</v>
      </c>
      <c r="B43" s="243" t="s">
        <v>427</v>
      </c>
      <c r="C43" s="232" t="s">
        <v>101</v>
      </c>
      <c r="D43" s="177" t="s">
        <v>101</v>
      </c>
      <c r="E43" s="177" t="s">
        <v>101</v>
      </c>
      <c r="F43" s="232" t="s">
        <v>101</v>
      </c>
      <c r="G43" s="232" t="s">
        <v>101</v>
      </c>
      <c r="H43" s="232" t="s">
        <v>101</v>
      </c>
    </row>
    <row r="44" spans="1:8" ht="23.4">
      <c r="A44" s="240" t="s">
        <v>263</v>
      </c>
      <c r="B44" s="236" t="s">
        <v>428</v>
      </c>
      <c r="C44" s="232" t="s">
        <v>101</v>
      </c>
      <c r="D44" s="177" t="s">
        <v>101</v>
      </c>
      <c r="E44" s="177" t="s">
        <v>101</v>
      </c>
      <c r="F44" s="232" t="s">
        <v>101</v>
      </c>
      <c r="G44" s="232" t="s">
        <v>101</v>
      </c>
      <c r="H44" s="232" t="s">
        <v>101</v>
      </c>
    </row>
    <row r="45" spans="1:8">
      <c r="A45" s="244" t="s">
        <v>264</v>
      </c>
    </row>
  </sheetData>
  <mergeCells count="1">
    <mergeCell ref="E2:F2"/>
  </mergeCells>
  <phoneticPr fontId="21" type="noConversion"/>
  <pageMargins left="0.69930555555555596" right="0.69930555555555596"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2"/>
  <sheetViews>
    <sheetView topLeftCell="A11" workbookViewId="0">
      <selection activeCell="E21" sqref="E21"/>
    </sheetView>
  </sheetViews>
  <sheetFormatPr defaultColWidth="9" defaultRowHeight="15.6"/>
  <cols>
    <col min="1" max="1" width="29.44140625" style="165" customWidth="1"/>
    <col min="2" max="2" width="35.109375" style="225" customWidth="1"/>
    <col min="3" max="3" width="40.5546875" style="166" customWidth="1"/>
    <col min="4" max="4" width="27.88671875" customWidth="1"/>
    <col min="5" max="5" width="40.5546875" style="166" customWidth="1"/>
  </cols>
  <sheetData>
    <row r="1" spans="1:5" ht="13.2">
      <c r="A1" s="226" t="s">
        <v>90</v>
      </c>
      <c r="B1" s="227"/>
    </row>
    <row r="2" spans="1:5" ht="13.2">
      <c r="A2" s="228" t="s">
        <v>91</v>
      </c>
      <c r="B2" s="229" t="s">
        <v>92</v>
      </c>
      <c r="C2" s="171" t="s">
        <v>5</v>
      </c>
      <c r="D2" s="222" t="s">
        <v>836</v>
      </c>
      <c r="E2" s="222" t="s">
        <v>851</v>
      </c>
    </row>
    <row r="3" spans="1:5" ht="13.2">
      <c r="A3" s="228"/>
      <c r="B3" s="229"/>
      <c r="C3" s="230" t="s">
        <v>98</v>
      </c>
      <c r="D3" s="230" t="s">
        <v>98</v>
      </c>
      <c r="E3" s="230" t="s">
        <v>98</v>
      </c>
    </row>
    <row r="4" spans="1:5" ht="13.2">
      <c r="A4" s="178" t="s">
        <v>99</v>
      </c>
      <c r="B4" s="231" t="s">
        <v>100</v>
      </c>
      <c r="C4" s="232" t="s">
        <v>101</v>
      </c>
      <c r="D4" s="232" t="s">
        <v>101</v>
      </c>
      <c r="E4" s="232" t="s">
        <v>101</v>
      </c>
    </row>
    <row r="5" spans="1:5" ht="13.2">
      <c r="A5" s="206" t="s">
        <v>102</v>
      </c>
      <c r="B5" s="231"/>
      <c r="C5" s="232" t="s">
        <v>104</v>
      </c>
      <c r="D5" s="232" t="s">
        <v>104</v>
      </c>
      <c r="E5" s="232" t="s">
        <v>104</v>
      </c>
    </row>
    <row r="6" spans="1:5" ht="13.2">
      <c r="A6" s="206" t="s">
        <v>105</v>
      </c>
      <c r="B6" s="231" t="s">
        <v>106</v>
      </c>
      <c r="C6" s="232" t="s">
        <v>101</v>
      </c>
      <c r="D6" s="232" t="s">
        <v>101</v>
      </c>
      <c r="E6" s="232" t="s">
        <v>101</v>
      </c>
    </row>
    <row r="7" spans="1:5" ht="13.2">
      <c r="A7" s="206" t="s">
        <v>107</v>
      </c>
      <c r="B7" s="231" t="s">
        <v>267</v>
      </c>
      <c r="C7" s="232" t="s">
        <v>101</v>
      </c>
      <c r="D7" s="232" t="s">
        <v>101</v>
      </c>
      <c r="E7" s="232" t="s">
        <v>101</v>
      </c>
    </row>
    <row r="8" spans="1:5" ht="34.200000000000003">
      <c r="A8" s="178" t="s">
        <v>268</v>
      </c>
      <c r="B8" s="233" t="s">
        <v>110</v>
      </c>
      <c r="C8" s="232" t="s">
        <v>101</v>
      </c>
      <c r="D8" s="232" t="s">
        <v>101</v>
      </c>
      <c r="E8" s="232" t="s">
        <v>101</v>
      </c>
    </row>
    <row r="9" spans="1:5" ht="22.8">
      <c r="A9" s="206" t="s">
        <v>112</v>
      </c>
      <c r="B9" s="233" t="s">
        <v>351</v>
      </c>
      <c r="C9" s="232" t="s">
        <v>352</v>
      </c>
      <c r="D9" s="232" t="s">
        <v>837</v>
      </c>
      <c r="E9" s="232" t="s">
        <v>352</v>
      </c>
    </row>
    <row r="10" spans="1:5" ht="22.8">
      <c r="A10" s="177" t="s">
        <v>120</v>
      </c>
      <c r="B10" s="231"/>
      <c r="C10" s="232" t="s">
        <v>359</v>
      </c>
      <c r="D10" s="232" t="s">
        <v>359</v>
      </c>
      <c r="E10" s="232" t="s">
        <v>359</v>
      </c>
    </row>
    <row r="11" spans="1:5" ht="13.2">
      <c r="A11" s="206" t="s">
        <v>123</v>
      </c>
      <c r="B11" s="231" t="s">
        <v>361</v>
      </c>
      <c r="C11" s="232" t="s">
        <v>101</v>
      </c>
      <c r="D11" s="232" t="s">
        <v>838</v>
      </c>
      <c r="E11" s="232" t="s">
        <v>101</v>
      </c>
    </row>
    <row r="12" spans="1:5" ht="22.8">
      <c r="A12" s="177" t="s">
        <v>362</v>
      </c>
      <c r="B12" s="233" t="s">
        <v>363</v>
      </c>
      <c r="C12" s="232" t="s">
        <v>101</v>
      </c>
      <c r="D12" s="232" t="s">
        <v>101</v>
      </c>
      <c r="E12" s="232" t="s">
        <v>101</v>
      </c>
    </row>
    <row r="13" spans="1:5" ht="13.2">
      <c r="A13" s="206" t="s">
        <v>128</v>
      </c>
      <c r="B13" s="231"/>
      <c r="C13" s="232" t="s">
        <v>130</v>
      </c>
      <c r="D13" s="232" t="s">
        <v>130</v>
      </c>
      <c r="E13" s="232" t="s">
        <v>130</v>
      </c>
    </row>
    <row r="14" spans="1:5" ht="13.2">
      <c r="A14" s="206" t="s">
        <v>135</v>
      </c>
      <c r="B14" s="231" t="s">
        <v>369</v>
      </c>
      <c r="C14" s="234" t="s">
        <v>273</v>
      </c>
      <c r="D14" s="234" t="s">
        <v>839</v>
      </c>
      <c r="E14" s="234" t="s">
        <v>273</v>
      </c>
    </row>
    <row r="15" spans="1:5" ht="22.8">
      <c r="A15" s="206" t="s">
        <v>277</v>
      </c>
      <c r="B15" s="231"/>
      <c r="C15" s="235" t="s">
        <v>432</v>
      </c>
      <c r="D15" s="235" t="s">
        <v>432</v>
      </c>
      <c r="E15" s="235" t="s">
        <v>432</v>
      </c>
    </row>
    <row r="16" spans="1:5" ht="13.2">
      <c r="A16" s="206" t="s">
        <v>167</v>
      </c>
      <c r="B16" s="231"/>
      <c r="C16" s="234" t="s">
        <v>160</v>
      </c>
      <c r="D16" s="234" t="s">
        <v>840</v>
      </c>
      <c r="E16" s="234" t="s">
        <v>160</v>
      </c>
    </row>
    <row r="17" spans="1:5" ht="22.8">
      <c r="A17" s="206" t="s">
        <v>172</v>
      </c>
      <c r="B17" s="231"/>
      <c r="C17" s="234" t="s">
        <v>439</v>
      </c>
      <c r="D17" s="234" t="s">
        <v>439</v>
      </c>
      <c r="E17" s="234" t="s">
        <v>857</v>
      </c>
    </row>
    <row r="18" spans="1:5" ht="22.8">
      <c r="A18" s="178" t="s">
        <v>178</v>
      </c>
      <c r="B18" s="233" t="s">
        <v>179</v>
      </c>
      <c r="C18" s="232" t="s">
        <v>101</v>
      </c>
      <c r="D18" s="232" t="s">
        <v>101</v>
      </c>
      <c r="E18" s="232" t="s">
        <v>101</v>
      </c>
    </row>
    <row r="19" spans="1:5" ht="68.400000000000006">
      <c r="A19" s="206" t="s">
        <v>181</v>
      </c>
      <c r="B19" s="233" t="s">
        <v>182</v>
      </c>
      <c r="C19" s="234" t="s">
        <v>305</v>
      </c>
      <c r="D19" s="234" t="s">
        <v>305</v>
      </c>
      <c r="E19" s="234" t="s">
        <v>860</v>
      </c>
    </row>
    <row r="20" spans="1:5" ht="137.4">
      <c r="A20" s="182" t="s">
        <v>212</v>
      </c>
      <c r="B20" s="236" t="s">
        <v>213</v>
      </c>
      <c r="C20" s="179" t="s">
        <v>473</v>
      </c>
      <c r="D20" s="176" t="s">
        <v>448</v>
      </c>
      <c r="E20" s="179" t="s">
        <v>862</v>
      </c>
    </row>
    <row r="21" spans="1:5" ht="137.4">
      <c r="A21" s="182" t="s">
        <v>222</v>
      </c>
      <c r="B21" s="236" t="s">
        <v>223</v>
      </c>
      <c r="C21" s="177" t="s">
        <v>452</v>
      </c>
      <c r="D21" s="177" t="s">
        <v>455</v>
      </c>
      <c r="E21" s="177" t="s">
        <v>452</v>
      </c>
    </row>
    <row r="22" spans="1:5" ht="13.2">
      <c r="A22" s="182" t="s">
        <v>330</v>
      </c>
      <c r="B22" s="236">
        <v>1</v>
      </c>
      <c r="C22" s="232" t="s">
        <v>101</v>
      </c>
      <c r="D22" s="232" t="s">
        <v>101</v>
      </c>
      <c r="E22" s="232" t="s">
        <v>101</v>
      </c>
    </row>
    <row r="23" spans="1:5" ht="22.8">
      <c r="A23" s="182" t="s">
        <v>331</v>
      </c>
      <c r="B23" s="236"/>
      <c r="C23" s="179" t="s">
        <v>332</v>
      </c>
      <c r="D23" s="179" t="s">
        <v>332</v>
      </c>
      <c r="E23" s="179" t="s">
        <v>332</v>
      </c>
    </row>
    <row r="24" spans="1:5" ht="13.2">
      <c r="A24" s="178" t="s">
        <v>235</v>
      </c>
      <c r="B24" s="231" t="s">
        <v>236</v>
      </c>
      <c r="C24" s="232" t="s">
        <v>101</v>
      </c>
      <c r="D24" s="232" t="s">
        <v>101</v>
      </c>
      <c r="E24" s="232" t="s">
        <v>101</v>
      </c>
    </row>
    <row r="25" spans="1:5" ht="13.2">
      <c r="A25" s="178" t="s">
        <v>237</v>
      </c>
      <c r="B25" s="231" t="s">
        <v>238</v>
      </c>
      <c r="C25" s="232" t="s">
        <v>101</v>
      </c>
      <c r="D25" s="232" t="s">
        <v>101</v>
      </c>
      <c r="E25" s="232" t="s">
        <v>101</v>
      </c>
    </row>
    <row r="26" spans="1:5" ht="13.2">
      <c r="A26" s="178" t="s">
        <v>240</v>
      </c>
      <c r="B26" s="231"/>
      <c r="C26" s="232" t="s">
        <v>241</v>
      </c>
      <c r="D26" s="232" t="s">
        <v>241</v>
      </c>
      <c r="E26" s="232" t="s">
        <v>241</v>
      </c>
    </row>
    <row r="27" spans="1:5" ht="13.2">
      <c r="A27" s="178" t="s">
        <v>336</v>
      </c>
      <c r="B27" s="231"/>
      <c r="C27" s="179" t="s">
        <v>337</v>
      </c>
      <c r="D27" s="179" t="s">
        <v>842</v>
      </c>
      <c r="E27" s="179" t="s">
        <v>337</v>
      </c>
    </row>
    <row r="28" spans="1:5" ht="45.6">
      <c r="A28" s="178" t="s">
        <v>344</v>
      </c>
      <c r="B28" s="237"/>
      <c r="C28" s="176" t="s">
        <v>460</v>
      </c>
      <c r="D28" s="176" t="s">
        <v>460</v>
      </c>
      <c r="E28" s="176" t="s">
        <v>460</v>
      </c>
    </row>
    <row r="29" spans="1:5">
      <c r="B29" s="238"/>
      <c r="C29" s="178"/>
      <c r="D29" s="178"/>
      <c r="E29" s="178"/>
    </row>
    <row r="30" spans="1:5" ht="13.2">
      <c r="A30" s="226" t="s">
        <v>245</v>
      </c>
      <c r="B30" s="239" t="s">
        <v>92</v>
      </c>
      <c r="C30" s="178"/>
      <c r="D30" s="178"/>
      <c r="E30" s="178"/>
    </row>
    <row r="31" spans="1:5" ht="13.2">
      <c r="A31" s="191" t="s">
        <v>247</v>
      </c>
      <c r="B31" s="240">
        <v>1</v>
      </c>
      <c r="C31" s="232" t="s">
        <v>101</v>
      </c>
      <c r="D31" s="232" t="s">
        <v>101</v>
      </c>
      <c r="E31" s="232" t="s">
        <v>101</v>
      </c>
    </row>
    <row r="32" spans="1:5" ht="23.4">
      <c r="A32" s="191" t="s">
        <v>248</v>
      </c>
      <c r="B32" s="240" t="s">
        <v>463</v>
      </c>
      <c r="C32" s="232" t="s">
        <v>101</v>
      </c>
      <c r="D32" s="232" t="s">
        <v>101</v>
      </c>
      <c r="E32" s="232" t="s">
        <v>101</v>
      </c>
    </row>
    <row r="33" spans="1:5" ht="23.4">
      <c r="A33" s="191" t="s">
        <v>251</v>
      </c>
      <c r="B33" s="240" t="s">
        <v>413</v>
      </c>
      <c r="C33" s="232" t="s">
        <v>101</v>
      </c>
      <c r="D33" s="232" t="s">
        <v>101</v>
      </c>
      <c r="E33" s="232" t="s">
        <v>101</v>
      </c>
    </row>
    <row r="34" spans="1:5" ht="13.2">
      <c r="A34" s="191" t="s">
        <v>253</v>
      </c>
      <c r="B34" s="241"/>
      <c r="C34" s="232">
        <v>1</v>
      </c>
      <c r="D34" s="232">
        <v>0</v>
      </c>
      <c r="E34" s="232">
        <v>1</v>
      </c>
    </row>
    <row r="35" spans="1:5" ht="69">
      <c r="A35" s="240" t="s">
        <v>254</v>
      </c>
      <c r="B35" s="242" t="s">
        <v>255</v>
      </c>
      <c r="C35" s="232" t="s">
        <v>101</v>
      </c>
      <c r="D35" s="232" t="s">
        <v>101</v>
      </c>
      <c r="E35" s="232" t="s">
        <v>101</v>
      </c>
    </row>
    <row r="36" spans="1:5" ht="13.2">
      <c r="A36" s="191" t="s">
        <v>256</v>
      </c>
      <c r="B36" s="236" t="s">
        <v>257</v>
      </c>
      <c r="C36" s="232" t="s">
        <v>101</v>
      </c>
      <c r="D36" s="232" t="s">
        <v>101</v>
      </c>
      <c r="E36" s="232" t="s">
        <v>101</v>
      </c>
    </row>
    <row r="37" spans="1:5" ht="148.80000000000001">
      <c r="A37" s="240" t="s">
        <v>258</v>
      </c>
      <c r="B37" s="243" t="s">
        <v>414</v>
      </c>
      <c r="C37" s="179" t="s">
        <v>472</v>
      </c>
      <c r="D37" s="232" t="s">
        <v>101</v>
      </c>
      <c r="E37" s="179" t="s">
        <v>853</v>
      </c>
    </row>
    <row r="38" spans="1:5" ht="103.2">
      <c r="A38" s="240" t="s">
        <v>259</v>
      </c>
      <c r="B38" s="243" t="s">
        <v>420</v>
      </c>
      <c r="C38" s="179" t="s">
        <v>421</v>
      </c>
      <c r="D38" s="232" t="s">
        <v>101</v>
      </c>
      <c r="E38" s="179" t="s">
        <v>858</v>
      </c>
    </row>
    <row r="39" spans="1:5" ht="23.4">
      <c r="A39" s="240" t="s">
        <v>260</v>
      </c>
      <c r="B39" s="243" t="s">
        <v>426</v>
      </c>
      <c r="C39" s="232" t="s">
        <v>101</v>
      </c>
      <c r="D39" s="232" t="s">
        <v>101</v>
      </c>
      <c r="E39" s="232" t="s">
        <v>101</v>
      </c>
    </row>
    <row r="40" spans="1:5" ht="34.799999999999997">
      <c r="A40" s="240" t="s">
        <v>262</v>
      </c>
      <c r="B40" s="243" t="s">
        <v>427</v>
      </c>
      <c r="C40" s="232" t="s">
        <v>101</v>
      </c>
      <c r="D40" s="232" t="s">
        <v>101</v>
      </c>
      <c r="E40" s="232" t="s">
        <v>101</v>
      </c>
    </row>
    <row r="41" spans="1:5" ht="23.4">
      <c r="A41" s="240" t="s">
        <v>263</v>
      </c>
      <c r="B41" s="236" t="s">
        <v>428</v>
      </c>
      <c r="C41" s="232" t="s">
        <v>101</v>
      </c>
      <c r="D41" s="232" t="s">
        <v>101</v>
      </c>
      <c r="E41" s="232" t="s">
        <v>101</v>
      </c>
    </row>
    <row r="42" spans="1:5">
      <c r="A42" s="244" t="s">
        <v>264</v>
      </c>
      <c r="B42" s="165"/>
    </row>
  </sheetData>
  <phoneticPr fontId="21" type="noConversion"/>
  <pageMargins left="0.69930555555555596" right="0.69930555555555596"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D68"/>
  <sheetViews>
    <sheetView topLeftCell="V1" workbookViewId="0">
      <selection activeCell="AC9" sqref="AC9"/>
    </sheetView>
  </sheetViews>
  <sheetFormatPr defaultColWidth="9.44140625" defaultRowHeight="15.6"/>
  <cols>
    <col min="1" max="1" width="10.44140625" style="165" customWidth="1"/>
    <col min="2" max="2" width="29.44140625" style="165" customWidth="1"/>
    <col min="3" max="3" width="26" style="165" customWidth="1"/>
    <col min="4" max="4" width="29.109375" style="166" customWidth="1"/>
    <col min="5" max="5" width="28.109375" style="166" customWidth="1"/>
    <col min="6" max="7" width="31.44140625" style="166" customWidth="1"/>
    <col min="8" max="8" width="29.109375" style="166" customWidth="1"/>
    <col min="9" max="9" width="28.109375" style="166" customWidth="1"/>
    <col min="10" max="14" width="31.44140625" style="166" customWidth="1"/>
    <col min="15" max="15" width="29.44140625" style="166" customWidth="1"/>
    <col min="16" max="16" width="28.44140625" style="166" customWidth="1"/>
    <col min="17" max="19" width="31.44140625" style="166" customWidth="1"/>
    <col min="20" max="21" width="31.44140625" style="204" customWidth="1"/>
    <col min="22" max="22" width="31.44140625" style="166" customWidth="1"/>
    <col min="23" max="27" width="29.44140625" style="165" customWidth="1"/>
    <col min="28" max="28" width="29.109375" style="166" customWidth="1"/>
    <col min="29" max="30" width="28.109375" style="166" customWidth="1"/>
    <col min="31" max="16384" width="9.44140625" style="165"/>
  </cols>
  <sheetData>
    <row r="1" spans="1:30" ht="55.2">
      <c r="A1" s="558" t="s">
        <v>90</v>
      </c>
      <c r="B1" s="559"/>
      <c r="C1" s="169" t="s">
        <v>474</v>
      </c>
      <c r="V1"/>
    </row>
    <row r="2" spans="1:30" ht="14.25" customHeight="1">
      <c r="A2" s="558" t="s">
        <v>475</v>
      </c>
      <c r="B2" s="559"/>
      <c r="C2" s="569" t="s">
        <v>92</v>
      </c>
      <c r="D2" s="520" t="s">
        <v>5</v>
      </c>
      <c r="E2" s="521"/>
      <c r="F2" s="171" t="s">
        <v>12</v>
      </c>
      <c r="G2" s="171" t="s">
        <v>14</v>
      </c>
      <c r="H2" s="520" t="s">
        <v>16</v>
      </c>
      <c r="I2" s="521"/>
      <c r="J2" s="171" t="s">
        <v>21</v>
      </c>
      <c r="K2" s="194" t="s">
        <v>24</v>
      </c>
      <c r="L2" s="520" t="s">
        <v>25</v>
      </c>
      <c r="M2" s="521"/>
      <c r="N2" s="171" t="s">
        <v>26</v>
      </c>
      <c r="O2" s="520" t="s">
        <v>27</v>
      </c>
      <c r="P2" s="521"/>
      <c r="Q2" s="520" t="s">
        <v>29</v>
      </c>
      <c r="R2" s="521"/>
      <c r="S2" s="424" t="s">
        <v>804</v>
      </c>
      <c r="T2" s="518" t="s">
        <v>33</v>
      </c>
      <c r="U2" s="519"/>
      <c r="V2" s="171" t="s">
        <v>36</v>
      </c>
      <c r="W2" s="520" t="s">
        <v>37</v>
      </c>
      <c r="X2" s="521"/>
      <c r="Y2" s="212" t="s">
        <v>93</v>
      </c>
      <c r="Z2" s="212" t="s">
        <v>93</v>
      </c>
      <c r="AA2" s="222" t="s">
        <v>80</v>
      </c>
      <c r="AB2" s="560" t="s">
        <v>17</v>
      </c>
      <c r="AC2" s="561"/>
      <c r="AD2" s="453"/>
    </row>
    <row r="3" spans="1:30">
      <c r="A3" s="572"/>
      <c r="B3" s="573"/>
      <c r="C3" s="570"/>
      <c r="D3" s="171" t="s">
        <v>103</v>
      </c>
      <c r="E3" s="171" t="s">
        <v>104</v>
      </c>
      <c r="F3" s="173" t="s">
        <v>103</v>
      </c>
      <c r="G3" s="171" t="s">
        <v>103</v>
      </c>
      <c r="H3" s="171" t="s">
        <v>103</v>
      </c>
      <c r="I3" s="171" t="s">
        <v>104</v>
      </c>
      <c r="J3" s="171" t="s">
        <v>103</v>
      </c>
      <c r="K3" s="171" t="s">
        <v>103</v>
      </c>
      <c r="L3" s="171" t="s">
        <v>103</v>
      </c>
      <c r="M3" s="171" t="s">
        <v>104</v>
      </c>
      <c r="N3" s="171" t="s">
        <v>103</v>
      </c>
      <c r="O3" s="171" t="s">
        <v>103</v>
      </c>
      <c r="P3" s="171" t="s">
        <v>104</v>
      </c>
      <c r="Q3" s="171" t="s">
        <v>103</v>
      </c>
      <c r="R3" s="171" t="s">
        <v>104</v>
      </c>
      <c r="S3" s="425" t="s">
        <v>104</v>
      </c>
      <c r="T3" s="213" t="s">
        <v>103</v>
      </c>
      <c r="U3" s="213" t="s">
        <v>104</v>
      </c>
      <c r="V3" s="171" t="s">
        <v>104</v>
      </c>
      <c r="W3" s="171" t="s">
        <v>827</v>
      </c>
      <c r="X3" s="171" t="s">
        <v>823</v>
      </c>
      <c r="Y3" s="171" t="s">
        <v>103</v>
      </c>
      <c r="Z3" s="171" t="s">
        <v>104</v>
      </c>
      <c r="AA3" s="173" t="s">
        <v>103</v>
      </c>
      <c r="AB3" s="428" t="s">
        <v>103</v>
      </c>
      <c r="AC3" s="428" t="s">
        <v>104</v>
      </c>
      <c r="AD3" s="453"/>
    </row>
    <row r="4" spans="1:30">
      <c r="A4" s="574" t="s">
        <v>476</v>
      </c>
      <c r="B4" s="205" t="s">
        <v>477</v>
      </c>
      <c r="C4" s="180"/>
      <c r="D4" s="176" t="s">
        <v>478</v>
      </c>
      <c r="E4" s="176" t="s">
        <v>478</v>
      </c>
      <c r="F4" s="176" t="s">
        <v>478</v>
      </c>
      <c r="G4" s="176" t="s">
        <v>478</v>
      </c>
      <c r="H4" s="176" t="s">
        <v>478</v>
      </c>
      <c r="I4" s="176" t="s">
        <v>478</v>
      </c>
      <c r="J4" s="176" t="s">
        <v>478</v>
      </c>
      <c r="K4" s="176" t="s">
        <v>478</v>
      </c>
      <c r="L4" s="208" t="s">
        <v>479</v>
      </c>
      <c r="M4" s="208" t="s">
        <v>479</v>
      </c>
      <c r="N4" s="176" t="s">
        <v>478</v>
      </c>
      <c r="O4" s="176" t="s">
        <v>478</v>
      </c>
      <c r="P4" s="176" t="s">
        <v>478</v>
      </c>
      <c r="Q4" s="176" t="s">
        <v>478</v>
      </c>
      <c r="R4" s="176" t="s">
        <v>478</v>
      </c>
      <c r="S4" s="176" t="s">
        <v>805</v>
      </c>
      <c r="T4" s="214" t="s">
        <v>478</v>
      </c>
      <c r="U4" s="214" t="s">
        <v>478</v>
      </c>
      <c r="V4" s="176" t="s">
        <v>478</v>
      </c>
      <c r="W4" s="176" t="s">
        <v>478</v>
      </c>
      <c r="X4" s="176"/>
      <c r="Y4" s="176" t="s">
        <v>478</v>
      </c>
      <c r="Z4" s="176"/>
      <c r="AA4" s="199" t="s">
        <v>478</v>
      </c>
      <c r="AB4" s="202" t="s">
        <v>478</v>
      </c>
      <c r="AC4" s="202" t="s">
        <v>478</v>
      </c>
      <c r="AD4" s="454"/>
    </row>
    <row r="5" spans="1:30">
      <c r="A5" s="575"/>
      <c r="B5" s="205" t="s">
        <v>480</v>
      </c>
      <c r="C5" s="180"/>
      <c r="D5" s="199" t="s">
        <v>481</v>
      </c>
      <c r="E5" s="199" t="s">
        <v>481</v>
      </c>
      <c r="F5" s="199" t="s">
        <v>481</v>
      </c>
      <c r="G5" s="199" t="s">
        <v>481</v>
      </c>
      <c r="H5" s="199" t="s">
        <v>481</v>
      </c>
      <c r="I5" s="199" t="s">
        <v>481</v>
      </c>
      <c r="J5" s="199" t="s">
        <v>481</v>
      </c>
      <c r="K5" s="199" t="s">
        <v>481</v>
      </c>
      <c r="L5" s="208" t="s">
        <v>482</v>
      </c>
      <c r="M5" s="208" t="s">
        <v>482</v>
      </c>
      <c r="N5" s="199" t="s">
        <v>481</v>
      </c>
      <c r="O5" s="199" t="s">
        <v>481</v>
      </c>
      <c r="P5" s="199" t="s">
        <v>481</v>
      </c>
      <c r="Q5" s="199" t="s">
        <v>481</v>
      </c>
      <c r="R5" s="199" t="s">
        <v>481</v>
      </c>
      <c r="S5" s="177" t="s">
        <v>806</v>
      </c>
      <c r="T5" s="215" t="s">
        <v>483</v>
      </c>
      <c r="U5" s="215" t="s">
        <v>483</v>
      </c>
      <c r="V5" s="199" t="s">
        <v>481</v>
      </c>
      <c r="W5" s="199" t="s">
        <v>481</v>
      </c>
      <c r="X5" s="199"/>
      <c r="Y5" s="199" t="s">
        <v>481</v>
      </c>
      <c r="Z5" s="199"/>
      <c r="AA5" s="199" t="s">
        <v>481</v>
      </c>
      <c r="AB5" s="202" t="s">
        <v>481</v>
      </c>
      <c r="AC5" s="202" t="s">
        <v>481</v>
      </c>
      <c r="AD5" s="454"/>
    </row>
    <row r="6" spans="1:30" ht="68.400000000000006">
      <c r="A6" s="575"/>
      <c r="B6" s="174" t="s">
        <v>484</v>
      </c>
      <c r="C6" s="177"/>
      <c r="D6" s="177" t="s">
        <v>485</v>
      </c>
      <c r="E6" s="177" t="s">
        <v>485</v>
      </c>
      <c r="F6" s="177" t="s">
        <v>486</v>
      </c>
      <c r="G6" s="177" t="s">
        <v>485</v>
      </c>
      <c r="H6" s="177" t="s">
        <v>487</v>
      </c>
      <c r="I6" s="209" t="s">
        <v>488</v>
      </c>
      <c r="J6" s="177" t="s">
        <v>485</v>
      </c>
      <c r="K6" s="177" t="s">
        <v>485</v>
      </c>
      <c r="L6" s="210" t="s">
        <v>489</v>
      </c>
      <c r="M6" s="210" t="s">
        <v>490</v>
      </c>
      <c r="N6" s="177" t="s">
        <v>485</v>
      </c>
      <c r="O6" s="177" t="s">
        <v>485</v>
      </c>
      <c r="P6" s="209" t="s">
        <v>491</v>
      </c>
      <c r="Q6" s="177" t="s">
        <v>492</v>
      </c>
      <c r="R6" s="177" t="s">
        <v>493</v>
      </c>
      <c r="S6" s="177" t="s">
        <v>494</v>
      </c>
      <c r="T6" s="216" t="s">
        <v>485</v>
      </c>
      <c r="U6" s="215" t="s">
        <v>495</v>
      </c>
      <c r="V6" s="209" t="s">
        <v>491</v>
      </c>
      <c r="W6" s="177" t="s">
        <v>485</v>
      </c>
      <c r="X6" s="177"/>
      <c r="Y6" s="177" t="s">
        <v>485</v>
      </c>
      <c r="Z6" s="177" t="s">
        <v>485</v>
      </c>
      <c r="AA6" s="209" t="s">
        <v>485</v>
      </c>
      <c r="AB6" s="429" t="s">
        <v>485</v>
      </c>
      <c r="AC6" s="429" t="s">
        <v>485</v>
      </c>
      <c r="AD6" s="455"/>
    </row>
    <row r="7" spans="1:30" ht="22.8">
      <c r="A7" s="575"/>
      <c r="B7" s="174" t="s">
        <v>496</v>
      </c>
      <c r="C7" s="177"/>
      <c r="D7" s="177" t="s">
        <v>497</v>
      </c>
      <c r="E7" s="177" t="s">
        <v>497</v>
      </c>
      <c r="F7" s="178" t="s">
        <v>160</v>
      </c>
      <c r="G7" s="177" t="s">
        <v>498</v>
      </c>
      <c r="H7" s="177" t="s">
        <v>499</v>
      </c>
      <c r="I7" s="177" t="s">
        <v>499</v>
      </c>
      <c r="J7" s="178" t="s">
        <v>160</v>
      </c>
      <c r="K7" s="177" t="s">
        <v>497</v>
      </c>
      <c r="L7" s="211" t="s">
        <v>500</v>
      </c>
      <c r="M7" s="211" t="s">
        <v>500</v>
      </c>
      <c r="N7" s="177" t="s">
        <v>497</v>
      </c>
      <c r="O7" s="177" t="s">
        <v>497</v>
      </c>
      <c r="P7" s="177" t="s">
        <v>497</v>
      </c>
      <c r="Q7" s="176" t="s">
        <v>501</v>
      </c>
      <c r="R7" s="176" t="s">
        <v>501</v>
      </c>
      <c r="S7" s="426" t="s">
        <v>160</v>
      </c>
      <c r="T7" s="216" t="s">
        <v>497</v>
      </c>
      <c r="U7" s="215" t="s">
        <v>160</v>
      </c>
      <c r="V7" s="177" t="s">
        <v>497</v>
      </c>
      <c r="W7" s="177" t="s">
        <v>497</v>
      </c>
      <c r="X7" s="177"/>
      <c r="Y7" s="177" t="s">
        <v>502</v>
      </c>
      <c r="Z7" s="177" t="s">
        <v>502</v>
      </c>
      <c r="AA7" s="209" t="s">
        <v>497</v>
      </c>
      <c r="AB7" s="429" t="s">
        <v>497</v>
      </c>
      <c r="AC7" s="429" t="s">
        <v>497</v>
      </c>
      <c r="AD7" s="455"/>
    </row>
    <row r="8" spans="1:30">
      <c r="A8" s="575"/>
      <c r="B8" s="174" t="s">
        <v>503</v>
      </c>
      <c r="C8" s="177"/>
      <c r="D8" s="206" t="s">
        <v>504</v>
      </c>
      <c r="E8" s="206" t="s">
        <v>504</v>
      </c>
      <c r="F8" s="206" t="s">
        <v>504</v>
      </c>
      <c r="G8" s="178" t="s">
        <v>505</v>
      </c>
      <c r="H8" s="206" t="s">
        <v>506</v>
      </c>
      <c r="I8" s="206" t="s">
        <v>506</v>
      </c>
      <c r="J8" s="206" t="s">
        <v>504</v>
      </c>
      <c r="K8" s="206" t="s">
        <v>504</v>
      </c>
      <c r="L8" s="208" t="s">
        <v>507</v>
      </c>
      <c r="M8" s="208" t="s">
        <v>507</v>
      </c>
      <c r="N8" s="206" t="s">
        <v>504</v>
      </c>
      <c r="O8" s="206" t="s">
        <v>504</v>
      </c>
      <c r="P8" s="206" t="s">
        <v>504</v>
      </c>
      <c r="Q8" s="206" t="s">
        <v>504</v>
      </c>
      <c r="R8" s="206" t="s">
        <v>504</v>
      </c>
      <c r="S8" s="206" t="s">
        <v>807</v>
      </c>
      <c r="T8" s="217" t="s">
        <v>504</v>
      </c>
      <c r="U8" s="217" t="s">
        <v>504</v>
      </c>
      <c r="V8" s="206" t="s">
        <v>504</v>
      </c>
      <c r="W8" s="206" t="s">
        <v>504</v>
      </c>
      <c r="X8" s="206"/>
      <c r="Y8" s="206" t="s">
        <v>508</v>
      </c>
      <c r="Z8" s="206" t="s">
        <v>508</v>
      </c>
      <c r="AA8" s="223" t="s">
        <v>504</v>
      </c>
      <c r="AB8" s="430" t="s">
        <v>810</v>
      </c>
      <c r="AC8" s="430" t="s">
        <v>810</v>
      </c>
      <c r="AD8" s="456"/>
    </row>
    <row r="9" spans="1:30" ht="52.8">
      <c r="A9" s="575"/>
      <c r="B9" s="174" t="s">
        <v>509</v>
      </c>
      <c r="C9" s="177"/>
      <c r="D9" s="177" t="s">
        <v>510</v>
      </c>
      <c r="E9" s="177" t="s">
        <v>510</v>
      </c>
      <c r="F9" s="177" t="s">
        <v>511</v>
      </c>
      <c r="G9" s="177" t="s">
        <v>512</v>
      </c>
      <c r="H9" s="207" t="s">
        <v>513</v>
      </c>
      <c r="I9" s="207" t="s">
        <v>513</v>
      </c>
      <c r="J9" s="177" t="s">
        <v>514</v>
      </c>
      <c r="K9" s="177" t="s">
        <v>510</v>
      </c>
      <c r="L9" s="210" t="s">
        <v>515</v>
      </c>
      <c r="M9" s="210" t="s">
        <v>515</v>
      </c>
      <c r="N9" s="177" t="s">
        <v>510</v>
      </c>
      <c r="O9" s="177" t="s">
        <v>510</v>
      </c>
      <c r="P9" s="177" t="s">
        <v>516</v>
      </c>
      <c r="Q9" s="218" t="s">
        <v>517</v>
      </c>
      <c r="R9" s="218" t="s">
        <v>518</v>
      </c>
      <c r="S9" s="177" t="s">
        <v>510</v>
      </c>
      <c r="T9" s="216" t="s">
        <v>519</v>
      </c>
      <c r="U9" s="216" t="s">
        <v>519</v>
      </c>
      <c r="V9" s="177" t="s">
        <v>510</v>
      </c>
      <c r="W9" s="177" t="s">
        <v>510</v>
      </c>
      <c r="X9" s="177"/>
      <c r="Y9" s="177" t="s">
        <v>510</v>
      </c>
      <c r="Z9" s="177" t="s">
        <v>510</v>
      </c>
      <c r="AA9" s="209" t="s">
        <v>510</v>
      </c>
      <c r="AB9" s="429" t="s">
        <v>510</v>
      </c>
      <c r="AC9" s="429" t="s">
        <v>510</v>
      </c>
      <c r="AD9" s="455"/>
    </row>
    <row r="10" spans="1:30">
      <c r="A10" s="576"/>
      <c r="B10" s="174" t="s">
        <v>520</v>
      </c>
      <c r="C10" s="177"/>
      <c r="D10" s="206" t="s">
        <v>160</v>
      </c>
      <c r="E10" s="206" t="s">
        <v>478</v>
      </c>
      <c r="F10" s="206" t="s">
        <v>160</v>
      </c>
      <c r="G10" s="206" t="s">
        <v>160</v>
      </c>
      <c r="H10" s="206" t="s">
        <v>160</v>
      </c>
      <c r="I10" s="206" t="s">
        <v>160</v>
      </c>
      <c r="J10" s="206" t="s">
        <v>160</v>
      </c>
      <c r="K10" s="206" t="s">
        <v>160</v>
      </c>
      <c r="L10" s="178" t="s">
        <v>160</v>
      </c>
      <c r="M10" s="178" t="s">
        <v>160</v>
      </c>
      <c r="N10" s="206" t="s">
        <v>160</v>
      </c>
      <c r="O10" s="206" t="s">
        <v>160</v>
      </c>
      <c r="P10" s="206" t="s">
        <v>478</v>
      </c>
      <c r="Q10" s="206" t="s">
        <v>160</v>
      </c>
      <c r="R10" s="206" t="s">
        <v>521</v>
      </c>
      <c r="S10" s="177" t="s">
        <v>808</v>
      </c>
      <c r="T10" s="217" t="s">
        <v>160</v>
      </c>
      <c r="U10" s="217" t="s">
        <v>478</v>
      </c>
      <c r="V10" s="206" t="s">
        <v>478</v>
      </c>
      <c r="W10" s="206" t="s">
        <v>160</v>
      </c>
      <c r="X10" s="206"/>
      <c r="Y10" s="206" t="s">
        <v>160</v>
      </c>
      <c r="Z10" s="206" t="s">
        <v>478</v>
      </c>
      <c r="AA10" s="223" t="s">
        <v>160</v>
      </c>
      <c r="AB10" s="430" t="s">
        <v>160</v>
      </c>
      <c r="AC10" s="430" t="s">
        <v>478</v>
      </c>
      <c r="AD10" s="456"/>
    </row>
    <row r="11" spans="1:30" ht="16.5" customHeight="1">
      <c r="A11" s="574" t="s">
        <v>522</v>
      </c>
      <c r="B11" s="205" t="s">
        <v>477</v>
      </c>
      <c r="C11" s="177"/>
      <c r="D11" s="176" t="s">
        <v>478</v>
      </c>
      <c r="E11" s="176" t="s">
        <v>478</v>
      </c>
      <c r="F11" s="176" t="s">
        <v>478</v>
      </c>
      <c r="G11" s="178"/>
      <c r="H11" s="176" t="s">
        <v>478</v>
      </c>
      <c r="I11" s="176" t="s">
        <v>478</v>
      </c>
      <c r="J11" s="176" t="s">
        <v>523</v>
      </c>
      <c r="K11" s="176" t="s">
        <v>478</v>
      </c>
      <c r="L11" s="178"/>
      <c r="M11" s="178"/>
      <c r="N11" s="176" t="s">
        <v>478</v>
      </c>
      <c r="O11" s="176" t="s">
        <v>478</v>
      </c>
      <c r="P11" s="176" t="s">
        <v>478</v>
      </c>
      <c r="Q11" s="206" t="s">
        <v>160</v>
      </c>
      <c r="R11" s="206" t="s">
        <v>160</v>
      </c>
      <c r="S11" s="206" t="s">
        <v>809</v>
      </c>
      <c r="T11" s="214" t="s">
        <v>478</v>
      </c>
      <c r="U11" s="217" t="s">
        <v>478</v>
      </c>
      <c r="V11" s="206" t="s">
        <v>160</v>
      </c>
      <c r="W11" s="176" t="s">
        <v>478</v>
      </c>
      <c r="X11" s="176" t="s">
        <v>478</v>
      </c>
      <c r="Y11" s="206" t="s">
        <v>160</v>
      </c>
      <c r="Z11" s="176" t="s">
        <v>478</v>
      </c>
      <c r="AA11" s="199" t="s">
        <v>478</v>
      </c>
      <c r="AB11" s="202" t="s">
        <v>478</v>
      </c>
      <c r="AC11" s="202" t="s">
        <v>478</v>
      </c>
      <c r="AD11" s="454"/>
    </row>
    <row r="12" spans="1:30">
      <c r="A12" s="575"/>
      <c r="B12" s="205" t="s">
        <v>480</v>
      </c>
      <c r="C12" s="177"/>
      <c r="D12" s="206" t="s">
        <v>160</v>
      </c>
      <c r="E12" s="176" t="s">
        <v>481</v>
      </c>
      <c r="F12" s="199" t="s">
        <v>481</v>
      </c>
      <c r="G12" s="178"/>
      <c r="H12" s="206" t="s">
        <v>160</v>
      </c>
      <c r="I12" s="176" t="s">
        <v>483</v>
      </c>
      <c r="J12" s="199" t="s">
        <v>524</v>
      </c>
      <c r="K12" s="206" t="s">
        <v>160</v>
      </c>
      <c r="L12" s="178"/>
      <c r="M12" s="178"/>
      <c r="N12" s="206" t="s">
        <v>160</v>
      </c>
      <c r="O12" s="206" t="s">
        <v>160</v>
      </c>
      <c r="P12" s="176" t="s">
        <v>481</v>
      </c>
      <c r="Q12" s="206" t="s">
        <v>160</v>
      </c>
      <c r="R12" s="206" t="s">
        <v>160</v>
      </c>
      <c r="S12" s="206" t="s">
        <v>809</v>
      </c>
      <c r="T12" s="217" t="s">
        <v>160</v>
      </c>
      <c r="U12" s="219" t="s">
        <v>483</v>
      </c>
      <c r="V12" s="206" t="s">
        <v>160</v>
      </c>
      <c r="W12" s="206" t="s">
        <v>160</v>
      </c>
      <c r="X12" s="176" t="s">
        <v>483</v>
      </c>
      <c r="Y12" s="206" t="s">
        <v>160</v>
      </c>
      <c r="Z12" s="199" t="s">
        <v>481</v>
      </c>
      <c r="AA12" s="223" t="s">
        <v>160</v>
      </c>
      <c r="AB12" s="202" t="s">
        <v>483</v>
      </c>
      <c r="AC12" s="202" t="s">
        <v>483</v>
      </c>
      <c r="AD12" s="454"/>
    </row>
    <row r="13" spans="1:30" ht="34.200000000000003">
      <c r="A13" s="575"/>
      <c r="B13" s="174" t="s">
        <v>484</v>
      </c>
      <c r="C13" s="177"/>
      <c r="D13" s="206" t="s">
        <v>160</v>
      </c>
      <c r="E13" s="177" t="s">
        <v>525</v>
      </c>
      <c r="F13" s="177" t="s">
        <v>526</v>
      </c>
      <c r="G13" s="178"/>
      <c r="H13" s="206" t="s">
        <v>160</v>
      </c>
      <c r="I13" s="177" t="s">
        <v>527</v>
      </c>
      <c r="J13" s="177" t="s">
        <v>485</v>
      </c>
      <c r="K13" s="206" t="s">
        <v>160</v>
      </c>
      <c r="L13" s="178"/>
      <c r="M13" s="178"/>
      <c r="N13" s="206" t="s">
        <v>160</v>
      </c>
      <c r="O13" s="206" t="s">
        <v>160</v>
      </c>
      <c r="P13" s="177" t="s">
        <v>525</v>
      </c>
      <c r="Q13" s="206" t="s">
        <v>160</v>
      </c>
      <c r="R13" s="206" t="s">
        <v>160</v>
      </c>
      <c r="S13" s="206" t="s">
        <v>809</v>
      </c>
      <c r="T13" s="217" t="s">
        <v>160</v>
      </c>
      <c r="U13" s="219" t="s">
        <v>525</v>
      </c>
      <c r="V13" s="206" t="s">
        <v>160</v>
      </c>
      <c r="W13" s="206" t="s">
        <v>160</v>
      </c>
      <c r="X13" s="177" t="s">
        <v>485</v>
      </c>
      <c r="Y13" s="206" t="s">
        <v>160</v>
      </c>
      <c r="Z13" s="177" t="s">
        <v>528</v>
      </c>
      <c r="AA13" s="223" t="s">
        <v>160</v>
      </c>
      <c r="AB13" s="429" t="s">
        <v>811</v>
      </c>
      <c r="AC13" s="429" t="s">
        <v>811</v>
      </c>
      <c r="AD13" s="455"/>
    </row>
    <row r="14" spans="1:30" ht="22.8">
      <c r="A14" s="575"/>
      <c r="B14" s="174" t="s">
        <v>496</v>
      </c>
      <c r="C14" s="177"/>
      <c r="D14" s="206" t="s">
        <v>160</v>
      </c>
      <c r="E14" s="177" t="s">
        <v>497</v>
      </c>
      <c r="F14" s="178" t="s">
        <v>160</v>
      </c>
      <c r="G14" s="178"/>
      <c r="H14" s="206" t="s">
        <v>160</v>
      </c>
      <c r="I14" s="177" t="s">
        <v>499</v>
      </c>
      <c r="J14" s="178" t="s">
        <v>160</v>
      </c>
      <c r="K14" s="206" t="s">
        <v>160</v>
      </c>
      <c r="L14" s="178"/>
      <c r="M14" s="178"/>
      <c r="N14" s="206" t="s">
        <v>160</v>
      </c>
      <c r="O14" s="206" t="s">
        <v>160</v>
      </c>
      <c r="P14" s="177" t="s">
        <v>497</v>
      </c>
      <c r="Q14" s="206" t="s">
        <v>160</v>
      </c>
      <c r="R14" s="206" t="s">
        <v>160</v>
      </c>
      <c r="S14" s="206" t="s">
        <v>809</v>
      </c>
      <c r="T14" s="217" t="s">
        <v>160</v>
      </c>
      <c r="U14" s="219" t="s">
        <v>499</v>
      </c>
      <c r="V14" s="206" t="s">
        <v>160</v>
      </c>
      <c r="W14" s="206" t="s">
        <v>160</v>
      </c>
      <c r="X14" s="177" t="s">
        <v>497</v>
      </c>
      <c r="Y14" s="206" t="s">
        <v>160</v>
      </c>
      <c r="Z14" s="177" t="s">
        <v>502</v>
      </c>
      <c r="AA14" s="223" t="s">
        <v>160</v>
      </c>
      <c r="AB14" s="429" t="s">
        <v>497</v>
      </c>
      <c r="AC14" s="429" t="s">
        <v>497</v>
      </c>
      <c r="AD14" s="455"/>
    </row>
    <row r="15" spans="1:30">
      <c r="A15" s="575"/>
      <c r="B15" s="174" t="s">
        <v>529</v>
      </c>
      <c r="C15" s="177"/>
      <c r="D15" s="206" t="s">
        <v>160</v>
      </c>
      <c r="E15" s="177" t="s">
        <v>160</v>
      </c>
      <c r="F15" s="206" t="s">
        <v>160</v>
      </c>
      <c r="G15" s="178"/>
      <c r="H15" s="206" t="s">
        <v>160</v>
      </c>
      <c r="I15" s="177" t="s">
        <v>160</v>
      </c>
      <c r="J15" s="178" t="s">
        <v>160</v>
      </c>
      <c r="K15" s="206" t="s">
        <v>160</v>
      </c>
      <c r="L15" s="178"/>
      <c r="M15" s="178"/>
      <c r="N15" s="206" t="s">
        <v>160</v>
      </c>
      <c r="O15" s="206" t="s">
        <v>160</v>
      </c>
      <c r="P15" s="177" t="s">
        <v>160</v>
      </c>
      <c r="Q15" s="206" t="s">
        <v>160</v>
      </c>
      <c r="R15" s="206" t="s">
        <v>160</v>
      </c>
      <c r="S15" s="206" t="s">
        <v>809</v>
      </c>
      <c r="T15" s="217" t="s">
        <v>160</v>
      </c>
      <c r="U15" s="219" t="s">
        <v>160</v>
      </c>
      <c r="V15" s="206" t="s">
        <v>160</v>
      </c>
      <c r="W15" s="206" t="s">
        <v>160</v>
      </c>
      <c r="X15" s="177" t="s">
        <v>160</v>
      </c>
      <c r="Y15" s="206" t="s">
        <v>160</v>
      </c>
      <c r="Z15" s="206"/>
      <c r="AA15" s="223" t="s">
        <v>160</v>
      </c>
      <c r="AB15" s="429" t="s">
        <v>160</v>
      </c>
      <c r="AC15" s="429" t="s">
        <v>160</v>
      </c>
      <c r="AD15" s="455"/>
    </row>
    <row r="16" spans="1:30" ht="22.8">
      <c r="A16" s="575"/>
      <c r="B16" s="174" t="s">
        <v>503</v>
      </c>
      <c r="C16" s="177"/>
      <c r="D16" s="206" t="s">
        <v>160</v>
      </c>
      <c r="E16" s="177" t="s">
        <v>530</v>
      </c>
      <c r="F16" s="206" t="s">
        <v>504</v>
      </c>
      <c r="G16" s="178"/>
      <c r="H16" s="206" t="s">
        <v>160</v>
      </c>
      <c r="I16" s="177" t="s">
        <v>531</v>
      </c>
      <c r="J16" s="206" t="s">
        <v>504</v>
      </c>
      <c r="K16" s="206" t="s">
        <v>160</v>
      </c>
      <c r="L16" s="178"/>
      <c r="M16" s="178"/>
      <c r="N16" s="206" t="s">
        <v>160</v>
      </c>
      <c r="O16" s="206" t="s">
        <v>160</v>
      </c>
      <c r="P16" s="177" t="s">
        <v>530</v>
      </c>
      <c r="Q16" s="206" t="s">
        <v>160</v>
      </c>
      <c r="R16" s="206" t="s">
        <v>160</v>
      </c>
      <c r="S16" s="206" t="s">
        <v>809</v>
      </c>
      <c r="T16" s="217" t="s">
        <v>160</v>
      </c>
      <c r="U16" s="220" t="s">
        <v>531</v>
      </c>
      <c r="V16" s="206" t="s">
        <v>160</v>
      </c>
      <c r="W16" s="206" t="s">
        <v>160</v>
      </c>
      <c r="X16" s="206" t="s">
        <v>810</v>
      </c>
      <c r="Y16" s="206" t="s">
        <v>160</v>
      </c>
      <c r="Z16" s="177" t="s">
        <v>532</v>
      </c>
      <c r="AA16" s="223" t="s">
        <v>160</v>
      </c>
      <c r="AB16" s="430" t="s">
        <v>810</v>
      </c>
      <c r="AC16" s="430" t="s">
        <v>810</v>
      </c>
      <c r="AD16" s="456"/>
    </row>
    <row r="17" spans="1:30" ht="45.6">
      <c r="A17" s="575"/>
      <c r="B17" s="174" t="s">
        <v>509</v>
      </c>
      <c r="C17" s="182"/>
      <c r="D17" s="206" t="s">
        <v>160</v>
      </c>
      <c r="E17" s="177" t="s">
        <v>510</v>
      </c>
      <c r="F17" s="177" t="s">
        <v>511</v>
      </c>
      <c r="G17" s="178"/>
      <c r="H17" s="206" t="s">
        <v>160</v>
      </c>
      <c r="I17" s="177" t="s">
        <v>533</v>
      </c>
      <c r="J17" s="177" t="s">
        <v>514</v>
      </c>
      <c r="K17" s="206" t="s">
        <v>160</v>
      </c>
      <c r="L17" s="178"/>
      <c r="M17" s="178"/>
      <c r="N17" s="206" t="s">
        <v>160</v>
      </c>
      <c r="O17" s="206" t="s">
        <v>160</v>
      </c>
      <c r="P17" s="177" t="s">
        <v>510</v>
      </c>
      <c r="Q17" s="206" t="s">
        <v>160</v>
      </c>
      <c r="R17" s="206" t="s">
        <v>160</v>
      </c>
      <c r="S17" s="206" t="s">
        <v>809</v>
      </c>
      <c r="T17" s="217" t="s">
        <v>160</v>
      </c>
      <c r="U17" s="219" t="s">
        <v>510</v>
      </c>
      <c r="V17" s="206" t="s">
        <v>160</v>
      </c>
      <c r="W17" s="206" t="s">
        <v>160</v>
      </c>
      <c r="X17" s="177" t="s">
        <v>510</v>
      </c>
      <c r="Y17" s="206" t="s">
        <v>160</v>
      </c>
      <c r="Z17" s="177" t="s">
        <v>510</v>
      </c>
      <c r="AA17" s="223" t="s">
        <v>160</v>
      </c>
      <c r="AB17" s="429" t="s">
        <v>510</v>
      </c>
      <c r="AC17" s="429" t="s">
        <v>510</v>
      </c>
      <c r="AD17" s="455"/>
    </row>
    <row r="18" spans="1:30" ht="43.5" customHeight="1">
      <c r="A18" s="575"/>
      <c r="B18" s="181" t="s">
        <v>534</v>
      </c>
      <c r="C18" s="182"/>
      <c r="D18" s="206" t="s">
        <v>160</v>
      </c>
      <c r="E18" s="177" t="s">
        <v>535</v>
      </c>
      <c r="F18" s="179" t="s">
        <v>536</v>
      </c>
      <c r="G18" s="178"/>
      <c r="H18" s="206" t="s">
        <v>160</v>
      </c>
      <c r="I18" s="177" t="s">
        <v>537</v>
      </c>
      <c r="J18" s="177" t="s">
        <v>538</v>
      </c>
      <c r="K18" s="206" t="s">
        <v>160</v>
      </c>
      <c r="L18" s="178"/>
      <c r="M18" s="178"/>
      <c r="N18" s="206" t="s">
        <v>160</v>
      </c>
      <c r="O18" s="206" t="s">
        <v>160</v>
      </c>
      <c r="P18" s="177" t="s">
        <v>535</v>
      </c>
      <c r="Q18" s="206" t="s">
        <v>160</v>
      </c>
      <c r="R18" s="206" t="s">
        <v>160</v>
      </c>
      <c r="S18" s="206" t="s">
        <v>809</v>
      </c>
      <c r="T18" s="217" t="s">
        <v>160</v>
      </c>
      <c r="U18" s="219" t="s">
        <v>537</v>
      </c>
      <c r="V18" s="206" t="s">
        <v>160</v>
      </c>
      <c r="W18" s="206" t="s">
        <v>160</v>
      </c>
      <c r="X18" s="177" t="s">
        <v>535</v>
      </c>
      <c r="Y18" s="206" t="s">
        <v>160</v>
      </c>
      <c r="Z18" s="177" t="s">
        <v>535</v>
      </c>
      <c r="AA18" s="223" t="s">
        <v>160</v>
      </c>
      <c r="AB18" s="429" t="s">
        <v>535</v>
      </c>
      <c r="AC18" s="429" t="s">
        <v>535</v>
      </c>
      <c r="AD18" s="455"/>
    </row>
    <row r="19" spans="1:30" ht="14.25" customHeight="1">
      <c r="A19" s="576"/>
      <c r="B19" s="181" t="s">
        <v>520</v>
      </c>
      <c r="C19" s="182"/>
      <c r="D19" s="206" t="s">
        <v>160</v>
      </c>
      <c r="E19" s="206" t="s">
        <v>478</v>
      </c>
      <c r="F19" s="206" t="s">
        <v>160</v>
      </c>
      <c r="G19" s="178"/>
      <c r="H19" s="206" t="s">
        <v>160</v>
      </c>
      <c r="I19" s="206" t="s">
        <v>160</v>
      </c>
      <c r="J19" s="206" t="s">
        <v>160</v>
      </c>
      <c r="K19" s="206" t="s">
        <v>160</v>
      </c>
      <c r="L19" s="178"/>
      <c r="M19" s="178"/>
      <c r="N19" s="206" t="s">
        <v>160</v>
      </c>
      <c r="O19" s="206" t="s">
        <v>160</v>
      </c>
      <c r="P19" s="206" t="s">
        <v>478</v>
      </c>
      <c r="Q19" s="206" t="s">
        <v>160</v>
      </c>
      <c r="R19" s="206" t="s">
        <v>160</v>
      </c>
      <c r="S19" s="206" t="s">
        <v>809</v>
      </c>
      <c r="T19" s="217" t="s">
        <v>160</v>
      </c>
      <c r="U19" s="217" t="s">
        <v>160</v>
      </c>
      <c r="V19" s="206" t="s">
        <v>160</v>
      </c>
      <c r="W19" s="206" t="s">
        <v>160</v>
      </c>
      <c r="X19" s="206" t="s">
        <v>478</v>
      </c>
      <c r="Y19" s="206" t="s">
        <v>160</v>
      </c>
      <c r="Z19" s="206" t="s">
        <v>478</v>
      </c>
      <c r="AA19" s="223" t="s">
        <v>160</v>
      </c>
      <c r="AB19" s="430" t="s">
        <v>160</v>
      </c>
      <c r="AC19" s="430" t="s">
        <v>478</v>
      </c>
      <c r="AD19" s="456"/>
    </row>
    <row r="20" spans="1:30">
      <c r="A20" s="180"/>
      <c r="B20" s="174"/>
      <c r="C20" s="177"/>
      <c r="D20" s="206"/>
      <c r="E20" s="178"/>
      <c r="F20" s="178"/>
      <c r="G20" s="178"/>
      <c r="H20" s="206"/>
      <c r="I20" s="178"/>
      <c r="J20" s="178"/>
      <c r="K20" s="178"/>
      <c r="L20" s="178"/>
      <c r="M20" s="178"/>
      <c r="N20" s="178"/>
      <c r="O20" s="206"/>
      <c r="P20" s="178"/>
      <c r="Q20" s="178"/>
      <c r="R20" s="178"/>
      <c r="S20" s="178"/>
      <c r="T20" s="221"/>
      <c r="U20" s="221"/>
      <c r="V20" s="178"/>
      <c r="W20" s="178"/>
      <c r="X20" s="178"/>
      <c r="Y20" s="178"/>
      <c r="Z20" s="178"/>
      <c r="AA20" s="178"/>
      <c r="AB20" s="206"/>
      <c r="AC20" s="178"/>
      <c r="AD20" s="457"/>
    </row>
    <row r="21" spans="1:30">
      <c r="A21" s="180"/>
      <c r="B21" s="174"/>
      <c r="C21" s="177"/>
      <c r="D21" s="206"/>
      <c r="E21" s="178"/>
      <c r="F21" s="178"/>
      <c r="G21" s="178"/>
      <c r="H21" s="206"/>
      <c r="I21" s="178"/>
      <c r="J21" s="178"/>
      <c r="K21" s="178"/>
      <c r="L21" s="178"/>
      <c r="M21" s="178"/>
      <c r="N21" s="178"/>
      <c r="O21" s="206"/>
      <c r="P21" s="178"/>
      <c r="Q21" s="178"/>
      <c r="R21" s="178"/>
      <c r="S21" s="178"/>
      <c r="T21" s="221"/>
      <c r="U21" s="221"/>
      <c r="V21" s="178"/>
      <c r="W21" s="178"/>
      <c r="X21" s="178"/>
      <c r="Y21" s="178"/>
      <c r="Z21" s="178"/>
      <c r="AA21" s="178"/>
      <c r="AB21" s="206"/>
      <c r="AC21" s="178"/>
      <c r="AD21" s="457"/>
    </row>
    <row r="22" spans="1:30">
      <c r="A22" s="180"/>
      <c r="B22" s="174"/>
      <c r="C22" s="177"/>
      <c r="D22" s="206"/>
      <c r="E22" s="178"/>
      <c r="F22" s="178"/>
      <c r="G22" s="178"/>
      <c r="H22" s="206"/>
      <c r="I22" s="178"/>
      <c r="J22" s="178"/>
      <c r="K22" s="178"/>
      <c r="L22" s="178"/>
      <c r="M22" s="178"/>
      <c r="N22" s="178"/>
      <c r="O22" s="206"/>
      <c r="P22" s="178"/>
      <c r="Q22" s="178"/>
      <c r="R22" s="178"/>
      <c r="S22" s="178"/>
      <c r="T22" s="221"/>
      <c r="U22" s="221"/>
      <c r="V22" s="178"/>
      <c r="W22" s="178"/>
      <c r="X22" s="178"/>
      <c r="Y22" s="178"/>
      <c r="Z22" s="178"/>
      <c r="AA22" s="178"/>
      <c r="AB22" s="206"/>
      <c r="AC22" s="178"/>
      <c r="AD22" s="457"/>
    </row>
    <row r="23" spans="1:30" ht="24.75" customHeight="1">
      <c r="A23" s="180"/>
      <c r="B23" s="183"/>
      <c r="C23" s="177"/>
      <c r="D23" s="206"/>
      <c r="E23" s="178"/>
      <c r="F23" s="178"/>
      <c r="G23" s="178"/>
      <c r="H23" s="206"/>
      <c r="I23" s="178"/>
      <c r="J23" s="178"/>
      <c r="K23" s="178"/>
      <c r="L23" s="178"/>
      <c r="M23" s="178"/>
      <c r="N23" s="178"/>
      <c r="O23" s="206"/>
      <c r="P23" s="178"/>
      <c r="Q23" s="178"/>
      <c r="R23" s="178"/>
      <c r="S23" s="178"/>
      <c r="T23" s="221"/>
      <c r="U23" s="221"/>
      <c r="V23" s="178"/>
      <c r="W23" s="178"/>
      <c r="X23" s="178"/>
      <c r="Y23" s="178"/>
      <c r="Z23" s="178"/>
      <c r="AA23" s="178"/>
      <c r="AB23" s="206"/>
      <c r="AC23" s="178"/>
      <c r="AD23" s="457"/>
    </row>
    <row r="24" spans="1:30">
      <c r="A24" s="180"/>
      <c r="B24" s="184"/>
      <c r="C24" s="184"/>
      <c r="D24" s="206"/>
      <c r="E24" s="178"/>
      <c r="F24" s="178"/>
      <c r="G24" s="178"/>
      <c r="H24" s="206"/>
      <c r="I24" s="178"/>
      <c r="J24" s="178"/>
      <c r="K24" s="178"/>
      <c r="L24" s="178"/>
      <c r="M24" s="178"/>
      <c r="N24" s="178"/>
      <c r="O24" s="206"/>
      <c r="P24" s="178"/>
      <c r="Q24" s="178"/>
      <c r="R24" s="178"/>
      <c r="S24" s="178"/>
      <c r="T24" s="221"/>
      <c r="U24" s="221"/>
      <c r="V24" s="178"/>
      <c r="W24" s="178"/>
      <c r="X24" s="178"/>
      <c r="Y24" s="178"/>
      <c r="Z24" s="178"/>
      <c r="AA24" s="178"/>
      <c r="AB24" s="206"/>
      <c r="AC24" s="178"/>
      <c r="AD24" s="457"/>
    </row>
    <row r="25" spans="1:30">
      <c r="A25" s="180"/>
      <c r="B25" s="185"/>
      <c r="C25" s="186"/>
      <c r="D25" s="206"/>
      <c r="E25" s="178"/>
      <c r="F25" s="178"/>
      <c r="G25" s="178"/>
      <c r="H25" s="206"/>
      <c r="I25" s="178"/>
      <c r="J25" s="178"/>
      <c r="K25" s="178"/>
      <c r="L25" s="178"/>
      <c r="M25" s="178"/>
      <c r="N25" s="178"/>
      <c r="O25" s="206"/>
      <c r="P25" s="178"/>
      <c r="Q25" s="178"/>
      <c r="R25" s="178"/>
      <c r="S25" s="178"/>
      <c r="T25" s="221"/>
      <c r="U25" s="221"/>
      <c r="V25" s="178"/>
      <c r="W25" s="178"/>
      <c r="X25" s="178"/>
      <c r="Y25" s="178"/>
      <c r="Z25" s="178"/>
      <c r="AA25" s="178"/>
      <c r="AB25" s="206"/>
      <c r="AC25" s="178"/>
      <c r="AD25" s="457"/>
    </row>
    <row r="26" spans="1:30">
      <c r="A26" s="180"/>
      <c r="B26" s="187"/>
      <c r="C26" s="186"/>
      <c r="D26" s="206"/>
      <c r="E26" s="178"/>
      <c r="F26" s="178"/>
      <c r="G26" s="178"/>
      <c r="H26" s="206"/>
      <c r="I26" s="178"/>
      <c r="J26" s="178"/>
      <c r="K26" s="178"/>
      <c r="L26" s="178"/>
      <c r="M26" s="178"/>
      <c r="N26" s="178"/>
      <c r="O26" s="206"/>
      <c r="P26" s="178"/>
      <c r="Q26" s="178"/>
      <c r="R26" s="178"/>
      <c r="S26" s="178"/>
      <c r="T26" s="221"/>
      <c r="U26" s="221"/>
      <c r="V26" s="178"/>
      <c r="W26" s="178"/>
      <c r="X26" s="178"/>
      <c r="Y26" s="178"/>
      <c r="Z26" s="178"/>
      <c r="AA26" s="178"/>
      <c r="AB26" s="206"/>
      <c r="AC26" s="178"/>
      <c r="AD26" s="457"/>
    </row>
    <row r="27" spans="1:30">
      <c r="A27" s="180"/>
      <c r="B27" s="187"/>
      <c r="C27" s="186"/>
      <c r="D27" s="206"/>
      <c r="E27" s="178"/>
      <c r="F27" s="178"/>
      <c r="G27" s="178"/>
      <c r="H27" s="206"/>
      <c r="I27" s="178"/>
      <c r="J27" s="178"/>
      <c r="K27" s="178"/>
      <c r="L27" s="178"/>
      <c r="M27" s="178"/>
      <c r="N27" s="178"/>
      <c r="O27" s="206"/>
      <c r="P27" s="178"/>
      <c r="Q27" s="178"/>
      <c r="R27" s="178"/>
      <c r="S27" s="178"/>
      <c r="T27" s="221"/>
      <c r="U27" s="221"/>
      <c r="V27" s="178"/>
      <c r="W27" s="178"/>
      <c r="X27" s="178"/>
      <c r="Y27" s="178"/>
      <c r="Z27" s="178"/>
      <c r="AA27" s="178"/>
      <c r="AB27" s="206"/>
      <c r="AC27" s="178"/>
      <c r="AD27" s="457"/>
    </row>
    <row r="28" spans="1:30">
      <c r="A28" s="180"/>
      <c r="B28" s="187"/>
      <c r="C28" s="186"/>
      <c r="D28" s="206"/>
      <c r="E28" s="178"/>
      <c r="F28" s="178"/>
      <c r="G28" s="178"/>
      <c r="H28" s="206"/>
      <c r="I28" s="178"/>
      <c r="J28" s="178"/>
      <c r="K28" s="178"/>
      <c r="L28" s="178"/>
      <c r="M28" s="178"/>
      <c r="N28" s="178"/>
      <c r="O28" s="206"/>
      <c r="P28" s="178"/>
      <c r="Q28" s="178"/>
      <c r="R28" s="178"/>
      <c r="S28" s="178"/>
      <c r="T28" s="221"/>
      <c r="U28" s="221"/>
      <c r="V28" s="178"/>
      <c r="W28" s="178"/>
      <c r="X28" s="178"/>
      <c r="Y28" s="178"/>
      <c r="Z28" s="178"/>
      <c r="AA28" s="178"/>
      <c r="AB28" s="206"/>
      <c r="AC28" s="178"/>
      <c r="AD28" s="457"/>
    </row>
    <row r="29" spans="1:30">
      <c r="A29" s="180"/>
      <c r="B29" s="187"/>
      <c r="C29" s="186"/>
      <c r="D29" s="206"/>
      <c r="E29" s="178"/>
      <c r="F29" s="178"/>
      <c r="G29" s="178"/>
      <c r="H29" s="206"/>
      <c r="I29" s="178"/>
      <c r="J29" s="178"/>
      <c r="K29" s="178"/>
      <c r="L29" s="178"/>
      <c r="M29" s="178"/>
      <c r="N29" s="178"/>
      <c r="O29" s="206"/>
      <c r="P29" s="178"/>
      <c r="Q29" s="178"/>
      <c r="R29" s="178"/>
      <c r="S29" s="178"/>
      <c r="T29" s="221"/>
      <c r="U29" s="221"/>
      <c r="V29" s="178"/>
      <c r="W29" s="178"/>
      <c r="X29" s="178"/>
      <c r="Y29" s="178"/>
      <c r="Z29" s="178"/>
      <c r="AA29" s="178"/>
      <c r="AB29" s="206"/>
      <c r="AC29" s="178"/>
      <c r="AD29" s="457"/>
    </row>
    <row r="30" spans="1:30">
      <c r="A30" s="180"/>
      <c r="B30" s="187"/>
      <c r="C30" s="189"/>
      <c r="D30" s="206"/>
      <c r="E30" s="178"/>
      <c r="F30" s="178"/>
      <c r="G30" s="178"/>
      <c r="H30" s="206"/>
      <c r="I30" s="178"/>
      <c r="J30" s="178"/>
      <c r="K30" s="178"/>
      <c r="L30" s="178"/>
      <c r="M30" s="178"/>
      <c r="N30" s="178"/>
      <c r="O30" s="206"/>
      <c r="P30" s="178"/>
      <c r="Q30" s="178"/>
      <c r="R30" s="178"/>
      <c r="S30" s="178"/>
      <c r="T30" s="221"/>
      <c r="U30" s="221"/>
      <c r="V30" s="178"/>
      <c r="W30" s="178"/>
      <c r="X30" s="178"/>
      <c r="Y30" s="178"/>
      <c r="Z30" s="178"/>
      <c r="AA30" s="178"/>
      <c r="AB30" s="206"/>
      <c r="AC30" s="178"/>
      <c r="AD30" s="457"/>
    </row>
    <row r="31" spans="1:30">
      <c r="A31" s="180"/>
      <c r="B31" s="181"/>
      <c r="C31" s="186"/>
      <c r="D31" s="206"/>
      <c r="E31" s="178"/>
      <c r="F31" s="178"/>
      <c r="G31" s="178"/>
      <c r="H31" s="206"/>
      <c r="I31" s="178"/>
      <c r="J31" s="178"/>
      <c r="K31" s="178"/>
      <c r="L31" s="178"/>
      <c r="M31" s="178"/>
      <c r="N31" s="178"/>
      <c r="O31" s="206"/>
      <c r="P31" s="178"/>
      <c r="Q31" s="178"/>
      <c r="R31" s="178"/>
      <c r="S31" s="178"/>
      <c r="T31" s="221"/>
      <c r="U31" s="221"/>
      <c r="V31" s="178"/>
      <c r="W31" s="178"/>
      <c r="X31" s="178"/>
      <c r="Y31" s="178"/>
      <c r="Z31" s="178"/>
      <c r="AA31" s="178"/>
      <c r="AB31" s="206"/>
      <c r="AC31" s="178"/>
      <c r="AD31" s="457"/>
    </row>
    <row r="32" spans="1:30">
      <c r="A32" s="180"/>
      <c r="B32" s="562"/>
      <c r="C32" s="186"/>
      <c r="D32" s="206"/>
      <c r="E32" s="178"/>
      <c r="F32" s="178"/>
      <c r="G32" s="178"/>
      <c r="H32" s="206"/>
      <c r="I32" s="178"/>
      <c r="J32" s="178"/>
      <c r="K32" s="178"/>
      <c r="L32" s="178"/>
      <c r="M32" s="178"/>
      <c r="N32" s="178"/>
      <c r="O32" s="206"/>
      <c r="P32" s="178"/>
      <c r="Q32" s="178"/>
      <c r="R32" s="178"/>
      <c r="S32" s="178"/>
      <c r="T32" s="221"/>
      <c r="U32" s="221"/>
      <c r="V32" s="178"/>
      <c r="W32" s="178"/>
      <c r="X32" s="178"/>
      <c r="Y32" s="178"/>
      <c r="Z32" s="178"/>
      <c r="AA32" s="178"/>
      <c r="AB32" s="206"/>
      <c r="AC32" s="178"/>
      <c r="AD32" s="457"/>
    </row>
    <row r="33" spans="1:30">
      <c r="A33" s="180"/>
      <c r="B33" s="563"/>
      <c r="C33" s="186"/>
      <c r="D33" s="206"/>
      <c r="E33" s="178"/>
      <c r="F33" s="178"/>
      <c r="G33" s="178"/>
      <c r="H33" s="206"/>
      <c r="I33" s="178"/>
      <c r="J33" s="178"/>
      <c r="K33" s="178"/>
      <c r="L33" s="178"/>
      <c r="M33" s="178"/>
      <c r="N33" s="178"/>
      <c r="O33" s="206"/>
      <c r="P33" s="178"/>
      <c r="Q33" s="178"/>
      <c r="R33" s="178"/>
      <c r="S33" s="178"/>
      <c r="T33" s="221"/>
      <c r="U33" s="221"/>
      <c r="V33" s="178"/>
      <c r="W33" s="178"/>
      <c r="X33" s="178"/>
      <c r="Y33" s="178"/>
      <c r="Z33" s="178"/>
      <c r="AA33" s="178"/>
      <c r="AB33" s="206"/>
      <c r="AC33" s="178"/>
      <c r="AD33" s="457"/>
    </row>
    <row r="34" spans="1:30">
      <c r="A34" s="180"/>
      <c r="B34" s="187"/>
      <c r="C34" s="186"/>
      <c r="D34" s="206"/>
      <c r="E34" s="178"/>
      <c r="F34" s="178"/>
      <c r="G34" s="178"/>
      <c r="H34" s="206"/>
      <c r="I34" s="178"/>
      <c r="J34" s="178"/>
      <c r="K34" s="178"/>
      <c r="L34" s="178"/>
      <c r="M34" s="178"/>
      <c r="N34" s="178"/>
      <c r="O34" s="206"/>
      <c r="P34" s="178"/>
      <c r="Q34" s="178"/>
      <c r="R34" s="178"/>
      <c r="S34" s="178"/>
      <c r="T34" s="221"/>
      <c r="U34" s="221"/>
      <c r="V34" s="178"/>
      <c r="W34" s="178"/>
      <c r="X34" s="178"/>
      <c r="Y34" s="178"/>
      <c r="Z34" s="178"/>
      <c r="AA34" s="178"/>
      <c r="AB34" s="206"/>
      <c r="AC34" s="178"/>
      <c r="AD34" s="457"/>
    </row>
    <row r="35" spans="1:30">
      <c r="B35" s="188"/>
      <c r="C35" s="190"/>
      <c r="D35" s="206"/>
      <c r="E35" s="178"/>
      <c r="F35" s="178"/>
      <c r="G35" s="178"/>
      <c r="H35" s="206"/>
      <c r="I35" s="178"/>
      <c r="J35" s="178"/>
      <c r="K35" s="178"/>
      <c r="L35" s="178"/>
      <c r="M35" s="178"/>
      <c r="N35" s="178"/>
      <c r="O35" s="206"/>
      <c r="P35" s="178"/>
      <c r="Q35" s="178"/>
      <c r="R35" s="178"/>
      <c r="S35" s="178"/>
      <c r="T35" s="221"/>
      <c r="U35" s="221"/>
      <c r="V35" s="178"/>
      <c r="W35" s="178"/>
      <c r="X35" s="178"/>
      <c r="Y35" s="178"/>
      <c r="Z35" s="178"/>
      <c r="AA35" s="178"/>
      <c r="AB35" s="206"/>
      <c r="AC35" s="178"/>
      <c r="AD35" s="457"/>
    </row>
    <row r="36" spans="1:30">
      <c r="B36" s="188"/>
      <c r="C36" s="186"/>
      <c r="D36" s="206"/>
      <c r="E36" s="178"/>
      <c r="F36" s="178"/>
      <c r="G36" s="178"/>
      <c r="H36" s="206"/>
      <c r="I36" s="178"/>
      <c r="J36" s="178"/>
      <c r="K36" s="178"/>
      <c r="L36" s="178"/>
      <c r="M36" s="178"/>
      <c r="N36" s="178"/>
      <c r="O36" s="206"/>
      <c r="P36" s="178"/>
      <c r="Q36" s="178"/>
      <c r="R36" s="178"/>
      <c r="S36" s="178"/>
      <c r="T36" s="221"/>
      <c r="U36" s="221"/>
      <c r="V36" s="178"/>
      <c r="W36" s="178"/>
      <c r="X36" s="178"/>
      <c r="Y36" s="178"/>
      <c r="Z36" s="178"/>
      <c r="AA36" s="178"/>
      <c r="AB36" s="206"/>
      <c r="AC36" s="178"/>
      <c r="AD36" s="457"/>
    </row>
    <row r="37" spans="1:30">
      <c r="B37" s="188"/>
      <c r="C37" s="186"/>
      <c r="D37" s="206"/>
      <c r="E37" s="178"/>
      <c r="F37" s="178"/>
      <c r="G37" s="178"/>
      <c r="H37" s="206"/>
      <c r="I37" s="178"/>
      <c r="J37" s="178"/>
      <c r="K37" s="178"/>
      <c r="L37" s="178"/>
      <c r="M37" s="178"/>
      <c r="N37" s="178"/>
      <c r="O37" s="206"/>
      <c r="P37" s="178"/>
      <c r="Q37" s="178"/>
      <c r="R37" s="178"/>
      <c r="S37" s="178"/>
      <c r="T37" s="221"/>
      <c r="U37" s="221"/>
      <c r="V37" s="178"/>
      <c r="W37" s="178"/>
      <c r="X37" s="178"/>
      <c r="Y37" s="178"/>
      <c r="Z37" s="178"/>
      <c r="AA37" s="178"/>
      <c r="AB37" s="206"/>
      <c r="AC37" s="178"/>
      <c r="AD37" s="457"/>
    </row>
    <row r="38" spans="1:30">
      <c r="B38" s="562"/>
      <c r="C38" s="571"/>
      <c r="D38" s="206"/>
      <c r="E38" s="178"/>
      <c r="F38" s="178"/>
      <c r="G38" s="178"/>
      <c r="H38" s="206"/>
      <c r="I38" s="178"/>
      <c r="J38" s="178"/>
      <c r="K38" s="178"/>
      <c r="L38" s="178"/>
      <c r="M38" s="178"/>
      <c r="N38" s="178"/>
      <c r="O38" s="206"/>
      <c r="P38" s="178"/>
      <c r="Q38" s="178"/>
      <c r="R38" s="178"/>
      <c r="S38" s="178"/>
      <c r="T38" s="221"/>
      <c r="U38" s="221"/>
      <c r="V38" s="178"/>
      <c r="W38" s="178"/>
      <c r="X38" s="178"/>
      <c r="Y38" s="178"/>
      <c r="Z38" s="178"/>
      <c r="AA38" s="178"/>
      <c r="AB38" s="206"/>
      <c r="AC38" s="178"/>
      <c r="AD38" s="457"/>
    </row>
    <row r="39" spans="1:30">
      <c r="B39" s="563"/>
      <c r="C39" s="571"/>
      <c r="D39" s="206"/>
      <c r="E39" s="178"/>
      <c r="F39" s="178"/>
      <c r="G39" s="178"/>
      <c r="H39" s="206"/>
      <c r="I39" s="178"/>
      <c r="J39" s="178"/>
      <c r="K39" s="178"/>
      <c r="L39" s="178"/>
      <c r="M39" s="178"/>
      <c r="N39" s="178"/>
      <c r="O39" s="206"/>
      <c r="P39" s="178"/>
      <c r="Q39" s="178"/>
      <c r="R39" s="178"/>
      <c r="S39" s="178"/>
      <c r="T39" s="221"/>
      <c r="U39" s="221"/>
      <c r="V39" s="178"/>
      <c r="W39" s="178"/>
      <c r="X39" s="178"/>
      <c r="Y39" s="178"/>
      <c r="Z39" s="178"/>
      <c r="AA39" s="178"/>
      <c r="AB39" s="206"/>
      <c r="AC39" s="178"/>
      <c r="AD39" s="457"/>
    </row>
    <row r="40" spans="1:30">
      <c r="B40" s="188"/>
      <c r="C40" s="186"/>
      <c r="D40" s="206"/>
      <c r="E40" s="178"/>
      <c r="F40" s="178"/>
      <c r="G40" s="178"/>
      <c r="H40" s="206"/>
      <c r="I40" s="178"/>
      <c r="J40" s="178"/>
      <c r="K40" s="178"/>
      <c r="L40" s="178"/>
      <c r="M40" s="178"/>
      <c r="N40" s="178"/>
      <c r="O40" s="206"/>
      <c r="P40" s="178"/>
      <c r="Q40" s="178"/>
      <c r="R40" s="178"/>
      <c r="S40" s="178"/>
      <c r="T40" s="221"/>
      <c r="U40" s="221"/>
      <c r="V40" s="178"/>
      <c r="W40" s="178"/>
      <c r="X40" s="178"/>
      <c r="Y40" s="178"/>
      <c r="Z40" s="178"/>
      <c r="AA40" s="178"/>
      <c r="AB40" s="206"/>
      <c r="AC40" s="178"/>
      <c r="AD40" s="457"/>
    </row>
    <row r="41" spans="1:30">
      <c r="B41" s="188"/>
      <c r="C41" s="186"/>
      <c r="D41" s="206"/>
      <c r="E41" s="178"/>
      <c r="F41" s="178"/>
      <c r="G41" s="178"/>
      <c r="H41" s="206"/>
      <c r="I41" s="178"/>
      <c r="J41" s="178"/>
      <c r="K41" s="178"/>
      <c r="L41" s="178"/>
      <c r="M41" s="178"/>
      <c r="N41" s="178"/>
      <c r="O41" s="206"/>
      <c r="P41" s="178"/>
      <c r="Q41" s="178"/>
      <c r="R41" s="178"/>
      <c r="S41" s="178"/>
      <c r="T41" s="221"/>
      <c r="U41" s="221"/>
      <c r="V41" s="178"/>
      <c r="W41" s="178"/>
      <c r="X41" s="178"/>
      <c r="Y41" s="178"/>
      <c r="Z41" s="178"/>
      <c r="AA41" s="178"/>
      <c r="AB41" s="206"/>
      <c r="AC41" s="178"/>
      <c r="AD41" s="457"/>
    </row>
    <row r="42" spans="1:30">
      <c r="B42" s="188"/>
      <c r="C42" s="186"/>
      <c r="D42" s="206"/>
      <c r="E42" s="178"/>
      <c r="F42" s="178"/>
      <c r="G42" s="178"/>
      <c r="H42" s="206"/>
      <c r="I42" s="178"/>
      <c r="J42" s="178"/>
      <c r="K42" s="178"/>
      <c r="L42" s="178"/>
      <c r="M42" s="178"/>
      <c r="N42" s="178"/>
      <c r="O42" s="206"/>
      <c r="P42" s="178"/>
      <c r="Q42" s="178"/>
      <c r="R42" s="178"/>
      <c r="S42" s="178"/>
      <c r="T42" s="221"/>
      <c r="U42" s="221"/>
      <c r="V42" s="178"/>
      <c r="W42" s="178"/>
      <c r="X42" s="178"/>
      <c r="Y42" s="178"/>
      <c r="Z42" s="178"/>
      <c r="AA42" s="178"/>
      <c r="AB42" s="206"/>
      <c r="AC42" s="178"/>
      <c r="AD42" s="457"/>
    </row>
    <row r="43" spans="1:30">
      <c r="B43" s="188"/>
      <c r="C43" s="191"/>
      <c r="D43" s="206"/>
      <c r="E43" s="178"/>
      <c r="F43" s="178"/>
      <c r="G43" s="178"/>
      <c r="H43" s="206"/>
      <c r="I43" s="178"/>
      <c r="J43" s="178"/>
      <c r="K43" s="178"/>
      <c r="L43" s="178"/>
      <c r="M43" s="178"/>
      <c r="N43" s="178"/>
      <c r="O43" s="206"/>
      <c r="P43" s="178"/>
      <c r="Q43" s="178"/>
      <c r="R43" s="178"/>
      <c r="S43" s="178"/>
      <c r="T43" s="221"/>
      <c r="U43" s="221"/>
      <c r="V43" s="178"/>
      <c r="W43" s="178"/>
      <c r="X43" s="178"/>
      <c r="Y43" s="178"/>
      <c r="Z43" s="178"/>
      <c r="AA43" s="178"/>
      <c r="AB43" s="206"/>
      <c r="AC43" s="178"/>
      <c r="AD43" s="457"/>
    </row>
    <row r="44" spans="1:30">
      <c r="B44" s="188"/>
      <c r="C44" s="189"/>
      <c r="D44" s="206"/>
      <c r="E44" s="178"/>
      <c r="F44" s="178"/>
      <c r="G44" s="178"/>
      <c r="H44" s="206"/>
      <c r="I44" s="178"/>
      <c r="J44" s="178"/>
      <c r="K44" s="178"/>
      <c r="L44" s="178"/>
      <c r="M44" s="178"/>
      <c r="N44" s="178"/>
      <c r="O44" s="206"/>
      <c r="P44" s="178"/>
      <c r="Q44" s="178"/>
      <c r="R44" s="178"/>
      <c r="S44" s="178"/>
      <c r="T44" s="221"/>
      <c r="U44" s="221"/>
      <c r="V44" s="178"/>
      <c r="W44" s="178"/>
      <c r="X44" s="178"/>
      <c r="Y44" s="178"/>
      <c r="Z44" s="178"/>
      <c r="AA44" s="178"/>
      <c r="AB44" s="206"/>
      <c r="AC44" s="178"/>
      <c r="AD44" s="457"/>
    </row>
    <row r="45" spans="1:30">
      <c r="B45" s="188"/>
      <c r="C45" s="192"/>
      <c r="D45" s="206"/>
      <c r="E45" s="178"/>
      <c r="F45" s="178"/>
      <c r="G45" s="178"/>
      <c r="H45" s="206"/>
      <c r="I45" s="178"/>
      <c r="J45" s="178"/>
      <c r="K45" s="178"/>
      <c r="L45" s="178"/>
      <c r="M45" s="178"/>
      <c r="N45" s="178"/>
      <c r="O45" s="206"/>
      <c r="P45" s="178"/>
      <c r="Q45" s="178"/>
      <c r="R45" s="178"/>
      <c r="S45" s="178"/>
      <c r="T45" s="221"/>
      <c r="U45" s="221"/>
      <c r="V45" s="178"/>
      <c r="W45" s="178"/>
      <c r="X45" s="178"/>
      <c r="Y45" s="178"/>
      <c r="Z45" s="178"/>
      <c r="AA45" s="178"/>
      <c r="AB45" s="206"/>
      <c r="AC45" s="178"/>
      <c r="AD45" s="457"/>
    </row>
    <row r="46" spans="1:30">
      <c r="B46" s="188"/>
      <c r="C46" s="190"/>
      <c r="D46" s="206"/>
      <c r="E46" s="178"/>
      <c r="F46" s="178"/>
      <c r="G46" s="178"/>
      <c r="H46" s="206"/>
      <c r="I46" s="178"/>
      <c r="J46" s="178"/>
      <c r="K46" s="178"/>
      <c r="L46" s="178"/>
      <c r="M46" s="178"/>
      <c r="N46" s="178"/>
      <c r="O46" s="206"/>
      <c r="P46" s="178"/>
      <c r="Q46" s="178"/>
      <c r="R46" s="178"/>
      <c r="S46" s="178"/>
      <c r="T46" s="221"/>
      <c r="U46" s="221"/>
      <c r="V46" s="178"/>
      <c r="W46" s="178"/>
      <c r="X46" s="178"/>
      <c r="Y46" s="178"/>
      <c r="Z46" s="178"/>
      <c r="AA46" s="178"/>
      <c r="AB46" s="206"/>
      <c r="AC46" s="178"/>
      <c r="AD46" s="457"/>
    </row>
    <row r="47" spans="1:30">
      <c r="B47" s="188"/>
      <c r="C47" s="186"/>
      <c r="D47" s="206"/>
      <c r="E47" s="178"/>
      <c r="F47" s="178"/>
      <c r="G47" s="178"/>
      <c r="H47" s="206"/>
      <c r="I47" s="178"/>
      <c r="J47" s="178"/>
      <c r="K47" s="178"/>
      <c r="L47" s="178"/>
      <c r="M47" s="178"/>
      <c r="N47" s="178"/>
      <c r="O47" s="206"/>
      <c r="P47" s="178"/>
      <c r="Q47" s="178"/>
      <c r="R47" s="178"/>
      <c r="S47" s="178"/>
      <c r="T47" s="221"/>
      <c r="U47" s="221"/>
      <c r="V47" s="178"/>
      <c r="W47" s="178"/>
      <c r="X47" s="178"/>
      <c r="Y47" s="178"/>
      <c r="Z47" s="178"/>
      <c r="AA47" s="178"/>
      <c r="AB47" s="206"/>
      <c r="AC47" s="178"/>
      <c r="AD47" s="457"/>
    </row>
    <row r="48" spans="1:30">
      <c r="B48" s="562"/>
      <c r="C48" s="186"/>
      <c r="D48" s="206"/>
      <c r="E48" s="178"/>
      <c r="F48" s="178"/>
      <c r="G48" s="178"/>
      <c r="H48" s="206"/>
      <c r="I48" s="178"/>
      <c r="J48" s="178"/>
      <c r="K48" s="178"/>
      <c r="L48" s="178"/>
      <c r="M48" s="178"/>
      <c r="N48" s="178"/>
      <c r="O48" s="206"/>
      <c r="P48" s="178"/>
      <c r="Q48" s="178"/>
      <c r="R48" s="178"/>
      <c r="S48" s="178"/>
      <c r="T48" s="221"/>
      <c r="U48" s="221"/>
      <c r="V48" s="178"/>
      <c r="W48" s="178"/>
      <c r="X48" s="178"/>
      <c r="Y48" s="178"/>
      <c r="Z48" s="178"/>
      <c r="AA48" s="178"/>
      <c r="AB48" s="206"/>
      <c r="AC48" s="178"/>
      <c r="AD48" s="457"/>
    </row>
    <row r="49" spans="2:30">
      <c r="B49" s="564"/>
      <c r="C49" s="186"/>
      <c r="D49" s="206"/>
      <c r="E49" s="178"/>
      <c r="F49" s="178"/>
      <c r="G49" s="178"/>
      <c r="H49" s="206"/>
      <c r="I49" s="178"/>
      <c r="J49" s="178"/>
      <c r="K49" s="178"/>
      <c r="L49" s="178"/>
      <c r="M49" s="178"/>
      <c r="N49" s="178"/>
      <c r="O49" s="206"/>
      <c r="P49" s="178"/>
      <c r="Q49" s="178"/>
      <c r="R49" s="178"/>
      <c r="S49" s="178"/>
      <c r="T49" s="221"/>
      <c r="U49" s="221"/>
      <c r="V49" s="178"/>
      <c r="W49" s="178"/>
      <c r="X49" s="178"/>
      <c r="Y49" s="178"/>
      <c r="Z49" s="178"/>
      <c r="AA49" s="178"/>
      <c r="AB49" s="206"/>
      <c r="AC49" s="178"/>
      <c r="AD49" s="457"/>
    </row>
    <row r="50" spans="2:30">
      <c r="B50" s="564"/>
      <c r="C50" s="186"/>
      <c r="D50" s="206"/>
      <c r="E50" s="178"/>
      <c r="F50" s="178"/>
      <c r="G50" s="178"/>
      <c r="H50" s="206"/>
      <c r="I50" s="178"/>
      <c r="J50" s="178"/>
      <c r="K50" s="178"/>
      <c r="L50" s="178"/>
      <c r="M50" s="178"/>
      <c r="N50" s="178"/>
      <c r="O50" s="206"/>
      <c r="P50" s="178"/>
      <c r="Q50" s="178"/>
      <c r="R50" s="178"/>
      <c r="S50" s="178"/>
      <c r="T50" s="221"/>
      <c r="U50" s="221"/>
      <c r="V50" s="178"/>
      <c r="W50" s="178"/>
      <c r="X50" s="178"/>
      <c r="Y50" s="178"/>
      <c r="Z50" s="178"/>
      <c r="AA50" s="178"/>
      <c r="AB50" s="206"/>
      <c r="AC50" s="178"/>
      <c r="AD50" s="457"/>
    </row>
    <row r="51" spans="2:30">
      <c r="B51" s="563"/>
      <c r="C51" s="186"/>
      <c r="D51" s="206"/>
      <c r="E51" s="178"/>
      <c r="F51" s="178"/>
      <c r="G51" s="178"/>
      <c r="H51" s="206"/>
      <c r="I51" s="178"/>
      <c r="J51" s="178"/>
      <c r="K51" s="178"/>
      <c r="L51" s="178"/>
      <c r="M51" s="178"/>
      <c r="N51" s="178"/>
      <c r="O51" s="206"/>
      <c r="P51" s="178"/>
      <c r="Q51" s="178"/>
      <c r="R51" s="178"/>
      <c r="S51" s="178"/>
      <c r="T51" s="221"/>
      <c r="U51" s="221"/>
      <c r="V51" s="178"/>
      <c r="W51" s="178"/>
      <c r="X51" s="178"/>
      <c r="Y51" s="178"/>
      <c r="Z51" s="178"/>
      <c r="AA51" s="178"/>
      <c r="AB51" s="206"/>
      <c r="AC51" s="178"/>
      <c r="AD51" s="457"/>
    </row>
    <row r="52" spans="2:30">
      <c r="B52" s="565"/>
      <c r="C52" s="571"/>
      <c r="D52" s="206"/>
      <c r="E52" s="178"/>
      <c r="F52" s="178"/>
      <c r="G52" s="178"/>
      <c r="H52" s="206"/>
      <c r="I52" s="178"/>
      <c r="J52" s="178"/>
      <c r="K52" s="178"/>
      <c r="L52" s="178"/>
      <c r="M52" s="178"/>
      <c r="N52" s="178"/>
      <c r="O52" s="206"/>
      <c r="P52" s="178"/>
      <c r="Q52" s="178"/>
      <c r="R52" s="178"/>
      <c r="S52" s="178"/>
      <c r="T52" s="221"/>
      <c r="U52" s="221"/>
      <c r="V52" s="178"/>
      <c r="W52" s="178"/>
      <c r="X52" s="178"/>
      <c r="Y52" s="178"/>
      <c r="Z52" s="178"/>
      <c r="AA52" s="178"/>
      <c r="AB52" s="206"/>
      <c r="AC52" s="178"/>
      <c r="AD52" s="457"/>
    </row>
    <row r="53" spans="2:30">
      <c r="B53" s="566"/>
      <c r="C53" s="571"/>
      <c r="D53" s="206"/>
      <c r="E53" s="178"/>
      <c r="F53" s="178"/>
      <c r="G53" s="178"/>
      <c r="H53" s="206"/>
      <c r="I53" s="178"/>
      <c r="J53" s="178"/>
      <c r="K53" s="178"/>
      <c r="L53" s="178"/>
      <c r="M53" s="178"/>
      <c r="N53" s="178"/>
      <c r="O53" s="206"/>
      <c r="P53" s="178"/>
      <c r="Q53" s="178"/>
      <c r="R53" s="178"/>
      <c r="S53" s="178"/>
      <c r="T53" s="221"/>
      <c r="U53" s="221"/>
      <c r="V53" s="178"/>
      <c r="W53" s="178"/>
      <c r="X53" s="178"/>
      <c r="Y53" s="178"/>
      <c r="Z53" s="178"/>
      <c r="AA53" s="178"/>
      <c r="AB53" s="206"/>
      <c r="AC53" s="178"/>
      <c r="AD53" s="457"/>
    </row>
    <row r="54" spans="2:30">
      <c r="B54" s="182"/>
      <c r="C54" s="186"/>
      <c r="D54" s="206"/>
      <c r="E54" s="178"/>
      <c r="F54" s="178"/>
      <c r="G54" s="178"/>
      <c r="H54" s="206"/>
      <c r="I54" s="178"/>
      <c r="J54" s="178"/>
      <c r="K54" s="178"/>
      <c r="L54" s="178"/>
      <c r="M54" s="178"/>
      <c r="N54" s="178"/>
      <c r="O54" s="206"/>
      <c r="P54" s="178"/>
      <c r="Q54" s="178"/>
      <c r="R54" s="178"/>
      <c r="S54" s="178"/>
      <c r="T54" s="221"/>
      <c r="U54" s="221"/>
      <c r="V54" s="178"/>
      <c r="W54" s="178"/>
      <c r="X54" s="178"/>
      <c r="Y54" s="178"/>
      <c r="Z54" s="178"/>
      <c r="AA54" s="178"/>
      <c r="AB54" s="206"/>
      <c r="AC54" s="178"/>
      <c r="AD54" s="457"/>
    </row>
    <row r="55" spans="2:30">
      <c r="B55" s="182"/>
      <c r="C55" s="186"/>
      <c r="D55" s="206"/>
      <c r="E55" s="178"/>
      <c r="F55" s="178"/>
      <c r="G55" s="178"/>
      <c r="H55" s="206"/>
      <c r="I55" s="178"/>
      <c r="J55" s="178"/>
      <c r="K55" s="178"/>
      <c r="L55" s="178"/>
      <c r="M55" s="178"/>
      <c r="N55" s="178"/>
      <c r="O55" s="206"/>
      <c r="P55" s="178"/>
      <c r="Q55" s="178"/>
      <c r="R55" s="178"/>
      <c r="S55" s="178"/>
      <c r="T55" s="221"/>
      <c r="U55" s="221"/>
      <c r="V55" s="178"/>
      <c r="W55" s="178"/>
      <c r="X55" s="178"/>
      <c r="Y55" s="178"/>
      <c r="Z55" s="178"/>
      <c r="AA55" s="178"/>
      <c r="AB55" s="206"/>
      <c r="AC55" s="178"/>
      <c r="AD55" s="457"/>
    </row>
    <row r="56" spans="2:30">
      <c r="B56" s="182"/>
      <c r="C56" s="186"/>
      <c r="D56" s="206"/>
      <c r="E56" s="178"/>
      <c r="F56" s="178"/>
      <c r="G56" s="178"/>
      <c r="H56" s="206"/>
      <c r="I56" s="178"/>
      <c r="J56" s="178"/>
      <c r="K56" s="178"/>
      <c r="L56" s="178"/>
      <c r="M56" s="178"/>
      <c r="N56" s="178"/>
      <c r="O56" s="206"/>
      <c r="P56" s="178"/>
      <c r="Q56" s="178"/>
      <c r="R56" s="178"/>
      <c r="S56" s="178"/>
      <c r="T56" s="221"/>
      <c r="U56" s="221"/>
      <c r="V56" s="178"/>
      <c r="W56" s="178"/>
      <c r="X56" s="178"/>
      <c r="Y56" s="178"/>
      <c r="Z56" s="178"/>
      <c r="AA56" s="178"/>
      <c r="AB56" s="206"/>
      <c r="AC56" s="178"/>
      <c r="AD56" s="457"/>
    </row>
    <row r="57" spans="2:30">
      <c r="B57" s="182"/>
      <c r="C57" s="190"/>
      <c r="D57" s="206"/>
      <c r="E57" s="178"/>
      <c r="F57" s="178"/>
      <c r="G57" s="178"/>
      <c r="H57" s="206"/>
      <c r="I57" s="178"/>
      <c r="J57" s="178"/>
      <c r="K57" s="178"/>
      <c r="L57" s="178"/>
      <c r="M57" s="178"/>
      <c r="N57" s="178"/>
      <c r="O57" s="206"/>
      <c r="P57" s="178"/>
      <c r="Q57" s="178"/>
      <c r="R57" s="178"/>
      <c r="S57" s="178"/>
      <c r="T57" s="221"/>
      <c r="U57" s="221"/>
      <c r="V57" s="178"/>
      <c r="W57" s="178"/>
      <c r="X57" s="178"/>
      <c r="Y57" s="178"/>
      <c r="Z57" s="178"/>
      <c r="AA57" s="178"/>
      <c r="AB57" s="206"/>
      <c r="AC57" s="178"/>
      <c r="AD57" s="457"/>
    </row>
    <row r="58" spans="2:30" ht="14.25" customHeight="1">
      <c r="B58" s="567"/>
      <c r="C58" s="571"/>
      <c r="D58" s="206"/>
      <c r="E58" s="178"/>
      <c r="F58" s="178"/>
      <c r="G58" s="178"/>
      <c r="H58" s="206"/>
      <c r="I58" s="178"/>
      <c r="J58" s="178"/>
      <c r="K58" s="178"/>
      <c r="L58" s="178"/>
      <c r="M58" s="178"/>
      <c r="N58" s="178"/>
      <c r="O58" s="206"/>
      <c r="P58" s="178"/>
      <c r="Q58" s="178"/>
      <c r="R58" s="178"/>
      <c r="S58" s="178"/>
      <c r="T58" s="221"/>
      <c r="U58" s="221"/>
      <c r="V58" s="178"/>
      <c r="W58" s="178"/>
      <c r="X58" s="178"/>
      <c r="Y58" s="178"/>
      <c r="Z58" s="178"/>
      <c r="AA58" s="178"/>
      <c r="AB58" s="206"/>
      <c r="AC58" s="178"/>
      <c r="AD58" s="457"/>
    </row>
    <row r="59" spans="2:30">
      <c r="B59" s="568"/>
      <c r="C59" s="571"/>
      <c r="D59" s="206"/>
      <c r="E59" s="178"/>
      <c r="F59" s="178"/>
      <c r="G59" s="178"/>
      <c r="H59" s="206"/>
      <c r="I59" s="178"/>
      <c r="J59" s="178"/>
      <c r="K59" s="178"/>
      <c r="L59" s="178"/>
      <c r="M59" s="178"/>
      <c r="N59" s="178"/>
      <c r="O59" s="206"/>
      <c r="P59" s="178"/>
      <c r="Q59" s="178"/>
      <c r="R59" s="178"/>
      <c r="S59" s="178"/>
      <c r="T59" s="221"/>
      <c r="U59" s="221"/>
      <c r="V59" s="178"/>
      <c r="W59" s="178"/>
      <c r="X59" s="178"/>
      <c r="Y59" s="178"/>
      <c r="Z59" s="178"/>
      <c r="AA59" s="178"/>
      <c r="AB59" s="206"/>
      <c r="AC59" s="178"/>
      <c r="AD59" s="457"/>
    </row>
    <row r="60" spans="2:30">
      <c r="B60" s="182"/>
      <c r="C60" s="186"/>
      <c r="D60" s="206"/>
      <c r="E60" s="178"/>
      <c r="F60" s="178"/>
      <c r="G60" s="178"/>
      <c r="H60" s="206"/>
      <c r="I60" s="178"/>
      <c r="J60" s="178"/>
      <c r="K60" s="178"/>
      <c r="L60" s="178"/>
      <c r="M60" s="178"/>
      <c r="N60" s="178"/>
      <c r="O60" s="206"/>
      <c r="P60" s="178"/>
      <c r="Q60" s="178"/>
      <c r="R60" s="178"/>
      <c r="S60" s="178"/>
      <c r="T60" s="221"/>
      <c r="U60" s="221"/>
      <c r="V60" s="178"/>
      <c r="W60" s="178"/>
      <c r="X60" s="178"/>
      <c r="Y60" s="178"/>
      <c r="Z60" s="178"/>
      <c r="AA60" s="178"/>
      <c r="AB60" s="206"/>
      <c r="AC60" s="178"/>
      <c r="AD60" s="457"/>
    </row>
    <row r="61" spans="2:30">
      <c r="B61" s="182"/>
      <c r="C61" s="186"/>
      <c r="D61" s="206"/>
      <c r="E61" s="178"/>
      <c r="F61" s="178"/>
      <c r="G61" s="178"/>
      <c r="H61" s="206"/>
      <c r="I61" s="178"/>
      <c r="J61" s="178"/>
      <c r="K61" s="178"/>
      <c r="L61" s="178"/>
      <c r="M61" s="178"/>
      <c r="N61" s="178"/>
      <c r="O61" s="206"/>
      <c r="P61" s="178"/>
      <c r="Q61" s="178"/>
      <c r="R61" s="178"/>
      <c r="S61" s="178"/>
      <c r="T61" s="221"/>
      <c r="U61" s="221"/>
      <c r="V61" s="178"/>
      <c r="W61" s="178"/>
      <c r="X61" s="178"/>
      <c r="Y61" s="178"/>
      <c r="Z61" s="178"/>
      <c r="AA61" s="178"/>
      <c r="AB61" s="206"/>
      <c r="AC61" s="178"/>
      <c r="AD61" s="457"/>
    </row>
    <row r="62" spans="2:30">
      <c r="B62" s="182"/>
      <c r="C62" s="186"/>
      <c r="D62" s="206"/>
      <c r="E62" s="178"/>
      <c r="F62" s="178"/>
      <c r="G62" s="178"/>
      <c r="H62" s="206"/>
      <c r="I62" s="178"/>
      <c r="J62" s="178"/>
      <c r="K62" s="178"/>
      <c r="L62" s="178"/>
      <c r="M62" s="178"/>
      <c r="N62" s="178"/>
      <c r="O62" s="206"/>
      <c r="P62" s="178"/>
      <c r="Q62" s="178"/>
      <c r="R62" s="178"/>
      <c r="S62" s="178"/>
      <c r="T62" s="221"/>
      <c r="U62" s="221"/>
      <c r="V62" s="178"/>
      <c r="W62" s="178"/>
      <c r="X62" s="178"/>
      <c r="Y62" s="178"/>
      <c r="Z62" s="178"/>
      <c r="AA62" s="178"/>
      <c r="AB62" s="206"/>
      <c r="AC62" s="178"/>
      <c r="AD62" s="457"/>
    </row>
    <row r="63" spans="2:30">
      <c r="B63" s="182"/>
      <c r="C63" s="186"/>
      <c r="D63" s="206"/>
      <c r="E63" s="178"/>
      <c r="F63" s="178"/>
      <c r="G63" s="178"/>
      <c r="H63" s="206"/>
      <c r="I63" s="178"/>
      <c r="J63" s="178"/>
      <c r="K63" s="178"/>
      <c r="L63" s="178"/>
      <c r="M63" s="178"/>
      <c r="N63" s="178"/>
      <c r="O63" s="206"/>
      <c r="P63" s="178"/>
      <c r="Q63" s="178"/>
      <c r="R63" s="178"/>
      <c r="S63" s="178"/>
      <c r="T63" s="221"/>
      <c r="U63" s="221"/>
      <c r="V63" s="178"/>
      <c r="W63" s="178"/>
      <c r="X63" s="178"/>
      <c r="Y63" s="178"/>
      <c r="Z63" s="178"/>
      <c r="AA63" s="178"/>
      <c r="AB63" s="206"/>
      <c r="AC63" s="178"/>
      <c r="AD63" s="457"/>
    </row>
    <row r="64" spans="2:30">
      <c r="B64" s="182"/>
      <c r="C64" s="186"/>
      <c r="D64" s="206"/>
      <c r="E64" s="178"/>
      <c r="F64" s="178"/>
      <c r="G64" s="178"/>
      <c r="H64" s="206"/>
      <c r="I64" s="178"/>
      <c r="J64" s="178"/>
      <c r="K64" s="178"/>
      <c r="L64" s="178"/>
      <c r="M64" s="178"/>
      <c r="N64" s="178"/>
      <c r="O64" s="206"/>
      <c r="P64" s="178"/>
      <c r="Q64" s="178"/>
      <c r="R64" s="178"/>
      <c r="S64" s="178"/>
      <c r="T64" s="221"/>
      <c r="U64" s="221"/>
      <c r="V64" s="178"/>
      <c r="W64" s="178"/>
      <c r="X64" s="178"/>
      <c r="Y64" s="178"/>
      <c r="Z64" s="178"/>
      <c r="AA64" s="178"/>
      <c r="AB64" s="206"/>
      <c r="AC64" s="178"/>
      <c r="AD64" s="457"/>
    </row>
    <row r="65" spans="2:30">
      <c r="B65" s="182"/>
      <c r="C65" s="186"/>
      <c r="D65" s="206"/>
      <c r="E65" s="178"/>
      <c r="F65" s="178"/>
      <c r="G65" s="178"/>
      <c r="H65" s="206"/>
      <c r="I65" s="178"/>
      <c r="J65" s="178"/>
      <c r="K65" s="178"/>
      <c r="L65" s="178"/>
      <c r="M65" s="178"/>
      <c r="N65" s="178"/>
      <c r="O65" s="206"/>
      <c r="P65" s="178"/>
      <c r="Q65" s="178"/>
      <c r="R65" s="178"/>
      <c r="S65" s="178"/>
      <c r="T65" s="221"/>
      <c r="U65" s="221"/>
      <c r="V65" s="178"/>
      <c r="W65" s="178"/>
      <c r="X65" s="178"/>
      <c r="Y65" s="178"/>
      <c r="Z65" s="178"/>
      <c r="AA65" s="178"/>
      <c r="AB65" s="206"/>
      <c r="AC65" s="178"/>
      <c r="AD65" s="457"/>
    </row>
    <row r="66" spans="2:30">
      <c r="B66" s="182"/>
      <c r="C66" s="186"/>
      <c r="D66" s="206"/>
      <c r="E66" s="178"/>
      <c r="F66" s="178"/>
      <c r="G66" s="178"/>
      <c r="H66" s="206"/>
      <c r="I66" s="178"/>
      <c r="J66" s="178"/>
      <c r="K66" s="178"/>
      <c r="L66" s="178"/>
      <c r="M66" s="178"/>
      <c r="N66" s="178"/>
      <c r="O66" s="206"/>
      <c r="P66" s="178"/>
      <c r="Q66" s="178"/>
      <c r="R66" s="178"/>
      <c r="S66" s="178"/>
      <c r="T66" s="221"/>
      <c r="U66" s="221"/>
      <c r="V66" s="178"/>
      <c r="W66" s="178"/>
      <c r="X66" s="178"/>
      <c r="Y66" s="178"/>
      <c r="Z66" s="178"/>
      <c r="AA66" s="178"/>
      <c r="AB66" s="206"/>
      <c r="AC66" s="178"/>
      <c r="AD66" s="457"/>
    </row>
    <row r="67" spans="2:30">
      <c r="B67" s="182"/>
      <c r="C67" s="186"/>
      <c r="D67" s="206"/>
      <c r="E67" s="178"/>
      <c r="F67" s="178"/>
      <c r="G67" s="178"/>
      <c r="H67" s="206"/>
      <c r="I67" s="178"/>
      <c r="J67" s="178"/>
      <c r="K67" s="178"/>
      <c r="L67" s="178"/>
      <c r="M67" s="178"/>
      <c r="N67" s="178"/>
      <c r="O67" s="206"/>
      <c r="P67" s="178"/>
      <c r="Q67" s="178"/>
      <c r="R67" s="178"/>
      <c r="S67" s="178"/>
      <c r="T67" s="221"/>
      <c r="U67" s="221"/>
      <c r="V67" s="178"/>
      <c r="W67" s="178"/>
      <c r="X67" s="178"/>
      <c r="Y67" s="178"/>
      <c r="Z67" s="178"/>
      <c r="AA67" s="178"/>
      <c r="AB67" s="206"/>
      <c r="AC67" s="178"/>
      <c r="AD67" s="457"/>
    </row>
    <row r="68" spans="2:30">
      <c r="B68" s="182"/>
      <c r="C68" s="190"/>
      <c r="D68" s="224"/>
      <c r="H68" s="224"/>
      <c r="O68" s="224"/>
      <c r="S68" s="178"/>
      <c r="V68"/>
      <c r="AB68" s="224"/>
    </row>
  </sheetData>
  <mergeCells count="21">
    <mergeCell ref="AB2:AC2"/>
    <mergeCell ref="B38:B39"/>
    <mergeCell ref="B48:B51"/>
    <mergeCell ref="B52:B53"/>
    <mergeCell ref="B58:B59"/>
    <mergeCell ref="C2:C3"/>
    <mergeCell ref="C38:C39"/>
    <mergeCell ref="C52:C53"/>
    <mergeCell ref="C58:C59"/>
    <mergeCell ref="A2:B3"/>
    <mergeCell ref="Q2:R2"/>
    <mergeCell ref="T2:U2"/>
    <mergeCell ref="A4:A10"/>
    <mergeCell ref="A11:A19"/>
    <mergeCell ref="B32:B33"/>
    <mergeCell ref="W2:X2"/>
    <mergeCell ref="A1:B1"/>
    <mergeCell ref="D2:E2"/>
    <mergeCell ref="H2:I2"/>
    <mergeCell ref="L2:M2"/>
    <mergeCell ref="O2:P2"/>
  </mergeCells>
  <phoneticPr fontId="21" type="noConversion"/>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drawing r:id="rId1"/>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64"/>
  <sheetViews>
    <sheetView workbookViewId="0">
      <selection activeCell="B14" sqref="B14"/>
    </sheetView>
  </sheetViews>
  <sheetFormatPr defaultColWidth="9.44140625" defaultRowHeight="15.6"/>
  <cols>
    <col min="1" max="1" width="10.44140625" style="165" customWidth="1"/>
    <col min="2" max="2" width="29.44140625" style="165" customWidth="1"/>
    <col min="3" max="3" width="43" style="165" customWidth="1"/>
    <col min="4" max="11" width="31.44140625" style="166" customWidth="1"/>
    <col min="12" max="12" width="31.5546875" style="166" customWidth="1"/>
    <col min="13" max="21" width="31.44140625" style="166" customWidth="1"/>
    <col min="22" max="16384" width="9.44140625" style="165"/>
  </cols>
  <sheetData>
    <row r="1" spans="1:21" ht="41.4">
      <c r="A1" s="558" t="s">
        <v>90</v>
      </c>
      <c r="B1" s="559"/>
      <c r="C1" s="169" t="s">
        <v>474</v>
      </c>
    </row>
    <row r="2" spans="1:21">
      <c r="A2" s="558" t="s">
        <v>91</v>
      </c>
      <c r="B2" s="559"/>
      <c r="C2" s="170" t="s">
        <v>92</v>
      </c>
      <c r="D2" s="520" t="s">
        <v>5</v>
      </c>
      <c r="E2" s="521"/>
      <c r="F2" s="171" t="s">
        <v>12</v>
      </c>
      <c r="G2" s="520" t="s">
        <v>16</v>
      </c>
      <c r="H2" s="521"/>
      <c r="I2" s="171" t="s">
        <v>21</v>
      </c>
      <c r="J2" s="171" t="s">
        <v>24</v>
      </c>
      <c r="K2" s="171" t="s">
        <v>26</v>
      </c>
      <c r="L2" s="193" t="s">
        <v>33</v>
      </c>
      <c r="M2" s="194" t="s">
        <v>539</v>
      </c>
      <c r="N2" s="195" t="s">
        <v>93</v>
      </c>
      <c r="O2" s="195" t="s">
        <v>93</v>
      </c>
      <c r="P2" s="195" t="s">
        <v>80</v>
      </c>
      <c r="Q2" s="560" t="s">
        <v>17</v>
      </c>
      <c r="R2" s="561"/>
      <c r="S2" s="194"/>
      <c r="T2" s="194"/>
      <c r="U2" s="194"/>
    </row>
    <row r="3" spans="1:21">
      <c r="A3" s="167"/>
      <c r="B3" s="168"/>
      <c r="C3" s="172"/>
      <c r="D3" s="171" t="s">
        <v>103</v>
      </c>
      <c r="E3" s="171" t="s">
        <v>104</v>
      </c>
      <c r="F3" s="173" t="s">
        <v>103</v>
      </c>
      <c r="G3" s="171" t="s">
        <v>103</v>
      </c>
      <c r="H3" s="171" t="s">
        <v>104</v>
      </c>
      <c r="I3" s="171" t="s">
        <v>103</v>
      </c>
      <c r="J3" s="171" t="s">
        <v>103</v>
      </c>
      <c r="K3" s="171" t="s">
        <v>103</v>
      </c>
      <c r="L3" s="193" t="s">
        <v>104</v>
      </c>
      <c r="M3" s="194" t="s">
        <v>103</v>
      </c>
      <c r="N3" s="194" t="s">
        <v>103</v>
      </c>
      <c r="O3" s="194" t="s">
        <v>104</v>
      </c>
      <c r="P3" s="196" t="s">
        <v>103</v>
      </c>
      <c r="Q3" s="428" t="s">
        <v>103</v>
      </c>
      <c r="R3" s="428" t="s">
        <v>104</v>
      </c>
      <c r="S3" s="194"/>
      <c r="T3" s="194"/>
      <c r="U3" s="194"/>
    </row>
    <row r="4" spans="1:21" ht="45.6">
      <c r="A4" s="574" t="s">
        <v>476</v>
      </c>
      <c r="B4" s="174" t="s">
        <v>540</v>
      </c>
      <c r="D4" s="175" t="s">
        <v>541</v>
      </c>
      <c r="E4" s="176" t="s">
        <v>542</v>
      </c>
      <c r="F4" s="175" t="s">
        <v>541</v>
      </c>
      <c r="G4" s="175" t="s">
        <v>543</v>
      </c>
      <c r="H4" s="175" t="s">
        <v>544</v>
      </c>
      <c r="I4" s="176" t="s">
        <v>545</v>
      </c>
      <c r="J4" s="175" t="s">
        <v>541</v>
      </c>
      <c r="K4" s="175" t="s">
        <v>541</v>
      </c>
      <c r="L4" s="178" t="s">
        <v>546</v>
      </c>
      <c r="M4" s="175" t="s">
        <v>541</v>
      </c>
      <c r="N4" s="197" t="s">
        <v>541</v>
      </c>
      <c r="O4" s="176" t="s">
        <v>547</v>
      </c>
      <c r="P4" s="198" t="s">
        <v>541</v>
      </c>
      <c r="Q4" s="431" t="s">
        <v>813</v>
      </c>
      <c r="R4" s="202" t="s">
        <v>813</v>
      </c>
      <c r="S4" s="178"/>
      <c r="T4" s="178"/>
      <c r="U4" s="178"/>
    </row>
    <row r="5" spans="1:21" ht="34.200000000000003">
      <c r="A5" s="575"/>
      <c r="B5" s="174" t="s">
        <v>503</v>
      </c>
      <c r="C5" s="177"/>
      <c r="D5" s="176" t="s">
        <v>548</v>
      </c>
      <c r="E5" s="176" t="s">
        <v>548</v>
      </c>
      <c r="F5" s="176" t="s">
        <v>549</v>
      </c>
      <c r="G5" s="176" t="s">
        <v>550</v>
      </c>
      <c r="H5" s="176" t="s">
        <v>550</v>
      </c>
      <c r="I5" s="176" t="s">
        <v>551</v>
      </c>
      <c r="J5" s="176" t="s">
        <v>548</v>
      </c>
      <c r="K5" s="176" t="s">
        <v>548</v>
      </c>
      <c r="L5" s="178" t="s">
        <v>552</v>
      </c>
      <c r="M5" s="176" t="s">
        <v>548</v>
      </c>
      <c r="N5" s="176" t="s">
        <v>548</v>
      </c>
      <c r="O5" s="176" t="s">
        <v>548</v>
      </c>
      <c r="P5" s="199" t="s">
        <v>550</v>
      </c>
      <c r="Q5" s="202" t="s">
        <v>812</v>
      </c>
      <c r="R5" s="202" t="s">
        <v>812</v>
      </c>
      <c r="S5" s="178"/>
      <c r="T5" s="178"/>
      <c r="U5" s="178"/>
    </row>
    <row r="6" spans="1:21">
      <c r="A6" s="576"/>
      <c r="B6" s="174" t="s">
        <v>553</v>
      </c>
      <c r="C6" s="177"/>
      <c r="D6" s="175" t="s">
        <v>554</v>
      </c>
      <c r="E6" s="175" t="s">
        <v>554</v>
      </c>
      <c r="F6" s="175" t="s">
        <v>554</v>
      </c>
      <c r="G6" s="175" t="s">
        <v>555</v>
      </c>
      <c r="H6" s="175" t="s">
        <v>555</v>
      </c>
      <c r="I6" s="200" t="s">
        <v>554</v>
      </c>
      <c r="J6" s="175" t="s">
        <v>554</v>
      </c>
      <c r="K6" s="175" t="s">
        <v>554</v>
      </c>
      <c r="L6" s="201" t="s">
        <v>555</v>
      </c>
      <c r="M6" s="175" t="s">
        <v>554</v>
      </c>
      <c r="N6" s="175" t="s">
        <v>554</v>
      </c>
      <c r="O6" s="175" t="s">
        <v>554</v>
      </c>
      <c r="P6" s="198" t="s">
        <v>554</v>
      </c>
      <c r="Q6" s="432" t="s">
        <v>554</v>
      </c>
      <c r="R6" s="432" t="s">
        <v>554</v>
      </c>
      <c r="S6" s="178"/>
      <c r="T6" s="178"/>
      <c r="U6" s="178"/>
    </row>
    <row r="7" spans="1:21" ht="34.200000000000003">
      <c r="A7" s="574" t="s">
        <v>522</v>
      </c>
      <c r="B7" s="174" t="s">
        <v>540</v>
      </c>
      <c r="C7" s="177"/>
      <c r="D7" s="178" t="s">
        <v>160</v>
      </c>
      <c r="E7" s="176" t="s">
        <v>556</v>
      </c>
      <c r="F7" s="176" t="s">
        <v>545</v>
      </c>
      <c r="G7" s="178" t="s">
        <v>160</v>
      </c>
      <c r="H7" s="175" t="s">
        <v>544</v>
      </c>
      <c r="I7" s="176" t="s">
        <v>545</v>
      </c>
      <c r="J7" s="178" t="s">
        <v>160</v>
      </c>
      <c r="K7" s="178" t="s">
        <v>160</v>
      </c>
      <c r="L7" s="202" t="s">
        <v>557</v>
      </c>
      <c r="M7" s="178" t="s">
        <v>160</v>
      </c>
      <c r="N7" s="178" t="s">
        <v>160</v>
      </c>
      <c r="O7" s="176" t="s">
        <v>545</v>
      </c>
      <c r="P7" s="203" t="s">
        <v>160</v>
      </c>
      <c r="Q7" s="202" t="s">
        <v>813</v>
      </c>
      <c r="R7" s="202" t="s">
        <v>813</v>
      </c>
      <c r="S7" s="178"/>
      <c r="T7" s="178"/>
      <c r="U7" s="178"/>
    </row>
    <row r="8" spans="1:21" ht="34.200000000000003">
      <c r="A8" s="575"/>
      <c r="B8" s="174" t="s">
        <v>503</v>
      </c>
      <c r="C8" s="177"/>
      <c r="D8" s="178" t="s">
        <v>160</v>
      </c>
      <c r="E8" s="176" t="s">
        <v>548</v>
      </c>
      <c r="F8" s="176" t="s">
        <v>549</v>
      </c>
      <c r="G8" s="178" t="s">
        <v>160</v>
      </c>
      <c r="H8" s="176" t="s">
        <v>558</v>
      </c>
      <c r="I8" s="176" t="s">
        <v>551</v>
      </c>
      <c r="J8" s="178" t="s">
        <v>160</v>
      </c>
      <c r="K8" s="178" t="s">
        <v>160</v>
      </c>
      <c r="L8" s="202" t="s">
        <v>559</v>
      </c>
      <c r="M8" s="178" t="s">
        <v>160</v>
      </c>
      <c r="N8" s="178" t="s">
        <v>160</v>
      </c>
      <c r="O8" s="176" t="s">
        <v>560</v>
      </c>
      <c r="P8" s="203" t="s">
        <v>160</v>
      </c>
      <c r="Q8" s="202" t="s">
        <v>812</v>
      </c>
      <c r="R8" s="202" t="s">
        <v>812</v>
      </c>
      <c r="S8" s="178"/>
      <c r="T8" s="178"/>
      <c r="U8" s="178"/>
    </row>
    <row r="9" spans="1:21" ht="33" customHeight="1">
      <c r="A9" s="575"/>
      <c r="B9" s="174" t="s">
        <v>553</v>
      </c>
      <c r="C9" s="177"/>
      <c r="D9" s="178" t="s">
        <v>160</v>
      </c>
      <c r="E9" s="176" t="s">
        <v>554</v>
      </c>
      <c r="F9" s="175" t="s">
        <v>555</v>
      </c>
      <c r="G9" s="178" t="s">
        <v>160</v>
      </c>
      <c r="H9" s="176" t="s">
        <v>555</v>
      </c>
      <c r="I9" s="175" t="s">
        <v>554</v>
      </c>
      <c r="J9" s="178" t="s">
        <v>160</v>
      </c>
      <c r="K9" s="178" t="s">
        <v>160</v>
      </c>
      <c r="L9" s="202" t="s">
        <v>555</v>
      </c>
      <c r="M9" s="178" t="s">
        <v>160</v>
      </c>
      <c r="N9" s="178" t="s">
        <v>160</v>
      </c>
      <c r="O9" s="176" t="s">
        <v>554</v>
      </c>
      <c r="P9" s="203" t="s">
        <v>160</v>
      </c>
      <c r="Q9" s="202" t="s">
        <v>814</v>
      </c>
      <c r="R9" s="202" t="s">
        <v>814</v>
      </c>
      <c r="S9" s="178"/>
      <c r="T9" s="178"/>
      <c r="U9" s="178"/>
    </row>
    <row r="10" spans="1:21" ht="34.200000000000003">
      <c r="A10" s="576"/>
      <c r="B10" s="174" t="s">
        <v>534</v>
      </c>
      <c r="C10" s="177"/>
      <c r="D10" s="178" t="s">
        <v>160</v>
      </c>
      <c r="E10" s="176" t="s">
        <v>535</v>
      </c>
      <c r="F10" s="179" t="s">
        <v>536</v>
      </c>
      <c r="G10" s="178" t="s">
        <v>160</v>
      </c>
      <c r="H10" s="176" t="s">
        <v>561</v>
      </c>
      <c r="I10" s="177" t="s">
        <v>538</v>
      </c>
      <c r="J10" s="178" t="s">
        <v>160</v>
      </c>
      <c r="K10" s="178" t="s">
        <v>160</v>
      </c>
      <c r="L10" s="202" t="s">
        <v>535</v>
      </c>
      <c r="M10" s="178" t="s">
        <v>160</v>
      </c>
      <c r="N10" s="178" t="s">
        <v>160</v>
      </c>
      <c r="O10" s="176" t="s">
        <v>535</v>
      </c>
      <c r="P10" s="203" t="s">
        <v>160</v>
      </c>
      <c r="Q10" s="429" t="s">
        <v>535</v>
      </c>
      <c r="R10" s="429" t="s">
        <v>535</v>
      </c>
      <c r="S10" s="178"/>
      <c r="T10" s="178"/>
      <c r="U10" s="178"/>
    </row>
    <row r="11" spans="1:21">
      <c r="A11" s="180"/>
      <c r="B11" s="174"/>
      <c r="C11" s="177"/>
      <c r="D11" s="178"/>
      <c r="E11" s="178"/>
      <c r="F11" s="178"/>
      <c r="G11" s="178"/>
      <c r="H11" s="178"/>
      <c r="I11" s="178"/>
      <c r="J11" s="178"/>
      <c r="K11" s="178"/>
      <c r="L11" s="178"/>
      <c r="M11" s="178"/>
      <c r="N11" s="178"/>
      <c r="O11" s="178"/>
      <c r="P11" s="178"/>
      <c r="Q11" s="178"/>
      <c r="R11" s="178"/>
      <c r="S11" s="178"/>
      <c r="T11" s="178"/>
      <c r="U11" s="178"/>
    </row>
    <row r="12" spans="1:21">
      <c r="A12" s="180"/>
      <c r="B12" s="174"/>
      <c r="C12" s="177"/>
      <c r="D12" s="178"/>
      <c r="E12" s="178"/>
      <c r="F12" s="178"/>
      <c r="G12" s="178"/>
      <c r="H12" s="178"/>
      <c r="I12" s="178"/>
      <c r="J12" s="178"/>
      <c r="K12" s="178"/>
      <c r="L12" s="178"/>
      <c r="M12" s="178"/>
      <c r="N12" s="178"/>
      <c r="O12" s="178"/>
      <c r="P12" s="178"/>
      <c r="Q12" s="178"/>
      <c r="R12" s="178"/>
      <c r="S12" s="178"/>
      <c r="T12" s="178"/>
      <c r="U12" s="178"/>
    </row>
    <row r="13" spans="1:21">
      <c r="A13" s="180"/>
      <c r="B13" s="174"/>
      <c r="C13" s="177"/>
      <c r="D13" s="178"/>
      <c r="E13" s="178"/>
      <c r="F13" s="178"/>
      <c r="G13" s="178"/>
      <c r="H13" s="178"/>
      <c r="I13" s="178"/>
      <c r="J13" s="178"/>
      <c r="K13" s="178"/>
      <c r="L13" s="178"/>
      <c r="M13" s="178"/>
      <c r="N13" s="178"/>
      <c r="O13" s="178"/>
      <c r="P13" s="178"/>
      <c r="Q13" s="178"/>
      <c r="R13" s="178"/>
      <c r="S13" s="178"/>
      <c r="T13" s="178"/>
      <c r="U13" s="178"/>
    </row>
    <row r="14" spans="1:21" ht="60" customHeight="1">
      <c r="A14" s="180"/>
      <c r="B14" s="181"/>
      <c r="C14" s="182"/>
      <c r="D14" s="178"/>
      <c r="E14" s="178"/>
      <c r="F14" s="178"/>
      <c r="G14" s="178"/>
      <c r="H14" s="178"/>
      <c r="I14" s="178"/>
      <c r="J14" s="178"/>
      <c r="K14" s="178"/>
      <c r="L14" s="178"/>
      <c r="M14" s="178"/>
      <c r="N14" s="178"/>
      <c r="O14" s="178"/>
      <c r="P14" s="178"/>
      <c r="Q14" s="178"/>
      <c r="R14" s="178"/>
      <c r="S14" s="178"/>
      <c r="T14" s="178"/>
      <c r="U14" s="178"/>
    </row>
    <row r="15" spans="1:21" ht="58.5" customHeight="1">
      <c r="A15" s="180"/>
      <c r="B15" s="181"/>
      <c r="C15" s="182"/>
      <c r="D15" s="178"/>
      <c r="E15" s="178"/>
      <c r="F15" s="178"/>
      <c r="G15" s="178"/>
      <c r="H15" s="178"/>
      <c r="I15" s="178"/>
      <c r="J15" s="178"/>
      <c r="K15" s="178"/>
      <c r="L15" s="178"/>
      <c r="M15" s="178"/>
      <c r="N15" s="178"/>
      <c r="O15" s="178"/>
      <c r="P15" s="178"/>
      <c r="Q15" s="178"/>
      <c r="R15" s="178"/>
      <c r="S15" s="178"/>
      <c r="T15" s="178"/>
      <c r="U15" s="178"/>
    </row>
    <row r="16" spans="1:21">
      <c r="A16" s="180"/>
      <c r="B16" s="174"/>
      <c r="C16" s="178"/>
      <c r="D16" s="178"/>
      <c r="E16" s="178"/>
      <c r="F16" s="178"/>
      <c r="G16" s="178"/>
      <c r="H16" s="178"/>
      <c r="I16" s="178"/>
      <c r="J16" s="178"/>
      <c r="K16" s="178"/>
      <c r="L16" s="178"/>
      <c r="M16" s="178"/>
      <c r="N16" s="178"/>
      <c r="O16" s="178"/>
      <c r="P16" s="178"/>
      <c r="Q16" s="178"/>
      <c r="R16" s="178"/>
      <c r="S16" s="178"/>
      <c r="T16" s="178"/>
      <c r="U16" s="178"/>
    </row>
    <row r="17" spans="1:21">
      <c r="A17" s="180"/>
      <c r="B17" s="174"/>
      <c r="C17" s="177"/>
      <c r="D17" s="178"/>
      <c r="E17" s="178"/>
      <c r="F17" s="178"/>
      <c r="G17" s="178"/>
      <c r="H17" s="178"/>
      <c r="I17" s="178"/>
      <c r="J17" s="178"/>
      <c r="K17" s="178"/>
      <c r="L17" s="178"/>
      <c r="M17" s="178"/>
      <c r="N17" s="178"/>
      <c r="O17" s="178"/>
      <c r="P17" s="178"/>
      <c r="Q17" s="178"/>
      <c r="R17" s="178"/>
      <c r="S17" s="178"/>
      <c r="T17" s="178"/>
      <c r="U17" s="178"/>
    </row>
    <row r="18" spans="1:21">
      <c r="A18" s="180"/>
      <c r="B18" s="174"/>
      <c r="C18" s="177"/>
      <c r="D18" s="178"/>
      <c r="E18" s="178"/>
      <c r="F18" s="178"/>
      <c r="G18" s="178"/>
      <c r="H18" s="178"/>
      <c r="I18" s="178"/>
      <c r="J18" s="178"/>
      <c r="K18" s="178"/>
      <c r="L18" s="178"/>
      <c r="M18" s="178"/>
      <c r="N18" s="178"/>
      <c r="O18" s="178"/>
      <c r="P18" s="178"/>
      <c r="Q18" s="178"/>
      <c r="R18" s="178"/>
      <c r="S18" s="178"/>
      <c r="T18" s="178"/>
      <c r="U18" s="178"/>
    </row>
    <row r="19" spans="1:21" ht="24.75" customHeight="1">
      <c r="A19" s="180"/>
      <c r="B19" s="183"/>
      <c r="C19" s="177"/>
      <c r="D19" s="178"/>
      <c r="E19" s="178"/>
      <c r="F19" s="178"/>
      <c r="G19" s="178"/>
      <c r="H19" s="178"/>
      <c r="I19" s="178"/>
      <c r="J19" s="178"/>
      <c r="K19" s="178"/>
      <c r="L19" s="178"/>
      <c r="M19" s="178"/>
      <c r="N19" s="178"/>
      <c r="O19" s="178"/>
      <c r="P19" s="178"/>
      <c r="Q19" s="178"/>
      <c r="R19" s="178"/>
      <c r="S19" s="178"/>
      <c r="T19" s="178"/>
      <c r="U19" s="178"/>
    </row>
    <row r="20" spans="1:21">
      <c r="A20" s="180"/>
      <c r="B20" s="184"/>
      <c r="C20" s="184"/>
      <c r="D20" s="178"/>
      <c r="E20" s="178"/>
      <c r="F20" s="178"/>
      <c r="G20" s="178"/>
      <c r="H20" s="178"/>
      <c r="I20" s="178"/>
      <c r="J20" s="178"/>
      <c r="K20" s="178"/>
      <c r="L20" s="178"/>
      <c r="M20" s="178"/>
      <c r="N20" s="178"/>
      <c r="O20" s="178"/>
      <c r="P20" s="178"/>
      <c r="Q20" s="178"/>
      <c r="R20" s="178"/>
      <c r="S20" s="178"/>
      <c r="T20" s="178"/>
      <c r="U20" s="178"/>
    </row>
    <row r="21" spans="1:21">
      <c r="A21" s="180"/>
      <c r="B21" s="185"/>
      <c r="C21" s="186"/>
      <c r="D21" s="178"/>
      <c r="E21" s="178"/>
      <c r="F21" s="178"/>
      <c r="G21" s="178"/>
      <c r="H21" s="178"/>
      <c r="I21" s="178"/>
      <c r="J21" s="178"/>
      <c r="K21" s="178"/>
      <c r="L21" s="178"/>
      <c r="M21" s="178"/>
      <c r="N21" s="178"/>
      <c r="O21" s="178"/>
      <c r="P21" s="178"/>
      <c r="Q21" s="178"/>
      <c r="R21" s="178"/>
      <c r="S21" s="178"/>
      <c r="T21" s="178"/>
      <c r="U21" s="178"/>
    </row>
    <row r="22" spans="1:21">
      <c r="A22" s="180"/>
      <c r="B22" s="187"/>
      <c r="C22" s="186"/>
      <c r="D22" s="178"/>
      <c r="E22" s="178"/>
      <c r="F22" s="178"/>
      <c r="G22" s="178"/>
      <c r="H22" s="178"/>
      <c r="I22" s="178"/>
      <c r="J22" s="178"/>
      <c r="K22" s="178"/>
      <c r="L22" s="178"/>
      <c r="M22" s="178"/>
      <c r="N22" s="178"/>
      <c r="O22" s="178"/>
      <c r="P22" s="178"/>
      <c r="Q22" s="178"/>
      <c r="R22" s="178"/>
      <c r="S22" s="178"/>
      <c r="T22" s="178"/>
      <c r="U22" s="178"/>
    </row>
    <row r="23" spans="1:21">
      <c r="A23" s="180"/>
      <c r="B23" s="187"/>
      <c r="C23" s="186"/>
      <c r="D23" s="178"/>
      <c r="E23" s="178"/>
      <c r="F23" s="178"/>
      <c r="G23" s="178"/>
      <c r="H23" s="178"/>
      <c r="I23" s="178"/>
      <c r="J23" s="178"/>
      <c r="K23" s="178"/>
      <c r="L23" s="178"/>
      <c r="M23" s="178"/>
      <c r="N23" s="178"/>
      <c r="O23" s="178"/>
      <c r="P23" s="178"/>
      <c r="Q23" s="178"/>
      <c r="R23" s="178"/>
      <c r="S23" s="178"/>
      <c r="T23" s="178"/>
      <c r="U23" s="178"/>
    </row>
    <row r="24" spans="1:21">
      <c r="A24" s="180"/>
      <c r="B24" s="187"/>
      <c r="C24" s="186"/>
      <c r="D24" s="178"/>
      <c r="E24" s="178"/>
      <c r="F24" s="178"/>
      <c r="G24" s="178"/>
      <c r="H24" s="178"/>
      <c r="I24" s="178"/>
      <c r="J24" s="178"/>
      <c r="K24" s="178"/>
      <c r="L24" s="178"/>
      <c r="M24" s="178"/>
      <c r="N24" s="178"/>
      <c r="O24" s="178"/>
      <c r="P24" s="178"/>
      <c r="Q24" s="178"/>
      <c r="R24" s="178"/>
      <c r="S24" s="178"/>
      <c r="T24" s="178"/>
      <c r="U24" s="178"/>
    </row>
    <row r="25" spans="1:21">
      <c r="B25" s="188"/>
      <c r="C25" s="186"/>
      <c r="D25" s="178"/>
      <c r="E25" s="178"/>
      <c r="F25" s="178"/>
      <c r="G25" s="178"/>
      <c r="H25" s="178"/>
      <c r="I25" s="178"/>
      <c r="J25" s="178"/>
      <c r="K25" s="178"/>
      <c r="L25" s="178"/>
      <c r="M25" s="178"/>
      <c r="N25" s="178"/>
      <c r="O25" s="178"/>
      <c r="P25" s="178"/>
      <c r="Q25" s="178"/>
      <c r="R25" s="178"/>
      <c r="S25" s="178"/>
      <c r="T25" s="178"/>
      <c r="U25" s="178"/>
    </row>
    <row r="26" spans="1:21">
      <c r="B26" s="188"/>
      <c r="C26" s="189"/>
      <c r="D26" s="178"/>
      <c r="E26" s="178"/>
      <c r="F26" s="178"/>
      <c r="G26" s="178"/>
      <c r="H26" s="178"/>
      <c r="I26" s="178"/>
      <c r="J26" s="178"/>
      <c r="K26" s="178"/>
      <c r="L26" s="178"/>
      <c r="M26" s="178"/>
      <c r="N26" s="178"/>
      <c r="O26" s="178"/>
      <c r="P26" s="178"/>
      <c r="Q26" s="178"/>
      <c r="R26" s="178"/>
      <c r="S26" s="178"/>
      <c r="T26" s="178"/>
      <c r="U26" s="178"/>
    </row>
    <row r="27" spans="1:21">
      <c r="B27" s="182"/>
      <c r="C27" s="186"/>
      <c r="D27" s="178"/>
      <c r="E27" s="178"/>
      <c r="F27" s="178"/>
      <c r="G27" s="178"/>
      <c r="H27" s="178"/>
      <c r="I27" s="178"/>
      <c r="J27" s="178"/>
      <c r="K27" s="178"/>
      <c r="L27" s="178"/>
      <c r="M27" s="178"/>
      <c r="N27" s="178"/>
      <c r="O27" s="178"/>
      <c r="P27" s="178"/>
      <c r="Q27" s="178"/>
      <c r="R27" s="178"/>
      <c r="S27" s="178"/>
      <c r="T27" s="178"/>
      <c r="U27" s="178"/>
    </row>
    <row r="28" spans="1:21">
      <c r="B28" s="577"/>
      <c r="C28" s="186"/>
      <c r="D28" s="178"/>
      <c r="E28" s="178"/>
      <c r="F28" s="178"/>
      <c r="G28" s="178"/>
      <c r="H28" s="178"/>
      <c r="I28" s="178"/>
      <c r="J28" s="178"/>
      <c r="K28" s="178"/>
      <c r="L28" s="178"/>
      <c r="M28" s="178"/>
      <c r="N28" s="178"/>
      <c r="O28" s="178"/>
      <c r="P28" s="178"/>
      <c r="Q28" s="178"/>
      <c r="R28" s="178"/>
      <c r="S28" s="178"/>
      <c r="T28" s="178"/>
      <c r="U28" s="178"/>
    </row>
    <row r="29" spans="1:21">
      <c r="B29" s="577"/>
      <c r="C29" s="186"/>
      <c r="D29" s="178"/>
      <c r="E29" s="178"/>
      <c r="F29" s="178"/>
      <c r="G29" s="178"/>
      <c r="H29" s="178"/>
      <c r="I29" s="178"/>
      <c r="J29" s="178"/>
      <c r="K29" s="178"/>
      <c r="L29" s="178"/>
      <c r="M29" s="178"/>
      <c r="N29" s="178"/>
      <c r="O29" s="178"/>
      <c r="P29" s="178"/>
      <c r="Q29" s="178"/>
      <c r="R29" s="178"/>
      <c r="S29" s="178"/>
      <c r="T29" s="178"/>
      <c r="U29" s="178"/>
    </row>
    <row r="30" spans="1:21">
      <c r="B30" s="188"/>
      <c r="C30" s="186"/>
      <c r="D30" s="178"/>
      <c r="E30" s="178"/>
      <c r="F30" s="178"/>
      <c r="G30" s="178"/>
      <c r="H30" s="178"/>
      <c r="I30" s="178"/>
      <c r="J30" s="178"/>
      <c r="K30" s="178"/>
      <c r="L30" s="178"/>
      <c r="M30" s="178"/>
      <c r="N30" s="178"/>
      <c r="O30" s="178"/>
      <c r="P30" s="178"/>
      <c r="Q30" s="178"/>
      <c r="R30" s="178"/>
      <c r="S30" s="178"/>
      <c r="T30" s="178"/>
      <c r="U30" s="178"/>
    </row>
    <row r="31" spans="1:21">
      <c r="B31" s="188"/>
      <c r="C31" s="190"/>
      <c r="D31" s="178"/>
      <c r="E31" s="178"/>
      <c r="F31" s="178"/>
      <c r="G31" s="178"/>
      <c r="H31" s="178"/>
      <c r="I31" s="178"/>
      <c r="J31" s="178"/>
      <c r="K31" s="178"/>
      <c r="L31" s="178"/>
      <c r="M31" s="178"/>
      <c r="N31" s="178"/>
      <c r="O31" s="178"/>
      <c r="P31" s="178"/>
      <c r="Q31" s="178"/>
      <c r="R31" s="178"/>
      <c r="S31" s="178"/>
      <c r="T31" s="178"/>
      <c r="U31" s="178"/>
    </row>
    <row r="32" spans="1:21">
      <c r="B32" s="188"/>
      <c r="C32" s="186"/>
      <c r="D32" s="178"/>
      <c r="E32" s="178"/>
      <c r="F32" s="178"/>
      <c r="G32" s="178"/>
      <c r="H32" s="178"/>
      <c r="I32" s="178"/>
      <c r="J32" s="178"/>
      <c r="K32" s="178"/>
      <c r="L32" s="178"/>
      <c r="M32" s="178"/>
      <c r="N32" s="178"/>
      <c r="O32" s="178"/>
      <c r="P32" s="178"/>
      <c r="Q32" s="178"/>
      <c r="R32" s="178"/>
      <c r="S32" s="178"/>
      <c r="T32" s="178"/>
      <c r="U32" s="178"/>
    </row>
    <row r="33" spans="2:21">
      <c r="B33" s="188"/>
      <c r="C33" s="186"/>
      <c r="D33" s="178"/>
      <c r="E33" s="178"/>
      <c r="F33" s="178"/>
      <c r="G33" s="178"/>
      <c r="H33" s="178"/>
      <c r="I33" s="178"/>
      <c r="J33" s="178"/>
      <c r="K33" s="178"/>
      <c r="L33" s="178"/>
      <c r="M33" s="178"/>
      <c r="N33" s="178"/>
      <c r="O33" s="178"/>
      <c r="P33" s="178"/>
      <c r="Q33" s="178"/>
      <c r="R33" s="178"/>
      <c r="S33" s="178"/>
      <c r="T33" s="178"/>
      <c r="U33" s="178"/>
    </row>
    <row r="34" spans="2:21">
      <c r="B34" s="577"/>
      <c r="C34" s="571"/>
      <c r="D34" s="178"/>
      <c r="E34" s="178"/>
      <c r="F34" s="178"/>
      <c r="G34" s="178"/>
      <c r="H34" s="178"/>
      <c r="I34" s="178"/>
      <c r="J34" s="178"/>
      <c r="K34" s="178"/>
      <c r="L34" s="178"/>
      <c r="M34" s="178"/>
      <c r="N34" s="178"/>
      <c r="O34" s="178"/>
      <c r="P34" s="178"/>
      <c r="Q34" s="178"/>
      <c r="R34" s="178"/>
      <c r="S34" s="178"/>
      <c r="T34" s="178"/>
      <c r="U34" s="178"/>
    </row>
    <row r="35" spans="2:21">
      <c r="B35" s="577"/>
      <c r="C35" s="571"/>
      <c r="D35" s="178"/>
      <c r="E35" s="178"/>
      <c r="F35" s="178"/>
      <c r="G35" s="178"/>
      <c r="H35" s="178"/>
      <c r="I35" s="178"/>
      <c r="J35" s="178"/>
      <c r="K35" s="178"/>
      <c r="L35" s="178"/>
      <c r="M35" s="178"/>
      <c r="N35" s="178"/>
      <c r="O35" s="178"/>
      <c r="P35" s="178"/>
      <c r="Q35" s="178"/>
      <c r="R35" s="178"/>
      <c r="S35" s="178"/>
      <c r="T35" s="178"/>
      <c r="U35" s="178"/>
    </row>
    <row r="36" spans="2:21">
      <c r="B36" s="188"/>
      <c r="C36" s="186"/>
      <c r="D36" s="178"/>
      <c r="E36" s="178"/>
      <c r="F36" s="178"/>
      <c r="G36" s="178"/>
      <c r="H36" s="178"/>
      <c r="I36" s="178"/>
      <c r="J36" s="178"/>
      <c r="K36" s="178"/>
      <c r="L36" s="178"/>
      <c r="M36" s="178"/>
      <c r="N36" s="178"/>
      <c r="O36" s="178"/>
      <c r="P36" s="178"/>
      <c r="Q36" s="178"/>
      <c r="R36" s="178"/>
      <c r="S36" s="178"/>
      <c r="T36" s="178"/>
      <c r="U36" s="178"/>
    </row>
    <row r="37" spans="2:21">
      <c r="B37" s="188"/>
      <c r="C37" s="186"/>
      <c r="D37" s="178"/>
      <c r="E37" s="178"/>
      <c r="F37" s="178"/>
      <c r="G37" s="178"/>
      <c r="H37" s="178"/>
      <c r="I37" s="178"/>
      <c r="J37" s="178"/>
      <c r="K37" s="178"/>
      <c r="L37" s="178"/>
      <c r="M37" s="178"/>
      <c r="N37" s="178"/>
      <c r="O37" s="178"/>
      <c r="P37" s="178"/>
      <c r="Q37" s="178"/>
      <c r="R37" s="178"/>
      <c r="S37" s="178"/>
      <c r="T37" s="178"/>
      <c r="U37" s="178"/>
    </row>
    <row r="38" spans="2:21">
      <c r="B38" s="188"/>
      <c r="C38" s="186"/>
      <c r="D38" s="178"/>
      <c r="E38" s="178"/>
      <c r="F38" s="178"/>
      <c r="G38" s="178"/>
      <c r="H38" s="178"/>
      <c r="I38" s="178"/>
      <c r="J38" s="178"/>
      <c r="K38" s="178"/>
      <c r="L38" s="178"/>
      <c r="M38" s="178"/>
      <c r="N38" s="178"/>
      <c r="O38" s="178"/>
      <c r="P38" s="178"/>
      <c r="Q38" s="178"/>
      <c r="R38" s="178"/>
      <c r="S38" s="178"/>
      <c r="T38" s="178"/>
      <c r="U38" s="178"/>
    </row>
    <row r="39" spans="2:21">
      <c r="B39" s="188"/>
      <c r="C39" s="191"/>
      <c r="D39" s="178"/>
      <c r="E39" s="178"/>
      <c r="F39" s="178"/>
      <c r="G39" s="178"/>
      <c r="H39" s="178"/>
      <c r="I39" s="178"/>
      <c r="J39" s="178"/>
      <c r="K39" s="178"/>
      <c r="L39" s="178"/>
      <c r="M39" s="178"/>
      <c r="N39" s="178"/>
      <c r="O39" s="178"/>
      <c r="P39" s="178"/>
      <c r="Q39" s="178"/>
      <c r="R39" s="178"/>
      <c r="S39" s="178"/>
      <c r="T39" s="178"/>
      <c r="U39" s="178"/>
    </row>
    <row r="40" spans="2:21">
      <c r="B40" s="188"/>
      <c r="C40" s="189"/>
      <c r="D40" s="178"/>
      <c r="E40" s="178"/>
      <c r="F40" s="178"/>
      <c r="G40" s="178"/>
      <c r="H40" s="178"/>
      <c r="I40" s="178"/>
      <c r="J40" s="178"/>
      <c r="K40" s="178"/>
      <c r="L40" s="178"/>
      <c r="M40" s="178"/>
      <c r="N40" s="178"/>
      <c r="O40" s="178"/>
      <c r="P40" s="178"/>
      <c r="Q40" s="178"/>
      <c r="R40" s="178"/>
      <c r="S40" s="178"/>
      <c r="T40" s="178"/>
      <c r="U40" s="178"/>
    </row>
    <row r="41" spans="2:21">
      <c r="B41" s="188"/>
      <c r="C41" s="192"/>
      <c r="D41" s="178"/>
      <c r="E41" s="178"/>
      <c r="F41" s="178"/>
      <c r="G41" s="178"/>
      <c r="H41" s="178"/>
      <c r="I41" s="178"/>
      <c r="J41" s="178"/>
      <c r="K41" s="178"/>
      <c r="L41" s="178"/>
      <c r="M41" s="178"/>
      <c r="N41" s="178"/>
      <c r="O41" s="178"/>
      <c r="P41" s="178"/>
      <c r="Q41" s="178"/>
      <c r="R41" s="178"/>
      <c r="S41" s="178"/>
      <c r="T41" s="178"/>
      <c r="U41" s="178"/>
    </row>
    <row r="42" spans="2:21">
      <c r="B42" s="188"/>
      <c r="C42" s="190"/>
      <c r="D42" s="178"/>
      <c r="E42" s="178"/>
      <c r="F42" s="178"/>
      <c r="G42" s="178"/>
      <c r="H42" s="178"/>
      <c r="I42" s="178"/>
      <c r="J42" s="178"/>
      <c r="K42" s="178"/>
      <c r="L42" s="178"/>
      <c r="M42" s="178"/>
      <c r="N42" s="178"/>
      <c r="O42" s="178"/>
      <c r="P42" s="178"/>
      <c r="Q42" s="178"/>
      <c r="R42" s="178"/>
      <c r="S42" s="178"/>
      <c r="T42" s="178"/>
      <c r="U42" s="178"/>
    </row>
    <row r="43" spans="2:21">
      <c r="B43" s="188"/>
      <c r="C43" s="186"/>
      <c r="D43" s="178"/>
      <c r="E43" s="178"/>
      <c r="F43" s="178"/>
      <c r="G43" s="178"/>
      <c r="H43" s="178"/>
      <c r="I43" s="178"/>
      <c r="J43" s="178"/>
      <c r="K43" s="178"/>
      <c r="L43" s="178"/>
      <c r="M43" s="178"/>
      <c r="N43" s="178"/>
      <c r="O43" s="178"/>
      <c r="P43" s="178"/>
      <c r="Q43" s="178"/>
      <c r="R43" s="178"/>
      <c r="S43" s="178"/>
      <c r="T43" s="178"/>
      <c r="U43" s="178"/>
    </row>
    <row r="44" spans="2:21">
      <c r="B44" s="577"/>
      <c r="C44" s="186"/>
      <c r="D44" s="178"/>
      <c r="E44" s="178"/>
      <c r="F44" s="178"/>
      <c r="G44" s="178"/>
      <c r="H44" s="178"/>
      <c r="I44" s="178"/>
      <c r="J44" s="178"/>
      <c r="K44" s="178"/>
      <c r="L44" s="178"/>
      <c r="M44" s="178"/>
      <c r="N44" s="178"/>
      <c r="O44" s="178"/>
      <c r="P44" s="178"/>
      <c r="Q44" s="178"/>
      <c r="R44" s="178"/>
      <c r="S44" s="178"/>
      <c r="T44" s="178"/>
      <c r="U44" s="178"/>
    </row>
    <row r="45" spans="2:21">
      <c r="B45" s="577"/>
      <c r="C45" s="186"/>
      <c r="D45" s="178"/>
      <c r="E45" s="178"/>
      <c r="F45" s="178"/>
      <c r="G45" s="178"/>
      <c r="H45" s="178"/>
      <c r="I45" s="178"/>
      <c r="J45" s="178"/>
      <c r="K45" s="178"/>
      <c r="L45" s="178"/>
      <c r="M45" s="178"/>
      <c r="N45" s="178"/>
      <c r="O45" s="178"/>
      <c r="P45" s="178"/>
      <c r="Q45" s="178"/>
      <c r="R45" s="178"/>
      <c r="S45" s="178"/>
      <c r="T45" s="178"/>
      <c r="U45" s="178"/>
    </row>
    <row r="46" spans="2:21">
      <c r="B46" s="577"/>
      <c r="C46" s="186"/>
      <c r="D46" s="178"/>
      <c r="E46" s="178"/>
      <c r="F46" s="178"/>
      <c r="G46" s="178"/>
      <c r="H46" s="178"/>
      <c r="I46" s="178"/>
      <c r="J46" s="178"/>
      <c r="K46" s="178"/>
      <c r="L46" s="178"/>
      <c r="M46" s="178"/>
      <c r="N46" s="178"/>
      <c r="O46" s="178"/>
      <c r="P46" s="178"/>
      <c r="Q46" s="178"/>
      <c r="R46" s="178"/>
      <c r="S46" s="178"/>
      <c r="T46" s="178"/>
      <c r="U46" s="178"/>
    </row>
    <row r="47" spans="2:21">
      <c r="B47" s="577"/>
      <c r="C47" s="186"/>
      <c r="D47" s="178"/>
      <c r="E47" s="178"/>
      <c r="F47" s="178"/>
      <c r="G47" s="178"/>
      <c r="H47" s="178"/>
      <c r="I47" s="178"/>
      <c r="J47" s="178"/>
      <c r="K47" s="178"/>
      <c r="L47" s="178"/>
      <c r="M47" s="178"/>
      <c r="N47" s="178"/>
      <c r="O47" s="178"/>
      <c r="P47" s="178"/>
      <c r="Q47" s="178"/>
      <c r="R47" s="178"/>
      <c r="S47" s="178"/>
      <c r="T47" s="178"/>
      <c r="U47" s="178"/>
    </row>
    <row r="48" spans="2:21">
      <c r="B48" s="578"/>
      <c r="C48" s="571"/>
      <c r="D48" s="178"/>
      <c r="E48" s="178"/>
      <c r="F48" s="178"/>
      <c r="G48" s="178"/>
      <c r="H48" s="178"/>
      <c r="I48" s="178"/>
      <c r="J48" s="178"/>
      <c r="K48" s="178"/>
      <c r="L48" s="178"/>
      <c r="M48" s="178"/>
      <c r="N48" s="178"/>
      <c r="O48" s="178"/>
      <c r="P48" s="178"/>
      <c r="Q48" s="178"/>
      <c r="R48" s="178"/>
      <c r="S48" s="178"/>
      <c r="T48" s="178"/>
      <c r="U48" s="178"/>
    </row>
    <row r="49" spans="2:21">
      <c r="B49" s="578"/>
      <c r="C49" s="571"/>
      <c r="D49" s="178"/>
      <c r="E49" s="178"/>
      <c r="F49" s="178"/>
      <c r="G49" s="178"/>
      <c r="H49" s="178"/>
      <c r="I49" s="178"/>
      <c r="J49" s="178"/>
      <c r="K49" s="178"/>
      <c r="L49" s="178"/>
      <c r="M49" s="178"/>
      <c r="N49" s="178"/>
      <c r="O49" s="178"/>
      <c r="P49" s="178"/>
      <c r="Q49" s="178"/>
      <c r="R49" s="178"/>
      <c r="S49" s="178"/>
      <c r="T49" s="178"/>
      <c r="U49" s="178"/>
    </row>
    <row r="50" spans="2:21">
      <c r="B50" s="182"/>
      <c r="C50" s="186"/>
      <c r="D50" s="178"/>
      <c r="E50" s="178"/>
      <c r="F50" s="178"/>
      <c r="G50" s="178"/>
      <c r="H50" s="178"/>
      <c r="I50" s="178"/>
      <c r="J50" s="178"/>
      <c r="K50" s="178"/>
      <c r="L50" s="178"/>
      <c r="M50" s="178"/>
      <c r="N50" s="178"/>
      <c r="O50" s="178"/>
      <c r="P50" s="178"/>
      <c r="Q50" s="178"/>
      <c r="R50" s="178"/>
      <c r="S50" s="178"/>
      <c r="T50" s="178"/>
      <c r="U50" s="178"/>
    </row>
    <row r="51" spans="2:21">
      <c r="B51" s="182"/>
      <c r="C51" s="186"/>
      <c r="D51" s="178"/>
      <c r="E51" s="178"/>
      <c r="F51" s="178"/>
      <c r="G51" s="178"/>
      <c r="H51" s="178"/>
      <c r="I51" s="178"/>
      <c r="J51" s="178"/>
      <c r="K51" s="178"/>
      <c r="L51" s="178"/>
      <c r="M51" s="178"/>
      <c r="N51" s="178"/>
      <c r="O51" s="178"/>
      <c r="P51" s="178"/>
      <c r="Q51" s="178"/>
      <c r="R51" s="178"/>
      <c r="S51" s="178"/>
      <c r="T51" s="178"/>
      <c r="U51" s="178"/>
    </row>
    <row r="52" spans="2:21">
      <c r="B52" s="182"/>
      <c r="C52" s="186"/>
      <c r="D52" s="178"/>
      <c r="E52" s="178"/>
      <c r="F52" s="178"/>
      <c r="G52" s="178"/>
      <c r="H52" s="178"/>
      <c r="I52" s="178"/>
      <c r="J52" s="178"/>
      <c r="K52" s="178"/>
      <c r="L52" s="178"/>
      <c r="M52" s="178"/>
      <c r="N52" s="178"/>
      <c r="O52" s="178"/>
      <c r="P52" s="178"/>
      <c r="Q52" s="178"/>
      <c r="R52" s="178"/>
      <c r="S52" s="178"/>
      <c r="T52" s="178"/>
      <c r="U52" s="178"/>
    </row>
    <row r="53" spans="2:21">
      <c r="B53" s="182"/>
      <c r="C53" s="190"/>
      <c r="D53" s="178"/>
      <c r="E53" s="178"/>
      <c r="F53" s="178"/>
      <c r="G53" s="178"/>
      <c r="H53" s="178"/>
      <c r="I53" s="178"/>
      <c r="J53" s="178"/>
      <c r="K53" s="178"/>
      <c r="L53" s="178"/>
      <c r="M53" s="178"/>
      <c r="N53" s="178"/>
      <c r="O53" s="178"/>
      <c r="P53" s="178"/>
      <c r="Q53" s="178"/>
      <c r="R53" s="178"/>
      <c r="S53" s="178"/>
      <c r="T53" s="178"/>
      <c r="U53" s="178"/>
    </row>
    <row r="54" spans="2:21" ht="14.25" customHeight="1">
      <c r="B54" s="579"/>
      <c r="C54" s="571"/>
      <c r="D54" s="178"/>
      <c r="E54" s="178"/>
      <c r="F54" s="178"/>
      <c r="G54" s="178"/>
      <c r="H54" s="178"/>
      <c r="I54" s="178"/>
      <c r="J54" s="178"/>
      <c r="K54" s="178"/>
      <c r="L54" s="178"/>
      <c r="M54" s="178"/>
      <c r="N54" s="178"/>
      <c r="O54" s="178"/>
      <c r="P54" s="178"/>
      <c r="Q54" s="178"/>
      <c r="R54" s="178"/>
      <c r="S54" s="178"/>
      <c r="T54" s="178"/>
      <c r="U54" s="178"/>
    </row>
    <row r="55" spans="2:21">
      <c r="B55" s="579"/>
      <c r="C55" s="571"/>
      <c r="D55" s="178"/>
      <c r="E55" s="178"/>
      <c r="F55" s="178"/>
      <c r="G55" s="178"/>
      <c r="H55" s="178"/>
      <c r="I55" s="178"/>
      <c r="J55" s="178"/>
      <c r="K55" s="178"/>
      <c r="L55" s="178"/>
      <c r="M55" s="178"/>
      <c r="N55" s="178"/>
      <c r="O55" s="178"/>
      <c r="P55" s="178"/>
      <c r="Q55" s="178"/>
      <c r="R55" s="178"/>
      <c r="S55" s="178"/>
      <c r="T55" s="178"/>
      <c r="U55" s="178"/>
    </row>
    <row r="56" spans="2:21">
      <c r="B56" s="182"/>
      <c r="C56" s="186"/>
      <c r="D56" s="178"/>
      <c r="E56" s="178"/>
      <c r="F56" s="178"/>
      <c r="G56" s="178"/>
      <c r="H56" s="178"/>
      <c r="I56" s="178"/>
      <c r="J56" s="178"/>
      <c r="K56" s="178"/>
      <c r="L56" s="178"/>
      <c r="M56" s="178"/>
      <c r="N56" s="178"/>
      <c r="O56" s="178"/>
      <c r="P56" s="178"/>
      <c r="Q56" s="178"/>
      <c r="R56" s="178"/>
      <c r="S56" s="178"/>
      <c r="T56" s="178"/>
      <c r="U56" s="178"/>
    </row>
    <row r="57" spans="2:21">
      <c r="B57" s="182"/>
      <c r="C57" s="186"/>
      <c r="D57" s="178"/>
      <c r="E57" s="178"/>
      <c r="F57" s="178"/>
      <c r="G57" s="178"/>
      <c r="H57" s="178"/>
      <c r="I57" s="178"/>
      <c r="J57" s="178"/>
      <c r="K57" s="178"/>
      <c r="L57" s="178"/>
      <c r="M57" s="178"/>
      <c r="N57" s="178"/>
      <c r="O57" s="178"/>
      <c r="P57" s="178"/>
      <c r="Q57" s="178"/>
      <c r="R57" s="178"/>
      <c r="S57" s="178"/>
      <c r="T57" s="178"/>
      <c r="U57" s="178"/>
    </row>
    <row r="58" spans="2:21">
      <c r="B58" s="182"/>
      <c r="C58" s="186"/>
      <c r="D58" s="178"/>
      <c r="E58" s="178"/>
      <c r="F58" s="178"/>
      <c r="G58" s="178"/>
      <c r="H58" s="178"/>
      <c r="I58" s="178"/>
      <c r="J58" s="178"/>
      <c r="K58" s="178"/>
      <c r="L58" s="178"/>
      <c r="M58" s="178"/>
      <c r="N58" s="178"/>
      <c r="O58" s="178"/>
      <c r="P58" s="178"/>
      <c r="Q58" s="178"/>
      <c r="R58" s="178"/>
      <c r="S58" s="178"/>
      <c r="T58" s="178"/>
      <c r="U58" s="178"/>
    </row>
    <row r="59" spans="2:21">
      <c r="B59" s="182"/>
      <c r="C59" s="186"/>
      <c r="D59" s="178"/>
      <c r="E59" s="178"/>
      <c r="F59" s="178"/>
      <c r="G59" s="178"/>
      <c r="H59" s="178"/>
      <c r="I59" s="178"/>
      <c r="J59" s="178"/>
      <c r="K59" s="178"/>
      <c r="L59" s="178"/>
      <c r="M59" s="178"/>
      <c r="N59" s="178"/>
      <c r="O59" s="178"/>
      <c r="P59" s="178"/>
      <c r="Q59" s="178"/>
      <c r="R59" s="178"/>
      <c r="S59" s="178"/>
      <c r="T59" s="178"/>
      <c r="U59" s="178"/>
    </row>
    <row r="60" spans="2:21">
      <c r="B60" s="182"/>
      <c r="C60" s="186"/>
      <c r="D60" s="178"/>
      <c r="E60" s="178"/>
      <c r="F60" s="178"/>
      <c r="G60" s="178"/>
      <c r="H60" s="178"/>
      <c r="I60" s="178"/>
      <c r="J60" s="178"/>
      <c r="K60" s="178"/>
      <c r="L60" s="178"/>
      <c r="M60" s="178"/>
      <c r="N60" s="178"/>
      <c r="O60" s="178"/>
      <c r="P60" s="178"/>
      <c r="Q60" s="178"/>
      <c r="R60" s="178"/>
      <c r="S60" s="178"/>
      <c r="T60" s="178"/>
      <c r="U60" s="178"/>
    </row>
    <row r="61" spans="2:21">
      <c r="B61" s="182"/>
      <c r="C61" s="186"/>
      <c r="D61" s="178"/>
      <c r="E61" s="178"/>
      <c r="F61" s="178"/>
      <c r="G61" s="178"/>
      <c r="H61" s="178"/>
      <c r="I61" s="178"/>
      <c r="J61" s="178"/>
      <c r="K61" s="178"/>
      <c r="L61" s="178"/>
      <c r="M61" s="178"/>
      <c r="N61" s="178"/>
      <c r="O61" s="178"/>
      <c r="P61" s="178"/>
      <c r="Q61" s="178"/>
      <c r="R61" s="178"/>
      <c r="S61" s="178"/>
      <c r="T61" s="178"/>
      <c r="U61" s="178"/>
    </row>
    <row r="62" spans="2:21">
      <c r="B62" s="182"/>
      <c r="C62" s="186"/>
      <c r="D62" s="178"/>
      <c r="E62" s="178"/>
      <c r="F62" s="178"/>
      <c r="G62" s="178"/>
      <c r="H62" s="178"/>
      <c r="I62" s="178"/>
      <c r="J62" s="178"/>
      <c r="K62" s="178"/>
      <c r="L62" s="178"/>
      <c r="M62" s="178"/>
      <c r="N62" s="178"/>
      <c r="O62" s="178"/>
      <c r="P62" s="178"/>
      <c r="Q62" s="178"/>
      <c r="R62" s="178"/>
      <c r="S62" s="178"/>
      <c r="T62" s="178"/>
      <c r="U62" s="178"/>
    </row>
    <row r="63" spans="2:21">
      <c r="B63" s="182"/>
      <c r="C63" s="186"/>
      <c r="D63" s="178"/>
      <c r="E63" s="178"/>
      <c r="F63" s="178"/>
      <c r="G63" s="178"/>
      <c r="H63" s="178"/>
      <c r="I63" s="178"/>
      <c r="J63" s="178"/>
      <c r="K63" s="178"/>
      <c r="L63" s="178"/>
      <c r="M63" s="178"/>
      <c r="N63" s="178"/>
      <c r="O63" s="178"/>
      <c r="P63" s="178"/>
      <c r="Q63" s="178"/>
      <c r="R63" s="178"/>
      <c r="S63" s="178"/>
      <c r="T63" s="178"/>
      <c r="U63" s="178"/>
    </row>
    <row r="64" spans="2:21">
      <c r="B64" s="182"/>
      <c r="C64" s="190"/>
    </row>
  </sheetData>
  <mergeCells count="15">
    <mergeCell ref="Q2:R2"/>
    <mergeCell ref="B54:B55"/>
    <mergeCell ref="C34:C35"/>
    <mergeCell ref="C48:C49"/>
    <mergeCell ref="C54:C55"/>
    <mergeCell ref="A7:A10"/>
    <mergeCell ref="B28:B29"/>
    <mergeCell ref="B34:B35"/>
    <mergeCell ref="B44:B47"/>
    <mergeCell ref="B48:B49"/>
    <mergeCell ref="A1:B1"/>
    <mergeCell ref="A2:B2"/>
    <mergeCell ref="D2:E2"/>
    <mergeCell ref="G2:H2"/>
    <mergeCell ref="A4:A6"/>
  </mergeCells>
  <phoneticPr fontId="21" type="noConversion"/>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drawing r:id="rId1"/>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3d31b72-c4b9-4223-ac69-1d9539891dc8" ContentTypeId="0x010100C5F30C9B16E14C8EACE5F2CC7B7AC7F4"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EriCOLL Docs" ma:contentTypeID="0x010100C5F30C9B16E14C8EACE5F2CC7B7AC7F400F5862E332FC6CE449700A00A9FC83FBA" ma:contentTypeVersion="57" ma:contentTypeDescription="EriCOLL Document Content Type" ma:contentTypeScope="" ma:versionID="739d2f636e39e9a551bf355cfcc6c808">
  <xsd:schema xmlns:xsd="http://www.w3.org/2001/XMLSchema" xmlns:xs="http://www.w3.org/2001/XMLSchema" xmlns:p="http://schemas.microsoft.com/office/2006/metadata/properties" xmlns:ns2="611109f9-ed58-4498-a270-1fb2086a5321" xmlns:ns3="d8762117-8292-4133-b1c7-eab5c6487cfd" xmlns:ns4="f166a696-7b5b-4ccd-9f0c-ffde0cceec81" xmlns:ns5="http://schemas.microsoft.com/sharepoint/v4" targetNamespace="http://schemas.microsoft.com/office/2006/metadata/properties" ma:root="true" ma:fieldsID="1e35b163101ff499a3341865be97ef98" ns2:_="" ns3:_="" ns4:_="" ns5:_="">
    <xsd:import namespace="611109f9-ed58-4498-a270-1fb2086a5321"/>
    <xsd:import namespace="d8762117-8292-4133-b1c7-eab5c6487cfd"/>
    <xsd:import namespace="f166a696-7b5b-4ccd-9f0c-ffde0cceec81"/>
    <xsd:import namespace="http://schemas.microsoft.com/sharepoint/v4"/>
    <xsd:element name="properties">
      <xsd:complexType>
        <xsd:sequence>
          <xsd:element name="documentManagement">
            <xsd:complexType>
              <xsd:all>
                <xsd:element ref="ns2:Prepared." minOccurs="0"/>
                <xsd:element ref="ns2:EriCOLLDate." minOccurs="0"/>
                <xsd:element ref="ns2:AbstractOrSummary." minOccurs="0"/>
                <xsd:element ref="ns3:EriCOLLCategoryTaxHTField0" minOccurs="0"/>
                <xsd:element ref="ns3:EriCOLLCompetenceTaxHTField0" minOccurs="0"/>
                <xsd:element ref="ns3:TaxCatchAll" minOccurs="0"/>
                <xsd:element ref="ns3:EriCOLLOrganizationUnitTaxHTField0" minOccurs="0"/>
                <xsd:element ref="ns3:EriCOLLCountryTaxHTField0" minOccurs="0"/>
                <xsd:element ref="ns3:TaxCatchAllLabel" minOccurs="0"/>
                <xsd:element ref="ns3:EriCOLLCustomerTaxHTField0" minOccurs="0"/>
                <xsd:element ref="ns3:EriCOLLProcessTaxHTField0" minOccurs="0"/>
                <xsd:element ref="ns3:EriCOLLProductsTaxHTField0" minOccurs="0"/>
                <xsd:element ref="ns3:EriCOLLProjectsTaxHTField0" minOccurs="0"/>
                <xsd:element ref="ns3:TaxKeywordTaxHTField" minOccurs="0"/>
                <xsd:element ref="ns4:_dlc_DocId" minOccurs="0"/>
                <xsd:element ref="ns4:_dlc_DocIdUrl" minOccurs="0"/>
                <xsd:element ref="ns4:_dlc_DocIdPersistId" minOccurs="0"/>
                <xsd:element ref="ns2:MediaServiceMetadata" minOccurs="0"/>
                <xsd:element ref="ns2:MediaServiceFastMetadata" minOccurs="0"/>
                <xsd:element ref="ns4:SharedWithUsers" minOccurs="0"/>
                <xsd:element ref="ns4:SharedWithDetails" minOccurs="0"/>
                <xsd:element ref="ns2:MediaServiceAutoTags" minOccurs="0"/>
                <xsd:element ref="ns2:MediaServiceOCR" minOccurs="0"/>
                <xsd:element ref="ns5:IconOverlay" minOccurs="0"/>
                <xsd:element ref="ns2:Issue_x0020_in_x0020_OI_x0020_list_x0020__x0028_Y_x002f_N_x0029_" minOccurs="0"/>
                <xsd:element ref="ns2:MediaServiceDateTaken" minOccurs="0"/>
                <xsd:element ref="ns2:_Flow_SignoffStatus"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1109f9-ed58-4498-a270-1fb2086a5321" elementFormDefault="qualified">
    <xsd:import namespace="http://schemas.microsoft.com/office/2006/documentManagement/types"/>
    <xsd:import namespace="http://schemas.microsoft.com/office/infopath/2007/PartnerControls"/>
    <xsd:element name="Prepared." ma:index="2" nillable="true" ma:displayName="Prepared." ma:internalName="Prepared_x002e_" ma:readOnly="false">
      <xsd:simpleType>
        <xsd:restriction base="dms:Text">
          <xsd:maxLength value="255"/>
        </xsd:restriction>
      </xsd:simpleType>
    </xsd:element>
    <xsd:element name="EriCOLLDate." ma:index="3" nillable="true" ma:displayName="Date." ma:internalName="EriCOLLDate_x002e_" ma:readOnly="false">
      <xsd:simpleType>
        <xsd:restriction base="dms:Text">
          <xsd:maxLength value="255"/>
        </xsd:restriction>
      </xsd:simpleType>
    </xsd:element>
    <xsd:element name="AbstractOrSummary." ma:index="4" nillable="true" ma:displayName="Abstract/Summary." ma:internalName="AbstractOrSummary_x002e_" ma:readOnly="false">
      <xsd:simpleType>
        <xsd:restriction base="dms:Note"/>
      </xsd:simpleType>
    </xsd:element>
    <xsd:element name="MediaServiceMetadata" ma:index="34" nillable="true" ma:displayName="MediaServiceMetadata" ma:description="" ma:hidden="true" ma:internalName="MediaServiceMetadata" ma:readOnly="true">
      <xsd:simpleType>
        <xsd:restriction base="dms:Note"/>
      </xsd:simpleType>
    </xsd:element>
    <xsd:element name="MediaServiceFastMetadata" ma:index="35" nillable="true" ma:displayName="MediaServiceFastMetadata" ma:description="" ma:hidden="true" ma:internalName="MediaServiceFastMetadata" ma:readOnly="true">
      <xsd:simpleType>
        <xsd:restriction base="dms:Note"/>
      </xsd:simpleType>
    </xsd:element>
    <xsd:element name="MediaServiceAutoTags" ma:index="38" nillable="true" ma:displayName="MediaServiceAutoTags" ma:internalName="MediaServiceAutoTags" ma:readOnly="true">
      <xsd:simpleType>
        <xsd:restriction base="dms:Text"/>
      </xsd:simpleType>
    </xsd:element>
    <xsd:element name="MediaServiceOCR" ma:index="39" nillable="true" ma:displayName="MediaServiceOCR" ma:internalName="MediaServiceOCR" ma:readOnly="true">
      <xsd:simpleType>
        <xsd:restriction base="dms:Note">
          <xsd:maxLength value="255"/>
        </xsd:restriction>
      </xsd:simpleType>
    </xsd:element>
    <xsd:element name="Issue_x0020_in_x0020_OI_x0020_list_x0020__x0028_Y_x002f_N_x0029_" ma:index="41" nillable="true" ma:displayName="Issue in OI list (Y/N)" ma:description="Does the contribution correspond to an issue in the OI list? Helps identify contributions which do not have an issue in the OI list." ma:internalName="Issue_x0020_in_x0020_OI_x0020_list_x0020__x0028_Y_x002f_N_x0029_">
      <xsd:simpleType>
        <xsd:restriction base="dms:Text">
          <xsd:maxLength value="255"/>
        </xsd:restriction>
      </xsd:simpleType>
    </xsd:element>
    <xsd:element name="MediaServiceDateTaken" ma:index="42" nillable="true" ma:displayName="MediaServiceDateTaken" ma:hidden="true" ma:internalName="MediaServiceDateTaken" ma:readOnly="true">
      <xsd:simpleType>
        <xsd:restriction base="dms:Text"/>
      </xsd:simpleType>
    </xsd:element>
    <xsd:element name="_Flow_SignoffStatus" ma:index="43" nillable="true" ma:displayName="Sign-off status" ma:internalName="_x0024_Resources_x003a_core_x002c_Signoff_Status_x003b_">
      <xsd:simpleType>
        <xsd:restriction base="dms:Text"/>
      </xsd:simpleType>
    </xsd:element>
    <xsd:element name="MediaServiceLocation" ma:index="44" nillable="true" ma:displayName="Location" ma:internalName="MediaServiceLocation" ma:readOnly="true">
      <xsd:simpleType>
        <xsd:restriction base="dms:Text"/>
      </xsd:simpleType>
    </xsd:element>
    <xsd:element name="MediaServiceGenerationTime" ma:index="45" nillable="true" ma:displayName="MediaServiceGenerationTime" ma:hidden="true" ma:internalName="MediaServiceGenerationTime" ma:readOnly="true">
      <xsd:simpleType>
        <xsd:restriction base="dms:Text"/>
      </xsd:simpleType>
    </xsd:element>
    <xsd:element name="MediaServiceEventHashCode" ma:index="4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EriCOLLCategoryTaxHTField0" ma:index="15" nillable="true" ma:taxonomy="true" ma:internalName="EriCOLLCategoryTaxHTField0" ma:taxonomyFieldName="EriCOLLCategory" ma:displayName="Category." ma:readOnly="false" ma:fieldId="{e72cc46e-70aa-41d8-b11d-9bbfd769c5eb}" ma:taxonomyMulti="true" ma:sspId="c3d31b72-c4b9-4223-ac69-1d9539891dc8" ma:termSetId="7561d638-dd1f-4efc-b946-10f300a4ebc0" ma:anchorId="00000000-0000-0000-0000-000000000000" ma:open="true" ma:isKeyword="false">
      <xsd:complexType>
        <xsd:sequence>
          <xsd:element ref="pc:Terms" minOccurs="0" maxOccurs="1"/>
        </xsd:sequence>
      </xsd:complexType>
    </xsd:element>
    <xsd:element name="EriCOLLCompetenceTaxHTField0" ma:index="17" nillable="true" ma:taxonomy="true" ma:internalName="EriCOLLCompetenceTaxHTField0" ma:taxonomyFieldName="EriCOLLCompetence" ma:displayName="Competence." ma:readOnly="false" ma:default="" ma:fieldId="{ff7cf505-5048-4f7f-991c-4d426a4ce272}" ma:taxonomyMulti="true" ma:sspId="c3d31b72-c4b9-4223-ac69-1d9539891dc8" ma:termSetId="65fca077-f90a-42bb-b113-1c3a98e41ad2" ma:anchorId="00000000-0000-0000-0000-000000000000" ma:open="true" ma:isKeyword="false">
      <xsd:complexType>
        <xsd:sequence>
          <xsd:element ref="pc:Terms" minOccurs="0" maxOccurs="1"/>
        </xsd:sequence>
      </xsd:complexType>
    </xsd:element>
    <xsd:element name="TaxCatchAll" ma:index="18" nillable="true" ma:displayName="Taxonomy Catch All Column" ma:description="" ma:hidden="true" ma:list="{aceeda6b-0e6c-473f-93a8-7abecb62a60f}" ma:internalName="TaxCatchAll" ma:readOnly="false" ma:showField="CatchAllData" ma:web="f166a696-7b5b-4ccd-9f0c-ffde0cceec81">
      <xsd:complexType>
        <xsd:complexContent>
          <xsd:extension base="dms:MultiChoiceLookup">
            <xsd:sequence>
              <xsd:element name="Value" type="dms:Lookup" maxOccurs="unbounded" minOccurs="0" nillable="true"/>
            </xsd:sequence>
          </xsd:extension>
        </xsd:complexContent>
      </xsd:complexType>
    </xsd:element>
    <xsd:element name="EriCOLLOrganizationUnitTaxHTField0" ma:index="19" nillable="true" ma:taxonomy="true" ma:internalName="EriCOLLOrganizationUnitTaxHTField0" ma:taxonomyFieldName="EriCOLLOrganizationUnit" ma:displayName="Organization Unit." ma:readOnly="false" ma:default="" ma:fieldId="{7588c015-b936-47f7-bb64-663949dc467e}" ma:taxonomyMulti="true" ma:sspId="c3d31b72-c4b9-4223-ac69-1d9539891dc8" ma:termSetId="6110ab22-b916-4130-a998-2baf810842be" ma:anchorId="00000000-0000-0000-0000-000000000000" ma:open="true" ma:isKeyword="false">
      <xsd:complexType>
        <xsd:sequence>
          <xsd:element ref="pc:Terms" minOccurs="0" maxOccurs="1"/>
        </xsd:sequence>
      </xsd:complexType>
    </xsd:element>
    <xsd:element name="EriCOLLCountryTaxHTField0" ma:index="21" nillable="true" ma:taxonomy="true" ma:internalName="EriCOLLCountryTaxHTField0" ma:taxonomyFieldName="EriCOLLCountry" ma:displayName="Country." ma:readOnly="false" ma:default="" ma:fieldId="{a6c34b01-f2c2-4f05-b9ad-d4935bafeeb2}" ma:taxonomyMulti="true" ma:sspId="c3d31b72-c4b9-4223-ac69-1d9539891dc8" ma:termSetId="2f44dedb-31b3-4b3a-a3d0-46b7cf38e0d8" ma:anchorId="00000000-0000-0000-0000-000000000000" ma:open="true" ma:isKeyword="false">
      <xsd:complexType>
        <xsd:sequence>
          <xsd:element ref="pc:Terms" minOccurs="0" maxOccurs="1"/>
        </xsd:sequence>
      </xsd:complexType>
    </xsd:element>
    <xsd:element name="TaxCatchAllLabel" ma:index="22" nillable="true" ma:displayName="Taxonomy Catch All Column1" ma:description="" ma:hidden="true" ma:list="{aceeda6b-0e6c-473f-93a8-7abecb62a60f}" ma:internalName="TaxCatchAllLabel" ma:readOnly="false" ma:showField="CatchAllDataLabel" ma:web="f166a696-7b5b-4ccd-9f0c-ffde0cceec81">
      <xsd:complexType>
        <xsd:complexContent>
          <xsd:extension base="dms:MultiChoiceLookup">
            <xsd:sequence>
              <xsd:element name="Value" type="dms:Lookup" maxOccurs="unbounded" minOccurs="0" nillable="true"/>
            </xsd:sequence>
          </xsd:extension>
        </xsd:complexContent>
      </xsd:complexType>
    </xsd:element>
    <xsd:element name="EriCOLLCustomerTaxHTField0" ma:index="23" nillable="true" ma:taxonomy="true" ma:internalName="EriCOLLCustomerTaxHTField0" ma:taxonomyFieldName="EriCOLLCustomer" ma:displayName="Customer." ma:readOnly="false" ma:fieldId="{8480f48b-f8b7-4c77-be55-63d41a1fdb0d}" ma:taxonomyMulti="true" ma:sspId="c3d31b72-c4b9-4223-ac69-1d9539891dc8" ma:termSetId="01b599ec-ba0b-47c9-b100-c1d1cc35ce71" ma:anchorId="00000000-0000-0000-0000-000000000000" ma:open="true" ma:isKeyword="false">
      <xsd:complexType>
        <xsd:sequence>
          <xsd:element ref="pc:Terms" minOccurs="0" maxOccurs="1"/>
        </xsd:sequence>
      </xsd:complexType>
    </xsd:element>
    <xsd:element name="EriCOLLProcessTaxHTField0" ma:index="25" nillable="true" ma:taxonomy="true" ma:internalName="EriCOLLProcessTaxHTField0" ma:taxonomyFieldName="EriCOLLProcess" ma:displayName="Process." ma:readOnly="false" ma:fieldId="{69b1f811-b392-4734-aa69-0125c68961bd}" ma:taxonomyMulti="true" ma:sspId="c3d31b72-c4b9-4223-ac69-1d9539891dc8" ma:termSetId="0511a28e-4375-4097-9e1a-1429cb21195a" ma:anchorId="00000000-0000-0000-0000-000000000000" ma:open="true" ma:isKeyword="false">
      <xsd:complexType>
        <xsd:sequence>
          <xsd:element ref="pc:Terms" minOccurs="0" maxOccurs="1"/>
        </xsd:sequence>
      </xsd:complexType>
    </xsd:element>
    <xsd:element name="EriCOLLProductsTaxHTField0" ma:index="27" nillable="true" ma:taxonomy="true" ma:internalName="EriCOLLProductsTaxHTField0" ma:taxonomyFieldName="EriCOLLProducts" ma:displayName="Products." ma:readOnly="false" ma:default="" ma:fieldId="{e7fe205b-2114-43c4-bcb7-1bbbbd16d461}" ma:taxonomyMulti="true" ma:sspId="c3d31b72-c4b9-4223-ac69-1d9539891dc8" ma:termSetId="8910459b-9dda-441d-9133-95ead0768a8e" ma:anchorId="00000000-0000-0000-0000-000000000000" ma:open="true" ma:isKeyword="false">
      <xsd:complexType>
        <xsd:sequence>
          <xsd:element ref="pc:Terms" minOccurs="0" maxOccurs="1"/>
        </xsd:sequence>
      </xsd:complexType>
    </xsd:element>
    <xsd:element name="EriCOLLProjectsTaxHTField0" ma:index="29" nillable="true" ma:taxonomy="true" ma:internalName="EriCOLLProjectsTaxHTField0" ma:taxonomyFieldName="EriCOLLProjects" ma:displayName="Projects." ma:readOnly="false" ma:default="" ma:fieldId="{6d690e96-80d8-4550-9bd4-922d740a55ff}" ma:taxonomyMulti="true" ma:sspId="c3d31b72-c4b9-4223-ac69-1d9539891dc8" ma:termSetId="6b24ae4c-1d36-46c1-a48f-85875fb6f741" ma:anchorId="00000000-0000-0000-0000-000000000000" ma:open="true" ma:isKeyword="false">
      <xsd:complexType>
        <xsd:sequence>
          <xsd:element ref="pc:Terms" minOccurs="0" maxOccurs="1"/>
        </xsd:sequence>
      </xsd:complexType>
    </xsd:element>
    <xsd:element name="TaxKeywordTaxHTField" ma:index="30" nillable="true" ma:taxonomy="true" ma:internalName="TaxKeywordTaxHTField" ma:taxonomyFieldName="TaxKeyword" ma:displayName="Enterprise Keywords" ma:readOnly="false" ma:fieldId="{23f27201-bee3-471e-b2e7-b64fd8b7ca38}" ma:taxonomyMulti="true" ma:sspId="c3d31b72-c4b9-4223-ac69-1d9539891dc8"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166a696-7b5b-4ccd-9f0c-ffde0cceec81"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false">
      <xsd:simpleType>
        <xsd:restriction base="dms:Boolean"/>
      </xsd:simpleType>
    </xsd:element>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documentManagement>
    <TaxCatchAll xmlns="d8762117-8292-4133-b1c7-eab5c6487cfd">
      <Value>783</Value>
      <Value>784</Value>
    </TaxCatchAll>
    <_dlc_DocIdPersistId xmlns="f166a696-7b5b-4ccd-9f0c-ffde0cceec81" xsi:nil="true"/>
    <Prepared. xmlns="611109f9-ed58-4498-a270-1fb2086a5321" xsi:nil="true"/>
    <_Flow_SignoffStatus xmlns="611109f9-ed58-4498-a270-1fb2086a5321" xsi:nil="true"/>
    <EriCOLLCategoryTaxHTField0 xmlns="d8762117-8292-4133-b1c7-eab5c6487cfd">
      <Terms xmlns="http://schemas.microsoft.com/office/infopath/2007/PartnerControls"/>
    </EriCOLLCategoryTaxHTField0>
    <EriCOLLCustomerTaxHTField0 xmlns="d8762117-8292-4133-b1c7-eab5c6487cfd">
      <Terms xmlns="http://schemas.microsoft.com/office/infopath/2007/PartnerControls"/>
    </EriCOLLCustomerTaxHTField0>
    <Issue_x0020_in_x0020_OI_x0020_list_x0020__x0028_Y_x002f_N_x0029_ xmlns="611109f9-ed58-4498-a270-1fb2086a5321" xsi:nil="true"/>
    <EriCOLLCompetenceTaxHTField0 xmlns="d8762117-8292-4133-b1c7-eab5c6487cfd">
      <Terms xmlns="http://schemas.microsoft.com/office/infopath/2007/PartnerControls"/>
    </EriCOLLCompetenceTaxHTField0>
    <EriCOLLCountryTaxHTField0 xmlns="d8762117-8292-4133-b1c7-eab5c6487cfd">
      <Terms xmlns="http://schemas.microsoft.com/office/infopath/2007/PartnerControls"/>
    </EriCOLLCountryTaxHTField0>
    <EriCOLLProjectsTaxHTField0 xmlns="d8762117-8292-4133-b1c7-eab5c6487cfd">
      <Terms xmlns="http://schemas.microsoft.com/office/infopath/2007/PartnerControls"/>
    </EriCOLLProjectsTaxHTField0>
    <IconOverlay xmlns="http://schemas.microsoft.com/sharepoint/v4" xsi:nil="true"/>
    <EriCOLLProcessTaxHTField0 xmlns="d8762117-8292-4133-b1c7-eab5c6487cfd">
      <Terms xmlns="http://schemas.microsoft.com/office/infopath/2007/PartnerControls"/>
    </EriCOLLProcessTaxHTField0>
    <EriCOLLDate. xmlns="611109f9-ed58-4498-a270-1fb2086a5321" xsi:nil="true"/>
    <TaxCatchAllLabel xmlns="d8762117-8292-4133-b1c7-eab5c6487cfd"/>
    <TaxKeywordTaxHTField xmlns="d8762117-8292-4133-b1c7-eab5c6487cfd">
      <Terms xmlns="http://schemas.microsoft.com/office/infopath/2007/PartnerControls"/>
    </TaxKeywordTaxHTField>
    <EriCOLLOrganizationUnitTaxHTField0 xmlns="d8762117-8292-4133-b1c7-eab5c6487cfd">
      <Terms xmlns="http://schemas.microsoft.com/office/infopath/2007/PartnerControls"/>
    </EriCOLLOrganizationUnitTaxHTField0>
    <EriCOLLProductsTaxHTField0 xmlns="d8762117-8292-4133-b1c7-eab5c6487cfd">
      <Terms xmlns="http://schemas.microsoft.com/office/infopath/2007/PartnerControls"/>
    </EriCOLLProductsTaxHTField0>
    <AbstractOrSummary. xmlns="611109f9-ed58-4498-a270-1fb2086a5321" xsi:nil="true"/>
    <_dlc_DocId xmlns="f166a696-7b5b-4ccd-9f0c-ffde0cceec81">5NUHHDQN7SK2-1476151046-48628</_dlc_DocId>
    <_dlc_DocIdUrl xmlns="f166a696-7b5b-4ccd-9f0c-ffde0cceec81">
      <Url>https://ericsson.sharepoint.com/sites/star/_layouts/15/DocIdRedir.aspx?ID=5NUHHDQN7SK2-1476151046-48628</Url>
      <Description>5NUHHDQN7SK2-1476151046-48628</Description>
    </_dlc_DocIdUrl>
  </documentManagement>
</p:properties>
</file>

<file path=customXml/itemProps1.xml><?xml version="1.0" encoding="utf-8"?>
<ds:datastoreItem xmlns:ds="http://schemas.openxmlformats.org/officeDocument/2006/customXml" ds:itemID="{F32A7204-C1DE-46A9-A527-19CF71E6BC04}">
  <ds:schemaRefs>
    <ds:schemaRef ds:uri="Microsoft.SharePoint.Taxonomy.ContentTypeSync"/>
  </ds:schemaRefs>
</ds:datastoreItem>
</file>

<file path=customXml/itemProps2.xml><?xml version="1.0" encoding="utf-8"?>
<ds:datastoreItem xmlns:ds="http://schemas.openxmlformats.org/officeDocument/2006/customXml" ds:itemID="{8AC80BEB-915D-43B1-9CAD-DCD3B95AF534}">
  <ds:schemaRefs/>
</ds:datastoreItem>
</file>

<file path=customXml/itemProps3.xml><?xml version="1.0" encoding="utf-8"?>
<ds:datastoreItem xmlns:ds="http://schemas.openxmlformats.org/officeDocument/2006/customXml" ds:itemID="{76ED37BE-F960-4C78-BC10-1D894C7CDA86}">
  <ds:schemaRefs>
    <ds:schemaRef ds:uri="http://schemas.microsoft.com/sharepoint/events"/>
  </ds:schemaRefs>
</ds:datastoreItem>
</file>

<file path=customXml/itemProps4.xml><?xml version="1.0" encoding="utf-8"?>
<ds:datastoreItem xmlns:ds="http://schemas.openxmlformats.org/officeDocument/2006/customXml" ds:itemID="{2D5FB636-09F5-4058-8F3D-BF7EC768D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1109f9-ed58-4498-a270-1fb2086a5321"/>
    <ds:schemaRef ds:uri="d8762117-8292-4133-b1c7-eab5c6487cfd"/>
    <ds:schemaRef ds:uri="f166a696-7b5b-4ccd-9f0c-ffde0cceec8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5789EEF-91FB-42B3-A3F2-5A53C39B2814}">
  <ds:schemaRefs>
    <ds:schemaRef ds:uri="611109f9-ed58-4498-a270-1fb2086a5321"/>
    <ds:schemaRef ds:uri="http://schemas.microsoft.com/office/2006/documentManagement/types"/>
    <ds:schemaRef ds:uri="http://schemas.microsoft.com/sharepoint/v4"/>
    <ds:schemaRef ds:uri="http://www.w3.org/XML/1998/namespace"/>
    <ds:schemaRef ds:uri="f166a696-7b5b-4ccd-9f0c-ffde0cceec81"/>
    <ds:schemaRef ds:uri="http://purl.org/dc/dcmitype/"/>
    <ds:schemaRef ds:uri="http://purl.org/dc/elements/1.1/"/>
    <ds:schemaRef ds:uri="http://schemas.microsoft.com/office/infopath/2007/PartnerControls"/>
    <ds:schemaRef ds:uri="http://schemas.openxmlformats.org/package/2006/metadata/core-properties"/>
    <ds:schemaRef ds:uri="d8762117-8292-4133-b1c7-eab5c6487cf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vt:i4>
      </vt:variant>
    </vt:vector>
  </HeadingPairs>
  <TitlesOfParts>
    <vt:vector size="18" baseType="lpstr">
      <vt:lpstr>Revision comments</vt:lpstr>
      <vt:lpstr>DL_Para_4GHz</vt:lpstr>
      <vt:lpstr>UL_Para_4GHz</vt:lpstr>
      <vt:lpstr>DL_Para_30GHz</vt:lpstr>
      <vt:lpstr>UL_Para_30GHz</vt:lpstr>
      <vt:lpstr>DL_Para_70GHz</vt:lpstr>
      <vt:lpstr>UL_Para_70GHz</vt:lpstr>
      <vt:lpstr>DL_OH_Para</vt:lpstr>
      <vt:lpstr>UL_OH_Para</vt:lpstr>
      <vt:lpstr>DL_OH</vt:lpstr>
      <vt:lpstr>UL_OH</vt:lpstr>
      <vt:lpstr>Results_4GHz_12TRxP</vt:lpstr>
      <vt:lpstr>Results_4GHz_36TRxP</vt:lpstr>
      <vt:lpstr>Results_30GHz_12TRxP</vt:lpstr>
      <vt:lpstr>Results_4GHz_LargerBW_12TRxP</vt:lpstr>
      <vt:lpstr>Results_4GHz_LargerBW_36TRxP</vt:lpstr>
      <vt:lpstr>Results_30GHz_LargerBW_12TRxP</vt:lpstr>
      <vt:lpstr>UL_OH_Para!OLE_LINK27</vt:lpstr>
    </vt:vector>
  </TitlesOfParts>
  <Company>Ericsson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erafura</dc:creator>
  <cp:keywords/>
  <cp:lastModifiedBy>Nakamura, Takaharu</cp:lastModifiedBy>
  <cp:lastPrinted>2011-08-15T04:23:00Z</cp:lastPrinted>
  <dcterms:created xsi:type="dcterms:W3CDTF">2009-04-02T17:18:00Z</dcterms:created>
  <dcterms:modified xsi:type="dcterms:W3CDTF">2019-12-02T17:13:30Z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level">
    <vt:lpwstr>5</vt:lpwstr>
  </property>
  <property fmtid="{D5CDD505-2E9C-101B-9397-08002B2CF9AE}" pid="3" name="slevelui">
    <vt:lpwstr>0</vt:lpwstr>
  </property>
  <property fmtid="{D5CDD505-2E9C-101B-9397-08002B2CF9AE}" pid="4" name="_NewReviewCycle">
    <vt:lpwstr/>
  </property>
  <property fmtid="{D5CDD505-2E9C-101B-9397-08002B2CF9AE}" pid="5" name="_ms_pID_725343">
    <vt:lpwstr>(3)ndg2hq9+vee9ZpH7NtmS+49bamYLNL7V3rHDIFvLz86GXp9LbdREafClwTNEMYP9z6o6SuU5_x000d_
riAauRvj5BB9BN2g+p0ZN+25KvgVK+sXmXpBkjC1K3xtKZ9dSdV4ubarm8JqGT3dAX33yrma_x000d_
00jB7Khe02XbVBs727JBFgoewPnCMADQuo86JbUuiKIrD96xvq4orXBS6TnzMH56sb+x9RdI_x000d_
s+XWGprl4Z/cH+R0+X</vt:lpwstr>
  </property>
  <property fmtid="{D5CDD505-2E9C-101B-9397-08002B2CF9AE}" pid="6" name="_ms_pID_7253432">
    <vt:lpwstr>5OJGb3f+mH1KzqZbnkYTVAeOjlSdIMeSlRi0_x000d_
T/acmNf7nIMFpuxj6DgIG5q3cKVhyUYcFSQiHVBrrxtrBHIJzns=</vt:lpwstr>
  </property>
  <property fmtid="{D5CDD505-2E9C-101B-9397-08002B2CF9AE}" pid="7" name="_ms_pID_7253431">
    <vt:lpwstr>JlkahCVCgBiAbbK2PRtN4TNI4Cf96TF9zAJtItSRPLOCiVFqgnXNQl_x000d_
0LnhEEKhALHOvwNRoXcsM2ckJ5D13XOkM8P1fLpGrFHRc0CQx1iCAp7/gi5Uz8nOixsjcCfI_x000d_
uoV6NsXdKtrq3EmqW2TT9jfetetwFR0R37eToZoHAhf5dSGLO3tteRe3/x8jUcBIZeKv29k5_x000d_
fPIkAJSS+OMNqGrmUpx/H+JDu4MZHHxAAMkB</vt:lpwstr>
  </property>
  <property fmtid="{D5CDD505-2E9C-101B-9397-08002B2CF9AE}" pid="8" name="_2015_ms_pID_725343">
    <vt:lpwstr>(3)fJ0d8E7nN/aff1Q73XR+c1ylvO2mzZwru4Fri48DC3SxBoHtbKLkCvjAn3IRKlqfwK/UyIsx
rmvj4z7m0PV57zm0AVEJ1ZNs5RTjyjuk1+JDUJPR7FSOkazhZoM6Ay26a8+7w3xyEFcvSK9b
avJx2vI8mBQCj6cW+se0rhpNLd2ZD1t8iliMPN6aHi6mGtW1D/ONtpp/PilY71eXRc2HhoZG
nbRfVvwVExEfkvcPjN</vt:lpwstr>
  </property>
  <property fmtid="{D5CDD505-2E9C-101B-9397-08002B2CF9AE}" pid="9" name="_2015_ms_pID_7253431">
    <vt:lpwstr>E4K3pmAf8qZyVBNFrtujX7Q1sUhnywemopyGWtV7ONwVoVagNYXVt8
yd8fZTljLWz/WsSFt8APNf0jQOOshmPNliWLc1ZgLvBjVc94DlP8CFpjfeJmbt85a4JD/p4O
hXsiyT/9P9pi3XTaWg7fat1T2eKlVefOuFX+D2xPdAID8bi5I2qTbgK1/wH9BzU+D5egUaFf
S7tNovgbBdF3Zv7gHALrZM8XmLdRPceLruQ+</vt:lpwstr>
  </property>
  <property fmtid="{D5CDD505-2E9C-101B-9397-08002B2CF9AE}" pid="10" name="_2015_ms_pID_7253432">
    <vt:lpwstr>pgJSdybMQRPdAoGs+qPverDdHihPJx5A3ge8
/k/SdtoIfcXx2nfqKm5IZMtgclyczQPbI186j8kJUzyNdzCG4sg=</vt:lpwstr>
  </property>
  <property fmtid="{D5CDD505-2E9C-101B-9397-08002B2CF9AE}" pid="11" name="ContentTypeId">
    <vt:lpwstr>0x010100C5F30C9B16E14C8EACE5F2CC7B7AC7F400F5862E332FC6CE449700A00A9FC83FBA</vt:lpwstr>
  </property>
  <property fmtid="{D5CDD505-2E9C-101B-9397-08002B2CF9AE}" pid="12" name="TitusGUID">
    <vt:lpwstr>fbf37dd8-1465-489a-801f-3cf9f9496f01</vt:lpwstr>
  </property>
  <property fmtid="{D5CDD505-2E9C-101B-9397-08002B2CF9AE}" pid="13" name="CTP_BU">
    <vt:lpwstr>NEXT GEN AND STANDARDS GROUP</vt:lpwstr>
  </property>
  <property fmtid="{D5CDD505-2E9C-101B-9397-08002B2CF9AE}" pid="14" name="CTP_TimeStamp">
    <vt:lpwstr>2018-02-05 18:52:22Z</vt:lpwstr>
  </property>
  <property fmtid="{D5CDD505-2E9C-101B-9397-08002B2CF9AE}" pid="15" name="CTPClassification">
    <vt:lpwstr>CTP_IC</vt:lpwstr>
  </property>
  <property fmtid="{D5CDD505-2E9C-101B-9397-08002B2CF9AE}" pid="16" name="KSOProductBuildVer">
    <vt:lpwstr>2052-10.8.2.6613</vt:lpwstr>
  </property>
  <property fmtid="{D5CDD505-2E9C-101B-9397-08002B2CF9AE}" pid="17" name="_dlc_DocIdItemGuid">
    <vt:lpwstr>c94aa6fe-9a36-4e6e-b0c2-4ca9b6142101</vt:lpwstr>
  </property>
  <property fmtid="{D5CDD505-2E9C-101B-9397-08002B2CF9AE}" pid="18" name="TaxKeyword">
    <vt:lpwstr>784;#CTPClassification=CTP_IC:VisualMarkings=|3c7cbf35-523f-4ca0-9f6e-a486122924ab;#783;#CTPClassification=CTP_IC|28462fd8-7f36-439c-b534-8fade4c246d6</vt:lpwstr>
  </property>
  <property fmtid="{D5CDD505-2E9C-101B-9397-08002B2CF9AE}" pid="19" name="EriCOLLCategory">
    <vt:lpwstr/>
  </property>
  <property fmtid="{D5CDD505-2E9C-101B-9397-08002B2CF9AE}" pid="20" name="EriCOLLCountry">
    <vt:lpwstr/>
  </property>
  <property fmtid="{D5CDD505-2E9C-101B-9397-08002B2CF9AE}" pid="21" name="EriCOLLCompetence">
    <vt:lpwstr/>
  </property>
  <property fmtid="{D5CDD505-2E9C-101B-9397-08002B2CF9AE}" pid="22" name="EriCOLLOrganizationUnit">
    <vt:lpwstr/>
  </property>
  <property fmtid="{D5CDD505-2E9C-101B-9397-08002B2CF9AE}" pid="23" name="EriCOLLProducts">
    <vt:lpwstr/>
  </property>
  <property fmtid="{D5CDD505-2E9C-101B-9397-08002B2CF9AE}" pid="24" name="EriCOLLCustomer">
    <vt:lpwstr/>
  </property>
  <property fmtid="{D5CDD505-2E9C-101B-9397-08002B2CF9AE}" pid="25" name="EriCOLLProjects">
    <vt:lpwstr/>
  </property>
  <property fmtid="{D5CDD505-2E9C-101B-9397-08002B2CF9AE}" pid="26" name="EriCOLLProcess">
    <vt:lpwstr/>
  </property>
  <property fmtid="{D5CDD505-2E9C-101B-9397-08002B2CF9AE}" pid="27" name="NSCPROP_SA">
    <vt:lpwstr>C:\Users\Samsung\AppData\Local\Microsoft\Windows\INetCache\Content.Outlook\KICBFFAL\SpectralEfficiency - 01 InH-eMBB_v44_r10_CT_CMCC.xlsx</vt:lpwstr>
  </property>
  <property fmtid="{D5CDD505-2E9C-101B-9397-08002B2CF9AE}" pid="28" name="_readonly">
    <vt:lpwstr/>
  </property>
  <property fmtid="{D5CDD505-2E9C-101B-9397-08002B2CF9AE}" pid="29" name="_change">
    <vt:lpwstr/>
  </property>
  <property fmtid="{D5CDD505-2E9C-101B-9397-08002B2CF9AE}" pid="30" name="_full-control">
    <vt:lpwstr/>
  </property>
  <property fmtid="{D5CDD505-2E9C-101B-9397-08002B2CF9AE}" pid="31" name="sflag">
    <vt:lpwstr>1558400932</vt:lpwstr>
  </property>
</Properties>
</file>