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6_{AD0336F8-D12C-4216-AAA2-0A3D6ED1F901}" xr6:coauthVersionLast="41" xr6:coauthVersionMax="41" xr10:uidLastSave="{00000000-0000-0000-0000-000000000000}"/>
  <bookViews>
    <workbookView xWindow="-96" yWindow="-96" windowWidth="23232" windowHeight="12552" xr2:uid="{00000000-000D-0000-FFFF-FFFF00000000}"/>
  </bookViews>
  <sheets>
    <sheet name="InH-eMBB (4GHz, NR DDDSU)" sheetId="1" r:id="rId1"/>
    <sheet name="InH-eMBB (4GHz, NR DSUUD)" sheetId="2" r:id="rId2"/>
    <sheet name="DU-eMBB (4GHz, NR DDDSU)" sheetId="3" r:id="rId3"/>
    <sheet name="DU-eMBB (4GHz, NR DSUUD)" sheetId="5" r:id="rId4"/>
    <sheet name="Rural-eMBB (700MHz, NR FDD)" sheetId="6" r:id="rId5"/>
    <sheet name="Rural-eMBB (700 MHz, NR DSUUD)" sheetId="7" r:id="rId6"/>
    <sheet name="Rural-eMBB (700MHz, LTE FDD)" sheetId="8" r:id="rId7"/>
    <sheet name="UMa_URLLC" sheetId="9" r:id="rId8"/>
    <sheet name="UMA-mMTC(NB-IoT)" sheetId="10" r:id="rId9"/>
    <sheet name="UMA-mMTC(eMTC)" sheetId="12" r:id="rId10"/>
  </sheets>
  <externalReferences>
    <externalReference r:id="rId11"/>
    <externalReference r:id="rId12"/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9" i="12" l="1"/>
  <c r="L59" i="12"/>
  <c r="G59" i="12"/>
  <c r="F59" i="12"/>
  <c r="L51" i="12"/>
  <c r="L44" i="12"/>
  <c r="D44" i="12"/>
  <c r="D51" i="12" s="1"/>
  <c r="L40" i="12"/>
  <c r="J40" i="12"/>
  <c r="J44" i="12" s="1"/>
  <c r="J51" i="12" s="1"/>
  <c r="H40" i="12"/>
  <c r="H44" i="12" s="1"/>
  <c r="H51" i="12" s="1"/>
  <c r="F40" i="12"/>
  <c r="F44" i="12" s="1"/>
  <c r="F51" i="12" s="1"/>
  <c r="D40" i="12"/>
  <c r="B40" i="12"/>
  <c r="B44" i="12" s="1"/>
  <c r="B51" i="12" s="1"/>
  <c r="M39" i="12"/>
  <c r="M43" i="12" s="1"/>
  <c r="M50" i="12" s="1"/>
  <c r="K39" i="12"/>
  <c r="K43" i="12" s="1"/>
  <c r="K50" i="12" s="1"/>
  <c r="I39" i="12"/>
  <c r="I43" i="12" s="1"/>
  <c r="I50" i="12" s="1"/>
  <c r="G39" i="12"/>
  <c r="G43" i="12" s="1"/>
  <c r="G50" i="12" s="1"/>
  <c r="E39" i="12"/>
  <c r="E43" i="12" s="1"/>
  <c r="E50" i="12" s="1"/>
  <c r="C39" i="12"/>
  <c r="C43" i="12" s="1"/>
  <c r="C50" i="12" s="1"/>
  <c r="M33" i="12"/>
  <c r="L33" i="12"/>
  <c r="K33" i="12"/>
  <c r="J33" i="12"/>
  <c r="I33" i="12"/>
  <c r="H33" i="12"/>
  <c r="G33" i="12"/>
  <c r="F33" i="12"/>
  <c r="E33" i="12"/>
  <c r="D33" i="12"/>
  <c r="C33" i="12"/>
  <c r="B33" i="12"/>
  <c r="M23" i="12"/>
  <c r="M28" i="12" s="1"/>
  <c r="L23" i="12"/>
  <c r="K23" i="12"/>
  <c r="J23" i="12"/>
  <c r="I23" i="12"/>
  <c r="I27" i="12" s="1"/>
  <c r="I52" i="12" s="1"/>
  <c r="I61" i="12" s="1"/>
  <c r="I65" i="12" s="1"/>
  <c r="I67" i="12" s="1"/>
  <c r="H23" i="12"/>
  <c r="G23" i="12"/>
  <c r="F23" i="12"/>
  <c r="F28" i="12" s="1"/>
  <c r="F53" i="12" s="1"/>
  <c r="F62" i="12" s="1"/>
  <c r="F66" i="12" s="1"/>
  <c r="F68" i="12" s="1"/>
  <c r="E23" i="12"/>
  <c r="E27" i="12" s="1"/>
  <c r="E52" i="12" s="1"/>
  <c r="E61" i="12" s="1"/>
  <c r="E65" i="12" s="1"/>
  <c r="E67" i="12" s="1"/>
  <c r="D23" i="12"/>
  <c r="C23" i="12"/>
  <c r="B23" i="12"/>
  <c r="B28" i="12" s="1"/>
  <c r="B53" i="12" s="1"/>
  <c r="B62" i="12" s="1"/>
  <c r="B66" i="12" s="1"/>
  <c r="B68" i="12" s="1"/>
  <c r="G22" i="12"/>
  <c r="F22" i="12"/>
  <c r="E22" i="12"/>
  <c r="D22" i="12"/>
  <c r="C22" i="12"/>
  <c r="B22" i="12"/>
  <c r="G21" i="12"/>
  <c r="F21" i="12"/>
  <c r="E21" i="12"/>
  <c r="D21" i="12"/>
  <c r="D28" i="12" s="1"/>
  <c r="C21" i="12"/>
  <c r="B21" i="12"/>
  <c r="M20" i="12"/>
  <c r="M21" i="12" s="1"/>
  <c r="M27" i="12" s="1"/>
  <c r="M52" i="12" s="1"/>
  <c r="M61" i="12" s="1"/>
  <c r="M65" i="12" s="1"/>
  <c r="M67" i="12" s="1"/>
  <c r="L20" i="12"/>
  <c r="L21" i="12" s="1"/>
  <c r="K20" i="12"/>
  <c r="K21" i="12" s="1"/>
  <c r="J20" i="12"/>
  <c r="J21" i="12" s="1"/>
  <c r="I20" i="12"/>
  <c r="I21" i="12" s="1"/>
  <c r="H20" i="12"/>
  <c r="H21" i="12" s="1"/>
  <c r="L13" i="12"/>
  <c r="J13" i="12"/>
  <c r="H13" i="12"/>
  <c r="F13" i="12"/>
  <c r="D13" i="12"/>
  <c r="B13" i="12"/>
  <c r="M59" i="10"/>
  <c r="L59" i="10"/>
  <c r="G59" i="10"/>
  <c r="F59" i="10"/>
  <c r="B46" i="10"/>
  <c r="B44" i="10"/>
  <c r="M43" i="10"/>
  <c r="M50" i="10" s="1"/>
  <c r="G43" i="10"/>
  <c r="G50" i="10" s="1"/>
  <c r="E43" i="10"/>
  <c r="E50" i="10" s="1"/>
  <c r="L42" i="10"/>
  <c r="J42" i="10"/>
  <c r="J13" i="10" s="1"/>
  <c r="H42" i="10"/>
  <c r="H13" i="10" s="1"/>
  <c r="F42" i="10"/>
  <c r="D42" i="10"/>
  <c r="M41" i="10"/>
  <c r="K41" i="10"/>
  <c r="I41" i="10"/>
  <c r="G41" i="10"/>
  <c r="E41" i="10"/>
  <c r="L40" i="10"/>
  <c r="L44" i="10" s="1"/>
  <c r="L51" i="10" s="1"/>
  <c r="J40" i="10"/>
  <c r="H40" i="10"/>
  <c r="F40" i="10"/>
  <c r="F44" i="10" s="1"/>
  <c r="F51" i="10" s="1"/>
  <c r="D40" i="10"/>
  <c r="D44" i="10" s="1"/>
  <c r="D51" i="10" s="1"/>
  <c r="B40" i="10"/>
  <c r="M39" i="10"/>
  <c r="K39" i="10"/>
  <c r="K43" i="10" s="1"/>
  <c r="K50" i="10" s="1"/>
  <c r="I39" i="10"/>
  <c r="G39" i="10"/>
  <c r="E39" i="10"/>
  <c r="C39" i="10"/>
  <c r="C43" i="10" s="1"/>
  <c r="C50" i="10" s="1"/>
  <c r="M33" i="10"/>
  <c r="L33" i="10"/>
  <c r="K33" i="10"/>
  <c r="J33" i="10"/>
  <c r="I33" i="10"/>
  <c r="H33" i="10"/>
  <c r="G33" i="10"/>
  <c r="F33" i="10"/>
  <c r="E33" i="10"/>
  <c r="D33" i="10"/>
  <c r="C33" i="10"/>
  <c r="B33" i="10"/>
  <c r="M23" i="10"/>
  <c r="L23" i="10"/>
  <c r="K23" i="10"/>
  <c r="J23" i="10"/>
  <c r="I23" i="10"/>
  <c r="H23" i="10"/>
  <c r="G23" i="10"/>
  <c r="F23" i="10"/>
  <c r="F27" i="10" s="1"/>
  <c r="E23" i="10"/>
  <c r="E28" i="10" s="1"/>
  <c r="D23" i="10"/>
  <c r="C23" i="10"/>
  <c r="B23" i="10"/>
  <c r="B28" i="10" s="1"/>
  <c r="C22" i="10"/>
  <c r="B22" i="10"/>
  <c r="G21" i="10"/>
  <c r="G28" i="10" s="1"/>
  <c r="F21" i="10"/>
  <c r="E21" i="10"/>
  <c r="D21" i="10"/>
  <c r="D28" i="10" s="1"/>
  <c r="C21" i="10"/>
  <c r="C28" i="10" s="1"/>
  <c r="B21" i="10"/>
  <c r="M20" i="10"/>
  <c r="M21" i="10" s="1"/>
  <c r="L20" i="10"/>
  <c r="L21" i="10" s="1"/>
  <c r="K20" i="10"/>
  <c r="K21" i="10" s="1"/>
  <c r="J20" i="10"/>
  <c r="J21" i="10" s="1"/>
  <c r="I20" i="10"/>
  <c r="I21" i="10" s="1"/>
  <c r="H20" i="10"/>
  <c r="H21" i="10" s="1"/>
  <c r="L13" i="10"/>
  <c r="F13" i="10"/>
  <c r="D13" i="10"/>
  <c r="B13" i="10"/>
  <c r="I43" i="10" l="1"/>
  <c r="I50" i="10" s="1"/>
  <c r="B53" i="10"/>
  <c r="B62" i="10" s="1"/>
  <c r="B66" i="10" s="1"/>
  <c r="B68" i="10" s="1"/>
  <c r="B51" i="10"/>
  <c r="K28" i="12"/>
  <c r="K27" i="12"/>
  <c r="K52" i="12" s="1"/>
  <c r="K61" i="12" s="1"/>
  <c r="K65" i="12" s="1"/>
  <c r="K67" i="12" s="1"/>
  <c r="D53" i="12"/>
  <c r="D62" i="12" s="1"/>
  <c r="D66" i="12" s="1"/>
  <c r="D68" i="12" s="1"/>
  <c r="E28" i="12"/>
  <c r="J28" i="12"/>
  <c r="J53" i="12" s="1"/>
  <c r="J62" i="12" s="1"/>
  <c r="J66" i="12" s="1"/>
  <c r="J68" i="12" s="1"/>
  <c r="J27" i="12"/>
  <c r="C28" i="12"/>
  <c r="C27" i="12"/>
  <c r="C52" i="12" s="1"/>
  <c r="C61" i="12" s="1"/>
  <c r="C65" i="12" s="1"/>
  <c r="C67" i="12" s="1"/>
  <c r="G28" i="12"/>
  <c r="G27" i="12"/>
  <c r="G52" i="12" s="1"/>
  <c r="G61" i="12" s="1"/>
  <c r="G65" i="12" s="1"/>
  <c r="G67" i="12" s="1"/>
  <c r="I28" i="12"/>
  <c r="H28" i="12"/>
  <c r="H53" i="12" s="1"/>
  <c r="H62" i="12" s="1"/>
  <c r="H66" i="12" s="1"/>
  <c r="H27" i="12"/>
  <c r="L28" i="12"/>
  <c r="L53" i="12" s="1"/>
  <c r="L62" i="12" s="1"/>
  <c r="L66" i="12" s="1"/>
  <c r="L68" i="12" s="1"/>
  <c r="L27" i="12"/>
  <c r="B27" i="12"/>
  <c r="F27" i="12"/>
  <c r="D27" i="12"/>
  <c r="I27" i="10"/>
  <c r="I52" i="10" s="1"/>
  <c r="I61" i="10" s="1"/>
  <c r="I65" i="10" s="1"/>
  <c r="I67" i="10" s="1"/>
  <c r="I28" i="10"/>
  <c r="M28" i="10"/>
  <c r="M27" i="10"/>
  <c r="M52" i="10" s="1"/>
  <c r="M61" i="10" s="1"/>
  <c r="M65" i="10" s="1"/>
  <c r="M67" i="10" s="1"/>
  <c r="J28" i="10"/>
  <c r="J27" i="10"/>
  <c r="K28" i="10"/>
  <c r="K27" i="10"/>
  <c r="K52" i="10" s="1"/>
  <c r="K61" i="10" s="1"/>
  <c r="K65" i="10" s="1"/>
  <c r="K67" i="10" s="1"/>
  <c r="H28" i="10"/>
  <c r="H27" i="10"/>
  <c r="L28" i="10"/>
  <c r="L53" i="10" s="1"/>
  <c r="L62" i="10" s="1"/>
  <c r="L66" i="10" s="1"/>
  <c r="L68" i="10" s="1"/>
  <c r="L27" i="10"/>
  <c r="D53" i="10"/>
  <c r="D62" i="10" s="1"/>
  <c r="D66" i="10" s="1"/>
  <c r="D68" i="10" s="1"/>
  <c r="E27" i="10"/>
  <c r="E52" i="10" s="1"/>
  <c r="E61" i="10" s="1"/>
  <c r="E65" i="10" s="1"/>
  <c r="E67" i="10" s="1"/>
  <c r="H44" i="10"/>
  <c r="H51" i="10" s="1"/>
  <c r="B27" i="10"/>
  <c r="F28" i="10"/>
  <c r="F53" i="10" s="1"/>
  <c r="F62" i="10" s="1"/>
  <c r="F66" i="10" s="1"/>
  <c r="F68" i="10" s="1"/>
  <c r="J44" i="10"/>
  <c r="J51" i="10" s="1"/>
  <c r="C27" i="10"/>
  <c r="C52" i="10" s="1"/>
  <c r="C61" i="10" s="1"/>
  <c r="C65" i="10" s="1"/>
  <c r="C67" i="10" s="1"/>
  <c r="G27" i="10"/>
  <c r="G52" i="10" s="1"/>
  <c r="G61" i="10" s="1"/>
  <c r="G65" i="10" s="1"/>
  <c r="G67" i="10" s="1"/>
  <c r="D27" i="10"/>
  <c r="I61" i="9"/>
  <c r="H61" i="9"/>
  <c r="G61" i="9"/>
  <c r="F61" i="9"/>
  <c r="H43" i="9"/>
  <c r="F43" i="9"/>
  <c r="D43" i="9"/>
  <c r="B43" i="9"/>
  <c r="I42" i="9"/>
  <c r="G42" i="9"/>
  <c r="E42" i="9"/>
  <c r="C42" i="9"/>
  <c r="H41" i="9"/>
  <c r="H45" i="9" s="1"/>
  <c r="H52" i="9" s="1"/>
  <c r="F41" i="9"/>
  <c r="F45" i="9" s="1"/>
  <c r="F52" i="9" s="1"/>
  <c r="D41" i="9"/>
  <c r="D45" i="9" s="1"/>
  <c r="D52" i="9" s="1"/>
  <c r="B41" i="9"/>
  <c r="B45" i="9" s="1"/>
  <c r="B52" i="9" s="1"/>
  <c r="I40" i="9"/>
  <c r="I44" i="9" s="1"/>
  <c r="I51" i="9" s="1"/>
  <c r="G40" i="9"/>
  <c r="E40" i="9"/>
  <c r="E44" i="9" s="1"/>
  <c r="E51" i="9" s="1"/>
  <c r="C40" i="9"/>
  <c r="C44" i="9" s="1"/>
  <c r="C51" i="9" s="1"/>
  <c r="I34" i="9"/>
  <c r="H34" i="9"/>
  <c r="G34" i="9"/>
  <c r="F34" i="9"/>
  <c r="E34" i="9"/>
  <c r="D34" i="9"/>
  <c r="C34" i="9"/>
  <c r="B34" i="9"/>
  <c r="I24" i="9"/>
  <c r="H24" i="9"/>
  <c r="G24" i="9"/>
  <c r="F24" i="9"/>
  <c r="E24" i="9"/>
  <c r="D24" i="9"/>
  <c r="C24" i="9"/>
  <c r="B24" i="9"/>
  <c r="I22" i="9"/>
  <c r="I29" i="9" s="1"/>
  <c r="H22" i="9"/>
  <c r="H29" i="9" s="1"/>
  <c r="G22" i="9"/>
  <c r="G29" i="9" s="1"/>
  <c r="F22" i="9"/>
  <c r="F29" i="9" s="1"/>
  <c r="F54" i="9" s="1"/>
  <c r="F64" i="9" s="1"/>
  <c r="F67" i="9" s="1"/>
  <c r="F69" i="9" s="1"/>
  <c r="E22" i="9"/>
  <c r="E29" i="9" s="1"/>
  <c r="D22" i="9"/>
  <c r="D29" i="9" s="1"/>
  <c r="C22" i="9"/>
  <c r="C29" i="9" s="1"/>
  <c r="B22" i="9"/>
  <c r="B29" i="9" s="1"/>
  <c r="B54" i="9" s="1"/>
  <c r="B64" i="9" s="1"/>
  <c r="B67" i="9" s="1"/>
  <c r="B69" i="9" s="1"/>
  <c r="H11" i="9"/>
  <c r="H14" i="9" s="1"/>
  <c r="F11" i="9"/>
  <c r="F14" i="9" s="1"/>
  <c r="D11" i="9"/>
  <c r="D14" i="9" s="1"/>
  <c r="B11" i="9"/>
  <c r="B14" i="9" s="1"/>
  <c r="H53" i="10" l="1"/>
  <c r="H62" i="10" s="1"/>
  <c r="H66" i="10" s="1"/>
  <c r="H68" i="10" s="1"/>
  <c r="J53" i="10"/>
  <c r="J62" i="10" s="1"/>
  <c r="J66" i="10" s="1"/>
  <c r="J68" i="10" s="1"/>
  <c r="G44" i="9"/>
  <c r="G51" i="9" s="1"/>
  <c r="H54" i="9"/>
  <c r="H64" i="9" s="1"/>
  <c r="H67" i="9" s="1"/>
  <c r="H69" i="9" s="1"/>
  <c r="D54" i="9"/>
  <c r="D64" i="9" s="1"/>
  <c r="D67" i="9" s="1"/>
  <c r="D69" i="9" s="1"/>
  <c r="B28" i="9"/>
  <c r="F28" i="9"/>
  <c r="C28" i="9"/>
  <c r="C53" i="9" s="1"/>
  <c r="C63" i="9" s="1"/>
  <c r="C66" i="9" s="1"/>
  <c r="C68" i="9" s="1"/>
  <c r="G28" i="9"/>
  <c r="G53" i="9" s="1"/>
  <c r="G63" i="9" s="1"/>
  <c r="G66" i="9" s="1"/>
  <c r="G68" i="9" s="1"/>
  <c r="D28" i="9"/>
  <c r="H28" i="9"/>
  <c r="E28" i="9"/>
  <c r="E53" i="9" s="1"/>
  <c r="E63" i="9" s="1"/>
  <c r="E66" i="9" s="1"/>
  <c r="E68" i="9" s="1"/>
  <c r="I28" i="9"/>
  <c r="I53" i="9" s="1"/>
  <c r="I63" i="9" s="1"/>
  <c r="I66" i="9" s="1"/>
  <c r="I68" i="9" s="1"/>
  <c r="I59" i="8" l="1"/>
  <c r="H59" i="8"/>
  <c r="E59" i="8"/>
  <c r="D59" i="8"/>
  <c r="H42" i="8"/>
  <c r="F42" i="8"/>
  <c r="D42" i="8"/>
  <c r="B42" i="8"/>
  <c r="I41" i="8"/>
  <c r="G41" i="8"/>
  <c r="E41" i="8"/>
  <c r="C41" i="8"/>
  <c r="H40" i="8"/>
  <c r="H44" i="8" s="1"/>
  <c r="H51" i="8" s="1"/>
  <c r="F40" i="8"/>
  <c r="F44" i="8" s="1"/>
  <c r="F51" i="8" s="1"/>
  <c r="D40" i="8"/>
  <c r="B40" i="8"/>
  <c r="I39" i="8"/>
  <c r="I43" i="8" s="1"/>
  <c r="I50" i="8" s="1"/>
  <c r="G39" i="8"/>
  <c r="G43" i="8" s="1"/>
  <c r="G50" i="8" s="1"/>
  <c r="E39" i="8"/>
  <c r="E43" i="8" s="1"/>
  <c r="E50" i="8" s="1"/>
  <c r="C39" i="8"/>
  <c r="C43" i="8" s="1"/>
  <c r="C50" i="8" s="1"/>
  <c r="I33" i="8"/>
  <c r="H33" i="8"/>
  <c r="G33" i="8"/>
  <c r="F33" i="8"/>
  <c r="E33" i="8"/>
  <c r="D33" i="8"/>
  <c r="C33" i="8"/>
  <c r="B33" i="8"/>
  <c r="I23" i="8"/>
  <c r="H23" i="8"/>
  <c r="G23" i="8"/>
  <c r="F23" i="8"/>
  <c r="E23" i="8"/>
  <c r="D23" i="8"/>
  <c r="C23" i="8"/>
  <c r="B23" i="8"/>
  <c r="I21" i="8"/>
  <c r="I28" i="8" s="1"/>
  <c r="H21" i="8"/>
  <c r="H28" i="8" s="1"/>
  <c r="G21" i="8"/>
  <c r="G28" i="8" s="1"/>
  <c r="F21" i="8"/>
  <c r="F28" i="8" s="1"/>
  <c r="F53" i="8" s="1"/>
  <c r="F62" i="8" s="1"/>
  <c r="F65" i="8" s="1"/>
  <c r="F67" i="8" s="1"/>
  <c r="E21" i="8"/>
  <c r="E28" i="8" s="1"/>
  <c r="D21" i="8"/>
  <c r="D28" i="8" s="1"/>
  <c r="C21" i="8"/>
  <c r="C28" i="8" s="1"/>
  <c r="B21" i="8"/>
  <c r="B28" i="8" s="1"/>
  <c r="H10" i="8"/>
  <c r="H13" i="8" s="1"/>
  <c r="F10" i="8"/>
  <c r="F13" i="8" s="1"/>
  <c r="D10" i="8"/>
  <c r="D13" i="8" s="1"/>
  <c r="B10" i="8"/>
  <c r="I9" i="8"/>
  <c r="G9" i="8"/>
  <c r="E9" i="8"/>
  <c r="C9" i="8"/>
  <c r="H42" i="7"/>
  <c r="F42" i="7"/>
  <c r="D42" i="7"/>
  <c r="B42" i="7"/>
  <c r="I41" i="7"/>
  <c r="G41" i="7"/>
  <c r="E41" i="7"/>
  <c r="C41" i="7"/>
  <c r="H40" i="7"/>
  <c r="H44" i="7" s="1"/>
  <c r="H51" i="7" s="1"/>
  <c r="F40" i="7"/>
  <c r="F44" i="7" s="1"/>
  <c r="F51" i="7" s="1"/>
  <c r="D40" i="7"/>
  <c r="D44" i="7" s="1"/>
  <c r="D51" i="7" s="1"/>
  <c r="B40" i="7"/>
  <c r="I39" i="7"/>
  <c r="I43" i="7" s="1"/>
  <c r="I50" i="7" s="1"/>
  <c r="G39" i="7"/>
  <c r="G43" i="7" s="1"/>
  <c r="G50" i="7" s="1"/>
  <c r="E39" i="7"/>
  <c r="E43" i="7" s="1"/>
  <c r="E50" i="7" s="1"/>
  <c r="C39" i="7"/>
  <c r="I33" i="7"/>
  <c r="H33" i="7"/>
  <c r="G33" i="7"/>
  <c r="F33" i="7"/>
  <c r="E33" i="7"/>
  <c r="D33" i="7"/>
  <c r="C33" i="7"/>
  <c r="B33" i="7"/>
  <c r="I23" i="7"/>
  <c r="H23" i="7"/>
  <c r="G23" i="7"/>
  <c r="F23" i="7"/>
  <c r="E23" i="7"/>
  <c r="D23" i="7"/>
  <c r="C23" i="7"/>
  <c r="B23" i="7"/>
  <c r="I21" i="7"/>
  <c r="I28" i="7" s="1"/>
  <c r="H21" i="7"/>
  <c r="H28" i="7" s="1"/>
  <c r="H53" i="7" s="1"/>
  <c r="H62" i="7" s="1"/>
  <c r="H65" i="7" s="1"/>
  <c r="H67" i="7" s="1"/>
  <c r="G21" i="7"/>
  <c r="G28" i="7" s="1"/>
  <c r="F21" i="7"/>
  <c r="F28" i="7" s="1"/>
  <c r="F53" i="7" s="1"/>
  <c r="F62" i="7" s="1"/>
  <c r="F65" i="7" s="1"/>
  <c r="F67" i="7" s="1"/>
  <c r="E21" i="7"/>
  <c r="E28" i="7" s="1"/>
  <c r="D21" i="7"/>
  <c r="D28" i="7" s="1"/>
  <c r="C21" i="7"/>
  <c r="C28" i="7" s="1"/>
  <c r="B21" i="7"/>
  <c r="B28" i="7" s="1"/>
  <c r="H10" i="7"/>
  <c r="H13" i="7" s="1"/>
  <c r="F10" i="7"/>
  <c r="F13" i="7" s="1"/>
  <c r="D10" i="7"/>
  <c r="B10" i="7"/>
  <c r="I9" i="7"/>
  <c r="G9" i="7"/>
  <c r="E9" i="7"/>
  <c r="C9" i="7"/>
  <c r="I59" i="6"/>
  <c r="H59" i="6"/>
  <c r="E59" i="6"/>
  <c r="D59" i="6"/>
  <c r="H42" i="6"/>
  <c r="F42" i="6"/>
  <c r="D42" i="6"/>
  <c r="B42" i="6"/>
  <c r="I41" i="6"/>
  <c r="G41" i="6"/>
  <c r="E41" i="6"/>
  <c r="C41" i="6"/>
  <c r="H40" i="6"/>
  <c r="H44" i="6" s="1"/>
  <c r="H51" i="6" s="1"/>
  <c r="F40" i="6"/>
  <c r="F44" i="6" s="1"/>
  <c r="F51" i="6" s="1"/>
  <c r="D40" i="6"/>
  <c r="B40" i="6"/>
  <c r="I39" i="6"/>
  <c r="I43" i="6" s="1"/>
  <c r="I50" i="6" s="1"/>
  <c r="G39" i="6"/>
  <c r="G43" i="6" s="1"/>
  <c r="G50" i="6" s="1"/>
  <c r="E39" i="6"/>
  <c r="C39" i="6"/>
  <c r="I33" i="6"/>
  <c r="H33" i="6"/>
  <c r="G33" i="6"/>
  <c r="F33" i="6"/>
  <c r="E33" i="6"/>
  <c r="D33" i="6"/>
  <c r="C33" i="6"/>
  <c r="B33" i="6"/>
  <c r="I23" i="6"/>
  <c r="H23" i="6"/>
  <c r="G23" i="6"/>
  <c r="F23" i="6"/>
  <c r="E23" i="6"/>
  <c r="D23" i="6"/>
  <c r="C23" i="6"/>
  <c r="B23" i="6"/>
  <c r="I21" i="6"/>
  <c r="I28" i="6" s="1"/>
  <c r="H21" i="6"/>
  <c r="H28" i="6" s="1"/>
  <c r="H53" i="6" s="1"/>
  <c r="H62" i="6" s="1"/>
  <c r="H65" i="6" s="1"/>
  <c r="H67" i="6" s="1"/>
  <c r="G21" i="6"/>
  <c r="G28" i="6" s="1"/>
  <c r="F21" i="6"/>
  <c r="F28" i="6" s="1"/>
  <c r="F53" i="6" s="1"/>
  <c r="F62" i="6" s="1"/>
  <c r="F65" i="6" s="1"/>
  <c r="F67" i="6" s="1"/>
  <c r="E21" i="6"/>
  <c r="E28" i="6" s="1"/>
  <c r="D21" i="6"/>
  <c r="D28" i="6" s="1"/>
  <c r="C21" i="6"/>
  <c r="C28" i="6" s="1"/>
  <c r="B21" i="6"/>
  <c r="B28" i="6" s="1"/>
  <c r="H10" i="6"/>
  <c r="H13" i="6" s="1"/>
  <c r="F10" i="6"/>
  <c r="F13" i="6" s="1"/>
  <c r="D10" i="6"/>
  <c r="D13" i="6" s="1"/>
  <c r="B10" i="6"/>
  <c r="B13" i="6" s="1"/>
  <c r="I9" i="6"/>
  <c r="G9" i="6"/>
  <c r="E9" i="6"/>
  <c r="C9" i="6"/>
  <c r="I43" i="5"/>
  <c r="I50" i="5" s="1"/>
  <c r="G43" i="5"/>
  <c r="G50" i="5" s="1"/>
  <c r="H42" i="5"/>
  <c r="F42" i="5"/>
  <c r="D42" i="5"/>
  <c r="B42" i="5"/>
  <c r="I41" i="5"/>
  <c r="G41" i="5"/>
  <c r="E41" i="5"/>
  <c r="C41" i="5"/>
  <c r="H40" i="5"/>
  <c r="H44" i="5" s="1"/>
  <c r="H51" i="5" s="1"/>
  <c r="F40" i="5"/>
  <c r="F44" i="5" s="1"/>
  <c r="F51" i="5" s="1"/>
  <c r="D40" i="5"/>
  <c r="B40" i="5"/>
  <c r="I39" i="5"/>
  <c r="G39" i="5"/>
  <c r="E39" i="5"/>
  <c r="C39" i="5"/>
  <c r="I33" i="5"/>
  <c r="H33" i="5"/>
  <c r="G33" i="5"/>
  <c r="F33" i="5"/>
  <c r="E33" i="5"/>
  <c r="D33" i="5"/>
  <c r="C33" i="5"/>
  <c r="B33" i="5"/>
  <c r="I23" i="5"/>
  <c r="H23" i="5"/>
  <c r="G23" i="5"/>
  <c r="F23" i="5"/>
  <c r="E23" i="5"/>
  <c r="D23" i="5"/>
  <c r="C23" i="5"/>
  <c r="B23" i="5"/>
  <c r="I21" i="5"/>
  <c r="I28" i="5" s="1"/>
  <c r="H21" i="5"/>
  <c r="H28" i="5" s="1"/>
  <c r="H53" i="5" s="1"/>
  <c r="H62" i="5" s="1"/>
  <c r="H65" i="5" s="1"/>
  <c r="H67" i="5" s="1"/>
  <c r="G21" i="5"/>
  <c r="G28" i="5" s="1"/>
  <c r="F21" i="5"/>
  <c r="F28" i="5" s="1"/>
  <c r="E21" i="5"/>
  <c r="E28" i="5" s="1"/>
  <c r="D21" i="5"/>
  <c r="D28" i="5" s="1"/>
  <c r="C21" i="5"/>
  <c r="C28" i="5" s="1"/>
  <c r="B21" i="5"/>
  <c r="B28" i="5" s="1"/>
  <c r="H10" i="5"/>
  <c r="H13" i="5" s="1"/>
  <c r="F10" i="5"/>
  <c r="F13" i="5" s="1"/>
  <c r="D10" i="5"/>
  <c r="D13" i="5" s="1"/>
  <c r="B10" i="5"/>
  <c r="I9" i="5"/>
  <c r="G9" i="5"/>
  <c r="E9" i="5"/>
  <c r="C9" i="5"/>
  <c r="B44" i="7" l="1"/>
  <c r="B51" i="7" s="1"/>
  <c r="B13" i="8"/>
  <c r="E43" i="6"/>
  <c r="E50" i="6" s="1"/>
  <c r="B53" i="7"/>
  <c r="B62" i="7" s="1"/>
  <c r="B65" i="7" s="1"/>
  <c r="B67" i="7" s="1"/>
  <c r="C43" i="6"/>
  <c r="C50" i="6" s="1"/>
  <c r="B44" i="8"/>
  <c r="B51" i="8" s="1"/>
  <c r="B53" i="8" s="1"/>
  <c r="B62" i="8" s="1"/>
  <c r="B65" i="8" s="1"/>
  <c r="B67" i="8" s="1"/>
  <c r="B44" i="6"/>
  <c r="B51" i="6" s="1"/>
  <c r="B53" i="6" s="1"/>
  <c r="B62" i="6" s="1"/>
  <c r="B65" i="6" s="1"/>
  <c r="B67" i="6" s="1"/>
  <c r="C43" i="7"/>
  <c r="C50" i="7" s="1"/>
  <c r="B13" i="5"/>
  <c r="D44" i="6"/>
  <c r="D51" i="6" s="1"/>
  <c r="H53" i="8"/>
  <c r="H62" i="8" s="1"/>
  <c r="H65" i="8" s="1"/>
  <c r="H67" i="8" s="1"/>
  <c r="F53" i="5"/>
  <c r="F62" i="5" s="1"/>
  <c r="F65" i="5" s="1"/>
  <c r="F67" i="5" s="1"/>
  <c r="B27" i="5"/>
  <c r="C43" i="5"/>
  <c r="C50" i="5" s="1"/>
  <c r="C52" i="5" s="1"/>
  <c r="C61" i="5" s="1"/>
  <c r="C64" i="5" s="1"/>
  <c r="C66" i="5" s="1"/>
  <c r="B44" i="5"/>
  <c r="B51" i="5" s="1"/>
  <c r="D13" i="7"/>
  <c r="F27" i="5"/>
  <c r="E43" i="5"/>
  <c r="E50" i="5" s="1"/>
  <c r="E52" i="5" s="1"/>
  <c r="E61" i="5" s="1"/>
  <c r="E64" i="5" s="1"/>
  <c r="E66" i="5" s="1"/>
  <c r="H27" i="5"/>
  <c r="C27" i="5"/>
  <c r="G27" i="5"/>
  <c r="G52" i="5" s="1"/>
  <c r="G61" i="5" s="1"/>
  <c r="G64" i="5" s="1"/>
  <c r="G66" i="5" s="1"/>
  <c r="D44" i="5"/>
  <c r="D51" i="5" s="1"/>
  <c r="D53" i="5" s="1"/>
  <c r="D62" i="5" s="1"/>
  <c r="D65" i="5" s="1"/>
  <c r="D67" i="5" s="1"/>
  <c r="D27" i="5"/>
  <c r="E27" i="5"/>
  <c r="I27" i="5"/>
  <c r="I52" i="5" s="1"/>
  <c r="I61" i="5" s="1"/>
  <c r="I64" i="5" s="1"/>
  <c r="I66" i="5" s="1"/>
  <c r="D44" i="8"/>
  <c r="D51" i="8" s="1"/>
  <c r="D53" i="8" s="1"/>
  <c r="D62" i="8" s="1"/>
  <c r="D65" i="8" s="1"/>
  <c r="D67" i="8" s="1"/>
  <c r="B53" i="5"/>
  <c r="B62" i="5" s="1"/>
  <c r="B65" i="5" s="1"/>
  <c r="B67" i="5" s="1"/>
  <c r="B13" i="7"/>
  <c r="G27" i="8"/>
  <c r="G52" i="8" s="1"/>
  <c r="G61" i="8" s="1"/>
  <c r="G64" i="8" s="1"/>
  <c r="G66" i="8" s="1"/>
  <c r="B27" i="8"/>
  <c r="F27" i="8"/>
  <c r="C27" i="8"/>
  <c r="C52" i="8" s="1"/>
  <c r="C61" i="8" s="1"/>
  <c r="C64" i="8" s="1"/>
  <c r="C66" i="8" s="1"/>
  <c r="D27" i="8"/>
  <c r="H27" i="8"/>
  <c r="E27" i="8"/>
  <c r="E52" i="8" s="1"/>
  <c r="E61" i="8" s="1"/>
  <c r="E64" i="8" s="1"/>
  <c r="E66" i="8" s="1"/>
  <c r="I27" i="8"/>
  <c r="I52" i="8" s="1"/>
  <c r="I61" i="8" s="1"/>
  <c r="I64" i="8" s="1"/>
  <c r="I66" i="8" s="1"/>
  <c r="D53" i="7"/>
  <c r="D62" i="7" s="1"/>
  <c r="D65" i="7" s="1"/>
  <c r="D67" i="7" s="1"/>
  <c r="B27" i="7"/>
  <c r="F27" i="7"/>
  <c r="C27" i="7"/>
  <c r="C52" i="7" s="1"/>
  <c r="C61" i="7" s="1"/>
  <c r="C64" i="7" s="1"/>
  <c r="C66" i="7" s="1"/>
  <c r="G27" i="7"/>
  <c r="G52" i="7" s="1"/>
  <c r="G61" i="7" s="1"/>
  <c r="G64" i="7" s="1"/>
  <c r="G66" i="7" s="1"/>
  <c r="D27" i="7"/>
  <c r="H27" i="7"/>
  <c r="E27" i="7"/>
  <c r="E52" i="7" s="1"/>
  <c r="E61" i="7" s="1"/>
  <c r="E64" i="7" s="1"/>
  <c r="E66" i="7" s="1"/>
  <c r="I27" i="7"/>
  <c r="I52" i="7" s="1"/>
  <c r="I61" i="7" s="1"/>
  <c r="I64" i="7" s="1"/>
  <c r="I66" i="7" s="1"/>
  <c r="D53" i="6"/>
  <c r="D62" i="6" s="1"/>
  <c r="D65" i="6" s="1"/>
  <c r="D67" i="6" s="1"/>
  <c r="C27" i="6"/>
  <c r="G27" i="6"/>
  <c r="G52" i="6" s="1"/>
  <c r="G61" i="6" s="1"/>
  <c r="G64" i="6" s="1"/>
  <c r="G66" i="6" s="1"/>
  <c r="B27" i="6"/>
  <c r="D27" i="6"/>
  <c r="H27" i="6"/>
  <c r="F27" i="6"/>
  <c r="E27" i="6"/>
  <c r="E52" i="6" s="1"/>
  <c r="E61" i="6" s="1"/>
  <c r="E64" i="6" s="1"/>
  <c r="E66" i="6" s="1"/>
  <c r="I27" i="6"/>
  <c r="I52" i="6" s="1"/>
  <c r="I61" i="6" s="1"/>
  <c r="I64" i="6" s="1"/>
  <c r="I66" i="6" s="1"/>
  <c r="B21" i="1"/>
  <c r="I59" i="3"/>
  <c r="H59" i="3"/>
  <c r="E59" i="3"/>
  <c r="D59" i="3"/>
  <c r="H42" i="3"/>
  <c r="F42" i="3"/>
  <c r="D42" i="3"/>
  <c r="B42" i="3"/>
  <c r="I41" i="3"/>
  <c r="G41" i="3"/>
  <c r="E41" i="3"/>
  <c r="C41" i="3"/>
  <c r="H40" i="3"/>
  <c r="H44" i="3" s="1"/>
  <c r="H51" i="3" s="1"/>
  <c r="F40" i="3"/>
  <c r="F44" i="3" s="1"/>
  <c r="F51" i="3" s="1"/>
  <c r="D40" i="3"/>
  <c r="B40" i="3"/>
  <c r="B44" i="3" s="1"/>
  <c r="B51" i="3" s="1"/>
  <c r="I39" i="3"/>
  <c r="I43" i="3" s="1"/>
  <c r="I50" i="3" s="1"/>
  <c r="G39" i="3"/>
  <c r="G43" i="3" s="1"/>
  <c r="G50" i="3" s="1"/>
  <c r="E39" i="3"/>
  <c r="E43" i="3" s="1"/>
  <c r="E50" i="3" s="1"/>
  <c r="C39" i="3"/>
  <c r="I33" i="3"/>
  <c r="H33" i="3"/>
  <c r="G33" i="3"/>
  <c r="F33" i="3"/>
  <c r="E33" i="3"/>
  <c r="D33" i="3"/>
  <c r="C33" i="3"/>
  <c r="B33" i="3"/>
  <c r="I23" i="3"/>
  <c r="H23" i="3"/>
  <c r="G23" i="3"/>
  <c r="F23" i="3"/>
  <c r="E23" i="3"/>
  <c r="D23" i="3"/>
  <c r="C23" i="3"/>
  <c r="B23" i="3"/>
  <c r="I21" i="3"/>
  <c r="I28" i="3" s="1"/>
  <c r="H21" i="3"/>
  <c r="H28" i="3" s="1"/>
  <c r="H53" i="3" s="1"/>
  <c r="H62" i="3" s="1"/>
  <c r="H65" i="3" s="1"/>
  <c r="H67" i="3" s="1"/>
  <c r="G21" i="3"/>
  <c r="G28" i="3" s="1"/>
  <c r="F21" i="3"/>
  <c r="F28" i="3" s="1"/>
  <c r="E21" i="3"/>
  <c r="E28" i="3" s="1"/>
  <c r="D21" i="3"/>
  <c r="D28" i="3" s="1"/>
  <c r="C21" i="3"/>
  <c r="C28" i="3" s="1"/>
  <c r="B21" i="3"/>
  <c r="B28" i="3" s="1"/>
  <c r="B53" i="3" s="1"/>
  <c r="B62" i="3" s="1"/>
  <c r="B65" i="3" s="1"/>
  <c r="B67" i="3" s="1"/>
  <c r="H10" i="3"/>
  <c r="H13" i="3" s="1"/>
  <c r="F10" i="3"/>
  <c r="F13" i="3" s="1"/>
  <c r="D10" i="3"/>
  <c r="D13" i="3" s="1"/>
  <c r="B10" i="3"/>
  <c r="B13" i="3" s="1"/>
  <c r="I9" i="3"/>
  <c r="G9" i="3"/>
  <c r="E9" i="3"/>
  <c r="C9" i="3"/>
  <c r="C43" i="3" l="1"/>
  <c r="C50" i="3" s="1"/>
  <c r="D44" i="3"/>
  <c r="D51" i="3" s="1"/>
  <c r="C52" i="6"/>
  <c r="C61" i="6" s="1"/>
  <c r="C64" i="6" s="1"/>
  <c r="C66" i="6" s="1"/>
  <c r="F53" i="3"/>
  <c r="F62" i="3" s="1"/>
  <c r="F65" i="3" s="1"/>
  <c r="F67" i="3" s="1"/>
  <c r="D53" i="3"/>
  <c r="D62" i="3" s="1"/>
  <c r="D65" i="3" s="1"/>
  <c r="D67" i="3" s="1"/>
  <c r="B27" i="3"/>
  <c r="F27" i="3"/>
  <c r="C27" i="3"/>
  <c r="C52" i="3" s="1"/>
  <c r="C61" i="3" s="1"/>
  <c r="C64" i="3" s="1"/>
  <c r="C66" i="3" s="1"/>
  <c r="G27" i="3"/>
  <c r="G52" i="3" s="1"/>
  <c r="G61" i="3" s="1"/>
  <c r="G64" i="3" s="1"/>
  <c r="G66" i="3" s="1"/>
  <c r="D27" i="3"/>
  <c r="H27" i="3"/>
  <c r="E27" i="3"/>
  <c r="E52" i="3" s="1"/>
  <c r="E61" i="3" s="1"/>
  <c r="E64" i="3" s="1"/>
  <c r="E66" i="3" s="1"/>
  <c r="I27" i="3"/>
  <c r="I52" i="3" s="1"/>
  <c r="I61" i="3" s="1"/>
  <c r="I64" i="3" s="1"/>
  <c r="I66" i="3" s="1"/>
  <c r="E50" i="2"/>
  <c r="E43" i="2"/>
  <c r="D42" i="2"/>
  <c r="B42" i="2"/>
  <c r="E41" i="2"/>
  <c r="C41" i="2"/>
  <c r="D40" i="2"/>
  <c r="D44" i="2" s="1"/>
  <c r="D51" i="2" s="1"/>
  <c r="B40" i="2"/>
  <c r="E39" i="2"/>
  <c r="C39" i="2"/>
  <c r="E33" i="2"/>
  <c r="D33" i="2"/>
  <c r="C33" i="2"/>
  <c r="B33" i="2"/>
  <c r="E23" i="2"/>
  <c r="D23" i="2"/>
  <c r="C23" i="2"/>
  <c r="B23" i="2"/>
  <c r="E21" i="2"/>
  <c r="E28" i="2" s="1"/>
  <c r="D21" i="2"/>
  <c r="D28" i="2" s="1"/>
  <c r="C21" i="2"/>
  <c r="C28" i="2" s="1"/>
  <c r="B21" i="2"/>
  <c r="B28" i="2" s="1"/>
  <c r="D13" i="2"/>
  <c r="B13" i="2"/>
  <c r="D10" i="2"/>
  <c r="B10" i="2"/>
  <c r="E9" i="2"/>
  <c r="C9" i="2"/>
  <c r="D42" i="1"/>
  <c r="B42" i="1"/>
  <c r="E41" i="1"/>
  <c r="C41" i="1"/>
  <c r="D40" i="1"/>
  <c r="D44" i="1" s="1"/>
  <c r="D51" i="1" s="1"/>
  <c r="B40" i="1"/>
  <c r="B44" i="1" s="1"/>
  <c r="B51" i="1" s="1"/>
  <c r="E39" i="1"/>
  <c r="E43" i="1" s="1"/>
  <c r="E50" i="1" s="1"/>
  <c r="C39" i="1"/>
  <c r="E33" i="1"/>
  <c r="D33" i="1"/>
  <c r="C33" i="1"/>
  <c r="B33" i="1"/>
  <c r="E23" i="1"/>
  <c r="D23" i="1"/>
  <c r="C23" i="1"/>
  <c r="B23" i="1"/>
  <c r="E21" i="1"/>
  <c r="E28" i="1" s="1"/>
  <c r="D21" i="1"/>
  <c r="D28" i="1" s="1"/>
  <c r="D53" i="1" s="1"/>
  <c r="D63" i="1" s="1"/>
  <c r="D66" i="1" s="1"/>
  <c r="D68" i="1" s="1"/>
  <c r="C21" i="1"/>
  <c r="C28" i="1" s="1"/>
  <c r="B28" i="1"/>
  <c r="D10" i="1"/>
  <c r="D13" i="1" s="1"/>
  <c r="B10" i="1"/>
  <c r="B13" i="1" s="1"/>
  <c r="E9" i="1"/>
  <c r="C9" i="1"/>
  <c r="D53" i="2" l="1"/>
  <c r="D62" i="2" s="1"/>
  <c r="D65" i="2" s="1"/>
  <c r="D67" i="2" s="1"/>
  <c r="D27" i="2"/>
  <c r="B44" i="2"/>
  <c r="B51" i="2" s="1"/>
  <c r="B53" i="2" s="1"/>
  <c r="B62" i="2" s="1"/>
  <c r="B65" i="2" s="1"/>
  <c r="B67" i="2" s="1"/>
  <c r="E27" i="2"/>
  <c r="E52" i="2" s="1"/>
  <c r="E61" i="2" s="1"/>
  <c r="E64" i="2" s="1"/>
  <c r="E66" i="2" s="1"/>
  <c r="B27" i="2"/>
  <c r="C43" i="2"/>
  <c r="C50" i="2" s="1"/>
  <c r="C27" i="2"/>
  <c r="B53" i="1"/>
  <c r="B63" i="1" s="1"/>
  <c r="B66" i="1" s="1"/>
  <c r="B68" i="1" s="1"/>
  <c r="C43" i="1"/>
  <c r="C50" i="1" s="1"/>
  <c r="B27" i="1"/>
  <c r="C27" i="1"/>
  <c r="D27" i="1"/>
  <c r="E27" i="1"/>
  <c r="E52" i="1" s="1"/>
  <c r="E62" i="1" s="1"/>
  <c r="E65" i="1" s="1"/>
  <c r="E67" i="1" s="1"/>
  <c r="C52" i="1" l="1"/>
  <c r="C62" i="1" s="1"/>
  <c r="C65" i="1" s="1"/>
  <c r="C67" i="1" s="1"/>
  <c r="C52" i="2"/>
  <c r="C61" i="2" s="1"/>
  <c r="C64" i="2" s="1"/>
  <c r="C66" i="2" s="1"/>
</calcChain>
</file>

<file path=xl/sharedStrings.xml><?xml version="1.0" encoding="utf-8"?>
<sst xmlns="http://schemas.openxmlformats.org/spreadsheetml/2006/main" count="2087" uniqueCount="155">
  <si>
    <t>Item</t>
  </si>
  <si>
    <t>DL</t>
  </si>
  <si>
    <t>UL</t>
  </si>
  <si>
    <t>System configuration</t>
  </si>
  <si>
    <t>Carrier frequency (GHz)</t>
  </si>
  <si>
    <t>BS antenna heights (m)</t>
  </si>
  <si>
    <t>UT antenna heights (m)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</si>
  <si>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</si>
  <si>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</si>
  <si>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</si>
  <si>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</si>
  <si>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Feeder loss (dB)</t>
  </si>
  <si>
    <t>Transmitter</t>
  </si>
  <si>
    <t>(2) Maximal transmit power per antenna (dBm)</t>
  </si>
  <si>
    <t>(4) Transmitter antenna gain (dBi)</t>
  </si>
  <si>
    <t>(5) Transmitter array gain (depends on transmitter array configurations and technologies such as adaptive beam forming, CDD (cyclic delay diversity), etc.) (dB)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</si>
  <si>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</si>
  <si>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</si>
  <si>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</si>
  <si>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(3) + (4) + (5) + (6) – (8) dBm</t>
  </si>
  <si>
    <t>(9b) Data channel EIRP = (3) + (4) + (5) – (7) – (8)  dBm</t>
  </si>
  <si>
    <t>Receiver</t>
  </si>
  <si>
    <t>(11) Receiver antenna gain (dBi)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</si>
  <si>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</si>
  <si>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</si>
  <si>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</si>
  <si>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 (See 3GPP note at bottom of the table (i) )</t>
  </si>
  <si>
    <t xml:space="preserve">(15b) Receiver interference density for data channel (dBm/Hz) </t>
  </si>
  <si>
    <t>(16a) Total noise plus interference density for control channel        = 10 log (10^(((13) + (14))/10) + 10^((15a)/10))  dBm/Hz  (See 3GPP note at bottom of the table (i) )</t>
  </si>
  <si>
    <t>(16b) Total noise plus interference density for data channel        = 10 log (10^(((13) + (14))/10) + 10^((15b)/10))  dBm/Hz  (See 3GPP note at bottom of the table (i) )</t>
  </si>
  <si>
    <t>(17a) Occupied channel bandwidth for control channel (for meeting the requirements of the traffic type) (Hz)</t>
  </si>
  <si>
    <t>(17b) Occupied channel bandwidth for data channel (for meeting the requirements of the traffic type)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</si>
  <si>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</si>
  <si>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</si>
  <si>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</si>
  <si>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</si>
  <si>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</si>
  <si>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</t>
  </si>
  <si>
    <t>(21b) H-ARQ gain for data channel (dB)</t>
  </si>
  <si>
    <t>(22a) Receiver sensitivity for control channel         = (18a) + (19a) + (20) – (21a)  dBm</t>
  </si>
  <si>
    <t>(22b) Receiver sensitivity for data channel          = (18b) + (19b) + (20) – (21b)  dBm</t>
  </si>
  <si>
    <t>(23a) Hardware link budget for control channel          = (9a) + (11) + (11bis) − (22a)   dB</t>
  </si>
  <si>
    <t>(23b) Hardware link budget for data channel           = (9b) + (11) + (11bis) − (22b)  dB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</si>
  <si>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</si>
  <si>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</si>
  <si>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</si>
  <si>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</si>
  <si>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</si>
  <si>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</si>
  <si>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</si>
  <si>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(29b) Available path loss for data channel           = (23b) – (25b) + (26) – (27) + (28) – (12)   dB</t>
  </si>
  <si>
    <t>Range/coverage efficiency calculation</t>
  </si>
  <si>
    <t>(30a) Maximum range for control channel (based on (29a) and according to the system configuration section of the link budget) (m)</t>
  </si>
  <si>
    <t>(30b) Maximum range for data channel (based on (29b) and according to the system configuration section of the link budget) (m)</t>
  </si>
  <si>
    <t>NR PDSCH 
(NLOS)</t>
  </si>
  <si>
    <t>NR PDCCH 
(30 kHz)
(NLOS)</t>
  </si>
  <si>
    <t>NR PUSCH
(NLOS)</t>
  </si>
  <si>
    <t>NR PUCCH
 (NLOS)</t>
  </si>
  <si>
    <t>Cell area reliability(1) for control channel  (%) (Please specify how it is calculated.) (See 3GPP note at bottom of the table (i) )</t>
  </si>
  <si>
    <t>-</t>
  </si>
  <si>
    <t>Cell area reliability(1) for data channel (%) (Please specify how it is calculated.) (See 3GPP note at bottom of the table (i) )</t>
  </si>
  <si>
    <t>Spectral efficiency(2) (bit/s/Hz)</t>
  </si>
  <si>
    <t>Pathloss model(3) (select from LoS or NLoS)</t>
  </si>
  <si>
    <t>NLOS</t>
  </si>
  <si>
    <t>UE speed (km/h)</t>
  </si>
  <si>
    <t>(1) Number of transmit antennas. (The number shall be within the indicated range in  § 8.4 of Report ITU-R M.2412-0)</t>
  </si>
  <si>
    <t>(1bis) Number of transmit antenna ports</t>
  </si>
  <si>
    <t>(3) Total transmit power = function of (1) and (2) (dBm) (The value shall not exceed the indicated value in § 8.4 of Report ITU-R M.2412-0)</t>
  </si>
  <si>
    <t>(10) Number of receive antennas (The number shall be within the indicated range in § 8.4 of Report ITU-R M.2412-0)</t>
  </si>
  <si>
    <t>(10bis) Number of receive antenna ports</t>
  </si>
  <si>
    <t>(11bis) Receiver array gain (depends on receive array configurations and technologies such as adaptive beam forming, etc.) (dB)</t>
  </si>
  <si>
    <t>Penetration Loss std deviation (dB)(ii)</t>
  </si>
  <si>
    <t>(29a) Available path loss for control channel          = (23a) – (25a) + (26) – (27) + (28) – (12)   dB</t>
  </si>
  <si>
    <t>(31a) Coverage Area for control channel = (π (30a)2) (m2/site)</t>
  </si>
  <si>
    <t>(31b) Coverage Area for data channel = (π (30b)2) (m2/site)</t>
  </si>
  <si>
    <t>NR PDSCH (NLOS)</t>
  </si>
  <si>
    <t>NR PDCCH (NLOS)</t>
  </si>
  <si>
    <t>NR PUSCH (NLOS)</t>
  </si>
  <si>
    <t>NR PUCCH (NLOS)</t>
  </si>
  <si>
    <t>(1bis) Number of  transmit antenna ports</t>
  </si>
  <si>
    <t>NR PDCCH 
(NLOS)</t>
  </si>
  <si>
    <t>NR PDSCH
(NLOS O-to-I)</t>
  </si>
  <si>
    <t>NR PDCCH 
(NLOS O-to-I)</t>
  </si>
  <si>
    <t>NR PUSCH 
(NLOS)</t>
  </si>
  <si>
    <t>NR PUCCH 
 (NLOS)</t>
  </si>
  <si>
    <t>NR PUSCH 
(NLOS O-to-I)</t>
  </si>
  <si>
    <t>NR PUCCH 
 (NLOS O-to-I)</t>
  </si>
  <si>
    <t>NLOS O-to-I</t>
  </si>
  <si>
    <t xml:space="preserve">NR PDCCH (NLOS) </t>
  </si>
  <si>
    <t>NR PDSCH (NLOS O-to-I)</t>
  </si>
  <si>
    <t xml:space="preserve">NR PDCCH (NLOS O-to-I) </t>
  </si>
  <si>
    <t>NR PUSCH (NLOS O-to-I)</t>
  </si>
  <si>
    <t>NR PUCCH (NLOS O-to-I)</t>
  </si>
  <si>
    <t>(1bis) Number of antenna ports</t>
  </si>
  <si>
    <t>NR PDSCH
 (NLOS)</t>
  </si>
  <si>
    <t>NR PDSCH
 (NLOS O-to-I)</t>
  </si>
  <si>
    <t>NR PDCCH  (NLOS O-to-I)</t>
  </si>
  <si>
    <t>NR PUSCH
 (NLOS)</t>
  </si>
  <si>
    <t>NR PUCCH
(NLOS)</t>
  </si>
  <si>
    <t>NR PUSCH
 (NLOS O-to-I)</t>
  </si>
  <si>
    <t>NR PUCCH
 (NLOS O-to-I)</t>
  </si>
  <si>
    <t xml:space="preserve">NR PDCCH
(NLOS) </t>
  </si>
  <si>
    <t>NR PDSCH 
(NLOS O-to-I)</t>
  </si>
  <si>
    <t xml:space="preserve">NR PDCCH
 (NLOS O-to-I) </t>
  </si>
  <si>
    <t>LTE PDSCH
 (NLOS)</t>
  </si>
  <si>
    <t>LTE PDCCH (NLOS)</t>
  </si>
  <si>
    <t>LTE PDSCH
 (NLOS O-to-I)</t>
  </si>
  <si>
    <t>LTE PDCCH  (NLOS O-to-I)</t>
  </si>
  <si>
    <t>LTE PUSCH
 (NLOS)</t>
  </si>
  <si>
    <t>LTE PUCCH
(NLOS)</t>
  </si>
  <si>
    <t>LTE PUSCH
 (NLOS O-to-I)</t>
  </si>
  <si>
    <t>LTE PUCCH
 (NLOS O-to-I)</t>
  </si>
  <si>
    <t>NR PDCCH (NLOS O-to-I)</t>
  </si>
  <si>
    <t>(10bis) Number of  receive antenna ports</t>
  </si>
  <si>
    <t>NPDSCH
(LOS)</t>
    <phoneticPr fontId="1" type="noConversion"/>
  </si>
  <si>
    <t>NPDCCH (LOS)</t>
    <phoneticPr fontId="1" type="noConversion"/>
  </si>
  <si>
    <t>NPDSCH (NLOS)</t>
    <phoneticPr fontId="1" type="noConversion"/>
  </si>
  <si>
    <t>NPDCCH (NLOS)</t>
    <phoneticPr fontId="1" type="noConversion"/>
  </si>
  <si>
    <t>NPDSCH (NLOS O-to-I)</t>
    <phoneticPr fontId="1" type="noConversion"/>
  </si>
  <si>
    <t>NPUSCH format 1 (LOS)</t>
    <phoneticPr fontId="1" type="noConversion"/>
  </si>
  <si>
    <t>PUSCH format2  (LOS)</t>
    <phoneticPr fontId="1" type="noConversion"/>
  </si>
  <si>
    <t>NPUSCH format 1 (NLOS)</t>
    <phoneticPr fontId="1" type="noConversion"/>
  </si>
  <si>
    <t>PUSCH format2  (NLOS)</t>
    <phoneticPr fontId="1" type="noConversion"/>
  </si>
  <si>
    <t>NPUSCH format 1 (NLOS O-to-I)</t>
    <phoneticPr fontId="1" type="noConversion"/>
  </si>
  <si>
    <t>PUSCH format2 (NLOS O-to-I)</t>
    <phoneticPr fontId="1" type="noConversion"/>
  </si>
  <si>
    <t>NPDCCH (NLOS O-to-I)</t>
  </si>
  <si>
    <t>LOS</t>
  </si>
  <si>
    <t>s</t>
  </si>
  <si>
    <r>
      <t>Cell area reliability</t>
    </r>
    <r>
      <rPr>
        <vertAlign val="superscript"/>
        <sz val="10"/>
        <rFont val="Times New Roman"/>
        <family val="1"/>
      </rPr>
      <t>(1)</t>
    </r>
    <r>
      <rPr>
        <sz val="11"/>
        <rFont val="Times New Roman"/>
        <family val="1"/>
      </rPr>
      <t xml:space="preserve"> for control channel  (%) (Please specify how it is calculated.) (See 3GPP note at bottom of the table (i) )</t>
    </r>
  </si>
  <si>
    <r>
      <t>Cell area reliability</t>
    </r>
    <r>
      <rPr>
        <vertAlign val="superscript"/>
        <sz val="10"/>
        <rFont val="Times New Roman"/>
        <family val="1"/>
      </rPr>
      <t>(1)</t>
    </r>
    <r>
      <rPr>
        <sz val="11"/>
        <rFont val="Times New Roman"/>
        <family val="1"/>
      </rPr>
      <t xml:space="preserve"> for data channel (%) (Please specify how it is calculated.) (See 3GPP note at bottom of the table (i) )</t>
    </r>
  </si>
  <si>
    <t>Transmission bit rate for control channel (bit/s)</t>
    <phoneticPr fontId="1" type="noConversion"/>
  </si>
  <si>
    <t>Transmission bit rate for data channel (bit/s)</t>
    <phoneticPr fontId="1" type="noConversion"/>
  </si>
  <si>
    <t>Target packet error rate for the required SNR in item (19b) for data channel</t>
    <phoneticPr fontId="1" type="noConversion"/>
  </si>
  <si>
    <r>
      <t>Spectral efficiency</t>
    </r>
    <r>
      <rPr>
        <vertAlign val="superscript"/>
        <sz val="10"/>
        <rFont val="Times New Roman"/>
        <family val="1"/>
      </rPr>
      <t>(2)</t>
    </r>
    <r>
      <rPr>
        <sz val="11"/>
        <rFont val="Times New Roman"/>
        <family val="1"/>
      </rPr>
      <t xml:space="preserve"> (bit/s/Hz)</t>
    </r>
  </si>
  <si>
    <r>
      <t>Pathloss model</t>
    </r>
    <r>
      <rPr>
        <vertAlign val="superscript"/>
        <sz val="10"/>
        <rFont val="Times New Roman"/>
        <family val="1"/>
      </rPr>
      <t>(3)</t>
    </r>
    <r>
      <rPr>
        <sz val="11"/>
        <rFont val="Times New Roman"/>
        <family val="1"/>
      </rPr>
      <t xml:space="preserve"> (select from LoS or NLoS)</t>
    </r>
  </si>
  <si>
    <t>UE speed (km/h)</t>
    <phoneticPr fontId="1" type="noConversion"/>
  </si>
  <si>
    <r>
      <t xml:space="preserve">(1) Number of transmit antennas. (The number shall be within the indicated range in  § 8.4 of Report ITU-R M.2412-0) </t>
    </r>
    <r>
      <rPr>
        <sz val="11"/>
        <color rgb="FFFF0000"/>
        <rFont val="Times New Roman"/>
        <family val="1"/>
      </rPr>
      <t>NOTE1</t>
    </r>
  </si>
  <si>
    <t>(1bis) Number of transmit antenna ports</t>
    <phoneticPr fontId="1" type="noConversion"/>
  </si>
  <si>
    <r>
      <t xml:space="preserve">(3) Total transmit power = function of (1) and (2) (dBm) (The value shall not exceed the indicated value in § 8.4 of Report ITU-R M.2412-0) </t>
    </r>
    <r>
      <rPr>
        <sz val="11"/>
        <color rgb="FFFF0000"/>
        <rFont val="Times New Roman"/>
        <family val="1"/>
      </rPr>
      <t>NOTE2</t>
    </r>
  </si>
  <si>
    <t>(4) Transmitter antenna gain (dBi)</t>
    <phoneticPr fontId="1" type="noConversion"/>
  </si>
  <si>
    <t>(9b) Data channel EIRP = (3) + (4) + (5) – (7) – (8)  dBm</t>
    <phoneticPr fontId="1" type="noConversion"/>
  </si>
  <si>
    <t>(10) Number of receive antennas (The number shall be within the indicated range in § 8.4 of Report ITU-R M.2412-0)</t>
    <phoneticPr fontId="1" type="noConversion"/>
  </si>
  <si>
    <t>(10bis) Number of receive antenna ports</t>
    <phoneticPr fontId="1" type="noConversion"/>
  </si>
  <si>
    <t>(11bis) Receiver array gain (depends on receive array configurations and technologies such as adaptive beam forming, etc.) (dB)</t>
    <phoneticPr fontId="1" type="noConversion"/>
  </si>
  <si>
    <t>(15a) Receiver interference density for control channel (dBm/Hz) (See 3GPP note at bottom of the table (i) )</t>
    <phoneticPr fontId="1" type="noConversion"/>
  </si>
  <si>
    <t xml:space="preserve">(15b) Receiver interference density for data channel (dBm/Hz) </t>
    <phoneticPr fontId="1" type="noConversion"/>
  </si>
  <si>
    <t>(16b) Total noise plus interference density for data channel        = 10 log (10^(((13) + (14))/10) + 10^((15b)/10))  dBm/Hz  (See 3GPP note at bottom of the table (i) )</t>
    <phoneticPr fontId="1" type="noConversion"/>
  </si>
  <si>
    <t>(18b) Effective noise power for data channel = (16b) + 10 log((17b)) dBm</t>
    <phoneticPr fontId="1" type="noConversion"/>
  </si>
  <si>
    <t xml:space="preserve">(19b) Required SNR for the data channel (dB) </t>
    <phoneticPr fontId="1" type="noConversion"/>
  </si>
  <si>
    <t>(22b) Receiver sensitivity for data channel          = (18b) + (19b) + (20) – (21b)  dBm</t>
    <phoneticPr fontId="1" type="noConversion"/>
  </si>
  <si>
    <t>(29a) Available path loss for control channel          = (23a) – (25a) + (26) – (27) + (28) – (12)   dB</t>
    <phoneticPr fontId="1" type="noConversion"/>
  </si>
  <si>
    <r>
      <t>(31a) Coverage Area for control channel = (π (30a)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 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/site)</t>
    </r>
  </si>
  <si>
    <r>
      <t>(31b) Coverage Area for data channel = (π (30b)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 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/site)</t>
    </r>
  </si>
  <si>
    <t>NOTE1: The term "antenna" is understood as antenna elements.</t>
    <phoneticPr fontId="1" type="noConversion"/>
  </si>
  <si>
    <t>NOTE2: In-band mode is assumed for NB-IoT, which results in 35dBm transmission power.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</si>
</sst>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[Red]0.00"/>
    <numFmt numFmtId="165" formatCode="0.000%"/>
    <numFmt numFmtId="166" formatCode="0.000"/>
    <numFmt numFmtId="167" formatCode="0.00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vertAlign val="superscript"/>
      <sz val="10"/>
      <name val="Times New Roman"/>
      <family val="1"/>
    </font>
    <font>
      <sz val="11"/>
      <color rgb="FFFF0000"/>
      <name val="Times New Roman"/>
      <family val="1"/>
    </font>
    <font>
      <vertAlign val="superscript"/>
      <sz val="11"/>
      <name val="Times New Roman"/>
      <family val="1"/>
    </font>
    <font>
      <sz val="1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wrapText="1"/>
    </xf>
    <xf numFmtId="0" fontId="1" fillId="5" borderId="0" xfId="0" applyFont="1" applyFill="1" applyAlignment="1">
      <alignment wrapText="1"/>
    </xf>
    <xf numFmtId="0" fontId="1" fillId="5" borderId="0" xfId="0" applyFont="1" applyFill="1"/>
    <xf numFmtId="0" fontId="1" fillId="5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5" borderId="1" xfId="0" applyFont="1" applyFill="1" applyBorder="1"/>
    <xf numFmtId="0" fontId="0" fillId="6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4" borderId="0" xfId="0" applyFont="1" applyFill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wrapText="1"/>
    </xf>
    <xf numFmtId="0" fontId="1" fillId="5" borderId="1" xfId="0" applyFont="1" applyFill="1" applyBorder="1" applyAlignment="1">
      <alignment horizontal="left"/>
    </xf>
    <xf numFmtId="2" fontId="0" fillId="6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49" fontId="1" fillId="9" borderId="0" xfId="0" applyNumberFormat="1" applyFont="1" applyFill="1" applyAlignment="1">
      <alignment horizontal="center" wrapText="1"/>
    </xf>
    <xf numFmtId="49" fontId="1" fillId="9" borderId="0" xfId="0" applyNumberFormat="1" applyFont="1" applyFill="1" applyAlignment="1">
      <alignment wrapText="1"/>
    </xf>
    <xf numFmtId="49" fontId="1" fillId="9" borderId="5" xfId="0" applyNumberFormat="1" applyFont="1" applyFill="1" applyBorder="1" applyAlignment="1">
      <alignment horizontal="center" wrapText="1"/>
    </xf>
    <xf numFmtId="49" fontId="1" fillId="9" borderId="7" xfId="0" applyNumberFormat="1" applyFont="1" applyFill="1" applyBorder="1" applyAlignment="1">
      <alignment horizontal="center" wrapText="1"/>
    </xf>
    <xf numFmtId="49" fontId="1" fillId="9" borderId="1" xfId="0" applyNumberFormat="1" applyFont="1" applyFill="1" applyBorder="1" applyAlignment="1">
      <alignment horizontal="center" wrapText="1"/>
    </xf>
    <xf numFmtId="164" fontId="0" fillId="9" borderId="5" xfId="0" applyNumberFormat="1" applyFill="1" applyBorder="1"/>
    <xf numFmtId="49" fontId="0" fillId="0" borderId="1" xfId="0" applyNumberFormat="1" applyBorder="1" applyAlignment="1">
      <alignment wrapText="1"/>
    </xf>
    <xf numFmtId="49" fontId="1" fillId="9" borderId="1" xfId="0" applyNumberFormat="1" applyFon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0" fontId="1" fillId="10" borderId="0" xfId="0" applyFont="1" applyFill="1"/>
    <xf numFmtId="49" fontId="0" fillId="8" borderId="1" xfId="0" applyNumberFormat="1" applyFill="1" applyBorder="1" applyAlignment="1">
      <alignment wrapText="1"/>
    </xf>
    <xf numFmtId="49" fontId="0" fillId="7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49" fontId="1" fillId="9" borderId="1" xfId="0" applyNumberFormat="1" applyFont="1" applyFill="1" applyBorder="1" applyAlignment="1">
      <alignment horizontal="center" wrapText="1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/>
    <xf numFmtId="2" fontId="2" fillId="0" borderId="1" xfId="0" applyNumberFormat="1" applyFont="1" applyBorder="1" applyAlignment="1">
      <alignment horizontal="center"/>
    </xf>
    <xf numFmtId="2" fontId="3" fillId="9" borderId="1" xfId="0" applyNumberFormat="1" applyFont="1" applyFill="1" applyBorder="1" applyAlignment="1">
      <alignment horizontal="center"/>
    </xf>
    <xf numFmtId="2" fontId="2" fillId="8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2" fontId="1" fillId="9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4" fillId="11" borderId="1" xfId="0" applyFont="1" applyFill="1" applyBorder="1" applyAlignment="1">
      <alignment horizontal="justify" vertical="center"/>
    </xf>
    <xf numFmtId="0" fontId="0" fillId="4" borderId="1" xfId="0" applyFill="1" applyBorder="1"/>
    <xf numFmtId="2" fontId="0" fillId="0" borderId="1" xfId="0" applyNumberFormat="1" applyBorder="1"/>
    <xf numFmtId="2" fontId="1" fillId="4" borderId="1" xfId="0" applyNumberFormat="1" applyFont="1" applyFill="1" applyBorder="1"/>
    <xf numFmtId="2" fontId="0" fillId="8" borderId="1" xfId="0" applyNumberFormat="1" applyFill="1" applyBorder="1"/>
    <xf numFmtId="2" fontId="0" fillId="12" borderId="1" xfId="0" applyNumberFormat="1" applyFill="1" applyBorder="1"/>
    <xf numFmtId="2" fontId="0" fillId="7" borderId="1" xfId="0" applyNumberFormat="1" applyFill="1" applyBorder="1"/>
    <xf numFmtId="2" fontId="0" fillId="2" borderId="1" xfId="0" applyNumberFormat="1" applyFill="1" applyBorder="1"/>
    <xf numFmtId="10" fontId="0" fillId="0" borderId="1" xfId="0" applyNumberFormat="1" applyBorder="1"/>
    <xf numFmtId="167" fontId="4" fillId="11" borderId="8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5" fillId="13" borderId="1" xfId="0" applyFont="1" applyFill="1" applyBorder="1" applyAlignment="1">
      <alignment horizontal="justify" vertical="center" wrapText="1"/>
    </xf>
    <xf numFmtId="0" fontId="4" fillId="11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12" borderId="1" xfId="0" applyFont="1" applyFill="1" applyBorder="1" applyAlignment="1">
      <alignment horizontal="justify" vertical="center"/>
    </xf>
    <xf numFmtId="0" fontId="4" fillId="7" borderId="1" xfId="0" applyFont="1" applyFill="1" applyBorder="1" applyAlignment="1">
      <alignment horizontal="justify" vertical="center" wrapText="1"/>
    </xf>
    <xf numFmtId="0" fontId="5" fillId="12" borderId="1" xfId="0" applyFont="1" applyFill="1" applyBorder="1" applyAlignment="1">
      <alignment horizontal="justify" vertical="center" wrapText="1"/>
    </xf>
    <xf numFmtId="0" fontId="5" fillId="8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2" fontId="1" fillId="0" borderId="1" xfId="0" applyNumberFormat="1" applyFont="1" applyFill="1" applyBorder="1"/>
    <xf numFmtId="0" fontId="0" fillId="0" borderId="0" xfId="0" applyFill="1"/>
    <xf numFmtId="2" fontId="0" fillId="4" borderId="1" xfId="0" applyNumberFormat="1" applyFill="1" applyBorder="1"/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9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1" fillId="9" borderId="1" xfId="0" applyNumberFormat="1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ualcomm-my.sharepoint.com/Users/comsavx/Desktop/Evaluation%20Link%20Budget%20-%20ATIS/Link%20budget%20template%20-%20Channel%20Model%20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_5G&#38656;&#27714;&#21644;&#35780;&#20272;\03.%20&#26631;&#20934;&#20250;&#35758;\03.%203GPP%20RAN\RAN&#20840;&#20250;\2018.09%20%2381\HW%20contribution\TP\Final\Thursday\RP-181764%20Att.%201%20-%20link%20budget%20template%20-%20Channel%20Model%20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_5G&#38656;&#27714;&#21644;&#35780;&#20272;\03.%20&#26631;&#20934;&#20250;&#35758;\03.%203GPP%20RAN\RAN&#20840;&#20250;\2018.09%20%2381\HW%20contribution\TP\Final\Thursday\RP-182003%20-%20IMT-2020%20self%20evaluation%20-%20mMTC%20lin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note"/>
      <sheetName val="InH-eMBB (4GHz, NR DDDSU)"/>
      <sheetName val="InH-eMBB (4GHz, NR DSUUD)"/>
      <sheetName val="DU-eMBB (4GHz, NR DDDSU)"/>
      <sheetName val="DU-eMBB (4GHz, NR DSUUD)"/>
      <sheetName val="Rural-eMBB (700MHz, NR FDD)"/>
      <sheetName val="Rural-eMBB (700 MHz, NR DSUUD)"/>
      <sheetName val="Rural-eMBB (700MHz, LTE FDD)"/>
      <sheetName val="UMa-mMTC (NB-IoT)"/>
      <sheetName val="UMa-mMTC (eMTC)"/>
      <sheetName val="UMa-URLLC (700MHz NR)"/>
      <sheetName val="MaxN_R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>
            <v>52</v>
          </cell>
        </row>
        <row r="7">
          <cell r="F7">
            <v>51</v>
          </cell>
        </row>
        <row r="23">
          <cell r="D23">
            <v>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-eMBB (4GHz, DSUUD)"/>
      <sheetName val="DenseUrban-eMBB (4GHz, DSUUD)"/>
      <sheetName val="Rural-eMBB(700MHz, DSUUD)"/>
      <sheetName val="NR MaxN_RB"/>
    </sheetNames>
    <sheetDataSet>
      <sheetData sheetId="0" refreshError="1"/>
      <sheetData sheetId="1" refreshError="1"/>
      <sheetData sheetId="2" refreshError="1"/>
      <sheetData sheetId="3" refreshError="1">
        <row r="6">
          <cell r="F6">
            <v>106</v>
          </cell>
        </row>
        <row r="7">
          <cell r="F7">
            <v>51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E-M LL"/>
      <sheetName val="NB-IoT LL"/>
      <sheetName val="IMT-2020 mMTC"/>
    </sheetNames>
    <sheetDataSet>
      <sheetData sheetId="0" refreshError="1"/>
      <sheetData sheetId="1" refreshError="1">
        <row r="7">
          <cell r="D7">
            <v>15000</v>
          </cell>
        </row>
        <row r="15">
          <cell r="B15">
            <v>-16.899999999999999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zoomScale="84" zoomScaleNormal="84" workbookViewId="0">
      <selection activeCell="A4" sqref="A4"/>
    </sheetView>
  </sheetViews>
  <sheetFormatPr defaultRowHeight="14.4" x14ac:dyDescent="0.55000000000000004"/>
  <cols>
    <col min="1" max="1" width="70" style="1" customWidth="1"/>
    <col min="2" max="2" width="13.83984375" customWidth="1"/>
    <col min="3" max="3" width="14" customWidth="1"/>
    <col min="4" max="4" width="10.41796875" customWidth="1"/>
    <col min="5" max="5" width="13.26171875" customWidth="1"/>
  </cols>
  <sheetData>
    <row r="1" spans="1:5" x14ac:dyDescent="0.55000000000000004">
      <c r="A1" s="4" t="s">
        <v>0</v>
      </c>
      <c r="B1" s="103" t="s">
        <v>1</v>
      </c>
      <c r="C1" s="103"/>
      <c r="D1" s="103" t="s">
        <v>2</v>
      </c>
      <c r="E1" s="103"/>
    </row>
    <row r="2" spans="1:5" ht="43.2" x14ac:dyDescent="0.55000000000000004">
      <c r="A2" s="4"/>
      <c r="B2" s="4" t="s">
        <v>54</v>
      </c>
      <c r="C2" s="4" t="s">
        <v>55</v>
      </c>
      <c r="D2" s="4" t="s">
        <v>56</v>
      </c>
      <c r="E2" s="4" t="s">
        <v>57</v>
      </c>
    </row>
    <row r="3" spans="1:5" x14ac:dyDescent="0.55000000000000004">
      <c r="A3" s="2" t="s">
        <v>3</v>
      </c>
      <c r="B3" s="3"/>
      <c r="C3" s="3"/>
      <c r="D3" s="3"/>
      <c r="E3" s="3"/>
    </row>
    <row r="4" spans="1:5" x14ac:dyDescent="0.55000000000000004">
      <c r="A4" s="5" t="s">
        <v>4</v>
      </c>
      <c r="B4" s="10">
        <v>4</v>
      </c>
      <c r="C4" s="10">
        <v>4</v>
      </c>
      <c r="D4" s="10">
        <v>4</v>
      </c>
      <c r="E4" s="10">
        <v>4</v>
      </c>
    </row>
    <row r="5" spans="1:5" x14ac:dyDescent="0.55000000000000004">
      <c r="A5" s="5" t="s">
        <v>5</v>
      </c>
      <c r="B5" s="10">
        <v>3</v>
      </c>
      <c r="C5" s="10">
        <v>3</v>
      </c>
      <c r="D5" s="10">
        <v>3</v>
      </c>
      <c r="E5" s="10">
        <v>3</v>
      </c>
    </row>
    <row r="6" spans="1:5" x14ac:dyDescent="0.55000000000000004">
      <c r="A6" s="5" t="s">
        <v>6</v>
      </c>
      <c r="B6" s="10">
        <v>1.5</v>
      </c>
      <c r="C6" s="10">
        <v>1.5</v>
      </c>
      <c r="D6" s="10">
        <v>1.5</v>
      </c>
      <c r="E6" s="10">
        <v>1.5</v>
      </c>
    </row>
    <row r="7" spans="1:5" ht="28.8" x14ac:dyDescent="0.55000000000000004">
      <c r="A7" s="5" t="s">
        <v>58</v>
      </c>
      <c r="B7" s="10" t="s">
        <v>59</v>
      </c>
      <c r="C7" s="11">
        <v>0.95</v>
      </c>
      <c r="D7" s="10" t="s">
        <v>59</v>
      </c>
      <c r="E7" s="11">
        <v>0.95</v>
      </c>
    </row>
    <row r="8" spans="1:5" ht="28.8" x14ac:dyDescent="0.55000000000000004">
      <c r="A8" s="5" t="s">
        <v>60</v>
      </c>
      <c r="B8" s="11">
        <v>0.9</v>
      </c>
      <c r="C8" s="10" t="s">
        <v>59</v>
      </c>
      <c r="D8" s="11">
        <v>0.9</v>
      </c>
      <c r="E8" s="10" t="s">
        <v>59</v>
      </c>
    </row>
    <row r="9" spans="1:5" x14ac:dyDescent="0.55000000000000004">
      <c r="A9" s="5" t="s">
        <v>7</v>
      </c>
      <c r="B9" s="10" t="s">
        <v>59</v>
      </c>
      <c r="C9" s="10">
        <f>64/(0.5*0.001)</f>
        <v>128000</v>
      </c>
      <c r="D9" s="10" t="s">
        <v>59</v>
      </c>
      <c r="E9" s="10">
        <f>2/(0.5*0.001)</f>
        <v>4000</v>
      </c>
    </row>
    <row r="10" spans="1:5" x14ac:dyDescent="0.55000000000000004">
      <c r="A10" s="5" t="s">
        <v>8</v>
      </c>
      <c r="B10" s="10">
        <f>4650676*3</f>
        <v>13952028</v>
      </c>
      <c r="C10" s="10" t="s">
        <v>59</v>
      </c>
      <c r="D10" s="10">
        <f>371520*3</f>
        <v>1114560</v>
      </c>
      <c r="E10" s="10" t="s">
        <v>59</v>
      </c>
    </row>
    <row r="11" spans="1:5" x14ac:dyDescent="0.55000000000000004">
      <c r="A11" s="5" t="s">
        <v>9</v>
      </c>
      <c r="B11" s="10" t="s">
        <v>59</v>
      </c>
      <c r="C11" s="11">
        <v>0.01</v>
      </c>
      <c r="D11" s="10" t="s">
        <v>59</v>
      </c>
      <c r="E11" s="11">
        <v>0.01</v>
      </c>
    </row>
    <row r="12" spans="1:5" ht="30" customHeight="1" x14ac:dyDescent="0.55000000000000004">
      <c r="A12" s="5" t="s">
        <v>10</v>
      </c>
      <c r="B12" s="11">
        <v>0.1</v>
      </c>
      <c r="C12" s="10" t="s">
        <v>59</v>
      </c>
      <c r="D12" s="11">
        <v>0.1</v>
      </c>
      <c r="E12" s="10" t="s">
        <v>59</v>
      </c>
    </row>
    <row r="13" spans="1:5" x14ac:dyDescent="0.55000000000000004">
      <c r="A13" s="5" t="s">
        <v>61</v>
      </c>
      <c r="B13" s="31">
        <f>B10/(B42*(3+11/14)/5)</f>
        <v>1.0036605006782588</v>
      </c>
      <c r="C13" s="31" t="s">
        <v>59</v>
      </c>
      <c r="D13" s="31">
        <f>D10/(D42*(1+3/14)/5)</f>
        <v>1.5935294117647061</v>
      </c>
      <c r="E13" s="31" t="s">
        <v>59</v>
      </c>
    </row>
    <row r="14" spans="1:5" x14ac:dyDescent="0.55000000000000004">
      <c r="A14" s="5" t="s">
        <v>62</v>
      </c>
      <c r="B14" s="10" t="s">
        <v>63</v>
      </c>
      <c r="C14" s="10" t="s">
        <v>63</v>
      </c>
      <c r="D14" s="10" t="s">
        <v>63</v>
      </c>
      <c r="E14" s="10" t="s">
        <v>63</v>
      </c>
    </row>
    <row r="15" spans="1:5" x14ac:dyDescent="0.55000000000000004">
      <c r="A15" s="5" t="s">
        <v>64</v>
      </c>
      <c r="B15" s="10">
        <v>3</v>
      </c>
      <c r="C15" s="10">
        <v>3</v>
      </c>
      <c r="D15" s="10">
        <v>3</v>
      </c>
      <c r="E15" s="10">
        <v>3</v>
      </c>
    </row>
    <row r="16" spans="1:5" x14ac:dyDescent="0.55000000000000004">
      <c r="A16" s="5" t="s">
        <v>11</v>
      </c>
      <c r="B16" s="10">
        <v>3</v>
      </c>
      <c r="C16" s="10">
        <v>3</v>
      </c>
      <c r="D16" s="10">
        <v>3</v>
      </c>
      <c r="E16" s="10">
        <v>3</v>
      </c>
    </row>
    <row r="17" spans="1:5" x14ac:dyDescent="0.55000000000000004">
      <c r="A17" s="4" t="s">
        <v>12</v>
      </c>
      <c r="B17" s="12"/>
      <c r="C17" s="12"/>
      <c r="D17" s="12"/>
      <c r="E17" s="12"/>
    </row>
    <row r="18" spans="1:5" ht="28.8" x14ac:dyDescent="0.55000000000000004">
      <c r="A18" s="5" t="s">
        <v>65</v>
      </c>
      <c r="B18" s="10">
        <v>32</v>
      </c>
      <c r="C18" s="10">
        <v>32</v>
      </c>
      <c r="D18" s="10">
        <v>2</v>
      </c>
      <c r="E18" s="10">
        <v>2</v>
      </c>
    </row>
    <row r="19" spans="1:5" x14ac:dyDescent="0.55000000000000004">
      <c r="A19" s="5" t="s">
        <v>66</v>
      </c>
      <c r="B19" s="10">
        <v>2</v>
      </c>
      <c r="C19" s="10">
        <v>2</v>
      </c>
      <c r="D19" s="10">
        <v>2</v>
      </c>
      <c r="E19" s="10">
        <v>2</v>
      </c>
    </row>
    <row r="20" spans="1:5" x14ac:dyDescent="0.55000000000000004">
      <c r="A20" s="5" t="s">
        <v>13</v>
      </c>
      <c r="B20" s="10">
        <v>9</v>
      </c>
      <c r="C20" s="10">
        <v>9</v>
      </c>
      <c r="D20" s="10">
        <v>20</v>
      </c>
      <c r="E20" s="10">
        <v>20</v>
      </c>
    </row>
    <row r="21" spans="1:5" ht="28.8" x14ac:dyDescent="0.55000000000000004">
      <c r="A21" s="7" t="s">
        <v>67</v>
      </c>
      <c r="B21" s="28">
        <f>B20+10*LOG10(B18)</f>
        <v>24.051499783199063</v>
      </c>
      <c r="C21" s="28">
        <f t="shared" ref="C21:E21" si="0">C20+10*LOG10(C18)</f>
        <v>24.051499783199063</v>
      </c>
      <c r="D21" s="28">
        <f t="shared" si="0"/>
        <v>23.010299956639813</v>
      </c>
      <c r="E21" s="28">
        <f t="shared" si="0"/>
        <v>23.010299956639813</v>
      </c>
    </row>
    <row r="22" spans="1:5" x14ac:dyDescent="0.55000000000000004">
      <c r="A22" s="5" t="s">
        <v>14</v>
      </c>
      <c r="B22" s="10">
        <v>5</v>
      </c>
      <c r="C22" s="10">
        <v>5</v>
      </c>
      <c r="D22" s="10">
        <v>0</v>
      </c>
      <c r="E22" s="10">
        <v>0</v>
      </c>
    </row>
    <row r="23" spans="1:5" ht="28.8" x14ac:dyDescent="0.55000000000000004">
      <c r="A23" s="7" t="s">
        <v>15</v>
      </c>
      <c r="B23" s="28">
        <f t="shared" ref="B23:E23" si="1">IF(B18&gt;=2, 10*LOG10(B18/2), 0)</f>
        <v>12.041199826559248</v>
      </c>
      <c r="C23" s="28">
        <f t="shared" si="1"/>
        <v>12.041199826559248</v>
      </c>
      <c r="D23" s="28">
        <f t="shared" si="1"/>
        <v>0</v>
      </c>
      <c r="E23" s="28">
        <f t="shared" si="1"/>
        <v>0</v>
      </c>
    </row>
    <row r="24" spans="1:5" x14ac:dyDescent="0.55000000000000004">
      <c r="A24" s="5" t="s">
        <v>16</v>
      </c>
      <c r="B24" s="10">
        <v>0</v>
      </c>
      <c r="C24" s="10">
        <v>0</v>
      </c>
      <c r="D24" s="10">
        <v>0</v>
      </c>
      <c r="E24" s="10">
        <v>0</v>
      </c>
    </row>
    <row r="25" spans="1:5" x14ac:dyDescent="0.55000000000000004">
      <c r="A25" s="5" t="s">
        <v>17</v>
      </c>
      <c r="B25" s="10">
        <v>0</v>
      </c>
      <c r="C25" s="10">
        <v>0</v>
      </c>
      <c r="D25" s="10">
        <v>0</v>
      </c>
      <c r="E25" s="10">
        <v>0</v>
      </c>
    </row>
    <row r="26" spans="1:5" ht="28.8" x14ac:dyDescent="0.55000000000000004">
      <c r="A26" s="5" t="s">
        <v>18</v>
      </c>
      <c r="B26" s="10">
        <v>3</v>
      </c>
      <c r="C26" s="10">
        <v>3</v>
      </c>
      <c r="D26" s="10">
        <v>1</v>
      </c>
      <c r="E26" s="10">
        <v>1</v>
      </c>
    </row>
    <row r="27" spans="1:5" x14ac:dyDescent="0.55000000000000004">
      <c r="A27" s="8" t="s">
        <v>19</v>
      </c>
      <c r="B27" s="29">
        <f t="shared" ref="B27:E27" si="2">B21+B22+B23+B24-B26</f>
        <v>38.092699609758313</v>
      </c>
      <c r="C27" s="29">
        <f t="shared" si="2"/>
        <v>38.092699609758313</v>
      </c>
      <c r="D27" s="29">
        <f>D21+D22+D23+D24-D26</f>
        <v>22.010299956639813</v>
      </c>
      <c r="E27" s="29">
        <f t="shared" si="2"/>
        <v>22.010299956639813</v>
      </c>
    </row>
    <row r="28" spans="1:5" x14ac:dyDescent="0.55000000000000004">
      <c r="A28" s="8" t="s">
        <v>20</v>
      </c>
      <c r="B28" s="29">
        <f t="shared" ref="B28:E28" si="3">B21+B22+B23-B25-B26</f>
        <v>38.092699609758313</v>
      </c>
      <c r="C28" s="29">
        <f t="shared" si="3"/>
        <v>38.092699609758313</v>
      </c>
      <c r="D28" s="29">
        <f t="shared" si="3"/>
        <v>22.010299956639813</v>
      </c>
      <c r="E28" s="29">
        <f t="shared" si="3"/>
        <v>22.010299956639813</v>
      </c>
    </row>
    <row r="29" spans="1:5" x14ac:dyDescent="0.55000000000000004">
      <c r="A29" s="4" t="s">
        <v>21</v>
      </c>
      <c r="B29" s="13"/>
      <c r="C29" s="13"/>
      <c r="D29" s="13"/>
      <c r="E29" s="13"/>
    </row>
    <row r="30" spans="1:5" ht="28.8" x14ac:dyDescent="0.55000000000000004">
      <c r="A30" s="5" t="s">
        <v>68</v>
      </c>
      <c r="B30" s="10">
        <v>4</v>
      </c>
      <c r="C30" s="10">
        <v>4</v>
      </c>
      <c r="D30" s="10">
        <v>32</v>
      </c>
      <c r="E30" s="10">
        <v>32</v>
      </c>
    </row>
    <row r="31" spans="1:5" x14ac:dyDescent="0.55000000000000004">
      <c r="A31" s="5" t="s">
        <v>69</v>
      </c>
      <c r="B31" s="10">
        <v>2</v>
      </c>
      <c r="C31" s="10">
        <v>2</v>
      </c>
      <c r="D31" s="10">
        <v>2</v>
      </c>
      <c r="E31" s="10">
        <v>2</v>
      </c>
    </row>
    <row r="32" spans="1:5" x14ac:dyDescent="0.55000000000000004">
      <c r="A32" s="5" t="s">
        <v>22</v>
      </c>
      <c r="B32" s="10">
        <v>0</v>
      </c>
      <c r="C32" s="10">
        <v>0</v>
      </c>
      <c r="D32" s="10">
        <v>5</v>
      </c>
      <c r="E32" s="10">
        <v>5</v>
      </c>
    </row>
    <row r="33" spans="1:5" ht="28.8" x14ac:dyDescent="0.55000000000000004">
      <c r="A33" s="9" t="s">
        <v>70</v>
      </c>
      <c r="B33" s="30">
        <f t="shared" ref="B33:E33" si="4">IF(B30&gt;=2, 10*LOG10(B30/2), 0)</f>
        <v>3.0102999566398121</v>
      </c>
      <c r="C33" s="30">
        <f t="shared" si="4"/>
        <v>3.0102999566398121</v>
      </c>
      <c r="D33" s="30">
        <f t="shared" si="4"/>
        <v>12.041199826559248</v>
      </c>
      <c r="E33" s="30">
        <f t="shared" si="4"/>
        <v>12.041199826559248</v>
      </c>
    </row>
    <row r="34" spans="1:5" ht="28.8" x14ac:dyDescent="0.55000000000000004">
      <c r="A34" s="5" t="s">
        <v>23</v>
      </c>
      <c r="B34" s="10">
        <v>1</v>
      </c>
      <c r="C34" s="10">
        <v>1</v>
      </c>
      <c r="D34" s="10">
        <v>3</v>
      </c>
      <c r="E34" s="10">
        <v>3</v>
      </c>
    </row>
    <row r="35" spans="1:5" x14ac:dyDescent="0.55000000000000004">
      <c r="A35" s="5" t="s">
        <v>24</v>
      </c>
      <c r="B35" s="10">
        <v>7</v>
      </c>
      <c r="C35" s="10">
        <v>7</v>
      </c>
      <c r="D35" s="10">
        <v>5</v>
      </c>
      <c r="E35" s="10">
        <v>5</v>
      </c>
    </row>
    <row r="36" spans="1:5" x14ac:dyDescent="0.55000000000000004">
      <c r="A36" s="5" t="s">
        <v>25</v>
      </c>
      <c r="B36" s="10">
        <v>-174</v>
      </c>
      <c r="C36" s="10">
        <v>-174</v>
      </c>
      <c r="D36" s="10">
        <v>-174</v>
      </c>
      <c r="E36" s="10">
        <v>-174</v>
      </c>
    </row>
    <row r="37" spans="1:5" ht="28.8" x14ac:dyDescent="0.55000000000000004">
      <c r="A37" s="5" t="s">
        <v>26</v>
      </c>
      <c r="B37" s="10" t="s">
        <v>59</v>
      </c>
      <c r="C37" s="10">
        <v>-174</v>
      </c>
      <c r="D37" s="10" t="s">
        <v>59</v>
      </c>
      <c r="E37" s="10">
        <v>-174.9</v>
      </c>
    </row>
    <row r="38" spans="1:5" x14ac:dyDescent="0.55000000000000004">
      <c r="A38" s="5" t="s">
        <v>27</v>
      </c>
      <c r="B38" s="10">
        <v>-174</v>
      </c>
      <c r="C38" s="10" t="s">
        <v>59</v>
      </c>
      <c r="D38" s="10">
        <v>-174.9</v>
      </c>
      <c r="E38" s="10" t="s">
        <v>59</v>
      </c>
    </row>
    <row r="39" spans="1:5" ht="28.8" x14ac:dyDescent="0.55000000000000004">
      <c r="A39" s="8" t="s">
        <v>28</v>
      </c>
      <c r="B39" s="29" t="s">
        <v>59</v>
      </c>
      <c r="C39" s="29">
        <f t="shared" ref="C39:E39" si="5">10*LOG10(10^((C35+C36)/10)+10^(C37/10))</f>
        <v>-166.20990250347435</v>
      </c>
      <c r="D39" s="29" t="s">
        <v>59</v>
      </c>
      <c r="E39" s="29">
        <f t="shared" si="5"/>
        <v>-168.00651048203736</v>
      </c>
    </row>
    <row r="40" spans="1:5" ht="28.8" x14ac:dyDescent="0.55000000000000004">
      <c r="A40" s="8" t="s">
        <v>29</v>
      </c>
      <c r="B40" s="29">
        <f t="shared" ref="B40:D40" si="6">10*LOG10(10^((B35+B36)/10)+10^(B38/10))</f>
        <v>-166.20990250347435</v>
      </c>
      <c r="C40" s="29" t="s">
        <v>59</v>
      </c>
      <c r="D40" s="29">
        <f t="shared" si="6"/>
        <v>-168.00651048203736</v>
      </c>
      <c r="E40" s="29" t="s">
        <v>59</v>
      </c>
    </row>
    <row r="41" spans="1:5" ht="28.8" x14ac:dyDescent="0.55000000000000004">
      <c r="A41" s="5" t="s">
        <v>30</v>
      </c>
      <c r="B41" s="10" t="s">
        <v>59</v>
      </c>
      <c r="C41" s="10">
        <f>[1]MaxN_RB!$F$7*12*30*1000</f>
        <v>18360000</v>
      </c>
      <c r="D41" s="10" t="s">
        <v>59</v>
      </c>
      <c r="E41" s="10">
        <f>1*12*30*1000</f>
        <v>360000</v>
      </c>
    </row>
    <row r="42" spans="1:5" ht="28.8" x14ac:dyDescent="0.55000000000000004">
      <c r="A42" s="5" t="s">
        <v>31</v>
      </c>
      <c r="B42" s="10">
        <f>[1]MaxN_RB!$F$7*12*30*1000</f>
        <v>18360000</v>
      </c>
      <c r="C42" s="10" t="s">
        <v>59</v>
      </c>
      <c r="D42" s="10">
        <f>8*12*30*1000</f>
        <v>2880000</v>
      </c>
      <c r="E42" s="10" t="s">
        <v>59</v>
      </c>
    </row>
    <row r="43" spans="1:5" ht="19.5" customHeight="1" x14ac:dyDescent="0.55000000000000004">
      <c r="A43" s="8" t="s">
        <v>32</v>
      </c>
      <c r="B43" s="29" t="s">
        <v>59</v>
      </c>
      <c r="C43" s="29">
        <f t="shared" ref="C43:E43" si="7">C39+10*LOG10(C41)</f>
        <v>-93.57117573482212</v>
      </c>
      <c r="D43" s="29" t="s">
        <v>59</v>
      </c>
      <c r="E43" s="29">
        <f t="shared" si="7"/>
        <v>-112.44348547436448</v>
      </c>
    </row>
    <row r="44" spans="1:5" ht="15" customHeight="1" x14ac:dyDescent="0.55000000000000004">
      <c r="A44" s="8" t="s">
        <v>33</v>
      </c>
      <c r="B44" s="29">
        <f t="shared" ref="B44:D44" si="8">B40+10*LOG10(B42)</f>
        <v>-93.57117573482212</v>
      </c>
      <c r="C44" s="29" t="s">
        <v>59</v>
      </c>
      <c r="D44" s="29">
        <f t="shared" si="8"/>
        <v>-103.41258560444506</v>
      </c>
      <c r="E44" s="29" t="s">
        <v>59</v>
      </c>
    </row>
    <row r="45" spans="1:5" x14ac:dyDescent="0.55000000000000004">
      <c r="A45" s="18" t="s">
        <v>34</v>
      </c>
      <c r="B45" s="19" t="s">
        <v>59</v>
      </c>
      <c r="C45" s="19">
        <v>-7.95</v>
      </c>
      <c r="D45" s="19" t="s">
        <v>59</v>
      </c>
      <c r="E45" s="19">
        <v>-7.6</v>
      </c>
    </row>
    <row r="46" spans="1:5" x14ac:dyDescent="0.55000000000000004">
      <c r="A46" s="18" t="s">
        <v>35</v>
      </c>
      <c r="B46" s="19">
        <v>5.2</v>
      </c>
      <c r="C46" s="19" t="s">
        <v>59</v>
      </c>
      <c r="D46" s="19">
        <v>11.8</v>
      </c>
      <c r="E46" s="19" t="s">
        <v>59</v>
      </c>
    </row>
    <row r="47" spans="1:5" x14ac:dyDescent="0.55000000000000004">
      <c r="A47" s="5" t="s">
        <v>36</v>
      </c>
      <c r="B47" s="10">
        <v>2</v>
      </c>
      <c r="C47" s="10">
        <v>2</v>
      </c>
      <c r="D47" s="10">
        <v>2</v>
      </c>
      <c r="E47" s="10">
        <v>2</v>
      </c>
    </row>
    <row r="48" spans="1:5" x14ac:dyDescent="0.55000000000000004">
      <c r="A48" s="5" t="s">
        <v>37</v>
      </c>
      <c r="B48" s="10" t="s">
        <v>59</v>
      </c>
      <c r="C48" s="10">
        <v>0</v>
      </c>
      <c r="D48" s="10" t="s">
        <v>59</v>
      </c>
      <c r="E48" s="10">
        <v>0</v>
      </c>
    </row>
    <row r="49" spans="1:5" x14ac:dyDescent="0.55000000000000004">
      <c r="A49" s="5" t="s">
        <v>38</v>
      </c>
      <c r="B49" s="10">
        <v>0.5</v>
      </c>
      <c r="C49" s="10" t="s">
        <v>59</v>
      </c>
      <c r="D49" s="10">
        <v>0.5</v>
      </c>
      <c r="E49" s="10" t="s">
        <v>59</v>
      </c>
    </row>
    <row r="50" spans="1:5" x14ac:dyDescent="0.55000000000000004">
      <c r="A50" s="8" t="s">
        <v>39</v>
      </c>
      <c r="B50" s="29" t="s">
        <v>59</v>
      </c>
      <c r="C50" s="29">
        <f t="shared" ref="C50:E50" si="9">C43+C45+C47-C48</f>
        <v>-99.521175734822123</v>
      </c>
      <c r="D50" s="29" t="s">
        <v>59</v>
      </c>
      <c r="E50" s="29">
        <f t="shared" si="9"/>
        <v>-118.04348547436447</v>
      </c>
    </row>
    <row r="51" spans="1:5" x14ac:dyDescent="0.55000000000000004">
      <c r="A51" s="8" t="s">
        <v>40</v>
      </c>
      <c r="B51" s="29">
        <f t="shared" ref="B51:D51" si="10">B44+B46+B47-B49</f>
        <v>-86.871175734822117</v>
      </c>
      <c r="C51" s="29" t="s">
        <v>59</v>
      </c>
      <c r="D51" s="29">
        <f t="shared" si="10"/>
        <v>-90.112585604445059</v>
      </c>
      <c r="E51" s="29" t="s">
        <v>59</v>
      </c>
    </row>
    <row r="52" spans="1:5" x14ac:dyDescent="0.55000000000000004">
      <c r="A52" s="8" t="s">
        <v>41</v>
      </c>
      <c r="B52" s="29" t="s">
        <v>59</v>
      </c>
      <c r="C52" s="29">
        <f t="shared" ref="C52:E52" si="11">C27+C32+C33-C50</f>
        <v>140.62417530122025</v>
      </c>
      <c r="D52" s="29" t="s">
        <v>59</v>
      </c>
      <c r="E52" s="29">
        <f t="shared" si="11"/>
        <v>157.09498525756354</v>
      </c>
    </row>
    <row r="53" spans="1:5" x14ac:dyDescent="0.55000000000000004">
      <c r="A53" s="8" t="s">
        <v>42</v>
      </c>
      <c r="B53" s="29">
        <f t="shared" ref="B53:D53" si="12">B28+B32+B33-B51</f>
        <v>127.97417530122024</v>
      </c>
      <c r="C53" s="29" t="s">
        <v>59</v>
      </c>
      <c r="D53" s="29">
        <f t="shared" si="12"/>
        <v>129.16408538764412</v>
      </c>
      <c r="E53" s="29" t="s">
        <v>59</v>
      </c>
    </row>
    <row r="54" spans="1:5" x14ac:dyDescent="0.55000000000000004">
      <c r="A54" s="14" t="s">
        <v>43</v>
      </c>
      <c r="B54" s="15"/>
      <c r="C54" s="15"/>
      <c r="D54" s="15"/>
      <c r="E54" s="15"/>
    </row>
    <row r="55" spans="1:5" x14ac:dyDescent="0.55000000000000004">
      <c r="A55" s="5" t="s">
        <v>44</v>
      </c>
      <c r="B55" s="10">
        <v>4</v>
      </c>
      <c r="C55" s="10">
        <v>4</v>
      </c>
      <c r="D55" s="10">
        <v>4</v>
      </c>
      <c r="E55" s="10">
        <v>4</v>
      </c>
    </row>
    <row r="56" spans="1:5" x14ac:dyDescent="0.55000000000000004">
      <c r="A56" s="5" t="s">
        <v>71</v>
      </c>
      <c r="B56" s="10"/>
      <c r="C56" s="10"/>
      <c r="D56" s="10"/>
      <c r="E56" s="10"/>
    </row>
    <row r="57" spans="1:5" ht="28.8" x14ac:dyDescent="0.55000000000000004">
      <c r="A57" s="5" t="s">
        <v>45</v>
      </c>
      <c r="B57" s="10" t="s">
        <v>59</v>
      </c>
      <c r="C57" s="10">
        <v>2.82</v>
      </c>
      <c r="D57" s="10" t="s">
        <v>59</v>
      </c>
      <c r="E57" s="10">
        <v>2.82</v>
      </c>
    </row>
    <row r="58" spans="1:5" ht="28.8" x14ac:dyDescent="0.55000000000000004">
      <c r="A58" s="5" t="s">
        <v>46</v>
      </c>
      <c r="B58" s="10">
        <v>0.94</v>
      </c>
      <c r="C58" s="10" t="s">
        <v>59</v>
      </c>
      <c r="D58" s="10">
        <v>0.94</v>
      </c>
      <c r="E58" s="10" t="s">
        <v>59</v>
      </c>
    </row>
    <row r="59" spans="1:5" x14ac:dyDescent="0.55000000000000004">
      <c r="A59" s="5" t="s">
        <v>47</v>
      </c>
      <c r="B59" s="10">
        <v>0</v>
      </c>
      <c r="C59" s="10">
        <v>0</v>
      </c>
      <c r="D59" s="10">
        <v>0</v>
      </c>
      <c r="E59" s="10">
        <v>0</v>
      </c>
    </row>
    <row r="60" spans="1:5" x14ac:dyDescent="0.55000000000000004">
      <c r="A60" s="5" t="s">
        <v>48</v>
      </c>
      <c r="B60" s="10">
        <v>0</v>
      </c>
      <c r="C60" s="10">
        <v>0</v>
      </c>
      <c r="D60" s="10">
        <v>0</v>
      </c>
      <c r="E60" s="10">
        <v>0</v>
      </c>
    </row>
    <row r="61" spans="1:5" x14ac:dyDescent="0.55000000000000004">
      <c r="A61" s="5" t="s">
        <v>49</v>
      </c>
      <c r="B61" s="10">
        <v>0</v>
      </c>
      <c r="C61" s="10">
        <v>0</v>
      </c>
      <c r="D61" s="10">
        <v>0</v>
      </c>
      <c r="E61" s="10">
        <v>0</v>
      </c>
    </row>
    <row r="62" spans="1:5" ht="28.8" x14ac:dyDescent="0.55000000000000004">
      <c r="A62" s="8" t="s">
        <v>72</v>
      </c>
      <c r="B62" s="29" t="s">
        <v>59</v>
      </c>
      <c r="C62" s="29">
        <f t="shared" ref="C62:E62" si="13">C52-C57+C59-C60+C61-C34</f>
        <v>136.80417530122025</v>
      </c>
      <c r="D62" s="29" t="s">
        <v>59</v>
      </c>
      <c r="E62" s="29">
        <f t="shared" si="13"/>
        <v>151.27498525756354</v>
      </c>
    </row>
    <row r="63" spans="1:5" ht="28.8" x14ac:dyDescent="0.55000000000000004">
      <c r="A63" s="8" t="s">
        <v>50</v>
      </c>
      <c r="B63" s="29">
        <f t="shared" ref="B63:D63" si="14">B53-B58+B59-B60+B61-B34</f>
        <v>126.03417530122024</v>
      </c>
      <c r="C63" s="29" t="s">
        <v>59</v>
      </c>
      <c r="D63" s="29">
        <f t="shared" si="14"/>
        <v>125.22408538764412</v>
      </c>
      <c r="E63" s="29" t="s">
        <v>59</v>
      </c>
    </row>
    <row r="64" spans="1:5" x14ac:dyDescent="0.55000000000000004">
      <c r="A64" s="4" t="s">
        <v>51</v>
      </c>
      <c r="B64" s="12"/>
      <c r="C64" s="12"/>
      <c r="D64" s="12"/>
      <c r="E64" s="12"/>
    </row>
    <row r="65" spans="1:5" ht="28.8" x14ac:dyDescent="0.55000000000000004">
      <c r="A65" s="5" t="s">
        <v>52</v>
      </c>
      <c r="B65" s="31" t="s">
        <v>59</v>
      </c>
      <c r="C65" s="31">
        <f>10^((C62-11.5-20*LOG10(C$4))/43.3)</f>
        <v>412.83176434835974</v>
      </c>
      <c r="D65" s="31" t="s">
        <v>59</v>
      </c>
      <c r="E65" s="31">
        <f>10^((E62-11.5-20*LOG10(E$4))/43.3)</f>
        <v>891.19337612275592</v>
      </c>
    </row>
    <row r="66" spans="1:5" ht="28.8" x14ac:dyDescent="0.55000000000000004">
      <c r="A66" s="5" t="s">
        <v>53</v>
      </c>
      <c r="B66" s="31">
        <f>10^((B63-11.5-20*LOG10(B$4))/43.3)</f>
        <v>232.83234568281472</v>
      </c>
      <c r="C66" s="31" t="s">
        <v>59</v>
      </c>
      <c r="D66" s="31">
        <f>10^((D63-11.5-20*LOG10(D$4))/43.3)</f>
        <v>223.01523868926137</v>
      </c>
      <c r="E66" s="31" t="s">
        <v>59</v>
      </c>
    </row>
    <row r="67" spans="1:5" x14ac:dyDescent="0.55000000000000004">
      <c r="A67" s="5" t="s">
        <v>73</v>
      </c>
      <c r="B67" s="31" t="s">
        <v>59</v>
      </c>
      <c r="C67" s="31">
        <f>PI()*(C65)^2</f>
        <v>535421.84221251018</v>
      </c>
      <c r="D67" s="31" t="s">
        <v>59</v>
      </c>
      <c r="E67" s="31">
        <f>PI()*(E65)^2</f>
        <v>2495133.4159520692</v>
      </c>
    </row>
    <row r="68" spans="1:5" x14ac:dyDescent="0.55000000000000004">
      <c r="A68" s="5" t="s">
        <v>74</v>
      </c>
      <c r="B68" s="31">
        <f>PI()*(B66)^2</f>
        <v>170308.56894234382</v>
      </c>
      <c r="C68" s="31" t="s">
        <v>59</v>
      </c>
      <c r="D68" s="31">
        <f>PI()*(D66)^2</f>
        <v>156249.61349428838</v>
      </c>
      <c r="E68" s="31" t="s">
        <v>59</v>
      </c>
    </row>
  </sheetData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46DB3-D3E2-416B-B043-4A747DF4D693}">
  <dimension ref="A1:M73"/>
  <sheetViews>
    <sheetView workbookViewId="0">
      <selection activeCell="P11" sqref="P11"/>
    </sheetView>
  </sheetViews>
  <sheetFormatPr defaultRowHeight="14.4" x14ac:dyDescent="0.55000000000000004"/>
  <cols>
    <col min="1" max="1" width="44.68359375" customWidth="1"/>
    <col min="2" max="2" width="17.83984375" customWidth="1"/>
    <col min="3" max="3" width="13.578125" customWidth="1"/>
    <col min="4" max="4" width="12.41796875" customWidth="1"/>
    <col min="5" max="5" width="13.15625" customWidth="1"/>
    <col min="6" max="6" width="16.578125" customWidth="1"/>
    <col min="7" max="8" width="15.15625" customWidth="1"/>
    <col min="9" max="9" width="14.26171875" customWidth="1"/>
    <col min="10" max="10" width="17.68359375" customWidth="1"/>
    <col min="11" max="11" width="17.578125" customWidth="1"/>
    <col min="12" max="12" width="17.83984375" customWidth="1"/>
    <col min="13" max="13" width="15.15625" customWidth="1"/>
  </cols>
  <sheetData>
    <row r="1" spans="1:13" ht="14.7" thickBot="1" x14ac:dyDescent="0.6">
      <c r="A1" t="s">
        <v>0</v>
      </c>
      <c r="B1" s="80"/>
      <c r="C1" s="81"/>
      <c r="D1" s="81"/>
      <c r="E1" s="84" t="s">
        <v>1</v>
      </c>
      <c r="F1" s="81"/>
      <c r="G1" s="82"/>
      <c r="H1" s="80"/>
      <c r="I1" s="81"/>
      <c r="J1" s="81"/>
      <c r="K1" s="83" t="s">
        <v>2</v>
      </c>
      <c r="L1" s="81"/>
      <c r="M1" s="82"/>
    </row>
    <row r="2" spans="1:13" ht="27.6" x14ac:dyDescent="0.55000000000000004">
      <c r="A2" s="70"/>
      <c r="B2" s="79" t="s">
        <v>114</v>
      </c>
      <c r="C2" s="79" t="s">
        <v>115</v>
      </c>
      <c r="D2" s="79" t="s">
        <v>116</v>
      </c>
      <c r="E2" s="79" t="s">
        <v>117</v>
      </c>
      <c r="F2" s="79" t="s">
        <v>118</v>
      </c>
      <c r="G2" s="79" t="s">
        <v>125</v>
      </c>
      <c r="H2" s="79" t="s">
        <v>119</v>
      </c>
      <c r="I2" s="79" t="s">
        <v>120</v>
      </c>
      <c r="J2" s="79" t="s">
        <v>121</v>
      </c>
      <c r="K2" s="79" t="s">
        <v>122</v>
      </c>
      <c r="L2" s="79" t="s">
        <v>123</v>
      </c>
      <c r="M2" s="79" t="s">
        <v>124</v>
      </c>
    </row>
    <row r="3" spans="1:13" x14ac:dyDescent="0.55000000000000004">
      <c r="A3" s="14" t="s">
        <v>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55000000000000004">
      <c r="A4" s="85" t="s">
        <v>4</v>
      </c>
      <c r="B4" s="72">
        <v>0.7</v>
      </c>
      <c r="C4" s="72">
        <v>0.7</v>
      </c>
      <c r="D4" s="72">
        <v>0.7</v>
      </c>
      <c r="E4" s="72">
        <v>0.7</v>
      </c>
      <c r="F4" s="72">
        <v>0.7</v>
      </c>
      <c r="G4" s="72">
        <v>0.7</v>
      </c>
      <c r="H4" s="72">
        <v>0.7</v>
      </c>
      <c r="I4" s="72">
        <v>0.7</v>
      </c>
      <c r="J4" s="72">
        <v>0.7</v>
      </c>
      <c r="K4" s="72">
        <v>0.7</v>
      </c>
      <c r="L4" s="72">
        <v>0.7</v>
      </c>
      <c r="M4" s="72">
        <v>0.7</v>
      </c>
    </row>
    <row r="5" spans="1:13" x14ac:dyDescent="0.55000000000000004">
      <c r="A5" s="85" t="s">
        <v>5</v>
      </c>
      <c r="B5" s="72">
        <v>25</v>
      </c>
      <c r="C5" s="72">
        <v>25</v>
      </c>
      <c r="D5" s="72">
        <v>25</v>
      </c>
      <c r="E5" s="72">
        <v>25</v>
      </c>
      <c r="F5" s="72">
        <v>25</v>
      </c>
      <c r="G5" s="72">
        <v>25</v>
      </c>
      <c r="H5" s="72">
        <v>25</v>
      </c>
      <c r="I5" s="72">
        <v>25</v>
      </c>
      <c r="J5" s="72">
        <v>25</v>
      </c>
      <c r="K5" s="72">
        <v>25</v>
      </c>
      <c r="L5" s="72">
        <v>25</v>
      </c>
      <c r="M5" s="72">
        <v>25</v>
      </c>
    </row>
    <row r="6" spans="1:13" x14ac:dyDescent="0.55000000000000004">
      <c r="A6" s="85" t="s">
        <v>6</v>
      </c>
      <c r="B6" s="72">
        <v>1.5</v>
      </c>
      <c r="C6" s="72">
        <v>1.5</v>
      </c>
      <c r="D6" s="72">
        <v>1.5</v>
      </c>
      <c r="E6" s="72">
        <v>1.5</v>
      </c>
      <c r="F6" s="72">
        <v>1.5</v>
      </c>
      <c r="G6" s="72">
        <v>1.5</v>
      </c>
      <c r="H6" s="72">
        <v>1.5</v>
      </c>
      <c r="I6" s="72">
        <v>1.5</v>
      </c>
      <c r="J6" s="72">
        <v>1.5</v>
      </c>
      <c r="K6" s="72">
        <v>1.5</v>
      </c>
      <c r="L6" s="72">
        <v>1.5</v>
      </c>
      <c r="M6" s="72">
        <v>1.5</v>
      </c>
    </row>
    <row r="7" spans="1:13" ht="43.2" x14ac:dyDescent="0.55000000000000004">
      <c r="A7" s="85" t="s">
        <v>128</v>
      </c>
      <c r="B7" s="78" t="s">
        <v>59</v>
      </c>
      <c r="C7" s="78">
        <v>0.99</v>
      </c>
      <c r="D7" s="78" t="s">
        <v>59</v>
      </c>
      <c r="E7" s="78">
        <v>0.99</v>
      </c>
      <c r="F7" s="78" t="s">
        <v>59</v>
      </c>
      <c r="G7" s="78">
        <v>0.99</v>
      </c>
      <c r="H7" s="78" t="s">
        <v>59</v>
      </c>
      <c r="I7" s="78">
        <v>0.99</v>
      </c>
      <c r="J7" s="78" t="s">
        <v>59</v>
      </c>
      <c r="K7" s="78">
        <v>0.99</v>
      </c>
      <c r="L7" s="78" t="s">
        <v>59</v>
      </c>
      <c r="M7" s="78">
        <v>0.99</v>
      </c>
    </row>
    <row r="8" spans="1:13" ht="43.2" x14ac:dyDescent="0.55000000000000004">
      <c r="A8" s="85" t="s">
        <v>129</v>
      </c>
      <c r="B8" s="78">
        <v>0.99</v>
      </c>
      <c r="C8" s="78" t="s">
        <v>59</v>
      </c>
      <c r="D8" s="78">
        <v>0.99</v>
      </c>
      <c r="E8" s="78" t="s">
        <v>59</v>
      </c>
      <c r="F8" s="78">
        <v>0.99</v>
      </c>
      <c r="G8" s="78" t="s">
        <v>59</v>
      </c>
      <c r="H8" s="78">
        <v>0.99</v>
      </c>
      <c r="I8" s="78" t="s">
        <v>59</v>
      </c>
      <c r="J8" s="78">
        <v>0.99</v>
      </c>
      <c r="K8" s="78" t="s">
        <v>59</v>
      </c>
      <c r="L8" s="78">
        <v>0.99</v>
      </c>
      <c r="M8" s="78" t="s">
        <v>59</v>
      </c>
    </row>
    <row r="9" spans="1:13" x14ac:dyDescent="0.55000000000000004">
      <c r="A9" s="85" t="s">
        <v>130</v>
      </c>
      <c r="B9" s="72" t="s">
        <v>59</v>
      </c>
      <c r="C9" s="72">
        <v>70</v>
      </c>
      <c r="D9" s="72" t="s">
        <v>59</v>
      </c>
      <c r="E9" s="72">
        <v>70</v>
      </c>
      <c r="F9" s="72" t="s">
        <v>59</v>
      </c>
      <c r="G9" s="72">
        <v>70</v>
      </c>
      <c r="H9" s="72"/>
      <c r="I9" s="72">
        <v>62</v>
      </c>
      <c r="J9" s="72"/>
      <c r="K9" s="72">
        <v>15</v>
      </c>
      <c r="L9" s="72"/>
      <c r="M9" s="72">
        <v>15</v>
      </c>
    </row>
    <row r="10" spans="1:13" x14ac:dyDescent="0.55000000000000004">
      <c r="A10" s="85" t="s">
        <v>131</v>
      </c>
      <c r="B10" s="72">
        <v>183</v>
      </c>
      <c r="C10" s="72" t="s">
        <v>59</v>
      </c>
      <c r="D10" s="72">
        <v>183</v>
      </c>
      <c r="E10" s="72" t="s">
        <v>59</v>
      </c>
      <c r="F10" s="72">
        <v>183</v>
      </c>
      <c r="G10" s="72" t="s">
        <v>59</v>
      </c>
      <c r="H10" s="72">
        <v>457</v>
      </c>
      <c r="I10" s="72" t="s">
        <v>59</v>
      </c>
      <c r="J10" s="72">
        <v>320</v>
      </c>
      <c r="K10" s="72" t="s">
        <v>59</v>
      </c>
      <c r="L10" s="72">
        <v>320</v>
      </c>
      <c r="M10" s="72" t="s">
        <v>59</v>
      </c>
    </row>
    <row r="11" spans="1:13" ht="28.2" x14ac:dyDescent="0.55000000000000004">
      <c r="A11" s="85" t="s">
        <v>9</v>
      </c>
      <c r="B11" s="72" t="s">
        <v>59</v>
      </c>
      <c r="C11" s="72">
        <v>0.01</v>
      </c>
      <c r="D11" s="72" t="s">
        <v>59</v>
      </c>
      <c r="E11" s="72">
        <v>0.01</v>
      </c>
      <c r="F11" s="72" t="s">
        <v>59</v>
      </c>
      <c r="G11" s="72">
        <v>0.01</v>
      </c>
      <c r="H11" s="72" t="s">
        <v>59</v>
      </c>
      <c r="I11" s="72">
        <v>0.01</v>
      </c>
      <c r="J11" s="72" t="s">
        <v>59</v>
      </c>
      <c r="K11" s="72">
        <v>0.01</v>
      </c>
      <c r="L11" s="72" t="s">
        <v>59</v>
      </c>
      <c r="M11" s="72">
        <v>0.01</v>
      </c>
    </row>
    <row r="12" spans="1:13" ht="28.2" x14ac:dyDescent="0.55000000000000004">
      <c r="A12" s="85" t="s">
        <v>132</v>
      </c>
      <c r="B12" s="78">
        <v>0.1</v>
      </c>
      <c r="C12" s="78" t="s">
        <v>59</v>
      </c>
      <c r="D12" s="78">
        <v>0.1</v>
      </c>
      <c r="E12" s="78" t="s">
        <v>59</v>
      </c>
      <c r="F12" s="78">
        <v>0.1</v>
      </c>
      <c r="G12" s="78" t="s">
        <v>59</v>
      </c>
      <c r="H12" s="78">
        <v>0.1</v>
      </c>
      <c r="I12" s="78" t="s">
        <v>59</v>
      </c>
      <c r="J12" s="78">
        <v>0.1</v>
      </c>
      <c r="K12" s="78" t="s">
        <v>59</v>
      </c>
      <c r="L12" s="78">
        <v>0.1</v>
      </c>
      <c r="M12" s="78" t="s">
        <v>59</v>
      </c>
    </row>
    <row r="13" spans="1:13" ht="15" x14ac:dyDescent="0.55000000000000004">
      <c r="A13" s="85" t="s">
        <v>133</v>
      </c>
      <c r="B13" s="78">
        <f>B10/B42</f>
        <v>1.6944444444444445E-4</v>
      </c>
      <c r="C13" s="78" t="s">
        <v>59</v>
      </c>
      <c r="D13" s="78">
        <f>D10/D42</f>
        <v>1.6944444444444445E-4</v>
      </c>
      <c r="E13" s="78" t="s">
        <v>59</v>
      </c>
      <c r="F13" s="78">
        <f>F10/F42</f>
        <v>1.6944444444444445E-4</v>
      </c>
      <c r="G13" s="78" t="s">
        <v>59</v>
      </c>
      <c r="H13" s="78">
        <f>H10/H42</f>
        <v>2.5388888888888887E-3</v>
      </c>
      <c r="I13" s="78" t="s">
        <v>59</v>
      </c>
      <c r="J13" s="78">
        <f>J10/J42</f>
        <v>1.7777777777777779E-3</v>
      </c>
      <c r="K13" s="78" t="s">
        <v>59</v>
      </c>
      <c r="L13" s="78">
        <f>L10/L42</f>
        <v>1.7777777777777779E-3</v>
      </c>
      <c r="M13" s="78" t="s">
        <v>59</v>
      </c>
    </row>
    <row r="14" spans="1:13" ht="15" x14ac:dyDescent="0.55000000000000004">
      <c r="A14" s="85" t="s">
        <v>134</v>
      </c>
      <c r="B14" s="72" t="s">
        <v>126</v>
      </c>
      <c r="C14" s="72" t="s">
        <v>126</v>
      </c>
      <c r="D14" s="72" t="s">
        <v>63</v>
      </c>
      <c r="E14" s="72" t="s">
        <v>63</v>
      </c>
      <c r="F14" s="72" t="s">
        <v>87</v>
      </c>
      <c r="G14" s="72" t="s">
        <v>87</v>
      </c>
      <c r="H14" s="72" t="s">
        <v>126</v>
      </c>
      <c r="I14" s="72" t="s">
        <v>126</v>
      </c>
      <c r="J14" s="72" t="s">
        <v>126</v>
      </c>
      <c r="K14" s="72" t="s">
        <v>126</v>
      </c>
      <c r="L14" s="72" t="s">
        <v>87</v>
      </c>
      <c r="M14" s="72" t="s">
        <v>87</v>
      </c>
    </row>
    <row r="15" spans="1:13" x14ac:dyDescent="0.55000000000000004">
      <c r="A15" s="85" t="s">
        <v>135</v>
      </c>
      <c r="B15" s="72">
        <v>3</v>
      </c>
      <c r="C15" s="72">
        <v>3</v>
      </c>
      <c r="D15" s="72">
        <v>3</v>
      </c>
      <c r="E15" s="72">
        <v>3</v>
      </c>
      <c r="F15" s="72">
        <v>3</v>
      </c>
      <c r="G15" s="72">
        <v>3</v>
      </c>
      <c r="H15" s="72">
        <v>3</v>
      </c>
      <c r="I15" s="72">
        <v>3</v>
      </c>
      <c r="J15" s="72">
        <v>3</v>
      </c>
      <c r="K15" s="72">
        <v>3</v>
      </c>
      <c r="L15" s="72">
        <v>3</v>
      </c>
      <c r="M15" s="72">
        <v>3</v>
      </c>
    </row>
    <row r="16" spans="1:13" x14ac:dyDescent="0.55000000000000004">
      <c r="A16" s="85" t="s">
        <v>11</v>
      </c>
      <c r="B16" s="72">
        <v>3</v>
      </c>
      <c r="C16" s="72">
        <v>3</v>
      </c>
      <c r="D16" s="72">
        <v>3</v>
      </c>
      <c r="E16" s="72">
        <v>3</v>
      </c>
      <c r="F16" s="72">
        <v>3</v>
      </c>
      <c r="G16" s="72">
        <v>3</v>
      </c>
      <c r="H16" s="72">
        <v>3</v>
      </c>
      <c r="I16" s="72">
        <v>3</v>
      </c>
      <c r="J16" s="72">
        <v>3</v>
      </c>
      <c r="K16" s="72">
        <v>3</v>
      </c>
      <c r="L16" s="72">
        <v>3</v>
      </c>
      <c r="M16" s="72">
        <v>3</v>
      </c>
    </row>
    <row r="17" spans="1:13" x14ac:dyDescent="0.55000000000000004">
      <c r="A17" s="86" t="s">
        <v>12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13" ht="42.3" x14ac:dyDescent="0.55000000000000004">
      <c r="A18" s="85" t="s">
        <v>136</v>
      </c>
      <c r="B18" s="72">
        <v>16</v>
      </c>
      <c r="C18" s="72">
        <v>16</v>
      </c>
      <c r="D18" s="72">
        <v>16</v>
      </c>
      <c r="E18" s="72">
        <v>16</v>
      </c>
      <c r="F18" s="72">
        <v>16</v>
      </c>
      <c r="G18" s="72">
        <v>16</v>
      </c>
      <c r="H18" s="72">
        <v>1</v>
      </c>
      <c r="I18" s="72">
        <v>1</v>
      </c>
      <c r="J18" s="72">
        <v>1</v>
      </c>
      <c r="K18" s="72">
        <v>1</v>
      </c>
      <c r="L18" s="72">
        <v>1</v>
      </c>
      <c r="M18" s="72">
        <v>1</v>
      </c>
    </row>
    <row r="19" spans="1:13" x14ac:dyDescent="0.55000000000000004">
      <c r="A19" s="85" t="s">
        <v>137</v>
      </c>
      <c r="B19" s="72">
        <v>2</v>
      </c>
      <c r="C19" s="72">
        <v>2</v>
      </c>
      <c r="D19" s="72">
        <v>2</v>
      </c>
      <c r="E19" s="72">
        <v>2</v>
      </c>
      <c r="F19" s="72">
        <v>2</v>
      </c>
      <c r="G19" s="72">
        <v>2</v>
      </c>
      <c r="H19" s="72">
        <v>23</v>
      </c>
      <c r="I19" s="72">
        <v>23</v>
      </c>
      <c r="J19" s="72">
        <v>23</v>
      </c>
      <c r="K19" s="72">
        <v>23</v>
      </c>
      <c r="L19" s="72">
        <v>23</v>
      </c>
      <c r="M19" s="72">
        <v>23</v>
      </c>
    </row>
    <row r="20" spans="1:13" x14ac:dyDescent="0.55000000000000004">
      <c r="A20" s="85" t="s">
        <v>13</v>
      </c>
      <c r="B20" s="72">
        <v>24.76</v>
      </c>
      <c r="C20" s="72">
        <v>24.76</v>
      </c>
      <c r="D20" s="72">
        <v>24.76</v>
      </c>
      <c r="E20" s="72">
        <v>24.76</v>
      </c>
      <c r="F20" s="72">
        <v>24.76</v>
      </c>
      <c r="G20" s="72">
        <v>24.76</v>
      </c>
      <c r="H20" s="72">
        <f t="shared" ref="H20:M20" si="0">H19+10*LOG10(H18)</f>
        <v>23</v>
      </c>
      <c r="I20" s="72">
        <f t="shared" si="0"/>
        <v>23</v>
      </c>
      <c r="J20" s="72">
        <f t="shared" si="0"/>
        <v>23</v>
      </c>
      <c r="K20" s="72">
        <f t="shared" si="0"/>
        <v>23</v>
      </c>
      <c r="L20" s="72">
        <f t="shared" si="0"/>
        <v>23</v>
      </c>
      <c r="M20" s="72">
        <f t="shared" si="0"/>
        <v>23</v>
      </c>
    </row>
    <row r="21" spans="1:13" ht="42.3" x14ac:dyDescent="0.55000000000000004">
      <c r="A21" s="95" t="s">
        <v>138</v>
      </c>
      <c r="B21" s="72">
        <f t="shared" ref="B21:M21" si="1">B20+10*LOG10(B18)</f>
        <v>36.801199826559248</v>
      </c>
      <c r="C21" s="72">
        <f t="shared" si="1"/>
        <v>36.801199826559248</v>
      </c>
      <c r="D21" s="72">
        <f t="shared" si="1"/>
        <v>36.801199826559248</v>
      </c>
      <c r="E21" s="72">
        <f t="shared" si="1"/>
        <v>36.801199826559248</v>
      </c>
      <c r="F21" s="72">
        <f t="shared" si="1"/>
        <v>36.801199826559248</v>
      </c>
      <c r="G21" s="72">
        <f t="shared" si="1"/>
        <v>36.801199826559248</v>
      </c>
      <c r="H21" s="72">
        <f t="shared" si="1"/>
        <v>23</v>
      </c>
      <c r="I21" s="72">
        <f t="shared" si="1"/>
        <v>23</v>
      </c>
      <c r="J21" s="72">
        <f t="shared" si="1"/>
        <v>23</v>
      </c>
      <c r="K21" s="72">
        <f t="shared" si="1"/>
        <v>23</v>
      </c>
      <c r="L21" s="72">
        <f t="shared" si="1"/>
        <v>23</v>
      </c>
      <c r="M21" s="72">
        <f t="shared" si="1"/>
        <v>23</v>
      </c>
    </row>
    <row r="22" spans="1:13" x14ac:dyDescent="0.55000000000000004">
      <c r="A22" s="85" t="s">
        <v>139</v>
      </c>
      <c r="B22" s="72">
        <f>8</f>
        <v>8</v>
      </c>
      <c r="C22" s="72">
        <f>8</f>
        <v>8</v>
      </c>
      <c r="D22" s="72">
        <f>8</f>
        <v>8</v>
      </c>
      <c r="E22" s="72">
        <f>8</f>
        <v>8</v>
      </c>
      <c r="F22" s="72">
        <f>8</f>
        <v>8</v>
      </c>
      <c r="G22" s="72">
        <f>8</f>
        <v>8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</row>
    <row r="23" spans="1:13" ht="42.3" x14ac:dyDescent="0.55000000000000004">
      <c r="A23" s="94" t="s">
        <v>15</v>
      </c>
      <c r="B23" s="74">
        <f t="shared" ref="B23:G23" si="2">IF(B18&gt;=2, 10*LOG10(B18/B19), 0)</f>
        <v>9.0308998699194358</v>
      </c>
      <c r="C23" s="74">
        <f t="shared" si="2"/>
        <v>9.0308998699194358</v>
      </c>
      <c r="D23" s="74">
        <f t="shared" si="2"/>
        <v>9.0308998699194358</v>
      </c>
      <c r="E23" s="74">
        <f t="shared" si="2"/>
        <v>9.0308998699194358</v>
      </c>
      <c r="F23" s="74">
        <f t="shared" si="2"/>
        <v>9.0308998699194358</v>
      </c>
      <c r="G23" s="74">
        <f t="shared" si="2"/>
        <v>9.0308998699194358</v>
      </c>
      <c r="H23" s="74">
        <f t="shared" ref="H23:M23" si="3">IF(H18&gt;=2, 10*LOG10(H18/2), 0)</f>
        <v>0</v>
      </c>
      <c r="I23" s="74">
        <f t="shared" si="3"/>
        <v>0</v>
      </c>
      <c r="J23" s="74">
        <f t="shared" si="3"/>
        <v>0</v>
      </c>
      <c r="K23" s="74">
        <f t="shared" si="3"/>
        <v>0</v>
      </c>
      <c r="L23" s="74">
        <f t="shared" si="3"/>
        <v>0</v>
      </c>
      <c r="M23" s="74">
        <f t="shared" si="3"/>
        <v>0</v>
      </c>
    </row>
    <row r="24" spans="1:13" x14ac:dyDescent="0.55000000000000004">
      <c r="A24" s="85" t="s">
        <v>16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</row>
    <row r="25" spans="1:13" ht="28.2" x14ac:dyDescent="0.55000000000000004">
      <c r="A25" s="94" t="s">
        <v>17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</row>
    <row r="26" spans="1:13" ht="42.3" x14ac:dyDescent="0.55000000000000004">
      <c r="A26" s="85" t="s">
        <v>18</v>
      </c>
      <c r="B26" s="72">
        <v>3</v>
      </c>
      <c r="C26" s="72">
        <v>3</v>
      </c>
      <c r="D26" s="72">
        <v>3</v>
      </c>
      <c r="E26" s="72">
        <v>3</v>
      </c>
      <c r="F26" s="72">
        <v>3</v>
      </c>
      <c r="G26" s="72">
        <v>3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1:13" ht="28.2" x14ac:dyDescent="0.55000000000000004">
      <c r="A27" s="93" t="s">
        <v>19</v>
      </c>
      <c r="B27" s="75">
        <f t="shared" ref="B27:M27" si="4">B21+B22+B23+B24-B26</f>
        <v>50.832099696478686</v>
      </c>
      <c r="C27" s="75">
        <f t="shared" si="4"/>
        <v>50.832099696478686</v>
      </c>
      <c r="D27" s="75">
        <f t="shared" si="4"/>
        <v>50.832099696478686</v>
      </c>
      <c r="E27" s="75">
        <f t="shared" si="4"/>
        <v>50.832099696478686</v>
      </c>
      <c r="F27" s="75">
        <f t="shared" si="4"/>
        <v>50.832099696478686</v>
      </c>
      <c r="G27" s="75">
        <f t="shared" si="4"/>
        <v>50.832099696478686</v>
      </c>
      <c r="H27" s="75">
        <f t="shared" si="4"/>
        <v>23</v>
      </c>
      <c r="I27" s="75">
        <f t="shared" si="4"/>
        <v>23</v>
      </c>
      <c r="J27" s="75">
        <f t="shared" si="4"/>
        <v>23</v>
      </c>
      <c r="K27" s="75">
        <f t="shared" si="4"/>
        <v>23</v>
      </c>
      <c r="L27" s="75">
        <f t="shared" si="4"/>
        <v>23</v>
      </c>
      <c r="M27" s="75">
        <f t="shared" si="4"/>
        <v>23</v>
      </c>
    </row>
    <row r="28" spans="1:13" ht="28.2" x14ac:dyDescent="0.55000000000000004">
      <c r="A28" s="93" t="s">
        <v>140</v>
      </c>
      <c r="B28" s="75">
        <f t="shared" ref="B28:M28" si="5">B21+B22+B23-B25-B26</f>
        <v>50.832099696478686</v>
      </c>
      <c r="C28" s="75">
        <f t="shared" si="5"/>
        <v>50.832099696478686</v>
      </c>
      <c r="D28" s="75">
        <f t="shared" si="5"/>
        <v>50.832099696478686</v>
      </c>
      <c r="E28" s="75">
        <f t="shared" si="5"/>
        <v>50.832099696478686</v>
      </c>
      <c r="F28" s="75">
        <f t="shared" si="5"/>
        <v>50.832099696478686</v>
      </c>
      <c r="G28" s="75">
        <f t="shared" si="5"/>
        <v>50.832099696478686</v>
      </c>
      <c r="H28" s="75">
        <f t="shared" si="5"/>
        <v>23</v>
      </c>
      <c r="I28" s="75">
        <f t="shared" si="5"/>
        <v>23</v>
      </c>
      <c r="J28" s="75">
        <f t="shared" si="5"/>
        <v>23</v>
      </c>
      <c r="K28" s="75">
        <f t="shared" si="5"/>
        <v>23</v>
      </c>
      <c r="L28" s="75">
        <f t="shared" si="5"/>
        <v>23</v>
      </c>
      <c r="M28" s="75">
        <f t="shared" si="5"/>
        <v>23</v>
      </c>
    </row>
    <row r="29" spans="1:13" x14ac:dyDescent="0.55000000000000004">
      <c r="A29" s="86" t="s">
        <v>21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spans="1:13" ht="42.3" x14ac:dyDescent="0.55000000000000004">
      <c r="A30" s="85" t="s">
        <v>141</v>
      </c>
      <c r="B30" s="72">
        <v>1</v>
      </c>
      <c r="C30" s="72">
        <v>1</v>
      </c>
      <c r="D30" s="72">
        <v>1</v>
      </c>
      <c r="E30" s="72">
        <v>1</v>
      </c>
      <c r="F30" s="72">
        <v>1</v>
      </c>
      <c r="G30" s="72">
        <v>1</v>
      </c>
      <c r="H30" s="72">
        <v>32</v>
      </c>
      <c r="I30" s="72">
        <v>32</v>
      </c>
      <c r="J30" s="72">
        <v>32</v>
      </c>
      <c r="K30" s="72">
        <v>32</v>
      </c>
      <c r="L30" s="72">
        <v>32</v>
      </c>
      <c r="M30" s="72">
        <v>32</v>
      </c>
    </row>
    <row r="31" spans="1:13" x14ac:dyDescent="0.55000000000000004">
      <c r="A31" s="85" t="s">
        <v>142</v>
      </c>
      <c r="B31" s="72">
        <v>1</v>
      </c>
      <c r="C31" s="72">
        <v>1</v>
      </c>
      <c r="D31" s="72">
        <v>1</v>
      </c>
      <c r="E31" s="72">
        <v>1</v>
      </c>
      <c r="F31" s="72">
        <v>1</v>
      </c>
      <c r="G31" s="72">
        <v>1</v>
      </c>
      <c r="H31" s="72">
        <v>4</v>
      </c>
      <c r="I31" s="72">
        <v>4</v>
      </c>
      <c r="J31" s="72">
        <v>4</v>
      </c>
      <c r="K31" s="72">
        <v>4</v>
      </c>
      <c r="L31" s="72">
        <v>4</v>
      </c>
      <c r="M31" s="72">
        <v>4</v>
      </c>
    </row>
    <row r="32" spans="1:13" x14ac:dyDescent="0.55000000000000004">
      <c r="A32" s="85" t="s">
        <v>22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8</v>
      </c>
      <c r="I32" s="72">
        <v>8</v>
      </c>
      <c r="J32" s="72">
        <v>8</v>
      </c>
      <c r="K32" s="72">
        <v>8</v>
      </c>
      <c r="L32" s="72">
        <v>8</v>
      </c>
      <c r="M32" s="72">
        <v>8</v>
      </c>
    </row>
    <row r="33" spans="1:13" ht="41.4" x14ac:dyDescent="0.55000000000000004">
      <c r="A33" s="92" t="s">
        <v>143</v>
      </c>
      <c r="B33" s="76">
        <f t="shared" ref="B33:G33" si="6">IF(B30&gt;=2, 10*LOG10(B30/2), 0)</f>
        <v>0</v>
      </c>
      <c r="C33" s="76">
        <f t="shared" si="6"/>
        <v>0</v>
      </c>
      <c r="D33" s="76">
        <f t="shared" si="6"/>
        <v>0</v>
      </c>
      <c r="E33" s="76">
        <f t="shared" si="6"/>
        <v>0</v>
      </c>
      <c r="F33" s="76">
        <f t="shared" si="6"/>
        <v>0</v>
      </c>
      <c r="G33" s="76">
        <f t="shared" si="6"/>
        <v>0</v>
      </c>
      <c r="H33" s="76">
        <f t="shared" ref="H33:M33" si="7">IF(H30/H31&gt;=2, 10*LOG10(H30/H31), 0)</f>
        <v>9.0308998699194358</v>
      </c>
      <c r="I33" s="76">
        <f t="shared" si="7"/>
        <v>9.0308998699194358</v>
      </c>
      <c r="J33" s="76">
        <f t="shared" si="7"/>
        <v>9.0308998699194358</v>
      </c>
      <c r="K33" s="76">
        <f t="shared" si="7"/>
        <v>9.0308998699194358</v>
      </c>
      <c r="L33" s="76">
        <f t="shared" si="7"/>
        <v>9.0308998699194358</v>
      </c>
      <c r="M33" s="76">
        <f t="shared" si="7"/>
        <v>9.0308998699194358</v>
      </c>
    </row>
    <row r="34" spans="1:13" ht="42.3" x14ac:dyDescent="0.55000000000000004">
      <c r="A34" s="85" t="s">
        <v>23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3</v>
      </c>
      <c r="I34" s="72">
        <v>3</v>
      </c>
      <c r="J34" s="72">
        <v>3</v>
      </c>
      <c r="K34" s="72">
        <v>3</v>
      </c>
      <c r="L34" s="72">
        <v>3</v>
      </c>
      <c r="M34" s="72">
        <v>3</v>
      </c>
    </row>
    <row r="35" spans="1:13" x14ac:dyDescent="0.55000000000000004">
      <c r="A35" s="85" t="s">
        <v>24</v>
      </c>
      <c r="B35" s="72">
        <v>7</v>
      </c>
      <c r="C35" s="72">
        <v>7</v>
      </c>
      <c r="D35" s="72">
        <v>7</v>
      </c>
      <c r="E35" s="72">
        <v>7</v>
      </c>
      <c r="F35" s="72">
        <v>7</v>
      </c>
      <c r="G35" s="72">
        <v>7</v>
      </c>
      <c r="H35" s="72">
        <v>5</v>
      </c>
      <c r="I35" s="72">
        <v>5</v>
      </c>
      <c r="J35" s="72">
        <v>5</v>
      </c>
      <c r="K35" s="72">
        <v>5</v>
      </c>
      <c r="L35" s="72">
        <v>5</v>
      </c>
      <c r="M35" s="72">
        <v>5</v>
      </c>
    </row>
    <row r="36" spans="1:13" x14ac:dyDescent="0.55000000000000004">
      <c r="A36" s="85" t="s">
        <v>25</v>
      </c>
      <c r="B36" s="72">
        <v>-174</v>
      </c>
      <c r="C36" s="72">
        <v>-174</v>
      </c>
      <c r="D36" s="72">
        <v>-174</v>
      </c>
      <c r="E36" s="72">
        <v>-174</v>
      </c>
      <c r="F36" s="72">
        <v>-174</v>
      </c>
      <c r="G36" s="72">
        <v>-174</v>
      </c>
      <c r="H36" s="72">
        <v>-174</v>
      </c>
      <c r="I36" s="72">
        <v>-174</v>
      </c>
      <c r="J36" s="72">
        <v>-174</v>
      </c>
      <c r="K36" s="72">
        <v>-174</v>
      </c>
      <c r="L36" s="72">
        <v>-174</v>
      </c>
      <c r="M36" s="72">
        <v>-174</v>
      </c>
    </row>
    <row r="37" spans="1:13" ht="28.2" x14ac:dyDescent="0.55000000000000004">
      <c r="A37" s="85" t="s">
        <v>144</v>
      </c>
      <c r="B37" s="72" t="s">
        <v>59</v>
      </c>
      <c r="C37" s="72">
        <v>-177</v>
      </c>
      <c r="D37" s="72" t="s">
        <v>59</v>
      </c>
      <c r="E37" s="72">
        <v>-177</v>
      </c>
      <c r="F37" s="72" t="s">
        <v>59</v>
      </c>
      <c r="G37" s="72">
        <v>-177</v>
      </c>
      <c r="H37" s="72" t="s">
        <v>59</v>
      </c>
      <c r="I37" s="72">
        <v>-177</v>
      </c>
      <c r="J37" s="72" t="s">
        <v>59</v>
      </c>
      <c r="K37" s="72">
        <v>-177</v>
      </c>
      <c r="L37" s="72" t="s">
        <v>59</v>
      </c>
      <c r="M37" s="72">
        <v>-177</v>
      </c>
    </row>
    <row r="38" spans="1:13" ht="28.2" x14ac:dyDescent="0.55000000000000004">
      <c r="A38" s="85" t="s">
        <v>145</v>
      </c>
      <c r="B38" s="72">
        <v>-177</v>
      </c>
      <c r="C38" s="72" t="s">
        <v>59</v>
      </c>
      <c r="D38" s="72">
        <v>-177</v>
      </c>
      <c r="E38" s="72" t="s">
        <v>59</v>
      </c>
      <c r="F38" s="72">
        <v>-177</v>
      </c>
      <c r="G38" s="72" t="s">
        <v>59</v>
      </c>
      <c r="H38" s="72">
        <v>-177</v>
      </c>
      <c r="I38" s="72" t="s">
        <v>59</v>
      </c>
      <c r="J38" s="72">
        <v>-177</v>
      </c>
      <c r="K38" s="72" t="s">
        <v>59</v>
      </c>
      <c r="L38" s="72">
        <v>-177</v>
      </c>
      <c r="M38" s="72" t="s">
        <v>59</v>
      </c>
    </row>
    <row r="39" spans="1:13" ht="56.4" x14ac:dyDescent="0.55000000000000004">
      <c r="A39" s="99" t="s">
        <v>28</v>
      </c>
      <c r="B39" s="72" t="s">
        <v>59</v>
      </c>
      <c r="C39" s="72">
        <f t="shared" ref="C39:M39" si="8">10*LOG10(10^((C35+C36)/10)+10^(C37/10))</f>
        <v>-166.58607314841777</v>
      </c>
      <c r="D39" s="72" t="s">
        <v>59</v>
      </c>
      <c r="E39" s="72">
        <f t="shared" ref="E39" si="9">10*LOG10(10^((E35+E36)/10)+10^(E37/10))</f>
        <v>-166.58607314841777</v>
      </c>
      <c r="F39" s="72" t="s">
        <v>59</v>
      </c>
      <c r="G39" s="72">
        <f t="shared" ref="G39" si="10">10*LOG10(10^((G35+G36)/10)+10^(G37/10))</f>
        <v>-166.58607314841777</v>
      </c>
      <c r="H39" s="72" t="s">
        <v>59</v>
      </c>
      <c r="I39" s="72">
        <f t="shared" si="8"/>
        <v>-168.36107965856621</v>
      </c>
      <c r="J39" s="72" t="s">
        <v>59</v>
      </c>
      <c r="K39" s="72">
        <f t="shared" ref="K39" si="11">10*LOG10(10^((K35+K36)/10)+10^(K37/10))</f>
        <v>-168.36107965856621</v>
      </c>
      <c r="L39" s="72" t="s">
        <v>59</v>
      </c>
      <c r="M39" s="72">
        <f t="shared" si="8"/>
        <v>-168.36107965856621</v>
      </c>
    </row>
    <row r="40" spans="1:13" ht="56.4" x14ac:dyDescent="0.55000000000000004">
      <c r="A40" s="99" t="s">
        <v>146</v>
      </c>
      <c r="B40" s="72">
        <f t="shared" ref="B40:L40" si="12">10*LOG10(10^((B35+B36)/10)+10^(B38/10))</f>
        <v>-166.58607314841777</v>
      </c>
      <c r="C40" s="72" t="s">
        <v>59</v>
      </c>
      <c r="D40" s="72">
        <f t="shared" ref="D40" si="13">10*LOG10(10^((D35+D36)/10)+10^(D38/10))</f>
        <v>-166.58607314841777</v>
      </c>
      <c r="E40" s="72" t="s">
        <v>59</v>
      </c>
      <c r="F40" s="72">
        <f t="shared" ref="F40" si="14">10*LOG10(10^((F35+F36)/10)+10^(F38/10))</f>
        <v>-166.58607314841777</v>
      </c>
      <c r="G40" s="72" t="s">
        <v>59</v>
      </c>
      <c r="H40" s="72">
        <f t="shared" si="12"/>
        <v>-168.36107965856621</v>
      </c>
      <c r="I40" s="72" t="s">
        <v>59</v>
      </c>
      <c r="J40" s="72">
        <f t="shared" ref="J40" si="15">10*LOG10(10^((J35+J36)/10)+10^(J38/10))</f>
        <v>-168.36107965856621</v>
      </c>
      <c r="K40" s="72" t="s">
        <v>59</v>
      </c>
      <c r="L40" s="72">
        <f t="shared" si="12"/>
        <v>-168.36107965856621</v>
      </c>
      <c r="M40" s="72" t="s">
        <v>59</v>
      </c>
    </row>
    <row r="41" spans="1:13" ht="28.2" x14ac:dyDescent="0.55000000000000004">
      <c r="A41" s="85" t="s">
        <v>30</v>
      </c>
      <c r="B41" s="72" t="s">
        <v>59</v>
      </c>
      <c r="C41" s="72">
        <v>1080000</v>
      </c>
      <c r="D41" s="72" t="s">
        <v>59</v>
      </c>
      <c r="E41" s="72">
        <v>1080000</v>
      </c>
      <c r="F41" s="72" t="s">
        <v>59</v>
      </c>
      <c r="G41" s="72">
        <v>1080000</v>
      </c>
      <c r="H41" s="72" t="s">
        <v>59</v>
      </c>
      <c r="I41" s="72">
        <v>180000</v>
      </c>
      <c r="J41" s="72" t="s">
        <v>59</v>
      </c>
      <c r="K41" s="72">
        <v>180000</v>
      </c>
      <c r="L41" s="72" t="s">
        <v>59</v>
      </c>
      <c r="M41" s="72">
        <v>180000</v>
      </c>
    </row>
    <row r="42" spans="1:13" ht="28.2" x14ac:dyDescent="0.55000000000000004">
      <c r="A42" s="85" t="s">
        <v>31</v>
      </c>
      <c r="B42" s="72">
        <v>1080000</v>
      </c>
      <c r="C42" s="72" t="s">
        <v>59</v>
      </c>
      <c r="D42" s="72">
        <v>1080000</v>
      </c>
      <c r="E42" s="72" t="s">
        <v>59</v>
      </c>
      <c r="F42" s="72">
        <v>1080000</v>
      </c>
      <c r="G42" s="72" t="s">
        <v>59</v>
      </c>
      <c r="H42" s="72">
        <v>180000</v>
      </c>
      <c r="I42" s="72" t="s">
        <v>59</v>
      </c>
      <c r="J42" s="72">
        <v>180000</v>
      </c>
      <c r="K42" s="72" t="s">
        <v>59</v>
      </c>
      <c r="L42" s="72">
        <v>180000</v>
      </c>
      <c r="M42" s="72" t="s">
        <v>59</v>
      </c>
    </row>
    <row r="43" spans="1:13" ht="28.2" x14ac:dyDescent="0.55000000000000004">
      <c r="A43" s="90" t="s">
        <v>32</v>
      </c>
      <c r="B43" s="72" t="s">
        <v>59</v>
      </c>
      <c r="C43" s="72">
        <f t="shared" ref="C43:M44" si="16">C39+10*LOG10(C41)</f>
        <v>-106.25183559354826</v>
      </c>
      <c r="D43" s="72" t="s">
        <v>59</v>
      </c>
      <c r="E43" s="72">
        <f t="shared" si="16"/>
        <v>-106.25183559354826</v>
      </c>
      <c r="F43" s="72" t="s">
        <v>59</v>
      </c>
      <c r="G43" s="72">
        <f t="shared" ref="G43" si="17">G39+10*LOG10(G41)</f>
        <v>-106.25183559354826</v>
      </c>
      <c r="H43" s="72" t="s">
        <v>59</v>
      </c>
      <c r="I43" s="72">
        <f t="shared" si="16"/>
        <v>-115.80835460753315</v>
      </c>
      <c r="J43" s="72" t="s">
        <v>59</v>
      </c>
      <c r="K43" s="72">
        <f t="shared" ref="K43" si="18">K39+10*LOG10(K41)</f>
        <v>-115.80835460753315</v>
      </c>
      <c r="L43" s="72" t="s">
        <v>59</v>
      </c>
      <c r="M43" s="72">
        <f t="shared" si="16"/>
        <v>-115.80835460753315</v>
      </c>
    </row>
    <row r="44" spans="1:13" ht="28.2" x14ac:dyDescent="0.55000000000000004">
      <c r="A44" s="90" t="s">
        <v>147</v>
      </c>
      <c r="B44" s="72">
        <f>B40+10*LOG10(B42)</f>
        <v>-106.25183559354826</v>
      </c>
      <c r="C44" s="72" t="s">
        <v>59</v>
      </c>
      <c r="D44" s="72">
        <f t="shared" si="16"/>
        <v>-106.25183559354826</v>
      </c>
      <c r="E44" s="72" t="s">
        <v>59</v>
      </c>
      <c r="F44" s="72">
        <f t="shared" ref="F44" si="19">F40+10*LOG10(F42)</f>
        <v>-106.25183559354826</v>
      </c>
      <c r="G44" s="72" t="s">
        <v>59</v>
      </c>
      <c r="H44" s="72">
        <f t="shared" si="16"/>
        <v>-115.80835460753315</v>
      </c>
      <c r="I44" s="72" t="s">
        <v>59</v>
      </c>
      <c r="J44" s="72">
        <f t="shared" ref="J44" si="20">J40+10*LOG10(J42)</f>
        <v>-115.80835460753315</v>
      </c>
      <c r="K44" s="72" t="s">
        <v>59</v>
      </c>
      <c r="L44" s="72">
        <f t="shared" si="16"/>
        <v>-115.80835460753315</v>
      </c>
      <c r="M44" s="72" t="s">
        <v>59</v>
      </c>
    </row>
    <row r="45" spans="1:13" x14ac:dyDescent="0.55000000000000004">
      <c r="A45" s="87" t="s">
        <v>34</v>
      </c>
      <c r="B45" s="77" t="s">
        <v>59</v>
      </c>
      <c r="C45" s="77">
        <v>-21</v>
      </c>
      <c r="D45" s="77" t="s">
        <v>59</v>
      </c>
      <c r="E45" s="77">
        <v>-20.8</v>
      </c>
      <c r="F45" s="77" t="s">
        <v>59</v>
      </c>
      <c r="G45" s="77">
        <v>-20.8</v>
      </c>
      <c r="H45" s="77" t="s">
        <v>59</v>
      </c>
      <c r="I45" s="77">
        <v>-25.6</v>
      </c>
      <c r="J45" s="77" t="s">
        <v>59</v>
      </c>
      <c r="K45" s="77">
        <v>-26</v>
      </c>
      <c r="L45" s="77" t="s">
        <v>59</v>
      </c>
      <c r="M45" s="77">
        <v>-26</v>
      </c>
    </row>
    <row r="46" spans="1:13" x14ac:dyDescent="0.55000000000000004">
      <c r="A46" s="87" t="s">
        <v>148</v>
      </c>
      <c r="B46" s="77">
        <v>-24.1</v>
      </c>
      <c r="C46" s="77" t="s">
        <v>59</v>
      </c>
      <c r="D46" s="77">
        <v>-21.9</v>
      </c>
      <c r="E46" s="77" t="s">
        <v>59</v>
      </c>
      <c r="F46" s="77">
        <v>-21.9</v>
      </c>
      <c r="G46" s="77" t="s">
        <v>59</v>
      </c>
      <c r="H46" s="77">
        <v>-24.6</v>
      </c>
      <c r="I46" s="77" t="s">
        <v>59</v>
      </c>
      <c r="J46" s="77">
        <v>-24.6</v>
      </c>
      <c r="K46" s="77" t="s">
        <v>59</v>
      </c>
      <c r="L46" s="77">
        <v>-24.6</v>
      </c>
      <c r="M46" s="77" t="s">
        <v>59</v>
      </c>
    </row>
    <row r="47" spans="1:13" x14ac:dyDescent="0.55000000000000004">
      <c r="A47" s="85" t="s">
        <v>36</v>
      </c>
      <c r="B47" s="72">
        <v>2</v>
      </c>
      <c r="C47" s="72">
        <v>2</v>
      </c>
      <c r="D47" s="72">
        <v>2</v>
      </c>
      <c r="E47" s="72">
        <v>2</v>
      </c>
      <c r="F47" s="72">
        <v>2</v>
      </c>
      <c r="G47" s="72">
        <v>2</v>
      </c>
      <c r="H47" s="72">
        <v>2</v>
      </c>
      <c r="I47" s="72">
        <v>2</v>
      </c>
      <c r="J47" s="72">
        <v>2</v>
      </c>
      <c r="K47" s="72">
        <v>2</v>
      </c>
      <c r="L47" s="72">
        <v>2</v>
      </c>
      <c r="M47" s="72">
        <v>2</v>
      </c>
    </row>
    <row r="48" spans="1:13" x14ac:dyDescent="0.55000000000000004">
      <c r="A48" s="85" t="s">
        <v>37</v>
      </c>
      <c r="B48" s="72" t="s">
        <v>59</v>
      </c>
      <c r="C48" s="72">
        <v>0</v>
      </c>
      <c r="D48" s="72" t="s">
        <v>59</v>
      </c>
      <c r="E48" s="72">
        <v>0</v>
      </c>
      <c r="F48" s="72" t="s">
        <v>59</v>
      </c>
      <c r="G48" s="72">
        <v>0</v>
      </c>
      <c r="H48" s="72" t="s">
        <v>59</v>
      </c>
      <c r="I48" s="72">
        <v>0</v>
      </c>
      <c r="J48" s="72" t="s">
        <v>59</v>
      </c>
      <c r="K48" s="72">
        <v>0</v>
      </c>
      <c r="L48" s="72" t="s">
        <v>59</v>
      </c>
      <c r="M48" s="72">
        <v>0</v>
      </c>
    </row>
    <row r="49" spans="1:13" x14ac:dyDescent="0.55000000000000004">
      <c r="A49" s="85" t="s">
        <v>38</v>
      </c>
      <c r="B49" s="72">
        <v>0</v>
      </c>
      <c r="C49" s="72" t="s">
        <v>59</v>
      </c>
      <c r="D49" s="72">
        <v>0</v>
      </c>
      <c r="E49" s="72" t="s">
        <v>59</v>
      </c>
      <c r="F49" s="72">
        <v>0</v>
      </c>
      <c r="G49" s="72" t="s">
        <v>59</v>
      </c>
      <c r="H49" s="72">
        <v>0</v>
      </c>
      <c r="I49" s="72" t="s">
        <v>59</v>
      </c>
      <c r="J49" s="72">
        <v>0</v>
      </c>
      <c r="K49" s="72" t="s">
        <v>59</v>
      </c>
      <c r="L49" s="72">
        <v>0</v>
      </c>
      <c r="M49" s="72" t="s">
        <v>59</v>
      </c>
    </row>
    <row r="50" spans="1:13" ht="28.2" x14ac:dyDescent="0.55000000000000004">
      <c r="A50" s="91" t="s">
        <v>39</v>
      </c>
      <c r="B50" s="75" t="s">
        <v>59</v>
      </c>
      <c r="C50" s="75">
        <f>C43+C45+C47-C48</f>
        <v>-125.25183559354826</v>
      </c>
      <c r="D50" s="75" t="s">
        <v>59</v>
      </c>
      <c r="E50" s="75">
        <f t="shared" ref="E50:M50" si="21">E43+E45+E47-E48</f>
        <v>-125.05183559354826</v>
      </c>
      <c r="F50" s="75" t="s">
        <v>59</v>
      </c>
      <c r="G50" s="75">
        <f t="shared" ref="G50" si="22">G43+G45+G47-G48</f>
        <v>-125.05183559354826</v>
      </c>
      <c r="H50" s="75" t="s">
        <v>59</v>
      </c>
      <c r="I50" s="75">
        <f t="shared" si="21"/>
        <v>-139.40835460753314</v>
      </c>
      <c r="J50" s="75" t="s">
        <v>59</v>
      </c>
      <c r="K50" s="75">
        <f t="shared" si="21"/>
        <v>-139.80835460753315</v>
      </c>
      <c r="L50" s="75" t="s">
        <v>59</v>
      </c>
      <c r="M50" s="75">
        <f t="shared" si="21"/>
        <v>-139.80835460753315</v>
      </c>
    </row>
    <row r="51" spans="1:13" ht="28.2" x14ac:dyDescent="0.55000000000000004">
      <c r="A51" s="91" t="s">
        <v>149</v>
      </c>
      <c r="B51" s="75">
        <f>B44+B46+B47-B49</f>
        <v>-128.35183559354826</v>
      </c>
      <c r="C51" s="75" t="s">
        <v>59</v>
      </c>
      <c r="D51" s="75">
        <f>D44+D46+D47-D49</f>
        <v>-126.15183559354827</v>
      </c>
      <c r="E51" s="75" t="s">
        <v>59</v>
      </c>
      <c r="F51" s="75">
        <f>F44+F46+F47-F49</f>
        <v>-126.15183559354827</v>
      </c>
      <c r="G51" s="75" t="s">
        <v>59</v>
      </c>
      <c r="H51" s="75">
        <f t="shared" ref="H51:L51" si="23">H44+H46+H47-H49</f>
        <v>-138.40835460753314</v>
      </c>
      <c r="I51" s="75" t="s">
        <v>59</v>
      </c>
      <c r="J51" s="75">
        <f>J44+J46+J47-J49</f>
        <v>-138.40835460753314</v>
      </c>
      <c r="K51" s="75" t="s">
        <v>59</v>
      </c>
      <c r="L51" s="75">
        <f t="shared" si="23"/>
        <v>-138.40835460753314</v>
      </c>
      <c r="M51" s="75" t="s">
        <v>59</v>
      </c>
    </row>
    <row r="52" spans="1:13" ht="28.2" x14ac:dyDescent="0.55000000000000004">
      <c r="A52" s="91" t="s">
        <v>41</v>
      </c>
      <c r="B52" s="75" t="s">
        <v>59</v>
      </c>
      <c r="C52" s="75">
        <f t="shared" ref="C52:M52" si="24">C27+C32+C33-C50</f>
        <v>176.08393529002694</v>
      </c>
      <c r="D52" s="75" t="s">
        <v>59</v>
      </c>
      <c r="E52" s="75">
        <f t="shared" si="24"/>
        <v>175.88393529002695</v>
      </c>
      <c r="F52" s="75" t="s">
        <v>59</v>
      </c>
      <c r="G52" s="75">
        <f t="shared" ref="G52" si="25">G27+G32+G33-G50</f>
        <v>175.88393529002695</v>
      </c>
      <c r="H52" s="75" t="s">
        <v>59</v>
      </c>
      <c r="I52" s="75">
        <f t="shared" si="24"/>
        <v>179.43925447745258</v>
      </c>
      <c r="J52" s="75" t="s">
        <v>59</v>
      </c>
      <c r="K52" s="75">
        <f t="shared" si="24"/>
        <v>179.83925447745258</v>
      </c>
      <c r="L52" s="75" t="s">
        <v>59</v>
      </c>
      <c r="M52" s="75">
        <f t="shared" si="24"/>
        <v>179.83925447745258</v>
      </c>
    </row>
    <row r="53" spans="1:13" ht="28.2" x14ac:dyDescent="0.55000000000000004">
      <c r="A53" s="91" t="s">
        <v>42</v>
      </c>
      <c r="B53" s="75">
        <f>B28+B32+B33-B51</f>
        <v>179.18393529002694</v>
      </c>
      <c r="C53" s="75" t="s">
        <v>59</v>
      </c>
      <c r="D53" s="75">
        <f t="shared" ref="D53:J53" si="26">D28+D32+D33-D51</f>
        <v>176.98393529002695</v>
      </c>
      <c r="E53" s="75" t="s">
        <v>59</v>
      </c>
      <c r="F53" s="75">
        <f t="shared" ref="F53" si="27">F28+F32+F33-F51</f>
        <v>176.98393529002695</v>
      </c>
      <c r="G53" s="75" t="s">
        <v>59</v>
      </c>
      <c r="H53" s="75">
        <f t="shared" si="26"/>
        <v>178.43925447745258</v>
      </c>
      <c r="I53" s="75" t="s">
        <v>59</v>
      </c>
      <c r="J53" s="75">
        <f t="shared" si="26"/>
        <v>178.43925447745258</v>
      </c>
      <c r="K53" s="75" t="s">
        <v>59</v>
      </c>
      <c r="L53" s="75">
        <f>L28+L32+L33-L51</f>
        <v>178.43925447745258</v>
      </c>
      <c r="M53" s="75" t="s">
        <v>59</v>
      </c>
    </row>
    <row r="54" spans="1:13" x14ac:dyDescent="0.55000000000000004">
      <c r="A54" s="86" t="s">
        <v>43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spans="1:13" x14ac:dyDescent="0.55000000000000004">
      <c r="A55" s="85" t="s">
        <v>44</v>
      </c>
      <c r="B55" s="72">
        <v>4</v>
      </c>
      <c r="C55" s="72">
        <v>4</v>
      </c>
      <c r="D55" s="72">
        <v>6</v>
      </c>
      <c r="E55" s="72">
        <v>6</v>
      </c>
      <c r="F55" s="72">
        <v>6</v>
      </c>
      <c r="G55" s="72">
        <v>6</v>
      </c>
      <c r="H55" s="72">
        <v>4</v>
      </c>
      <c r="I55" s="72">
        <v>4</v>
      </c>
      <c r="J55" s="72">
        <v>6</v>
      </c>
      <c r="K55" s="72">
        <v>6</v>
      </c>
      <c r="L55" s="72">
        <v>6</v>
      </c>
      <c r="M55" s="72">
        <v>6</v>
      </c>
    </row>
    <row r="56" spans="1:13" ht="28.2" x14ac:dyDescent="0.55000000000000004">
      <c r="A56" s="85" t="s">
        <v>45</v>
      </c>
      <c r="B56" s="72" t="s">
        <v>59</v>
      </c>
      <c r="C56" s="72">
        <v>6.24</v>
      </c>
      <c r="D56" s="72" t="s">
        <v>59</v>
      </c>
      <c r="E56" s="72">
        <v>10.26</v>
      </c>
      <c r="F56" s="72" t="s">
        <v>59</v>
      </c>
      <c r="G56" s="72">
        <v>12.32</v>
      </c>
      <c r="H56" s="72" t="s">
        <v>59</v>
      </c>
      <c r="I56" s="72">
        <v>6.24</v>
      </c>
      <c r="J56" s="72" t="s">
        <v>59</v>
      </c>
      <c r="K56" s="72">
        <v>10.26</v>
      </c>
      <c r="L56" s="72" t="s">
        <v>59</v>
      </c>
      <c r="M56" s="72">
        <v>12.32</v>
      </c>
    </row>
    <row r="57" spans="1:13" ht="31.5" customHeight="1" x14ac:dyDescent="0.55000000000000004">
      <c r="A57" s="85" t="s">
        <v>46</v>
      </c>
      <c r="B57" s="72">
        <v>6.24</v>
      </c>
      <c r="C57" s="72" t="s">
        <v>59</v>
      </c>
      <c r="D57" s="72">
        <v>10.26</v>
      </c>
      <c r="E57" s="72" t="s">
        <v>59</v>
      </c>
      <c r="F57" s="72">
        <v>12.32</v>
      </c>
      <c r="G57" s="72" t="s">
        <v>59</v>
      </c>
      <c r="H57" s="72">
        <v>6.24</v>
      </c>
      <c r="I57" s="72" t="s">
        <v>59</v>
      </c>
      <c r="J57" s="72">
        <v>10.26</v>
      </c>
      <c r="K57" s="72" t="s">
        <v>59</v>
      </c>
      <c r="L57" s="72">
        <v>12.32</v>
      </c>
      <c r="M57" s="72" t="s">
        <v>59</v>
      </c>
    </row>
    <row r="58" spans="1:13" ht="32.25" customHeight="1" x14ac:dyDescent="0.55000000000000004">
      <c r="A58" s="85" t="s">
        <v>47</v>
      </c>
      <c r="B58" s="72">
        <v>0</v>
      </c>
      <c r="C58" s="72">
        <v>0</v>
      </c>
      <c r="D58" s="72">
        <v>0</v>
      </c>
      <c r="E58" s="72">
        <v>0</v>
      </c>
      <c r="F58" s="72">
        <v>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</row>
    <row r="59" spans="1:13" x14ac:dyDescent="0.55000000000000004">
      <c r="A59" s="85" t="s">
        <v>48</v>
      </c>
      <c r="B59" s="72">
        <v>0</v>
      </c>
      <c r="C59" s="72">
        <v>0</v>
      </c>
      <c r="D59" s="72">
        <v>0</v>
      </c>
      <c r="E59" s="72">
        <v>0</v>
      </c>
      <c r="F59" s="72">
        <f>20+0.5*12.5</f>
        <v>26.25</v>
      </c>
      <c r="G59" s="72">
        <f>20+0.5*12.5</f>
        <v>26.25</v>
      </c>
      <c r="H59" s="72">
        <v>0</v>
      </c>
      <c r="I59" s="72">
        <v>0</v>
      </c>
      <c r="J59" s="72">
        <v>0</v>
      </c>
      <c r="K59" s="72">
        <v>0</v>
      </c>
      <c r="L59" s="72">
        <f>20+0.5*12.5</f>
        <v>26.25</v>
      </c>
      <c r="M59" s="72">
        <f>20+0.5*12.5</f>
        <v>26.25</v>
      </c>
    </row>
    <row r="60" spans="1:13" x14ac:dyDescent="0.55000000000000004">
      <c r="A60" s="85" t="s">
        <v>49</v>
      </c>
      <c r="B60" s="72">
        <v>0</v>
      </c>
      <c r="C60" s="72">
        <v>0</v>
      </c>
      <c r="D60" s="72">
        <v>0</v>
      </c>
      <c r="E60" s="72">
        <v>0</v>
      </c>
      <c r="F60" s="72">
        <v>0</v>
      </c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</row>
    <row r="61" spans="1:13" ht="28.2" x14ac:dyDescent="0.55000000000000004">
      <c r="A61" s="99" t="s">
        <v>150</v>
      </c>
      <c r="B61" s="72" t="s">
        <v>127</v>
      </c>
      <c r="C61" s="72">
        <f t="shared" ref="C61:M61" si="28">C52-C56+C58-C59+C60-C34</f>
        <v>169.84393529002693</v>
      </c>
      <c r="D61" s="72" t="s">
        <v>59</v>
      </c>
      <c r="E61" s="72">
        <f t="shared" si="28"/>
        <v>165.62393529002696</v>
      </c>
      <c r="F61" s="72" t="s">
        <v>59</v>
      </c>
      <c r="G61" s="72">
        <f t="shared" si="28"/>
        <v>137.31393529002696</v>
      </c>
      <c r="H61" s="72" t="s">
        <v>59</v>
      </c>
      <c r="I61" s="72">
        <f t="shared" si="28"/>
        <v>170.19925447745257</v>
      </c>
      <c r="J61" s="72" t="s">
        <v>59</v>
      </c>
      <c r="K61" s="72">
        <f t="shared" si="28"/>
        <v>166.57925447745259</v>
      </c>
      <c r="L61" s="72" t="s">
        <v>59</v>
      </c>
      <c r="M61" s="72">
        <f t="shared" si="28"/>
        <v>138.26925447745259</v>
      </c>
    </row>
    <row r="62" spans="1:13" ht="28.2" x14ac:dyDescent="0.55000000000000004">
      <c r="A62" s="99" t="s">
        <v>50</v>
      </c>
      <c r="B62" s="72">
        <f t="shared" ref="B62:J62" si="29">B53-B57+B58-B59+B60-B34</f>
        <v>172.94393529002693</v>
      </c>
      <c r="C62" s="72" t="s">
        <v>59</v>
      </c>
      <c r="D62" s="72">
        <f t="shared" si="29"/>
        <v>166.72393529002696</v>
      </c>
      <c r="E62" s="72" t="s">
        <v>59</v>
      </c>
      <c r="F62" s="72">
        <f t="shared" si="29"/>
        <v>138.41393529002696</v>
      </c>
      <c r="G62" s="72" t="s">
        <v>59</v>
      </c>
      <c r="H62" s="72">
        <f t="shared" si="29"/>
        <v>169.19925447745257</v>
      </c>
      <c r="I62" s="72" t="s">
        <v>59</v>
      </c>
      <c r="J62" s="72">
        <f t="shared" si="29"/>
        <v>165.17925447745259</v>
      </c>
      <c r="K62" s="72" t="s">
        <v>59</v>
      </c>
      <c r="L62" s="72">
        <f>L53-L57+L58-L59+L60-L34</f>
        <v>136.86925447745259</v>
      </c>
      <c r="M62" s="72" t="s">
        <v>59</v>
      </c>
    </row>
    <row r="63" spans="1:13" x14ac:dyDescent="0.55000000000000004">
      <c r="A63" s="86" t="s">
        <v>51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</row>
    <row r="64" spans="1:13" s="101" customFormat="1" x14ac:dyDescent="0.55000000000000004">
      <c r="A64" s="9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</row>
    <row r="65" spans="1:13" ht="42.3" x14ac:dyDescent="0.55000000000000004">
      <c r="A65" s="89" t="s">
        <v>52</v>
      </c>
      <c r="B65" s="72" t="s">
        <v>59</v>
      </c>
      <c r="C65" s="72">
        <f>SQRT((10^((C61-28-20*LOG10(C$4)+9*LOG10(112^2+(C$5-C$6)^2))/40) )^2-(C$5-C$6)^2)</f>
        <v>35473.768887188598</v>
      </c>
      <c r="D65" s="72" t="s">
        <v>59</v>
      </c>
      <c r="E65" s="72">
        <f>SQRT((10^((E61-161.04+7.1*LOG10(20)-7.5*LOG10(20)+(24.37-3.7*(20/E5)^2)*LOG10(E5)-20*LOG10(E4)+(3.2*(LOG10(17.625))^2-4.97)+0.6*(E6-1.5))/(43.42-3.1*LOG10(E5))+3))^2-(E5-E6)^2)</f>
        <v>9334.8916031009376</v>
      </c>
      <c r="F65" s="72" t="s">
        <v>59</v>
      </c>
      <c r="G65" s="72">
        <f>SQRT((10^((G61-161.04+7.1*LOG10(20)-7.5*LOG10(20)+(24.37-3.7*(20/G5)^2)*LOG10(G5)-20*LOG10(G4)+(3.2*(LOG10(17.625))^2-4.97)+0.6*(G6-1.5))/(43.42-3.1*LOG10(G5))+3))^2-(G5-G6)^2)</f>
        <v>1761.0791851806512</v>
      </c>
      <c r="H65" s="72" t="s">
        <v>59</v>
      </c>
      <c r="I65" s="72">
        <f>SQRT((10^((I61-28-20*LOG10(I$4)+9*LOG10(112^2+(I$5-I$6)^2))/40) )^2-(I$5-I$6)^2)</f>
        <v>36206.814398592083</v>
      </c>
      <c r="J65" s="72" t="s">
        <v>59</v>
      </c>
      <c r="K65" s="72">
        <f>SQRT((10^((K61-161.04+7.1*LOG10(20)-7.5*LOG10(20)+(24.37-3.7*(20/K5)^2)*LOG10(K5)-20*LOG10(K4)+(3.2*(LOG10(17.625))^2-4.97)+0.6*(K6-1.5))/(43.42-3.1*LOG10(K5))+3))^2-(K5-K6)^2)</f>
        <v>9875.3080444553107</v>
      </c>
      <c r="L65" s="72" t="s">
        <v>59</v>
      </c>
      <c r="M65" s="72">
        <f>SQRT((10^((M61-161.04+7.1*LOG10(20)-7.5*LOG10(20)+(24.37-3.7*(20/M5)^2)*LOG10(M5)-20*LOG10(M4)+(3.2*(LOG10(17.625))^2-4.97)+0.6*(M6-1.5))/(43.42-3.1*LOG10(M5))+3))^2-(M5-M6)^2)</f>
        <v>1863.0487793247598</v>
      </c>
    </row>
    <row r="66" spans="1:13" ht="42.3" x14ac:dyDescent="0.55000000000000004">
      <c r="A66" s="89" t="s">
        <v>53</v>
      </c>
      <c r="B66" s="72">
        <f>SQRT((10^((B62-28-20*LOG10(B$4)+9*LOG10(112^2+(B$5-B$6)^2))/40) )^2-(B$5-B$6)^2)</f>
        <v>42404.052238778895</v>
      </c>
      <c r="C66" s="72" t="s">
        <v>59</v>
      </c>
      <c r="D66" s="72">
        <f>SQRT((10^((D62-161.04+7.1*LOG10(20)-7.5*LOG10(20)+(24.37-3.7*(20/D5)^2)*LOG10(D5)-20*LOG10(D4)+(3.2*(LOG10(17.625))^2-4.97)+0.6*(D6-1.5))/(43.42-3.1*LOG10(D5))+3))^2-(D5-D6)^2)</f>
        <v>9959.837156991045</v>
      </c>
      <c r="E66" s="72" t="s">
        <v>59</v>
      </c>
      <c r="F66" s="72">
        <f>SQRT((10^((F62-161.04+7.1*LOG10(20)-7.5*LOG10(20)+(24.37-3.7*(20/F5)^2)*LOG10(F5)-20*LOG10(F4)+(3.2*(LOG10(17.625))^2-4.97)+0.6*(F6-1.5))/(43.42-3.1*LOG10(F5))+3))^2-(F5-F6)^2)</f>
        <v>1878.998248554396</v>
      </c>
      <c r="G66" s="72" t="s">
        <v>59</v>
      </c>
      <c r="H66" s="72">
        <f>SQRT((10^((H62-28-20*LOG10(H$4)+9*LOG10(112^2+(H$5-H$6)^2))/40) )^2-(H$5-H$6)^2)</f>
        <v>34181.436050158256</v>
      </c>
      <c r="I66" s="72" t="s">
        <v>59</v>
      </c>
      <c r="J66" s="72">
        <f>SQRT((10^((J62-161.04+7.1*LOG10(20)-7.5*LOG10(20)+(24.37-3.7*(20/J5)^2)*LOG10(J5)-20*LOG10(J4)+(3.2*(LOG10(17.625))^2-4.97)+0.6*(J6-1.5))/(43.42-3.1*LOG10(J5))+3))^2-(J5-J6)^2)</f>
        <v>9093.5264257744893</v>
      </c>
      <c r="K66" s="72" t="s">
        <v>59</v>
      </c>
      <c r="L66" s="72">
        <f>SQRT((10^((L62-161.04+7.1*LOG10(20)-7.5*LOG10(20)+(24.37-3.7*(20/L5)^2)*LOG10(L5)-20*LOG10(L4)+(3.2*(LOG10(17.625))^2-4.97)+0.6*(L6-1.5))/(43.42-3.1*LOG10(L5))+3))^2-(L5-L6)^2)</f>
        <v>1715.5363796218764</v>
      </c>
      <c r="M66" s="72" t="s">
        <v>59</v>
      </c>
    </row>
    <row r="67" spans="1:13" ht="33" x14ac:dyDescent="0.55000000000000004">
      <c r="A67" s="89" t="s">
        <v>151</v>
      </c>
      <c r="B67" s="72" t="s">
        <v>59</v>
      </c>
      <c r="C67" s="72">
        <f>PI()*(C65)^2</f>
        <v>3953343372.8636446</v>
      </c>
      <c r="D67" s="72" t="s">
        <v>59</v>
      </c>
      <c r="E67" s="72">
        <f>PI()*(E65)^2</f>
        <v>273759016.05308622</v>
      </c>
      <c r="F67" s="72" t="s">
        <v>59</v>
      </c>
      <c r="G67" s="72">
        <f>PI()*(G65)^2</f>
        <v>9743335.1306148618</v>
      </c>
      <c r="H67" s="72" t="s">
        <v>59</v>
      </c>
      <c r="I67" s="72">
        <f>PI()*(I65)^2</f>
        <v>4118418766.7271132</v>
      </c>
      <c r="J67" s="72" t="s">
        <v>59</v>
      </c>
      <c r="K67" s="72">
        <f>PI()*(K65)^2</f>
        <v>306373484.47473347</v>
      </c>
      <c r="L67" s="72" t="s">
        <v>59</v>
      </c>
      <c r="M67" s="72">
        <f>PI()*(M65)^2</f>
        <v>10904313.390189102</v>
      </c>
    </row>
    <row r="68" spans="1:13" ht="33" x14ac:dyDescent="0.55000000000000004">
      <c r="A68" s="89" t="s">
        <v>152</v>
      </c>
      <c r="B68" s="72">
        <f>PI()*(B66)^2</f>
        <v>5648909205.5119915</v>
      </c>
      <c r="C68" s="72" t="s">
        <v>59</v>
      </c>
      <c r="D68" s="72">
        <f>PI()*(D66)^2</f>
        <v>311640827.0665611</v>
      </c>
      <c r="E68" s="72" t="s">
        <v>59</v>
      </c>
      <c r="F68" s="72">
        <f>PI()*(F66)^2</f>
        <v>11091815.150321519</v>
      </c>
      <c r="G68" s="72" t="s">
        <v>59</v>
      </c>
      <c r="H68" s="72" t="s">
        <v>127</v>
      </c>
      <c r="I68" s="72" t="s">
        <v>59</v>
      </c>
      <c r="J68" s="72">
        <f>PI()*(J66)^2</f>
        <v>259785279.83423313</v>
      </c>
      <c r="K68" s="72" t="s">
        <v>59</v>
      </c>
      <c r="L68" s="72">
        <f>PI()*(L66)^2</f>
        <v>9245911.602339685</v>
      </c>
      <c r="M68" s="72" t="s">
        <v>59</v>
      </c>
    </row>
    <row r="71" spans="1:13" ht="15.3" x14ac:dyDescent="0.55000000000000004">
      <c r="A71" s="96" t="s">
        <v>153</v>
      </c>
      <c r="B71" s="97"/>
      <c r="C71" s="97"/>
      <c r="D71" s="98"/>
    </row>
    <row r="72" spans="1:13" ht="15.3" x14ac:dyDescent="0.55000000000000004">
      <c r="A72" s="96" t="s">
        <v>154</v>
      </c>
      <c r="B72" s="97"/>
      <c r="C72" s="97"/>
      <c r="D72" s="98"/>
    </row>
    <row r="73" spans="1:13" ht="15.3" x14ac:dyDescent="0.55000000000000004">
      <c r="A73" s="96"/>
      <c r="B73" s="97"/>
      <c r="C73" s="97"/>
      <c r="D73" s="9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7"/>
  <sheetViews>
    <sheetView zoomScale="81" zoomScaleNormal="81" workbookViewId="0">
      <selection activeCell="D46" sqref="D46"/>
    </sheetView>
  </sheetViews>
  <sheetFormatPr defaultRowHeight="14.4" x14ac:dyDescent="0.55000000000000004"/>
  <cols>
    <col min="1" max="1" width="70.15625" customWidth="1"/>
    <col min="2" max="2" width="11" customWidth="1"/>
    <col min="3" max="4" width="10.578125" customWidth="1"/>
    <col min="5" max="5" width="12.578125" customWidth="1"/>
  </cols>
  <sheetData>
    <row r="1" spans="1:5" x14ac:dyDescent="0.55000000000000004">
      <c r="A1" s="16" t="s">
        <v>0</v>
      </c>
      <c r="B1" s="104" t="s">
        <v>1</v>
      </c>
      <c r="C1" s="104"/>
      <c r="D1" s="104" t="s">
        <v>2</v>
      </c>
      <c r="E1" s="104"/>
    </row>
    <row r="2" spans="1:5" ht="28.8" x14ac:dyDescent="0.55000000000000004">
      <c r="A2" s="6"/>
      <c r="B2" s="17" t="s">
        <v>75</v>
      </c>
      <c r="C2" s="17" t="s">
        <v>76</v>
      </c>
      <c r="D2" s="17" t="s">
        <v>77</v>
      </c>
      <c r="E2" s="17" t="s">
        <v>78</v>
      </c>
    </row>
    <row r="3" spans="1:5" x14ac:dyDescent="0.55000000000000004">
      <c r="A3" s="6" t="s">
        <v>3</v>
      </c>
      <c r="B3" s="13"/>
      <c r="C3" s="13"/>
      <c r="D3" s="13"/>
      <c r="E3" s="13"/>
    </row>
    <row r="4" spans="1:5" x14ac:dyDescent="0.55000000000000004">
      <c r="A4" s="5" t="s">
        <v>4</v>
      </c>
      <c r="B4" s="10">
        <v>4</v>
      </c>
      <c r="C4" s="10">
        <v>4</v>
      </c>
      <c r="D4" s="10">
        <v>4</v>
      </c>
      <c r="E4" s="10">
        <v>4</v>
      </c>
    </row>
    <row r="5" spans="1:5" x14ac:dyDescent="0.55000000000000004">
      <c r="A5" s="5" t="s">
        <v>5</v>
      </c>
      <c r="B5" s="10">
        <v>3</v>
      </c>
      <c r="C5" s="10">
        <v>3</v>
      </c>
      <c r="D5" s="10">
        <v>3</v>
      </c>
      <c r="E5" s="10">
        <v>3</v>
      </c>
    </row>
    <row r="6" spans="1:5" x14ac:dyDescent="0.55000000000000004">
      <c r="A6" s="5" t="s">
        <v>6</v>
      </c>
      <c r="B6" s="10">
        <v>1.5</v>
      </c>
      <c r="C6" s="10">
        <v>1.5</v>
      </c>
      <c r="D6" s="10">
        <v>1.5</v>
      </c>
      <c r="E6" s="10">
        <v>1.5</v>
      </c>
    </row>
    <row r="7" spans="1:5" ht="28.8" x14ac:dyDescent="0.55000000000000004">
      <c r="A7" s="5" t="s">
        <v>58</v>
      </c>
      <c r="B7" s="10" t="s">
        <v>59</v>
      </c>
      <c r="C7" s="11">
        <v>0.95</v>
      </c>
      <c r="D7" s="10" t="s">
        <v>59</v>
      </c>
      <c r="E7" s="11">
        <v>0.95</v>
      </c>
    </row>
    <row r="8" spans="1:5" ht="28.8" x14ac:dyDescent="0.55000000000000004">
      <c r="A8" s="5" t="s">
        <v>60</v>
      </c>
      <c r="B8" s="11">
        <v>0.9</v>
      </c>
      <c r="C8" s="10" t="s">
        <v>59</v>
      </c>
      <c r="D8" s="11">
        <v>0.9</v>
      </c>
      <c r="E8" s="10" t="s">
        <v>59</v>
      </c>
    </row>
    <row r="9" spans="1:5" x14ac:dyDescent="0.55000000000000004">
      <c r="A9" s="5" t="s">
        <v>7</v>
      </c>
      <c r="B9" s="10" t="s">
        <v>59</v>
      </c>
      <c r="C9" s="10">
        <f>64/(0.001)</f>
        <v>64000</v>
      </c>
      <c r="D9" s="10" t="s">
        <v>59</v>
      </c>
      <c r="E9" s="10">
        <f>2/(0.5*0.001)</f>
        <v>4000</v>
      </c>
    </row>
    <row r="10" spans="1:5" x14ac:dyDescent="0.55000000000000004">
      <c r="A10" s="5" t="s">
        <v>8</v>
      </c>
      <c r="B10" s="10">
        <f>4650676*3</f>
        <v>13952028</v>
      </c>
      <c r="C10" s="10" t="s">
        <v>59</v>
      </c>
      <c r="D10" s="10">
        <f>371520*3</f>
        <v>1114560</v>
      </c>
      <c r="E10" s="10" t="s">
        <v>59</v>
      </c>
    </row>
    <row r="11" spans="1:5" x14ac:dyDescent="0.55000000000000004">
      <c r="A11" s="5" t="s">
        <v>9</v>
      </c>
      <c r="B11" s="10" t="s">
        <v>59</v>
      </c>
      <c r="C11" s="11">
        <v>0.01</v>
      </c>
      <c r="D11" s="10" t="s">
        <v>59</v>
      </c>
      <c r="E11" s="11">
        <v>0.01</v>
      </c>
    </row>
    <row r="12" spans="1:5" x14ac:dyDescent="0.55000000000000004">
      <c r="A12" s="5" t="s">
        <v>10</v>
      </c>
      <c r="B12" s="11">
        <v>0.1</v>
      </c>
      <c r="C12" s="10" t="s">
        <v>59</v>
      </c>
      <c r="D12" s="11">
        <v>0.1</v>
      </c>
      <c r="E12" s="10" t="s">
        <v>59</v>
      </c>
    </row>
    <row r="13" spans="1:5" x14ac:dyDescent="0.55000000000000004">
      <c r="A13" s="5" t="s">
        <v>61</v>
      </c>
      <c r="B13" s="31">
        <f>B10/(B42*(4+2*11/14+1*1/14)/10)</f>
        <v>1.3466837097708284</v>
      </c>
      <c r="C13" s="31" t="s">
        <v>59</v>
      </c>
      <c r="D13" s="31">
        <f>D10/(D42*(4+2*2/14+1*1/14)/10)</f>
        <v>1.7763934426229511</v>
      </c>
      <c r="E13" s="31" t="s">
        <v>59</v>
      </c>
    </row>
    <row r="14" spans="1:5" x14ac:dyDescent="0.55000000000000004">
      <c r="A14" s="5" t="s">
        <v>62</v>
      </c>
      <c r="B14" s="10" t="s">
        <v>63</v>
      </c>
      <c r="C14" s="10" t="s">
        <v>63</v>
      </c>
      <c r="D14" s="10" t="s">
        <v>63</v>
      </c>
      <c r="E14" s="10" t="s">
        <v>63</v>
      </c>
    </row>
    <row r="15" spans="1:5" x14ac:dyDescent="0.55000000000000004">
      <c r="A15" s="5" t="s">
        <v>64</v>
      </c>
      <c r="B15" s="10">
        <v>3</v>
      </c>
      <c r="C15" s="10">
        <v>3</v>
      </c>
      <c r="D15" s="10">
        <v>3</v>
      </c>
      <c r="E15" s="10">
        <v>3</v>
      </c>
    </row>
    <row r="16" spans="1:5" x14ac:dyDescent="0.55000000000000004">
      <c r="A16" s="5" t="s">
        <v>11</v>
      </c>
      <c r="B16" s="10">
        <v>3</v>
      </c>
      <c r="C16" s="10">
        <v>3</v>
      </c>
      <c r="D16" s="10">
        <v>3</v>
      </c>
      <c r="E16" s="10">
        <v>3</v>
      </c>
    </row>
    <row r="17" spans="1:5" x14ac:dyDescent="0.55000000000000004">
      <c r="A17" s="4" t="s">
        <v>12</v>
      </c>
      <c r="B17" s="13"/>
      <c r="C17" s="13"/>
      <c r="D17" s="13"/>
      <c r="E17" s="13"/>
    </row>
    <row r="18" spans="1:5" ht="28.8" x14ac:dyDescent="0.55000000000000004">
      <c r="A18" s="5" t="s">
        <v>65</v>
      </c>
      <c r="B18" s="10">
        <v>32</v>
      </c>
      <c r="C18" s="10">
        <v>32</v>
      </c>
      <c r="D18" s="10">
        <v>2</v>
      </c>
      <c r="E18" s="10">
        <v>2</v>
      </c>
    </row>
    <row r="19" spans="1:5" x14ac:dyDescent="0.55000000000000004">
      <c r="A19" s="5" t="s">
        <v>79</v>
      </c>
      <c r="B19" s="10">
        <v>2</v>
      </c>
      <c r="C19" s="10">
        <v>2</v>
      </c>
      <c r="D19" s="10">
        <v>2</v>
      </c>
      <c r="E19" s="10">
        <v>2</v>
      </c>
    </row>
    <row r="20" spans="1:5" x14ac:dyDescent="0.55000000000000004">
      <c r="A20" s="5" t="s">
        <v>13</v>
      </c>
      <c r="B20" s="10">
        <v>9</v>
      </c>
      <c r="C20" s="10">
        <v>9</v>
      </c>
      <c r="D20" s="10">
        <v>20</v>
      </c>
      <c r="E20" s="10">
        <v>20</v>
      </c>
    </row>
    <row r="21" spans="1:5" ht="28.8" x14ac:dyDescent="0.55000000000000004">
      <c r="A21" s="7" t="s">
        <v>67</v>
      </c>
      <c r="B21" s="28">
        <f t="shared" ref="B21:E21" si="0">B20+10*LOG10(B18)</f>
        <v>24.051499783199063</v>
      </c>
      <c r="C21" s="28">
        <f t="shared" si="0"/>
        <v>24.051499783199063</v>
      </c>
      <c r="D21" s="28">
        <f t="shared" si="0"/>
        <v>23.010299956639813</v>
      </c>
      <c r="E21" s="28">
        <f t="shared" si="0"/>
        <v>23.010299956639813</v>
      </c>
    </row>
    <row r="22" spans="1:5" x14ac:dyDescent="0.55000000000000004">
      <c r="A22" s="5" t="s">
        <v>14</v>
      </c>
      <c r="B22" s="10">
        <v>5</v>
      </c>
      <c r="C22" s="10">
        <v>5</v>
      </c>
      <c r="D22" s="10">
        <v>0</v>
      </c>
      <c r="E22" s="10">
        <v>0</v>
      </c>
    </row>
    <row r="23" spans="1:5" ht="28.8" x14ac:dyDescent="0.55000000000000004">
      <c r="A23" s="7" t="s">
        <v>15</v>
      </c>
      <c r="B23" s="28">
        <f>IF(B18&gt;=2, 10*LOG10(B18/2), 0)</f>
        <v>12.041199826559248</v>
      </c>
      <c r="C23" s="28">
        <f t="shared" ref="C23:E23" si="1">IF(C18&gt;=2, 10*LOG10(C18/2), 0)</f>
        <v>12.041199826559248</v>
      </c>
      <c r="D23" s="28">
        <f t="shared" si="1"/>
        <v>0</v>
      </c>
      <c r="E23" s="28">
        <f t="shared" si="1"/>
        <v>0</v>
      </c>
    </row>
    <row r="24" spans="1:5" x14ac:dyDescent="0.55000000000000004">
      <c r="A24" s="5" t="s">
        <v>16</v>
      </c>
      <c r="B24" s="10">
        <v>0</v>
      </c>
      <c r="C24" s="10">
        <v>0</v>
      </c>
      <c r="D24" s="10">
        <v>0</v>
      </c>
      <c r="E24" s="10">
        <v>0</v>
      </c>
    </row>
    <row r="25" spans="1:5" x14ac:dyDescent="0.55000000000000004">
      <c r="A25" s="5" t="s">
        <v>17</v>
      </c>
      <c r="B25" s="10">
        <v>0</v>
      </c>
      <c r="C25" s="10">
        <v>0</v>
      </c>
      <c r="D25" s="10">
        <v>0</v>
      </c>
      <c r="E25" s="10">
        <v>0</v>
      </c>
    </row>
    <row r="26" spans="1:5" ht="28.8" x14ac:dyDescent="0.55000000000000004">
      <c r="A26" s="5" t="s">
        <v>18</v>
      </c>
      <c r="B26" s="10">
        <v>3</v>
      </c>
      <c r="C26" s="10">
        <v>3</v>
      </c>
      <c r="D26" s="10">
        <v>1</v>
      </c>
      <c r="E26" s="10">
        <v>1</v>
      </c>
    </row>
    <row r="27" spans="1:5" x14ac:dyDescent="0.55000000000000004">
      <c r="A27" s="8" t="s">
        <v>19</v>
      </c>
      <c r="B27" s="29">
        <f t="shared" ref="B27:E27" si="2">B21+B22+B23+B24-B26</f>
        <v>38.092699609758313</v>
      </c>
      <c r="C27" s="29">
        <f t="shared" si="2"/>
        <v>38.092699609758313</v>
      </c>
      <c r="D27" s="29">
        <f>D21+D22+D23+D24-D26</f>
        <v>22.010299956639813</v>
      </c>
      <c r="E27" s="29">
        <f t="shared" si="2"/>
        <v>22.010299956639813</v>
      </c>
    </row>
    <row r="28" spans="1:5" x14ac:dyDescent="0.55000000000000004">
      <c r="A28" s="8" t="s">
        <v>20</v>
      </c>
      <c r="B28" s="29">
        <f t="shared" ref="B28:E28" si="3">B21+B22+B23-B25-B26</f>
        <v>38.092699609758313</v>
      </c>
      <c r="C28" s="29">
        <f t="shared" si="3"/>
        <v>38.092699609758313</v>
      </c>
      <c r="D28" s="29">
        <f t="shared" si="3"/>
        <v>22.010299956639813</v>
      </c>
      <c r="E28" s="29">
        <f t="shared" si="3"/>
        <v>22.010299956639813</v>
      </c>
    </row>
    <row r="29" spans="1:5" x14ac:dyDescent="0.55000000000000004">
      <c r="A29" s="4" t="s">
        <v>21</v>
      </c>
      <c r="B29" s="13"/>
      <c r="C29" s="13"/>
      <c r="D29" s="13"/>
      <c r="E29" s="13"/>
    </row>
    <row r="30" spans="1:5" ht="28.8" x14ac:dyDescent="0.55000000000000004">
      <c r="A30" s="5" t="s">
        <v>68</v>
      </c>
      <c r="B30" s="10">
        <v>4</v>
      </c>
      <c r="C30" s="10">
        <v>4</v>
      </c>
      <c r="D30" s="10">
        <v>32</v>
      </c>
      <c r="E30" s="10">
        <v>32</v>
      </c>
    </row>
    <row r="31" spans="1:5" x14ac:dyDescent="0.55000000000000004">
      <c r="A31" s="5" t="s">
        <v>69</v>
      </c>
      <c r="B31" s="10">
        <v>2</v>
      </c>
      <c r="C31" s="10">
        <v>2</v>
      </c>
      <c r="D31" s="10">
        <v>2</v>
      </c>
      <c r="E31" s="10">
        <v>2</v>
      </c>
    </row>
    <row r="32" spans="1:5" x14ac:dyDescent="0.55000000000000004">
      <c r="A32" s="5" t="s">
        <v>22</v>
      </c>
      <c r="B32" s="10">
        <v>0</v>
      </c>
      <c r="C32" s="10">
        <v>0</v>
      </c>
      <c r="D32" s="10">
        <v>5</v>
      </c>
      <c r="E32" s="10">
        <v>5</v>
      </c>
    </row>
    <row r="33" spans="1:5" ht="28.8" x14ac:dyDescent="0.55000000000000004">
      <c r="A33" s="9" t="s">
        <v>70</v>
      </c>
      <c r="B33" s="30">
        <f t="shared" ref="B33:E33" si="4">IF(B30&gt;=2, 10*LOG10(B30/2), 0)</f>
        <v>3.0102999566398121</v>
      </c>
      <c r="C33" s="30">
        <f t="shared" si="4"/>
        <v>3.0102999566398121</v>
      </c>
      <c r="D33" s="30">
        <f t="shared" si="4"/>
        <v>12.041199826559248</v>
      </c>
      <c r="E33" s="30">
        <f t="shared" si="4"/>
        <v>12.041199826559248</v>
      </c>
    </row>
    <row r="34" spans="1:5" ht="28.8" x14ac:dyDescent="0.55000000000000004">
      <c r="A34" s="5" t="s">
        <v>23</v>
      </c>
      <c r="B34" s="10">
        <v>1</v>
      </c>
      <c r="C34" s="10">
        <v>1</v>
      </c>
      <c r="D34" s="10">
        <v>3</v>
      </c>
      <c r="E34" s="10">
        <v>3</v>
      </c>
    </row>
    <row r="35" spans="1:5" x14ac:dyDescent="0.55000000000000004">
      <c r="A35" s="5" t="s">
        <v>24</v>
      </c>
      <c r="B35" s="10">
        <v>7</v>
      </c>
      <c r="C35" s="10">
        <v>7</v>
      </c>
      <c r="D35" s="10">
        <v>5</v>
      </c>
      <c r="E35" s="10">
        <v>5</v>
      </c>
    </row>
    <row r="36" spans="1:5" x14ac:dyDescent="0.55000000000000004">
      <c r="A36" s="5" t="s">
        <v>25</v>
      </c>
      <c r="B36" s="10">
        <v>-174</v>
      </c>
      <c r="C36" s="10">
        <v>-174</v>
      </c>
      <c r="D36" s="10">
        <v>-174</v>
      </c>
      <c r="E36" s="10">
        <v>-174</v>
      </c>
    </row>
    <row r="37" spans="1:5" ht="28.8" x14ac:dyDescent="0.55000000000000004">
      <c r="A37" s="5" t="s">
        <v>26</v>
      </c>
      <c r="B37" s="10" t="s">
        <v>59</v>
      </c>
      <c r="C37" s="10">
        <v>-174</v>
      </c>
      <c r="D37" s="10" t="s">
        <v>59</v>
      </c>
      <c r="E37" s="10">
        <v>-174.9</v>
      </c>
    </row>
    <row r="38" spans="1:5" x14ac:dyDescent="0.55000000000000004">
      <c r="A38" s="5" t="s">
        <v>27</v>
      </c>
      <c r="B38" s="10">
        <v>-174</v>
      </c>
      <c r="C38" s="10" t="s">
        <v>59</v>
      </c>
      <c r="D38" s="10">
        <v>-174.9</v>
      </c>
      <c r="E38" s="10" t="s">
        <v>59</v>
      </c>
    </row>
    <row r="39" spans="1:5" ht="28.8" x14ac:dyDescent="0.55000000000000004">
      <c r="A39" s="8" t="s">
        <v>28</v>
      </c>
      <c r="B39" s="29" t="s">
        <v>59</v>
      </c>
      <c r="C39" s="29">
        <f t="shared" ref="C39:E39" si="5">10*LOG10(10^((C35+C36)/10)+10^(C37/10))</f>
        <v>-166.20990250347435</v>
      </c>
      <c r="D39" s="29" t="s">
        <v>59</v>
      </c>
      <c r="E39" s="29">
        <f t="shared" si="5"/>
        <v>-168.00651048203736</v>
      </c>
    </row>
    <row r="40" spans="1:5" ht="28.8" x14ac:dyDescent="0.55000000000000004">
      <c r="A40" s="8" t="s">
        <v>29</v>
      </c>
      <c r="B40" s="29">
        <f t="shared" ref="B40:D40" si="6">10*LOG10(10^((B35+B36)/10)+10^(B38/10))</f>
        <v>-166.20990250347435</v>
      </c>
      <c r="C40" s="29" t="s">
        <v>59</v>
      </c>
      <c r="D40" s="29">
        <f t="shared" si="6"/>
        <v>-168.00651048203736</v>
      </c>
      <c r="E40" s="29" t="s">
        <v>59</v>
      </c>
    </row>
    <row r="41" spans="1:5" ht="28.8" x14ac:dyDescent="0.55000000000000004">
      <c r="A41" s="5" t="s">
        <v>30</v>
      </c>
      <c r="B41" s="10" t="s">
        <v>59</v>
      </c>
      <c r="C41" s="10">
        <f>'[2]NR MaxN_RB'!F6*12*15*1000</f>
        <v>19080000</v>
      </c>
      <c r="D41" s="10" t="s">
        <v>59</v>
      </c>
      <c r="E41" s="10">
        <f>1*12*30*1000</f>
        <v>360000</v>
      </c>
    </row>
    <row r="42" spans="1:5" ht="28.8" x14ac:dyDescent="0.55000000000000004">
      <c r="A42" s="5" t="s">
        <v>31</v>
      </c>
      <c r="B42" s="10">
        <f>'[2]NR MaxN_RB'!$F$7*12*30*1000</f>
        <v>18360000</v>
      </c>
      <c r="C42" s="10" t="s">
        <v>59</v>
      </c>
      <c r="D42" s="10">
        <f>4*12*30*1000</f>
        <v>1440000</v>
      </c>
      <c r="E42" s="10" t="s">
        <v>59</v>
      </c>
    </row>
    <row r="43" spans="1:5" x14ac:dyDescent="0.55000000000000004">
      <c r="A43" s="8" t="s">
        <v>32</v>
      </c>
      <c r="B43" s="29" t="s">
        <v>59</v>
      </c>
      <c r="C43" s="29">
        <f t="shared" ref="C43:E43" si="7">C39+10*LOG10(C41)</f>
        <v>-93.404118799793594</v>
      </c>
      <c r="D43" s="29" t="s">
        <v>59</v>
      </c>
      <c r="E43" s="29">
        <f t="shared" si="7"/>
        <v>-112.44348547436448</v>
      </c>
    </row>
    <row r="44" spans="1:5" x14ac:dyDescent="0.55000000000000004">
      <c r="A44" s="8" t="s">
        <v>33</v>
      </c>
      <c r="B44" s="29">
        <f>B40+10*LOG10(B42)</f>
        <v>-93.57117573482212</v>
      </c>
      <c r="C44" s="29" t="s">
        <v>59</v>
      </c>
      <c r="D44" s="29">
        <f>D40+10*LOG10(D42)</f>
        <v>-106.42288556108485</v>
      </c>
      <c r="E44" s="29" t="s">
        <v>59</v>
      </c>
    </row>
    <row r="45" spans="1:5" x14ac:dyDescent="0.55000000000000004">
      <c r="A45" s="18" t="s">
        <v>34</v>
      </c>
      <c r="B45" s="19" t="s">
        <v>59</v>
      </c>
      <c r="C45" s="19">
        <v>-5.0999999999999996</v>
      </c>
      <c r="D45" s="19" t="s">
        <v>59</v>
      </c>
      <c r="E45" s="19">
        <v>-8</v>
      </c>
    </row>
    <row r="46" spans="1:5" x14ac:dyDescent="0.55000000000000004">
      <c r="A46" s="18" t="s">
        <v>35</v>
      </c>
      <c r="B46" s="19">
        <v>6.3</v>
      </c>
      <c r="C46" s="19" t="s">
        <v>59</v>
      </c>
      <c r="D46" s="19">
        <v>14.24</v>
      </c>
      <c r="E46" s="19" t="s">
        <v>59</v>
      </c>
    </row>
    <row r="47" spans="1:5" x14ac:dyDescent="0.55000000000000004">
      <c r="A47" s="5" t="s">
        <v>36</v>
      </c>
      <c r="B47" s="10">
        <v>2</v>
      </c>
      <c r="C47" s="10">
        <v>2</v>
      </c>
      <c r="D47" s="10">
        <v>2</v>
      </c>
      <c r="E47" s="10">
        <v>2</v>
      </c>
    </row>
    <row r="48" spans="1:5" x14ac:dyDescent="0.55000000000000004">
      <c r="A48" s="5" t="s">
        <v>37</v>
      </c>
      <c r="B48" s="10" t="s">
        <v>59</v>
      </c>
      <c r="C48" s="10">
        <v>0</v>
      </c>
      <c r="D48" s="10" t="s">
        <v>59</v>
      </c>
      <c r="E48" s="10">
        <v>0</v>
      </c>
    </row>
    <row r="49" spans="1:5" x14ac:dyDescent="0.55000000000000004">
      <c r="A49" s="5" t="s">
        <v>38</v>
      </c>
      <c r="B49" s="10">
        <v>0.5</v>
      </c>
      <c r="C49" s="10" t="s">
        <v>59</v>
      </c>
      <c r="D49" s="10">
        <v>0.5</v>
      </c>
      <c r="E49" s="10" t="s">
        <v>59</v>
      </c>
    </row>
    <row r="50" spans="1:5" x14ac:dyDescent="0.55000000000000004">
      <c r="A50" s="8" t="s">
        <v>39</v>
      </c>
      <c r="B50" s="29" t="s">
        <v>59</v>
      </c>
      <c r="C50" s="29">
        <f t="shared" ref="C50:E50" si="8">C43+C45+C47-C48</f>
        <v>-96.504118799793588</v>
      </c>
      <c r="D50" s="29" t="s">
        <v>59</v>
      </c>
      <c r="E50" s="29">
        <f t="shared" si="8"/>
        <v>-118.44348547436448</v>
      </c>
    </row>
    <row r="51" spans="1:5" x14ac:dyDescent="0.55000000000000004">
      <c r="A51" s="8" t="s">
        <v>40</v>
      </c>
      <c r="B51" s="29">
        <f t="shared" ref="B51:D51" si="9">B44+B46+B47-B49</f>
        <v>-85.771175734822123</v>
      </c>
      <c r="C51" s="29" t="s">
        <v>59</v>
      </c>
      <c r="D51" s="29">
        <f t="shared" si="9"/>
        <v>-90.682885561084859</v>
      </c>
      <c r="E51" s="29" t="s">
        <v>59</v>
      </c>
    </row>
    <row r="52" spans="1:5" x14ac:dyDescent="0.55000000000000004">
      <c r="A52" s="8" t="s">
        <v>41</v>
      </c>
      <c r="B52" s="29" t="s">
        <v>59</v>
      </c>
      <c r="C52" s="29">
        <f t="shared" ref="C52:E52" si="10">C27+C32+C33-C50</f>
        <v>137.60711836619171</v>
      </c>
      <c r="D52" s="29" t="s">
        <v>59</v>
      </c>
      <c r="E52" s="29">
        <f t="shared" si="10"/>
        <v>157.49498525756354</v>
      </c>
    </row>
    <row r="53" spans="1:5" x14ac:dyDescent="0.55000000000000004">
      <c r="A53" s="8" t="s">
        <v>42</v>
      </c>
      <c r="B53" s="29">
        <f t="shared" ref="B53:D53" si="11">B28+B32+B33-B51</f>
        <v>126.87417530122025</v>
      </c>
      <c r="C53" s="29" t="s">
        <v>59</v>
      </c>
      <c r="D53" s="29">
        <f t="shared" si="11"/>
        <v>129.73438534428391</v>
      </c>
      <c r="E53" s="29" t="s">
        <v>59</v>
      </c>
    </row>
    <row r="54" spans="1:5" x14ac:dyDescent="0.55000000000000004">
      <c r="A54" s="4" t="s">
        <v>43</v>
      </c>
      <c r="B54" s="13"/>
      <c r="C54" s="13"/>
      <c r="D54" s="13"/>
      <c r="E54" s="13"/>
    </row>
    <row r="55" spans="1:5" x14ac:dyDescent="0.55000000000000004">
      <c r="A55" s="5" t="s">
        <v>44</v>
      </c>
      <c r="B55" s="10">
        <v>4</v>
      </c>
      <c r="C55" s="10">
        <v>4</v>
      </c>
      <c r="D55" s="10">
        <v>4</v>
      </c>
      <c r="E55" s="10">
        <v>4</v>
      </c>
    </row>
    <row r="56" spans="1:5" ht="28.8" x14ac:dyDescent="0.55000000000000004">
      <c r="A56" s="5" t="s">
        <v>45</v>
      </c>
      <c r="B56" s="10" t="s">
        <v>59</v>
      </c>
      <c r="C56" s="10">
        <v>2.82</v>
      </c>
      <c r="D56" s="10" t="s">
        <v>59</v>
      </c>
      <c r="E56" s="10">
        <v>2.82</v>
      </c>
    </row>
    <row r="57" spans="1:5" ht="28.8" x14ac:dyDescent="0.55000000000000004">
      <c r="A57" s="5" t="s">
        <v>46</v>
      </c>
      <c r="B57" s="10">
        <v>0.94</v>
      </c>
      <c r="C57" s="10" t="s">
        <v>59</v>
      </c>
      <c r="D57" s="10">
        <v>0.94</v>
      </c>
      <c r="E57" s="10" t="s">
        <v>59</v>
      </c>
    </row>
    <row r="58" spans="1:5" x14ac:dyDescent="0.55000000000000004">
      <c r="A58" s="5" t="s">
        <v>47</v>
      </c>
      <c r="B58" s="10">
        <v>0</v>
      </c>
      <c r="C58" s="10">
        <v>0</v>
      </c>
      <c r="D58" s="10">
        <v>0</v>
      </c>
      <c r="E58" s="10">
        <v>0</v>
      </c>
    </row>
    <row r="59" spans="1:5" x14ac:dyDescent="0.55000000000000004">
      <c r="A59" s="5" t="s">
        <v>48</v>
      </c>
      <c r="B59" s="10">
        <v>0</v>
      </c>
      <c r="C59" s="10">
        <v>0</v>
      </c>
      <c r="D59" s="10">
        <v>0</v>
      </c>
      <c r="E59" s="10">
        <v>0</v>
      </c>
    </row>
    <row r="60" spans="1:5" x14ac:dyDescent="0.55000000000000004">
      <c r="A60" s="5" t="s">
        <v>49</v>
      </c>
      <c r="B60" s="10">
        <v>0</v>
      </c>
      <c r="C60" s="10">
        <v>0</v>
      </c>
      <c r="D60" s="10">
        <v>0</v>
      </c>
      <c r="E60" s="10">
        <v>0</v>
      </c>
    </row>
    <row r="61" spans="1:5" ht="28.8" x14ac:dyDescent="0.55000000000000004">
      <c r="A61" s="8" t="s">
        <v>72</v>
      </c>
      <c r="B61" s="29" t="s">
        <v>59</v>
      </c>
      <c r="C61" s="29">
        <f>C52-C56+C58-C59+C60-C34</f>
        <v>133.78711836619172</v>
      </c>
      <c r="D61" s="29" t="s">
        <v>59</v>
      </c>
      <c r="E61" s="29">
        <f>E52-E56+E58-E59+E60-E34</f>
        <v>151.67498525756355</v>
      </c>
    </row>
    <row r="62" spans="1:5" ht="28.8" x14ac:dyDescent="0.55000000000000004">
      <c r="A62" s="8" t="s">
        <v>50</v>
      </c>
      <c r="B62" s="29">
        <f>B53-B57+B58-B59+B60-B34</f>
        <v>124.93417530122025</v>
      </c>
      <c r="C62" s="29" t="s">
        <v>59</v>
      </c>
      <c r="D62" s="29">
        <f>D53-D57+D58-D59+D60-D34</f>
        <v>125.79438534428391</v>
      </c>
      <c r="E62" s="29" t="s">
        <v>59</v>
      </c>
    </row>
    <row r="63" spans="1:5" x14ac:dyDescent="0.55000000000000004">
      <c r="A63" s="4" t="s">
        <v>51</v>
      </c>
      <c r="B63" s="13"/>
      <c r="C63" s="13"/>
      <c r="D63" s="13"/>
      <c r="E63" s="13"/>
    </row>
    <row r="64" spans="1:5" ht="28.8" x14ac:dyDescent="0.55000000000000004">
      <c r="A64" s="5" t="s">
        <v>52</v>
      </c>
      <c r="B64" s="31" t="s">
        <v>59</v>
      </c>
      <c r="C64" s="31">
        <f>10^((C61-11.5-20*LOG10(C$4))/43.3)</f>
        <v>351.63744547080404</v>
      </c>
      <c r="D64" s="31" t="s">
        <v>59</v>
      </c>
      <c r="E64" s="31">
        <f>10^((E61-11.5-20*LOG10(E$4))/43.3)</f>
        <v>910.35299468207461</v>
      </c>
    </row>
    <row r="65" spans="1:5" ht="28.8" x14ac:dyDescent="0.55000000000000004">
      <c r="A65" s="5" t="s">
        <v>53</v>
      </c>
      <c r="B65" s="31">
        <f>10^((B62-11.5-20*LOG10(B$4))/43.3)</f>
        <v>219.60344888846276</v>
      </c>
      <c r="C65" s="31" t="s">
        <v>59</v>
      </c>
      <c r="D65" s="31">
        <f>10^((D62-11.5-20*LOG10(D$4))/43.3)</f>
        <v>229.88225000889605</v>
      </c>
      <c r="E65" s="31" t="s">
        <v>59</v>
      </c>
    </row>
    <row r="66" spans="1:5" x14ac:dyDescent="0.55000000000000004">
      <c r="A66" s="5" t="s">
        <v>73</v>
      </c>
      <c r="B66" s="31" t="s">
        <v>59</v>
      </c>
      <c r="C66" s="31">
        <f>PI()*(C64)^2</f>
        <v>388454.45405311213</v>
      </c>
      <c r="D66" s="31" t="s">
        <v>59</v>
      </c>
      <c r="E66" s="31">
        <f>PI()*(E64)^2</f>
        <v>2603571.5851065624</v>
      </c>
    </row>
    <row r="67" spans="1:5" x14ac:dyDescent="0.55000000000000004">
      <c r="A67" s="5" t="s">
        <v>74</v>
      </c>
      <c r="B67" s="31">
        <f>PI()*(B65)^2</f>
        <v>151505.42555207471</v>
      </c>
      <c r="C67" s="31" t="s">
        <v>59</v>
      </c>
      <c r="D67" s="31">
        <f>PI()*(D65)^2</f>
        <v>166020.13058004624</v>
      </c>
      <c r="E67" s="31" t="s">
        <v>59</v>
      </c>
    </row>
  </sheetData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7"/>
  <sheetViews>
    <sheetView topLeftCell="A25" zoomScale="82" zoomScaleNormal="82" workbookViewId="0">
      <selection activeCell="H46" sqref="H46"/>
    </sheetView>
  </sheetViews>
  <sheetFormatPr defaultRowHeight="14.4" x14ac:dyDescent="0.55000000000000004"/>
  <cols>
    <col min="1" max="1" width="70.83984375" customWidth="1"/>
    <col min="2" max="2" width="13" customWidth="1"/>
    <col min="3" max="3" width="11.15625" customWidth="1"/>
    <col min="4" max="4" width="12.83984375" customWidth="1"/>
    <col min="5" max="5" width="15" customWidth="1"/>
    <col min="6" max="6" width="11" customWidth="1"/>
    <col min="7" max="7" width="11.15625" bestFit="1" customWidth="1"/>
    <col min="8" max="8" width="14.26171875" customWidth="1"/>
    <col min="9" max="9" width="15.15625" customWidth="1"/>
  </cols>
  <sheetData>
    <row r="1" spans="1:9" x14ac:dyDescent="0.55000000000000004">
      <c r="A1" s="20" t="s">
        <v>0</v>
      </c>
      <c r="B1" s="105" t="s">
        <v>1</v>
      </c>
      <c r="C1" s="105"/>
      <c r="D1" s="105"/>
      <c r="E1" s="105"/>
      <c r="F1" s="105" t="s">
        <v>2</v>
      </c>
      <c r="G1" s="105"/>
      <c r="H1" s="105"/>
      <c r="I1" s="105"/>
    </row>
    <row r="2" spans="1:9" ht="42.75" customHeight="1" x14ac:dyDescent="0.55000000000000004">
      <c r="A2" s="4"/>
      <c r="B2" s="21" t="s">
        <v>54</v>
      </c>
      <c r="C2" s="21" t="s">
        <v>80</v>
      </c>
      <c r="D2" s="21" t="s">
        <v>81</v>
      </c>
      <c r="E2" s="21" t="s">
        <v>82</v>
      </c>
      <c r="F2" s="21" t="s">
        <v>83</v>
      </c>
      <c r="G2" s="21" t="s">
        <v>84</v>
      </c>
      <c r="H2" s="21" t="s">
        <v>85</v>
      </c>
      <c r="I2" s="21" t="s">
        <v>86</v>
      </c>
    </row>
    <row r="3" spans="1:9" x14ac:dyDescent="0.55000000000000004">
      <c r="A3" s="4" t="s">
        <v>3</v>
      </c>
      <c r="B3" s="21"/>
      <c r="C3" s="21"/>
      <c r="D3" s="21"/>
      <c r="E3" s="21"/>
      <c r="F3" s="21"/>
      <c r="G3" s="21"/>
      <c r="H3" s="21"/>
      <c r="I3" s="21"/>
    </row>
    <row r="4" spans="1:9" x14ac:dyDescent="0.55000000000000004">
      <c r="A4" s="5" t="s">
        <v>4</v>
      </c>
      <c r="B4" s="22">
        <v>4</v>
      </c>
      <c r="C4" s="22">
        <v>4</v>
      </c>
      <c r="D4" s="22">
        <v>4</v>
      </c>
      <c r="E4" s="22">
        <v>4</v>
      </c>
      <c r="F4" s="22">
        <v>4</v>
      </c>
      <c r="G4" s="22">
        <v>4</v>
      </c>
      <c r="H4" s="22">
        <v>4</v>
      </c>
      <c r="I4" s="22">
        <v>4</v>
      </c>
    </row>
    <row r="5" spans="1:9" x14ac:dyDescent="0.55000000000000004">
      <c r="A5" s="5" t="s">
        <v>5</v>
      </c>
      <c r="B5" s="22">
        <v>25</v>
      </c>
      <c r="C5" s="22">
        <v>25</v>
      </c>
      <c r="D5" s="22">
        <v>25</v>
      </c>
      <c r="E5" s="22">
        <v>25</v>
      </c>
      <c r="F5" s="22">
        <v>25</v>
      </c>
      <c r="G5" s="22">
        <v>25</v>
      </c>
      <c r="H5" s="22">
        <v>25</v>
      </c>
      <c r="I5" s="22">
        <v>25</v>
      </c>
    </row>
    <row r="6" spans="1:9" x14ac:dyDescent="0.55000000000000004">
      <c r="A6" s="5" t="s">
        <v>6</v>
      </c>
      <c r="B6" s="22">
        <v>1.5</v>
      </c>
      <c r="C6" s="22">
        <v>1.5</v>
      </c>
      <c r="D6" s="22">
        <v>1.5</v>
      </c>
      <c r="E6" s="22">
        <v>1.5</v>
      </c>
      <c r="F6" s="22">
        <v>1.5</v>
      </c>
      <c r="G6" s="22">
        <v>1.5</v>
      </c>
      <c r="H6" s="22">
        <v>1.5</v>
      </c>
      <c r="I6" s="22">
        <v>1.5</v>
      </c>
    </row>
    <row r="7" spans="1:9" ht="28.8" x14ac:dyDescent="0.55000000000000004">
      <c r="A7" s="5" t="s">
        <v>58</v>
      </c>
      <c r="B7" s="22" t="s">
        <v>59</v>
      </c>
      <c r="C7" s="23">
        <v>0.95</v>
      </c>
      <c r="D7" s="22" t="s">
        <v>59</v>
      </c>
      <c r="E7" s="23">
        <v>0.95</v>
      </c>
      <c r="F7" s="22" t="s">
        <v>59</v>
      </c>
      <c r="G7" s="23">
        <v>0.95</v>
      </c>
      <c r="H7" s="22" t="s">
        <v>59</v>
      </c>
      <c r="I7" s="23">
        <v>0.95</v>
      </c>
    </row>
    <row r="8" spans="1:9" ht="28.8" x14ac:dyDescent="0.55000000000000004">
      <c r="A8" s="5" t="s">
        <v>60</v>
      </c>
      <c r="B8" s="23">
        <v>0.9</v>
      </c>
      <c r="C8" s="22" t="s">
        <v>59</v>
      </c>
      <c r="D8" s="23">
        <v>0.9</v>
      </c>
      <c r="E8" s="22" t="s">
        <v>59</v>
      </c>
      <c r="F8" s="23">
        <v>0.9</v>
      </c>
      <c r="G8" s="22" t="s">
        <v>59</v>
      </c>
      <c r="H8" s="23">
        <v>0.9</v>
      </c>
      <c r="I8" s="22" t="s">
        <v>59</v>
      </c>
    </row>
    <row r="9" spans="1:9" x14ac:dyDescent="0.55000000000000004">
      <c r="A9" s="5" t="s">
        <v>7</v>
      </c>
      <c r="B9" s="22" t="s">
        <v>59</v>
      </c>
      <c r="C9" s="22">
        <f>64/(0.5*0.001)</f>
        <v>128000</v>
      </c>
      <c r="D9" s="22" t="s">
        <v>59</v>
      </c>
      <c r="E9" s="22">
        <f>64/(0.5*0.001)</f>
        <v>128000</v>
      </c>
      <c r="F9" s="22" t="s">
        <v>59</v>
      </c>
      <c r="G9" s="22">
        <f>2/(0.5*0.001)</f>
        <v>4000</v>
      </c>
      <c r="H9" s="22"/>
      <c r="I9" s="22">
        <f>2/(0.5*0.001)</f>
        <v>4000</v>
      </c>
    </row>
    <row r="10" spans="1:9" x14ac:dyDescent="0.55000000000000004">
      <c r="A10" s="5" t="s">
        <v>8</v>
      </c>
      <c r="B10" s="22">
        <f>2248233*3</f>
        <v>6744699</v>
      </c>
      <c r="C10" s="22" t="s">
        <v>59</v>
      </c>
      <c r="D10" s="22">
        <f>2248233*3</f>
        <v>6744699</v>
      </c>
      <c r="E10" s="22" t="s">
        <v>59</v>
      </c>
      <c r="F10" s="22">
        <f>74880*3</f>
        <v>224640</v>
      </c>
      <c r="G10" s="22" t="s">
        <v>59</v>
      </c>
      <c r="H10" s="22">
        <f>74880*3</f>
        <v>224640</v>
      </c>
      <c r="I10" s="22" t="s">
        <v>59</v>
      </c>
    </row>
    <row r="11" spans="1:9" x14ac:dyDescent="0.55000000000000004">
      <c r="A11" s="5" t="s">
        <v>9</v>
      </c>
      <c r="B11" s="22" t="s">
        <v>59</v>
      </c>
      <c r="C11" s="23">
        <v>0.01</v>
      </c>
      <c r="D11" s="22" t="s">
        <v>59</v>
      </c>
      <c r="E11" s="23">
        <v>0.01</v>
      </c>
      <c r="F11" s="22" t="s">
        <v>59</v>
      </c>
      <c r="G11" s="23">
        <v>0.01</v>
      </c>
      <c r="H11" s="22" t="s">
        <v>59</v>
      </c>
      <c r="I11" s="23">
        <v>0.01</v>
      </c>
    </row>
    <row r="12" spans="1:9" x14ac:dyDescent="0.55000000000000004">
      <c r="A12" s="5" t="s">
        <v>10</v>
      </c>
      <c r="B12" s="23">
        <v>0.1</v>
      </c>
      <c r="C12" s="22" t="s">
        <v>59</v>
      </c>
      <c r="D12" s="23">
        <v>0.1</v>
      </c>
      <c r="E12" s="22" t="s">
        <v>59</v>
      </c>
      <c r="F12" s="23">
        <v>0.1</v>
      </c>
      <c r="G12" s="22" t="s">
        <v>59</v>
      </c>
      <c r="H12" s="23">
        <v>0.1</v>
      </c>
      <c r="I12" s="22" t="s">
        <v>59</v>
      </c>
    </row>
    <row r="13" spans="1:9" x14ac:dyDescent="0.55000000000000004">
      <c r="A13" s="5" t="s">
        <v>61</v>
      </c>
      <c r="B13" s="32">
        <f>B10/(B42*(3+11/14)/5)</f>
        <v>0.48519025157232709</v>
      </c>
      <c r="C13" s="32" t="s">
        <v>59</v>
      </c>
      <c r="D13" s="32">
        <f>D10/(D42*(3+11/14)/5)</f>
        <v>0.48519025157232709</v>
      </c>
      <c r="E13" s="32" t="s">
        <v>59</v>
      </c>
      <c r="F13" s="32">
        <f>F10/(F42*(1+3/14)/5)</f>
        <v>0.64235294117647068</v>
      </c>
      <c r="G13" s="32" t="s">
        <v>59</v>
      </c>
      <c r="H13" s="32">
        <f>H10/(H42*(1+3/14)/5)</f>
        <v>0.64235294117647068</v>
      </c>
      <c r="I13" s="32" t="s">
        <v>59</v>
      </c>
    </row>
    <row r="14" spans="1:9" x14ac:dyDescent="0.55000000000000004">
      <c r="A14" s="5" t="s">
        <v>62</v>
      </c>
      <c r="B14" s="22" t="s">
        <v>63</v>
      </c>
      <c r="C14" s="22" t="s">
        <v>63</v>
      </c>
      <c r="D14" s="22" t="s">
        <v>87</v>
      </c>
      <c r="E14" s="22" t="s">
        <v>87</v>
      </c>
      <c r="F14" s="22" t="s">
        <v>63</v>
      </c>
      <c r="G14" s="22" t="s">
        <v>63</v>
      </c>
      <c r="H14" s="22" t="s">
        <v>87</v>
      </c>
      <c r="I14" s="22" t="s">
        <v>87</v>
      </c>
    </row>
    <row r="15" spans="1:9" x14ac:dyDescent="0.55000000000000004">
      <c r="A15" s="5" t="s">
        <v>64</v>
      </c>
      <c r="B15" s="22">
        <v>30</v>
      </c>
      <c r="C15" s="22">
        <v>30</v>
      </c>
      <c r="D15" s="22">
        <v>3</v>
      </c>
      <c r="E15" s="22">
        <v>3</v>
      </c>
      <c r="F15" s="22">
        <v>30</v>
      </c>
      <c r="G15" s="22">
        <v>30</v>
      </c>
      <c r="H15" s="22">
        <v>3</v>
      </c>
      <c r="I15" s="22">
        <v>3</v>
      </c>
    </row>
    <row r="16" spans="1:9" x14ac:dyDescent="0.55000000000000004">
      <c r="A16" s="5" t="s">
        <v>11</v>
      </c>
      <c r="B16" s="22">
        <v>3</v>
      </c>
      <c r="C16" s="22">
        <v>3</v>
      </c>
      <c r="D16" s="22">
        <v>3</v>
      </c>
      <c r="E16" s="22">
        <v>3</v>
      </c>
      <c r="F16" s="22">
        <v>3</v>
      </c>
      <c r="G16" s="22">
        <v>3</v>
      </c>
      <c r="H16" s="22">
        <v>3</v>
      </c>
      <c r="I16" s="22">
        <v>3</v>
      </c>
    </row>
    <row r="17" spans="1:9" x14ac:dyDescent="0.55000000000000004">
      <c r="A17" s="5" t="s">
        <v>12</v>
      </c>
      <c r="B17" s="22"/>
      <c r="C17" s="22"/>
      <c r="D17" s="22"/>
      <c r="E17" s="22"/>
      <c r="F17" s="22"/>
      <c r="G17" s="22"/>
      <c r="H17" s="22"/>
      <c r="I17" s="22"/>
    </row>
    <row r="18" spans="1:9" ht="28.8" x14ac:dyDescent="0.55000000000000004">
      <c r="A18" s="5" t="s">
        <v>65</v>
      </c>
      <c r="B18" s="22">
        <v>128</v>
      </c>
      <c r="C18" s="22">
        <v>128</v>
      </c>
      <c r="D18" s="22">
        <v>128</v>
      </c>
      <c r="E18" s="22">
        <v>128</v>
      </c>
      <c r="F18" s="22">
        <v>2</v>
      </c>
      <c r="G18" s="22">
        <v>2</v>
      </c>
      <c r="H18" s="22">
        <v>2</v>
      </c>
      <c r="I18" s="22">
        <v>2</v>
      </c>
    </row>
    <row r="19" spans="1:9" x14ac:dyDescent="0.55000000000000004">
      <c r="A19" s="5" t="s">
        <v>66</v>
      </c>
      <c r="B19" s="22">
        <v>2</v>
      </c>
      <c r="C19" s="22">
        <v>2</v>
      </c>
      <c r="D19" s="22">
        <v>2</v>
      </c>
      <c r="E19" s="22">
        <v>2</v>
      </c>
      <c r="F19" s="22">
        <v>2</v>
      </c>
      <c r="G19" s="22">
        <v>2</v>
      </c>
      <c r="H19" s="22">
        <v>2</v>
      </c>
      <c r="I19" s="22">
        <v>2</v>
      </c>
    </row>
    <row r="20" spans="1:9" x14ac:dyDescent="0.55000000000000004">
      <c r="A20" s="5" t="s">
        <v>13</v>
      </c>
      <c r="B20" s="22">
        <v>23</v>
      </c>
      <c r="C20" s="22">
        <v>23</v>
      </c>
      <c r="D20" s="22">
        <v>23</v>
      </c>
      <c r="E20" s="22">
        <v>23</v>
      </c>
      <c r="F20" s="22">
        <v>20</v>
      </c>
      <c r="G20" s="22">
        <v>20</v>
      </c>
      <c r="H20" s="22">
        <v>20</v>
      </c>
      <c r="I20" s="22">
        <v>20</v>
      </c>
    </row>
    <row r="21" spans="1:9" ht="28.8" x14ac:dyDescent="0.55000000000000004">
      <c r="A21" s="7" t="s">
        <v>67</v>
      </c>
      <c r="B21" s="33">
        <f t="shared" ref="B21:I21" si="0">B20+10*LOG10(B18)</f>
        <v>44.072099696478688</v>
      </c>
      <c r="C21" s="33">
        <f t="shared" si="0"/>
        <v>44.072099696478688</v>
      </c>
      <c r="D21" s="33">
        <f t="shared" si="0"/>
        <v>44.072099696478688</v>
      </c>
      <c r="E21" s="33">
        <f t="shared" si="0"/>
        <v>44.072099696478688</v>
      </c>
      <c r="F21" s="33">
        <f t="shared" si="0"/>
        <v>23.010299956639813</v>
      </c>
      <c r="G21" s="33">
        <f t="shared" si="0"/>
        <v>23.010299956639813</v>
      </c>
      <c r="H21" s="33">
        <f t="shared" si="0"/>
        <v>23.010299956639813</v>
      </c>
      <c r="I21" s="33">
        <f t="shared" si="0"/>
        <v>23.010299956639813</v>
      </c>
    </row>
    <row r="22" spans="1:9" x14ac:dyDescent="0.55000000000000004">
      <c r="A22" s="5" t="s">
        <v>14</v>
      </c>
      <c r="B22" s="22">
        <v>8</v>
      </c>
      <c r="C22" s="22">
        <v>8</v>
      </c>
      <c r="D22" s="22">
        <v>8</v>
      </c>
      <c r="E22" s="22">
        <v>8</v>
      </c>
      <c r="F22" s="22">
        <v>0</v>
      </c>
      <c r="G22" s="22">
        <v>0</v>
      </c>
      <c r="H22" s="22">
        <v>0</v>
      </c>
      <c r="I22" s="22">
        <v>0</v>
      </c>
    </row>
    <row r="23" spans="1:9" ht="28.8" x14ac:dyDescent="0.55000000000000004">
      <c r="A23" s="7" t="s">
        <v>15</v>
      </c>
      <c r="B23" s="33">
        <f t="shared" ref="B23:I23" si="1">IF(B18&gt;=2, 10*LOG10(B18/2), 0)</f>
        <v>18.061799739838872</v>
      </c>
      <c r="C23" s="33">
        <f t="shared" si="1"/>
        <v>18.061799739838872</v>
      </c>
      <c r="D23" s="33">
        <f t="shared" si="1"/>
        <v>18.061799739838872</v>
      </c>
      <c r="E23" s="33">
        <f t="shared" si="1"/>
        <v>18.061799739838872</v>
      </c>
      <c r="F23" s="33">
        <f t="shared" si="1"/>
        <v>0</v>
      </c>
      <c r="G23" s="33">
        <f t="shared" si="1"/>
        <v>0</v>
      </c>
      <c r="H23" s="33">
        <f t="shared" si="1"/>
        <v>0</v>
      </c>
      <c r="I23" s="33">
        <f t="shared" si="1"/>
        <v>0</v>
      </c>
    </row>
    <row r="24" spans="1:9" x14ac:dyDescent="0.55000000000000004">
      <c r="A24" s="5" t="s">
        <v>16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</row>
    <row r="25" spans="1:9" x14ac:dyDescent="0.55000000000000004">
      <c r="A25" s="5" t="s">
        <v>17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</row>
    <row r="26" spans="1:9" ht="28.8" x14ac:dyDescent="0.55000000000000004">
      <c r="A26" s="5" t="s">
        <v>18</v>
      </c>
      <c r="B26" s="22">
        <v>3</v>
      </c>
      <c r="C26" s="22">
        <v>3</v>
      </c>
      <c r="D26" s="22">
        <v>3</v>
      </c>
      <c r="E26" s="22">
        <v>3</v>
      </c>
      <c r="F26" s="22">
        <v>1</v>
      </c>
      <c r="G26" s="22">
        <v>1</v>
      </c>
      <c r="H26" s="22">
        <v>1</v>
      </c>
      <c r="I26" s="22">
        <v>1</v>
      </c>
    </row>
    <row r="27" spans="1:9" x14ac:dyDescent="0.55000000000000004">
      <c r="A27" s="8" t="s">
        <v>19</v>
      </c>
      <c r="B27" s="34">
        <f t="shared" ref="B27:I27" si="2">B21+B22+B23+B24-B26</f>
        <v>67.133899436317563</v>
      </c>
      <c r="C27" s="34">
        <f t="shared" si="2"/>
        <v>67.133899436317563</v>
      </c>
      <c r="D27" s="34">
        <f t="shared" si="2"/>
        <v>67.133899436317563</v>
      </c>
      <c r="E27" s="34">
        <f t="shared" si="2"/>
        <v>67.133899436317563</v>
      </c>
      <c r="F27" s="34">
        <f t="shared" si="2"/>
        <v>22.010299956639813</v>
      </c>
      <c r="G27" s="34">
        <f t="shared" si="2"/>
        <v>22.010299956639813</v>
      </c>
      <c r="H27" s="34">
        <f t="shared" si="2"/>
        <v>22.010299956639813</v>
      </c>
      <c r="I27" s="34">
        <f t="shared" si="2"/>
        <v>22.010299956639813</v>
      </c>
    </row>
    <row r="28" spans="1:9" x14ac:dyDescent="0.55000000000000004">
      <c r="A28" s="8" t="s">
        <v>20</v>
      </c>
      <c r="B28" s="34">
        <f t="shared" ref="B28:I28" si="3">B21+B22+B23-B25-B26</f>
        <v>67.133899436317563</v>
      </c>
      <c r="C28" s="34">
        <f t="shared" si="3"/>
        <v>67.133899436317563</v>
      </c>
      <c r="D28" s="34">
        <f t="shared" si="3"/>
        <v>67.133899436317563</v>
      </c>
      <c r="E28" s="34">
        <f t="shared" si="3"/>
        <v>67.133899436317563</v>
      </c>
      <c r="F28" s="34">
        <f t="shared" si="3"/>
        <v>22.010299956639813</v>
      </c>
      <c r="G28" s="34">
        <f t="shared" si="3"/>
        <v>22.010299956639813</v>
      </c>
      <c r="H28" s="34">
        <f t="shared" si="3"/>
        <v>22.010299956639813</v>
      </c>
      <c r="I28" s="34">
        <f t="shared" si="3"/>
        <v>22.010299956639813</v>
      </c>
    </row>
    <row r="29" spans="1:9" x14ac:dyDescent="0.55000000000000004">
      <c r="A29" s="4" t="s">
        <v>21</v>
      </c>
      <c r="B29" s="24"/>
      <c r="C29" s="24"/>
      <c r="D29" s="24"/>
      <c r="E29" s="24"/>
      <c r="F29" s="24"/>
      <c r="G29" s="24"/>
      <c r="H29" s="24"/>
      <c r="I29" s="24"/>
    </row>
    <row r="30" spans="1:9" ht="28.8" x14ac:dyDescent="0.55000000000000004">
      <c r="A30" s="5" t="s">
        <v>68</v>
      </c>
      <c r="B30" s="22">
        <v>4</v>
      </c>
      <c r="C30" s="22">
        <v>4</v>
      </c>
      <c r="D30" s="22">
        <v>4</v>
      </c>
      <c r="E30" s="22">
        <v>4</v>
      </c>
      <c r="F30" s="22">
        <v>128</v>
      </c>
      <c r="G30" s="22">
        <v>128</v>
      </c>
      <c r="H30" s="22">
        <v>128</v>
      </c>
      <c r="I30" s="22">
        <v>128</v>
      </c>
    </row>
    <row r="31" spans="1:9" x14ac:dyDescent="0.55000000000000004">
      <c r="A31" s="5" t="s">
        <v>69</v>
      </c>
      <c r="B31" s="22">
        <v>2</v>
      </c>
      <c r="C31" s="22">
        <v>2</v>
      </c>
      <c r="D31" s="22">
        <v>2</v>
      </c>
      <c r="E31" s="22">
        <v>2</v>
      </c>
      <c r="F31" s="22">
        <v>2</v>
      </c>
      <c r="G31" s="22">
        <v>2</v>
      </c>
      <c r="H31" s="22">
        <v>2</v>
      </c>
      <c r="I31" s="22">
        <v>2</v>
      </c>
    </row>
    <row r="32" spans="1:9" x14ac:dyDescent="0.55000000000000004">
      <c r="A32" s="5" t="s">
        <v>22</v>
      </c>
      <c r="B32" s="22">
        <v>0</v>
      </c>
      <c r="C32" s="22">
        <v>0</v>
      </c>
      <c r="D32" s="22">
        <v>0</v>
      </c>
      <c r="E32" s="22">
        <v>0</v>
      </c>
      <c r="F32" s="22">
        <v>8</v>
      </c>
      <c r="G32" s="22">
        <v>8</v>
      </c>
      <c r="H32" s="22">
        <v>8</v>
      </c>
      <c r="I32" s="22">
        <v>8</v>
      </c>
    </row>
    <row r="33" spans="1:9" ht="28.8" x14ac:dyDescent="0.55000000000000004">
      <c r="A33" s="9" t="s">
        <v>70</v>
      </c>
      <c r="B33" s="35">
        <f t="shared" ref="B33:I33" si="4">IF(B30&gt;=2, 10*LOG10(B30/2), 0)</f>
        <v>3.0102999566398121</v>
      </c>
      <c r="C33" s="35">
        <f t="shared" si="4"/>
        <v>3.0102999566398121</v>
      </c>
      <c r="D33" s="35">
        <f t="shared" si="4"/>
        <v>3.0102999566398121</v>
      </c>
      <c r="E33" s="35">
        <f t="shared" si="4"/>
        <v>3.0102999566398121</v>
      </c>
      <c r="F33" s="35">
        <f t="shared" si="4"/>
        <v>18.061799739838872</v>
      </c>
      <c r="G33" s="35">
        <f t="shared" si="4"/>
        <v>18.061799739838872</v>
      </c>
      <c r="H33" s="35">
        <f t="shared" si="4"/>
        <v>18.061799739838872</v>
      </c>
      <c r="I33" s="35">
        <f t="shared" si="4"/>
        <v>18.061799739838872</v>
      </c>
    </row>
    <row r="34" spans="1:9" ht="28.8" x14ac:dyDescent="0.55000000000000004">
      <c r="A34" s="5" t="s">
        <v>23</v>
      </c>
      <c r="B34" s="22">
        <v>1</v>
      </c>
      <c r="C34" s="22">
        <v>1</v>
      </c>
      <c r="D34" s="22">
        <v>1</v>
      </c>
      <c r="E34" s="22">
        <v>1</v>
      </c>
      <c r="F34" s="22">
        <v>3</v>
      </c>
      <c r="G34" s="22">
        <v>3</v>
      </c>
      <c r="H34" s="22">
        <v>3</v>
      </c>
      <c r="I34" s="22">
        <v>3</v>
      </c>
    </row>
    <row r="35" spans="1:9" x14ac:dyDescent="0.55000000000000004">
      <c r="A35" s="5" t="s">
        <v>24</v>
      </c>
      <c r="B35" s="22">
        <v>7</v>
      </c>
      <c r="C35" s="22">
        <v>7</v>
      </c>
      <c r="D35" s="22">
        <v>7</v>
      </c>
      <c r="E35" s="22">
        <v>7</v>
      </c>
      <c r="F35" s="22">
        <v>5</v>
      </c>
      <c r="G35" s="22">
        <v>5</v>
      </c>
      <c r="H35" s="22">
        <v>5</v>
      </c>
      <c r="I35" s="22">
        <v>5</v>
      </c>
    </row>
    <row r="36" spans="1:9" x14ac:dyDescent="0.55000000000000004">
      <c r="A36" s="5" t="s">
        <v>25</v>
      </c>
      <c r="B36" s="22">
        <v>-174</v>
      </c>
      <c r="C36" s="22">
        <v>-174</v>
      </c>
      <c r="D36" s="22">
        <v>-174</v>
      </c>
      <c r="E36" s="22">
        <v>-174</v>
      </c>
      <c r="F36" s="22">
        <v>-174</v>
      </c>
      <c r="G36" s="22">
        <v>-174</v>
      </c>
      <c r="H36" s="22">
        <v>-174</v>
      </c>
      <c r="I36" s="22">
        <v>-174</v>
      </c>
    </row>
    <row r="37" spans="1:9" ht="28.8" x14ac:dyDescent="0.55000000000000004">
      <c r="A37" s="5" t="s">
        <v>26</v>
      </c>
      <c r="B37" s="22" t="s">
        <v>59</v>
      </c>
      <c r="C37" s="22">
        <v>-169.3</v>
      </c>
      <c r="D37" s="22" t="s">
        <v>59</v>
      </c>
      <c r="E37" s="22">
        <v>-169.3</v>
      </c>
      <c r="F37" s="22" t="s">
        <v>59</v>
      </c>
      <c r="G37" s="22">
        <v>-161.69999999999999</v>
      </c>
      <c r="H37" s="22" t="s">
        <v>59</v>
      </c>
      <c r="I37" s="22">
        <v>-161.69999999999999</v>
      </c>
    </row>
    <row r="38" spans="1:9" x14ac:dyDescent="0.55000000000000004">
      <c r="A38" s="5" t="s">
        <v>27</v>
      </c>
      <c r="B38" s="22">
        <v>-169.3</v>
      </c>
      <c r="C38" s="22" t="s">
        <v>59</v>
      </c>
      <c r="D38" s="22">
        <v>-169.3</v>
      </c>
      <c r="E38" s="22" t="s">
        <v>59</v>
      </c>
      <c r="F38" s="22">
        <v>-165.7</v>
      </c>
      <c r="G38" s="22" t="s">
        <v>59</v>
      </c>
      <c r="H38" s="22">
        <v>-165.7</v>
      </c>
      <c r="I38" s="22" t="s">
        <v>59</v>
      </c>
    </row>
    <row r="39" spans="1:9" ht="28.8" x14ac:dyDescent="0.55000000000000004">
      <c r="A39" s="8" t="s">
        <v>28</v>
      </c>
      <c r="B39" s="34" t="s">
        <v>59</v>
      </c>
      <c r="C39" s="34">
        <f t="shared" ref="C39:I39" si="5">10*LOG10(10^((C35+C36)/10)+10^(C37/10))</f>
        <v>-164.98918835931039</v>
      </c>
      <c r="D39" s="34" t="s">
        <v>59</v>
      </c>
      <c r="E39" s="34">
        <f t="shared" si="5"/>
        <v>-164.98918835931039</v>
      </c>
      <c r="F39" s="34" t="s">
        <v>59</v>
      </c>
      <c r="G39" s="34">
        <f t="shared" si="5"/>
        <v>-160.9583889004532</v>
      </c>
      <c r="H39" s="34" t="s">
        <v>59</v>
      </c>
      <c r="I39" s="34">
        <f t="shared" si="5"/>
        <v>-160.9583889004532</v>
      </c>
    </row>
    <row r="40" spans="1:9" ht="28.8" x14ac:dyDescent="0.55000000000000004">
      <c r="A40" s="8" t="s">
        <v>29</v>
      </c>
      <c r="B40" s="34">
        <f t="shared" ref="B40:H40" si="6">10*LOG10(10^((B35+B36)/10)+10^(B38/10))</f>
        <v>-164.98918835931039</v>
      </c>
      <c r="C40" s="34" t="s">
        <v>59</v>
      </c>
      <c r="D40" s="34">
        <f t="shared" si="6"/>
        <v>-164.98918835931039</v>
      </c>
      <c r="E40" s="34" t="s">
        <v>59</v>
      </c>
      <c r="F40" s="34">
        <f t="shared" si="6"/>
        <v>-164.03352307536667</v>
      </c>
      <c r="G40" s="34" t="s">
        <v>59</v>
      </c>
      <c r="H40" s="34">
        <f t="shared" si="6"/>
        <v>-164.03352307536667</v>
      </c>
      <c r="I40" s="34" t="s">
        <v>59</v>
      </c>
    </row>
    <row r="41" spans="1:9" ht="28.8" x14ac:dyDescent="0.55000000000000004">
      <c r="A41" s="5" t="s">
        <v>30</v>
      </c>
      <c r="B41" s="22" t="s">
        <v>59</v>
      </c>
      <c r="C41" s="22">
        <f>[1]MaxN_RB!$F$7*12*30*1000</f>
        <v>18360000</v>
      </c>
      <c r="D41" s="22" t="s">
        <v>59</v>
      </c>
      <c r="E41" s="22">
        <f>[1]MaxN_RB!$F$7*12*30*1000</f>
        <v>18360000</v>
      </c>
      <c r="F41" s="22" t="s">
        <v>59</v>
      </c>
      <c r="G41" s="22">
        <f>1*12*30*1000</f>
        <v>360000</v>
      </c>
      <c r="H41" s="22" t="s">
        <v>59</v>
      </c>
      <c r="I41" s="22">
        <f>1*12*30*1000</f>
        <v>360000</v>
      </c>
    </row>
    <row r="42" spans="1:9" ht="28.8" x14ac:dyDescent="0.55000000000000004">
      <c r="A42" s="5" t="s">
        <v>31</v>
      </c>
      <c r="B42" s="22">
        <f>[1]MaxN_RB!$F$7*12*30*1000</f>
        <v>18360000</v>
      </c>
      <c r="C42" s="22" t="s">
        <v>59</v>
      </c>
      <c r="D42" s="22">
        <f>[1]MaxN_RB!$F$7*12*30*1000</f>
        <v>18360000</v>
      </c>
      <c r="E42" s="22" t="s">
        <v>59</v>
      </c>
      <c r="F42" s="22">
        <f>4*12*30*1000</f>
        <v>1440000</v>
      </c>
      <c r="G42" s="22" t="s">
        <v>59</v>
      </c>
      <c r="H42" s="22">
        <f>4*12*30*1000</f>
        <v>1440000</v>
      </c>
      <c r="I42" s="22" t="s">
        <v>59</v>
      </c>
    </row>
    <row r="43" spans="1:9" x14ac:dyDescent="0.55000000000000004">
      <c r="A43" s="8" t="s">
        <v>32</v>
      </c>
      <c r="B43" s="34" t="s">
        <v>59</v>
      </c>
      <c r="C43" s="34">
        <f t="shared" ref="C43:I43" si="7">C39+10*LOG10(C41)</f>
        <v>-92.350461590658156</v>
      </c>
      <c r="D43" s="34" t="s">
        <v>59</v>
      </c>
      <c r="E43" s="34">
        <f t="shared" si="7"/>
        <v>-92.350461590658156</v>
      </c>
      <c r="F43" s="34" t="s">
        <v>59</v>
      </c>
      <c r="G43" s="34">
        <f t="shared" si="7"/>
        <v>-105.39536389278032</v>
      </c>
      <c r="H43" s="34" t="s">
        <v>59</v>
      </c>
      <c r="I43" s="34">
        <f t="shared" si="7"/>
        <v>-105.39536389278032</v>
      </c>
    </row>
    <row r="44" spans="1:9" x14ac:dyDescent="0.55000000000000004">
      <c r="A44" s="8" t="s">
        <v>33</v>
      </c>
      <c r="B44" s="34">
        <f t="shared" ref="B44:H44" si="8">B40+10*LOG10(B42)</f>
        <v>-92.350461590658156</v>
      </c>
      <c r="C44" s="34" t="s">
        <v>59</v>
      </c>
      <c r="D44" s="34">
        <f t="shared" si="8"/>
        <v>-92.350461590658156</v>
      </c>
      <c r="E44" s="34" t="s">
        <v>59</v>
      </c>
      <c r="F44" s="34">
        <f t="shared" si="8"/>
        <v>-102.44989815441417</v>
      </c>
      <c r="G44" s="34" t="s">
        <v>59</v>
      </c>
      <c r="H44" s="34">
        <f t="shared" si="8"/>
        <v>-102.44989815441417</v>
      </c>
      <c r="I44" s="34" t="s">
        <v>59</v>
      </c>
    </row>
    <row r="45" spans="1:9" x14ac:dyDescent="0.55000000000000004">
      <c r="A45" s="18" t="s">
        <v>34</v>
      </c>
      <c r="B45" s="25" t="s">
        <v>59</v>
      </c>
      <c r="C45" s="25">
        <v>-8.15</v>
      </c>
      <c r="D45" s="25" t="s">
        <v>59</v>
      </c>
      <c r="E45" s="25">
        <v>-8.41</v>
      </c>
      <c r="F45" s="25" t="s">
        <v>59</v>
      </c>
      <c r="G45" s="25">
        <v>-6.8</v>
      </c>
      <c r="H45" s="25" t="s">
        <v>59</v>
      </c>
      <c r="I45" s="25">
        <v>-6.8</v>
      </c>
    </row>
    <row r="46" spans="1:9" x14ac:dyDescent="0.55000000000000004">
      <c r="A46" s="18" t="s">
        <v>35</v>
      </c>
      <c r="B46" s="25">
        <v>-0.9</v>
      </c>
      <c r="C46" s="25" t="s">
        <v>59</v>
      </c>
      <c r="D46" s="25">
        <v>-0.9</v>
      </c>
      <c r="E46" s="25" t="s">
        <v>59</v>
      </c>
      <c r="F46" s="25">
        <v>5.2</v>
      </c>
      <c r="G46" s="25" t="s">
        <v>59</v>
      </c>
      <c r="H46" s="25">
        <v>4.5999999999999996</v>
      </c>
      <c r="I46" s="25" t="s">
        <v>59</v>
      </c>
    </row>
    <row r="47" spans="1:9" x14ac:dyDescent="0.55000000000000004">
      <c r="A47" s="5" t="s">
        <v>36</v>
      </c>
      <c r="B47" s="22">
        <v>2</v>
      </c>
      <c r="C47" s="22">
        <v>2</v>
      </c>
      <c r="D47" s="22">
        <v>2</v>
      </c>
      <c r="E47" s="22">
        <v>2</v>
      </c>
      <c r="F47" s="22">
        <v>2</v>
      </c>
      <c r="G47" s="22">
        <v>2</v>
      </c>
      <c r="H47" s="22">
        <v>2</v>
      </c>
      <c r="I47" s="22">
        <v>2</v>
      </c>
    </row>
    <row r="48" spans="1:9" x14ac:dyDescent="0.55000000000000004">
      <c r="A48" s="5" t="s">
        <v>37</v>
      </c>
      <c r="B48" s="22" t="s">
        <v>59</v>
      </c>
      <c r="C48" s="22">
        <v>0</v>
      </c>
      <c r="D48" s="22" t="s">
        <v>59</v>
      </c>
      <c r="E48" s="22">
        <v>0</v>
      </c>
      <c r="F48" s="22" t="s">
        <v>59</v>
      </c>
      <c r="G48" s="22">
        <v>0</v>
      </c>
      <c r="H48" s="22" t="s">
        <v>59</v>
      </c>
      <c r="I48" s="22">
        <v>0</v>
      </c>
    </row>
    <row r="49" spans="1:9" x14ac:dyDescent="0.55000000000000004">
      <c r="A49" s="5" t="s">
        <v>38</v>
      </c>
      <c r="B49" s="22">
        <v>0.5</v>
      </c>
      <c r="C49" s="22" t="s">
        <v>59</v>
      </c>
      <c r="D49" s="22">
        <v>0.5</v>
      </c>
      <c r="E49" s="22" t="s">
        <v>59</v>
      </c>
      <c r="F49" s="22">
        <v>0.5</v>
      </c>
      <c r="G49" s="22" t="s">
        <v>59</v>
      </c>
      <c r="H49" s="22">
        <v>0.5</v>
      </c>
      <c r="I49" s="22" t="s">
        <v>59</v>
      </c>
    </row>
    <row r="50" spans="1:9" x14ac:dyDescent="0.55000000000000004">
      <c r="A50" s="8" t="s">
        <v>39</v>
      </c>
      <c r="B50" s="34" t="s">
        <v>59</v>
      </c>
      <c r="C50" s="34">
        <f t="shared" ref="C50:I50" si="9">C43+C45+C47-C48</f>
        <v>-98.500461590658162</v>
      </c>
      <c r="D50" s="34" t="s">
        <v>59</v>
      </c>
      <c r="E50" s="34">
        <f t="shared" si="9"/>
        <v>-98.760461590658153</v>
      </c>
      <c r="F50" s="34" t="s">
        <v>59</v>
      </c>
      <c r="G50" s="34">
        <f t="shared" si="9"/>
        <v>-110.19536389278032</v>
      </c>
      <c r="H50" s="34" t="s">
        <v>59</v>
      </c>
      <c r="I50" s="34">
        <f t="shared" si="9"/>
        <v>-110.19536389278032</v>
      </c>
    </row>
    <row r="51" spans="1:9" x14ac:dyDescent="0.55000000000000004">
      <c r="A51" s="8" t="s">
        <v>40</v>
      </c>
      <c r="B51" s="34">
        <f t="shared" ref="B51:H51" si="10">B44+B46+B47-B49</f>
        <v>-91.750461590658162</v>
      </c>
      <c r="C51" s="34" t="s">
        <v>59</v>
      </c>
      <c r="D51" s="34">
        <f t="shared" si="10"/>
        <v>-91.750461590658162</v>
      </c>
      <c r="E51" s="34" t="s">
        <v>59</v>
      </c>
      <c r="F51" s="34">
        <f t="shared" si="10"/>
        <v>-95.749898154414169</v>
      </c>
      <c r="G51" s="34" t="s">
        <v>59</v>
      </c>
      <c r="H51" s="34">
        <f t="shared" si="10"/>
        <v>-96.349898154414177</v>
      </c>
      <c r="I51" s="34" t="s">
        <v>59</v>
      </c>
    </row>
    <row r="52" spans="1:9" x14ac:dyDescent="0.55000000000000004">
      <c r="A52" s="8" t="s">
        <v>41</v>
      </c>
      <c r="B52" s="34" t="s">
        <v>59</v>
      </c>
      <c r="C52" s="34">
        <f t="shared" ref="C52:I52" si="11">C27+C32+C33-C50</f>
        <v>168.64466098361555</v>
      </c>
      <c r="D52" s="34" t="s">
        <v>59</v>
      </c>
      <c r="E52" s="34">
        <f t="shared" si="11"/>
        <v>168.90466098361554</v>
      </c>
      <c r="F52" s="34" t="s">
        <v>59</v>
      </c>
      <c r="G52" s="34">
        <f t="shared" si="11"/>
        <v>158.26746358925902</v>
      </c>
      <c r="H52" s="34" t="s">
        <v>59</v>
      </c>
      <c r="I52" s="34">
        <f t="shared" si="11"/>
        <v>158.26746358925902</v>
      </c>
    </row>
    <row r="53" spans="1:9" x14ac:dyDescent="0.55000000000000004">
      <c r="A53" s="8" t="s">
        <v>42</v>
      </c>
      <c r="B53" s="34">
        <f t="shared" ref="B53:H53" si="12">B28+B32+B33-B51</f>
        <v>161.89466098361555</v>
      </c>
      <c r="C53" s="34" t="s">
        <v>59</v>
      </c>
      <c r="D53" s="34">
        <f t="shared" si="12"/>
        <v>161.89466098361555</v>
      </c>
      <c r="E53" s="34" t="s">
        <v>59</v>
      </c>
      <c r="F53" s="34">
        <f t="shared" si="12"/>
        <v>143.82199785089284</v>
      </c>
      <c r="G53" s="34" t="s">
        <v>59</v>
      </c>
      <c r="H53" s="34">
        <f t="shared" si="12"/>
        <v>144.42199785089286</v>
      </c>
      <c r="I53" s="34" t="s">
        <v>59</v>
      </c>
    </row>
    <row r="54" spans="1:9" x14ac:dyDescent="0.55000000000000004">
      <c r="A54" s="4" t="s">
        <v>43</v>
      </c>
      <c r="B54" s="24"/>
      <c r="C54" s="24"/>
      <c r="D54" s="24"/>
      <c r="E54" s="24"/>
      <c r="F54" s="24"/>
      <c r="G54" s="24"/>
      <c r="H54" s="24"/>
      <c r="I54" s="24"/>
    </row>
    <row r="55" spans="1:9" x14ac:dyDescent="0.55000000000000004">
      <c r="A55" s="5" t="s">
        <v>44</v>
      </c>
      <c r="B55" s="22">
        <v>6</v>
      </c>
      <c r="C55" s="22">
        <v>6</v>
      </c>
      <c r="D55" s="22">
        <v>6</v>
      </c>
      <c r="E55" s="22">
        <v>6</v>
      </c>
      <c r="F55" s="22">
        <v>6</v>
      </c>
      <c r="G55" s="22">
        <v>6</v>
      </c>
      <c r="H55" s="22">
        <v>6</v>
      </c>
      <c r="I55" s="22">
        <v>6</v>
      </c>
    </row>
    <row r="56" spans="1:9" ht="28.8" x14ac:dyDescent="0.55000000000000004">
      <c r="A56" s="5" t="s">
        <v>45</v>
      </c>
      <c r="B56" s="22" t="s">
        <v>59</v>
      </c>
      <c r="C56" s="22">
        <v>8.1199999999999992</v>
      </c>
      <c r="D56" s="22" t="s">
        <v>59</v>
      </c>
      <c r="E56" s="22">
        <v>6.97</v>
      </c>
      <c r="F56" s="22" t="s">
        <v>59</v>
      </c>
      <c r="G56" s="22">
        <v>8.1199999999999992</v>
      </c>
      <c r="H56" s="22" t="s">
        <v>59</v>
      </c>
      <c r="I56" s="22">
        <v>6.97</v>
      </c>
    </row>
    <row r="57" spans="1:9" ht="28.8" x14ac:dyDescent="0.55000000000000004">
      <c r="A57" s="5" t="s">
        <v>46</v>
      </c>
      <c r="B57" s="22">
        <v>4.8899999999999997</v>
      </c>
      <c r="C57" s="22" t="s">
        <v>59</v>
      </c>
      <c r="D57" s="22">
        <v>4.04</v>
      </c>
      <c r="E57" s="22" t="s">
        <v>59</v>
      </c>
      <c r="F57" s="22">
        <v>4.8899999999999997</v>
      </c>
      <c r="G57" s="22" t="s">
        <v>59</v>
      </c>
      <c r="H57" s="22">
        <v>4.04</v>
      </c>
      <c r="I57" s="22" t="s">
        <v>59</v>
      </c>
    </row>
    <row r="58" spans="1:9" x14ac:dyDescent="0.55000000000000004">
      <c r="A58" s="5" t="s">
        <v>47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</row>
    <row r="59" spans="1:9" x14ac:dyDescent="0.55000000000000004">
      <c r="A59" s="5" t="s">
        <v>48</v>
      </c>
      <c r="B59" s="22">
        <v>9</v>
      </c>
      <c r="C59" s="22">
        <v>9</v>
      </c>
      <c r="D59" s="22">
        <f>20+0.5*12.5</f>
        <v>26.25</v>
      </c>
      <c r="E59" s="22">
        <f>20+0.5*12.5</f>
        <v>26.25</v>
      </c>
      <c r="F59" s="22">
        <v>9</v>
      </c>
      <c r="G59" s="22">
        <v>9</v>
      </c>
      <c r="H59" s="22">
        <f>20+0.5*12.5</f>
        <v>26.25</v>
      </c>
      <c r="I59" s="22">
        <f>20+0.5*12.5</f>
        <v>26.25</v>
      </c>
    </row>
    <row r="60" spans="1:9" x14ac:dyDescent="0.55000000000000004">
      <c r="A60" s="5" t="s">
        <v>49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</row>
    <row r="61" spans="1:9" ht="28.8" x14ac:dyDescent="0.55000000000000004">
      <c r="A61" s="8" t="s">
        <v>72</v>
      </c>
      <c r="B61" s="34" t="s">
        <v>59</v>
      </c>
      <c r="C61" s="34">
        <f t="shared" ref="C61:I61" si="13">C52-C56+C58-C59+C60-C34</f>
        <v>150.52466098361555</v>
      </c>
      <c r="D61" s="34" t="s">
        <v>59</v>
      </c>
      <c r="E61" s="34">
        <f t="shared" si="13"/>
        <v>134.68466098361554</v>
      </c>
      <c r="F61" s="34" t="s">
        <v>59</v>
      </c>
      <c r="G61" s="34">
        <f t="shared" si="13"/>
        <v>138.14746358925902</v>
      </c>
      <c r="H61" s="34" t="s">
        <v>59</v>
      </c>
      <c r="I61" s="34">
        <f t="shared" si="13"/>
        <v>122.04746358925902</v>
      </c>
    </row>
    <row r="62" spans="1:9" ht="28.8" x14ac:dyDescent="0.55000000000000004">
      <c r="A62" s="8" t="s">
        <v>50</v>
      </c>
      <c r="B62" s="34">
        <f t="shared" ref="B62:H62" si="14">B53-B57+B58-B59+B60-B34</f>
        <v>147.00466098361557</v>
      </c>
      <c r="C62" s="34" t="s">
        <v>59</v>
      </c>
      <c r="D62" s="34">
        <f t="shared" si="14"/>
        <v>130.60466098361556</v>
      </c>
      <c r="E62" s="34" t="s">
        <v>59</v>
      </c>
      <c r="F62" s="34">
        <f t="shared" si="14"/>
        <v>126.93199785089286</v>
      </c>
      <c r="G62" s="34" t="s">
        <v>59</v>
      </c>
      <c r="H62" s="34">
        <f t="shared" si="14"/>
        <v>111.13199785089287</v>
      </c>
      <c r="I62" s="34" t="s">
        <v>59</v>
      </c>
    </row>
    <row r="63" spans="1:9" x14ac:dyDescent="0.55000000000000004">
      <c r="A63" s="4" t="s">
        <v>51</v>
      </c>
      <c r="B63" s="24"/>
      <c r="C63" s="24"/>
      <c r="D63" s="24"/>
      <c r="E63" s="24"/>
      <c r="F63" s="24"/>
      <c r="G63" s="24"/>
      <c r="H63" s="24"/>
      <c r="I63" s="24"/>
    </row>
    <row r="64" spans="1:9" ht="28.8" x14ac:dyDescent="0.55000000000000004">
      <c r="A64" s="5" t="s">
        <v>52</v>
      </c>
      <c r="B64" s="32" t="s">
        <v>59</v>
      </c>
      <c r="C64" s="32">
        <f>10^((C61-161.04+7.1*LOG10(20)-7.5*LOG10(20)+(24.37-3.7*(20/C5)^2)*LOG10(C5)-20*LOG10(C4)+(3.2*(LOG10(17.625))^2-4.97)+0.6*(C6-1.5))/(43.42-3.1*LOG10(C5))+3)</f>
        <v>1572.0913418377393</v>
      </c>
      <c r="D64" s="32" t="s">
        <v>59</v>
      </c>
      <c r="E64" s="32">
        <f>10^((E61-161.04+7.1*LOG10(20)-7.5*LOG10(20)+(24.37-3.7*(20/E5)^2)*LOG10(E5)-20*LOG10(E4)+(3.2*(LOG10(17.625))^2-4.97)+0.6*(E6-1.5))/(43.42-3.1*LOG10(E5))+3)</f>
        <v>618.33180002756967</v>
      </c>
      <c r="F64" s="32" t="s">
        <v>59</v>
      </c>
      <c r="G64" s="32">
        <f>10^((G61-161.04+7.1*LOG10(20)-7.5*LOG10(20)+(24.37-3.7*(20/G5)^2)*LOG10(G5)-20*LOG10(G4)+(3.2*(LOG10(17.625))^2-4.97)+0.6*(G6-1.5))/(43.42-3.1*LOG10(G5))+3)</f>
        <v>758.25477817771628</v>
      </c>
      <c r="H64" s="32" t="s">
        <v>59</v>
      </c>
      <c r="I64" s="32">
        <f>10^((I61-161.04+7.1*LOG10(20)-7.5*LOG10(20)+(24.37-3.7*(20/I5)^2)*LOG10(I5)-20*LOG10(I4)+(3.2*(LOG10(17.625))^2-4.97)+0.6*(I6-1.5))/(43.42-3.1*LOG10(I5))+3)</f>
        <v>293.70208504817589</v>
      </c>
    </row>
    <row r="65" spans="1:9" ht="28.8" x14ac:dyDescent="0.55000000000000004">
      <c r="A65" s="5" t="s">
        <v>53</v>
      </c>
      <c r="B65" s="32">
        <f>10^((B62-161.04+7.1*LOG10(20)-7.5*LOG10(20)+(24.37-3.7*(20/B5)^2)*LOG10(B5)-20*LOG10(B4)+(3.2*(LOG10(17.625))^2-4.97)+0.6*(B6-1.5))/(43.42-3.1*LOG10(B5))+3)</f>
        <v>1277.6763145656828</v>
      </c>
      <c r="C65" s="32" t="s">
        <v>59</v>
      </c>
      <c r="D65" s="32">
        <f>10^((D62-161.04+7.1*LOG10(20)-7.5*LOG10(20)+(24.37-3.7*(20/D5)^2)*LOG10(D5)-20*LOG10(D4)+(3.2*(LOG10(17.625))^2-4.97)+0.6*(D6-1.5))/(43.42-3.1*LOG10(D5))+3)</f>
        <v>486.22514131971843</v>
      </c>
      <c r="E65" s="32" t="s">
        <v>59</v>
      </c>
      <c r="F65" s="32">
        <f>10^((F62-161.04+7.1*LOG10(20)-7.5*LOG10(20)+(24.37-3.7*(20/F5)^2)*LOG10(F5)-20*LOG10(F4)+(3.2*(LOG10(17.625))^2-4.97)+0.6*(F6-1.5))/(43.42-3.1*LOG10(F5))+3)</f>
        <v>391.62886270344296</v>
      </c>
      <c r="G65" s="32" t="s">
        <v>59</v>
      </c>
      <c r="H65" s="32">
        <f>10^((H62-161.04+7.1*LOG10(20)-7.5*LOG10(20)+(24.37-3.7*(20/H5)^2)*LOG10(H5)-20*LOG10(H4)+(3.2*(LOG10(17.625))^2-4.97)+0.6*(H6-1.5))/(43.42-3.1*LOG10(H5))+3)</f>
        <v>154.39807170679825</v>
      </c>
      <c r="I65" s="32" t="s">
        <v>59</v>
      </c>
    </row>
    <row r="66" spans="1:9" x14ac:dyDescent="0.55000000000000004">
      <c r="A66" s="5" t="s">
        <v>73</v>
      </c>
      <c r="B66" s="32" t="s">
        <v>59</v>
      </c>
      <c r="C66" s="32">
        <f>PI()*(C64)^2</f>
        <v>7764355.7248930922</v>
      </c>
      <c r="D66" s="32" t="s">
        <v>59</v>
      </c>
      <c r="E66" s="32">
        <f>PI()*(E64)^2</f>
        <v>1201138.3608254516</v>
      </c>
      <c r="F66" s="32" t="s">
        <v>59</v>
      </c>
      <c r="G66" s="32">
        <f>PI()*(G64)^2</f>
        <v>1806259.6657691116</v>
      </c>
      <c r="H66" s="32" t="s">
        <v>59</v>
      </c>
      <c r="I66" s="32">
        <f>PI()*(I64)^2</f>
        <v>270996.65610712219</v>
      </c>
    </row>
    <row r="67" spans="1:9" x14ac:dyDescent="0.55000000000000004">
      <c r="A67" s="5" t="s">
        <v>74</v>
      </c>
      <c r="B67" s="32">
        <f>PI()*(B65)^2</f>
        <v>5128514.1796053816</v>
      </c>
      <c r="C67" s="32" t="s">
        <v>59</v>
      </c>
      <c r="D67" s="32">
        <f>PI()*(D65)^2</f>
        <v>742719.27550146927</v>
      </c>
      <c r="E67" s="32" t="s">
        <v>59</v>
      </c>
      <c r="F67" s="32">
        <f>PI()*(F65)^2</f>
        <v>481836.01188508241</v>
      </c>
      <c r="G67" s="32" t="s">
        <v>59</v>
      </c>
      <c r="H67" s="32">
        <f>PI()*(H65)^2</f>
        <v>74891.687570813359</v>
      </c>
      <c r="I67" s="32" t="s">
        <v>59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7"/>
  <sheetViews>
    <sheetView topLeftCell="A28" zoomScale="66" zoomScaleNormal="66" workbookViewId="0">
      <selection activeCell="K48" sqref="K48"/>
    </sheetView>
  </sheetViews>
  <sheetFormatPr defaultRowHeight="14.4" x14ac:dyDescent="0.55000000000000004"/>
  <cols>
    <col min="1" max="1" width="80.578125" customWidth="1"/>
    <col min="2" max="2" width="14.83984375" customWidth="1"/>
    <col min="3" max="3" width="16.26171875" customWidth="1"/>
    <col min="4" max="5" width="19.83984375" customWidth="1"/>
    <col min="6" max="6" width="14.15625" customWidth="1"/>
    <col min="7" max="7" width="15" customWidth="1"/>
    <col min="8" max="8" width="22.578125" customWidth="1"/>
    <col min="9" max="9" width="21.83984375" customWidth="1"/>
  </cols>
  <sheetData>
    <row r="1" spans="1:9" x14ac:dyDescent="0.55000000000000004">
      <c r="A1" s="3" t="s">
        <v>0</v>
      </c>
      <c r="B1" s="104" t="s">
        <v>1</v>
      </c>
      <c r="C1" s="104"/>
      <c r="D1" s="104"/>
      <c r="E1" s="104"/>
      <c r="F1" s="104" t="s">
        <v>2</v>
      </c>
      <c r="G1" s="104"/>
      <c r="H1" s="104"/>
      <c r="I1" s="104"/>
    </row>
    <row r="2" spans="1:9" ht="28.8" x14ac:dyDescent="0.55000000000000004">
      <c r="A2" s="6"/>
      <c r="B2" s="17" t="s">
        <v>75</v>
      </c>
      <c r="C2" s="17" t="s">
        <v>88</v>
      </c>
      <c r="D2" s="17" t="s">
        <v>89</v>
      </c>
      <c r="E2" s="17" t="s">
        <v>90</v>
      </c>
      <c r="F2" s="17" t="s">
        <v>77</v>
      </c>
      <c r="G2" s="17" t="s">
        <v>78</v>
      </c>
      <c r="H2" s="17" t="s">
        <v>91</v>
      </c>
      <c r="I2" s="17" t="s">
        <v>92</v>
      </c>
    </row>
    <row r="3" spans="1:9" x14ac:dyDescent="0.55000000000000004">
      <c r="A3" s="27" t="s">
        <v>3</v>
      </c>
      <c r="B3" s="27"/>
      <c r="C3" s="27"/>
      <c r="D3" s="27"/>
      <c r="E3" s="27"/>
      <c r="F3" s="27"/>
      <c r="G3" s="27"/>
      <c r="H3" s="27"/>
      <c r="I3" s="27"/>
    </row>
    <row r="4" spans="1:9" x14ac:dyDescent="0.55000000000000004">
      <c r="A4" s="5" t="s">
        <v>4</v>
      </c>
      <c r="B4" s="10">
        <v>4</v>
      </c>
      <c r="C4" s="10">
        <v>4</v>
      </c>
      <c r="D4" s="10">
        <v>4</v>
      </c>
      <c r="E4" s="10">
        <v>4</v>
      </c>
      <c r="F4" s="10">
        <v>4</v>
      </c>
      <c r="G4" s="10">
        <v>4</v>
      </c>
      <c r="H4" s="10">
        <v>4</v>
      </c>
      <c r="I4" s="10">
        <v>4</v>
      </c>
    </row>
    <row r="5" spans="1:9" x14ac:dyDescent="0.55000000000000004">
      <c r="A5" s="5" t="s">
        <v>5</v>
      </c>
      <c r="B5" s="10">
        <v>25</v>
      </c>
      <c r="C5" s="10">
        <v>25</v>
      </c>
      <c r="D5" s="10">
        <v>25</v>
      </c>
      <c r="E5" s="10">
        <v>25</v>
      </c>
      <c r="F5" s="10">
        <v>25</v>
      </c>
      <c r="G5" s="10">
        <v>25</v>
      </c>
      <c r="H5" s="10">
        <v>25</v>
      </c>
      <c r="I5" s="10">
        <v>25</v>
      </c>
    </row>
    <row r="6" spans="1:9" x14ac:dyDescent="0.55000000000000004">
      <c r="A6" s="5" t="s">
        <v>6</v>
      </c>
      <c r="B6" s="10">
        <v>1.5</v>
      </c>
      <c r="C6" s="10">
        <v>1.5</v>
      </c>
      <c r="D6" s="10">
        <v>1.5</v>
      </c>
      <c r="E6" s="10">
        <v>1.5</v>
      </c>
      <c r="F6" s="10">
        <v>1.5</v>
      </c>
      <c r="G6" s="10">
        <v>1.5</v>
      </c>
      <c r="H6" s="10">
        <v>1.5</v>
      </c>
      <c r="I6" s="10">
        <v>1.5</v>
      </c>
    </row>
    <row r="7" spans="1:9" ht="28.8" x14ac:dyDescent="0.55000000000000004">
      <c r="A7" s="5" t="s">
        <v>58</v>
      </c>
      <c r="B7" s="10" t="s">
        <v>59</v>
      </c>
      <c r="C7" s="11">
        <v>0.95</v>
      </c>
      <c r="D7" s="10" t="s">
        <v>59</v>
      </c>
      <c r="E7" s="11">
        <v>0.95</v>
      </c>
      <c r="F7" s="10" t="s">
        <v>59</v>
      </c>
      <c r="G7" s="11">
        <v>0.95</v>
      </c>
      <c r="H7" s="10" t="s">
        <v>59</v>
      </c>
      <c r="I7" s="11">
        <v>0.95</v>
      </c>
    </row>
    <row r="8" spans="1:9" ht="28.8" x14ac:dyDescent="0.55000000000000004">
      <c r="A8" s="5" t="s">
        <v>60</v>
      </c>
      <c r="B8" s="11">
        <v>0.9</v>
      </c>
      <c r="C8" s="10" t="s">
        <v>59</v>
      </c>
      <c r="D8" s="11">
        <v>0.9</v>
      </c>
      <c r="E8" s="10" t="s">
        <v>59</v>
      </c>
      <c r="F8" s="11">
        <v>0.9</v>
      </c>
      <c r="G8" s="10" t="s">
        <v>59</v>
      </c>
      <c r="H8" s="11">
        <v>0.9</v>
      </c>
      <c r="I8" s="10" t="s">
        <v>59</v>
      </c>
    </row>
    <row r="9" spans="1:9" x14ac:dyDescent="0.55000000000000004">
      <c r="A9" s="5" t="s">
        <v>7</v>
      </c>
      <c r="B9" s="10" t="s">
        <v>59</v>
      </c>
      <c r="C9" s="10">
        <f>64/(0.001)</f>
        <v>64000</v>
      </c>
      <c r="D9" s="10" t="s">
        <v>59</v>
      </c>
      <c r="E9" s="10">
        <f>64/(0.001)</f>
        <v>64000</v>
      </c>
      <c r="F9" s="10" t="s">
        <v>59</v>
      </c>
      <c r="G9" s="10">
        <f>2/(0.5*0.001)</f>
        <v>4000</v>
      </c>
      <c r="H9" s="10"/>
      <c r="I9" s="10">
        <f>2/(0.5*0.001)</f>
        <v>4000</v>
      </c>
    </row>
    <row r="10" spans="1:9" x14ac:dyDescent="0.55000000000000004">
      <c r="A10" s="5" t="s">
        <v>8</v>
      </c>
      <c r="B10" s="10">
        <f>2248233*3</f>
        <v>6744699</v>
      </c>
      <c r="C10" s="10" t="s">
        <v>59</v>
      </c>
      <c r="D10" s="10">
        <f>2248233*3</f>
        <v>6744699</v>
      </c>
      <c r="E10" s="10" t="s">
        <v>59</v>
      </c>
      <c r="F10" s="10">
        <f>74880*3</f>
        <v>224640</v>
      </c>
      <c r="G10" s="10" t="s">
        <v>59</v>
      </c>
      <c r="H10" s="10">
        <f>74880*3</f>
        <v>224640</v>
      </c>
      <c r="I10" s="10" t="s">
        <v>59</v>
      </c>
    </row>
    <row r="11" spans="1:9" x14ac:dyDescent="0.55000000000000004">
      <c r="A11" s="5" t="s">
        <v>9</v>
      </c>
      <c r="B11" s="10" t="s">
        <v>59</v>
      </c>
      <c r="C11" s="11">
        <v>0.01</v>
      </c>
      <c r="D11" s="10" t="s">
        <v>59</v>
      </c>
      <c r="E11" s="11">
        <v>0.01</v>
      </c>
      <c r="F11" s="10" t="s">
        <v>59</v>
      </c>
      <c r="G11" s="11">
        <v>0.01</v>
      </c>
      <c r="H11" s="10" t="s">
        <v>59</v>
      </c>
      <c r="I11" s="11">
        <v>0.01</v>
      </c>
    </row>
    <row r="12" spans="1:9" x14ac:dyDescent="0.55000000000000004">
      <c r="A12" s="5" t="s">
        <v>10</v>
      </c>
      <c r="B12" s="11">
        <v>0.1</v>
      </c>
      <c r="C12" s="10" t="s">
        <v>59</v>
      </c>
      <c r="D12" s="11">
        <v>0.1</v>
      </c>
      <c r="E12" s="10" t="s">
        <v>59</v>
      </c>
      <c r="F12" s="11">
        <v>0.1</v>
      </c>
      <c r="G12" s="10" t="s">
        <v>59</v>
      </c>
      <c r="H12" s="11">
        <v>0.1</v>
      </c>
      <c r="I12" s="10" t="s">
        <v>59</v>
      </c>
    </row>
    <row r="13" spans="1:9" x14ac:dyDescent="0.55000000000000004">
      <c r="A13" s="5" t="s">
        <v>61</v>
      </c>
      <c r="B13" s="31">
        <f>B10/(B42*(4+2*11/14+1/14)/10)</f>
        <v>0.65101476793248958</v>
      </c>
      <c r="C13" s="31" t="s">
        <v>59</v>
      </c>
      <c r="D13" s="31">
        <f>D10/(D42*(4+2*11/14+1/14)/10)</f>
        <v>0.65101476793248958</v>
      </c>
      <c r="E13" s="31" t="s">
        <v>59</v>
      </c>
      <c r="F13" s="31">
        <f>F10/(F42*(4+2*2/14+1/14)/10)</f>
        <v>0.35803278688524592</v>
      </c>
      <c r="G13" s="31" t="s">
        <v>59</v>
      </c>
      <c r="H13" s="31">
        <f>H10/(H42*(4+2*2/14+1/14)/10)</f>
        <v>0.35803278688524592</v>
      </c>
      <c r="I13" s="31" t="s">
        <v>59</v>
      </c>
    </row>
    <row r="14" spans="1:9" x14ac:dyDescent="0.55000000000000004">
      <c r="A14" s="5" t="s">
        <v>62</v>
      </c>
      <c r="B14" s="10" t="s">
        <v>63</v>
      </c>
      <c r="C14" s="10" t="s">
        <v>63</v>
      </c>
      <c r="D14" s="10" t="s">
        <v>87</v>
      </c>
      <c r="E14" s="10" t="s">
        <v>87</v>
      </c>
      <c r="F14" s="10" t="s">
        <v>63</v>
      </c>
      <c r="G14" s="10" t="s">
        <v>63</v>
      </c>
      <c r="H14" s="10" t="s">
        <v>87</v>
      </c>
      <c r="I14" s="10" t="s">
        <v>87</v>
      </c>
    </row>
    <row r="15" spans="1:9" x14ac:dyDescent="0.55000000000000004">
      <c r="A15" s="5" t="s">
        <v>64</v>
      </c>
      <c r="B15" s="10">
        <v>30</v>
      </c>
      <c r="C15" s="10">
        <v>30</v>
      </c>
      <c r="D15" s="10">
        <v>3</v>
      </c>
      <c r="E15" s="10">
        <v>3</v>
      </c>
      <c r="F15" s="10">
        <v>30</v>
      </c>
      <c r="G15" s="10">
        <v>30</v>
      </c>
      <c r="H15" s="10">
        <v>3</v>
      </c>
      <c r="I15" s="10">
        <v>3</v>
      </c>
    </row>
    <row r="16" spans="1:9" x14ac:dyDescent="0.55000000000000004">
      <c r="A16" s="5" t="s">
        <v>11</v>
      </c>
      <c r="B16" s="10">
        <v>3</v>
      </c>
      <c r="C16" s="10">
        <v>3</v>
      </c>
      <c r="D16" s="10">
        <v>3</v>
      </c>
      <c r="E16" s="10">
        <v>3</v>
      </c>
      <c r="F16" s="10">
        <v>3</v>
      </c>
      <c r="G16" s="10">
        <v>3</v>
      </c>
      <c r="H16" s="10">
        <v>3</v>
      </c>
      <c r="I16" s="10">
        <v>3</v>
      </c>
    </row>
    <row r="17" spans="1:9" x14ac:dyDescent="0.55000000000000004">
      <c r="A17" s="4" t="s">
        <v>12</v>
      </c>
      <c r="B17" s="38"/>
      <c r="C17" s="38"/>
      <c r="D17" s="38"/>
      <c r="E17" s="38"/>
      <c r="F17" s="38"/>
      <c r="G17" s="38"/>
      <c r="H17" s="38"/>
      <c r="I17" s="38"/>
    </row>
    <row r="18" spans="1:9" ht="28.8" x14ac:dyDescent="0.55000000000000004">
      <c r="A18" s="5" t="s">
        <v>65</v>
      </c>
      <c r="B18" s="10">
        <v>256</v>
      </c>
      <c r="C18" s="10">
        <v>256</v>
      </c>
      <c r="D18" s="10">
        <v>256</v>
      </c>
      <c r="E18" s="10">
        <v>256</v>
      </c>
      <c r="F18" s="10">
        <v>2</v>
      </c>
      <c r="G18" s="10">
        <v>2</v>
      </c>
      <c r="H18" s="10">
        <v>2</v>
      </c>
      <c r="I18" s="10">
        <v>2</v>
      </c>
    </row>
    <row r="19" spans="1:9" x14ac:dyDescent="0.55000000000000004">
      <c r="A19" s="5" t="s">
        <v>93</v>
      </c>
      <c r="B19" s="10">
        <v>2</v>
      </c>
      <c r="C19" s="10">
        <v>2</v>
      </c>
      <c r="D19" s="10">
        <v>2</v>
      </c>
      <c r="E19" s="10">
        <v>2</v>
      </c>
      <c r="F19" s="10">
        <v>2</v>
      </c>
      <c r="G19" s="10">
        <v>2</v>
      </c>
      <c r="H19" s="10">
        <v>2</v>
      </c>
      <c r="I19" s="10">
        <v>2</v>
      </c>
    </row>
    <row r="20" spans="1:9" x14ac:dyDescent="0.55000000000000004">
      <c r="A20" s="5" t="s">
        <v>13</v>
      </c>
      <c r="B20" s="10">
        <v>20</v>
      </c>
      <c r="C20" s="10">
        <v>20</v>
      </c>
      <c r="D20" s="10">
        <v>20</v>
      </c>
      <c r="E20" s="10">
        <v>20</v>
      </c>
      <c r="F20" s="10">
        <v>20</v>
      </c>
      <c r="G20" s="10">
        <v>20</v>
      </c>
      <c r="H20" s="10">
        <v>20</v>
      </c>
      <c r="I20" s="10">
        <v>20</v>
      </c>
    </row>
    <row r="21" spans="1:9" ht="28.8" x14ac:dyDescent="0.55000000000000004">
      <c r="A21" s="26" t="s">
        <v>67</v>
      </c>
      <c r="B21" s="36">
        <f t="shared" ref="B21:I21" si="0">B20+10*LOG10(B18)</f>
        <v>44.0823996531185</v>
      </c>
      <c r="C21" s="36">
        <f t="shared" si="0"/>
        <v>44.0823996531185</v>
      </c>
      <c r="D21" s="36">
        <f t="shared" si="0"/>
        <v>44.0823996531185</v>
      </c>
      <c r="E21" s="36">
        <f t="shared" si="0"/>
        <v>44.0823996531185</v>
      </c>
      <c r="F21" s="36">
        <f t="shared" si="0"/>
        <v>23.010299956639813</v>
      </c>
      <c r="G21" s="36">
        <f t="shared" si="0"/>
        <v>23.010299956639813</v>
      </c>
      <c r="H21" s="36">
        <f t="shared" si="0"/>
        <v>23.010299956639813</v>
      </c>
      <c r="I21" s="36">
        <f t="shared" si="0"/>
        <v>23.010299956639813</v>
      </c>
    </row>
    <row r="22" spans="1:9" x14ac:dyDescent="0.55000000000000004">
      <c r="A22" s="5" t="s">
        <v>14</v>
      </c>
      <c r="B22" s="10">
        <v>8</v>
      </c>
      <c r="C22" s="10">
        <v>8</v>
      </c>
      <c r="D22" s="10">
        <v>8</v>
      </c>
      <c r="E22" s="10">
        <v>8</v>
      </c>
      <c r="F22" s="10">
        <v>0</v>
      </c>
      <c r="G22" s="10">
        <v>0</v>
      </c>
      <c r="H22" s="10">
        <v>0</v>
      </c>
      <c r="I22" s="10">
        <v>0</v>
      </c>
    </row>
    <row r="23" spans="1:9" ht="28.8" x14ac:dyDescent="0.55000000000000004">
      <c r="A23" s="26" t="s">
        <v>15</v>
      </c>
      <c r="B23" s="36">
        <f t="shared" ref="B23:I23" si="1">IF(B18&gt;=2, 10*LOG10(B18/2), 0)</f>
        <v>21.072099696478684</v>
      </c>
      <c r="C23" s="36">
        <f t="shared" si="1"/>
        <v>21.072099696478684</v>
      </c>
      <c r="D23" s="36">
        <f t="shared" si="1"/>
        <v>21.072099696478684</v>
      </c>
      <c r="E23" s="36">
        <f t="shared" si="1"/>
        <v>21.072099696478684</v>
      </c>
      <c r="F23" s="36">
        <f t="shared" si="1"/>
        <v>0</v>
      </c>
      <c r="G23" s="36">
        <f t="shared" si="1"/>
        <v>0</v>
      </c>
      <c r="H23" s="36">
        <f t="shared" si="1"/>
        <v>0</v>
      </c>
      <c r="I23" s="36">
        <f t="shared" si="1"/>
        <v>0</v>
      </c>
    </row>
    <row r="24" spans="1:9" x14ac:dyDescent="0.55000000000000004">
      <c r="A24" s="5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</row>
    <row r="25" spans="1:9" x14ac:dyDescent="0.55000000000000004">
      <c r="A25" s="5" t="s">
        <v>17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</row>
    <row r="26" spans="1:9" ht="28.8" x14ac:dyDescent="0.55000000000000004">
      <c r="A26" s="5" t="s">
        <v>18</v>
      </c>
      <c r="B26" s="10">
        <v>3</v>
      </c>
      <c r="C26" s="10">
        <v>3</v>
      </c>
      <c r="D26" s="10">
        <v>3</v>
      </c>
      <c r="E26" s="10">
        <v>3</v>
      </c>
      <c r="F26" s="10">
        <v>1</v>
      </c>
      <c r="G26" s="10">
        <v>1</v>
      </c>
      <c r="H26" s="10">
        <v>1</v>
      </c>
      <c r="I26" s="10">
        <v>1</v>
      </c>
    </row>
    <row r="27" spans="1:9" x14ac:dyDescent="0.55000000000000004">
      <c r="A27" s="8" t="s">
        <v>19</v>
      </c>
      <c r="B27" s="29">
        <f t="shared" ref="B27:I27" si="2">B21+B22+B23+B24-B26</f>
        <v>70.154499349597188</v>
      </c>
      <c r="C27" s="29">
        <f t="shared" si="2"/>
        <v>70.154499349597188</v>
      </c>
      <c r="D27" s="29">
        <f t="shared" si="2"/>
        <v>70.154499349597188</v>
      </c>
      <c r="E27" s="29">
        <f t="shared" si="2"/>
        <v>70.154499349597188</v>
      </c>
      <c r="F27" s="29">
        <f t="shared" si="2"/>
        <v>22.010299956639813</v>
      </c>
      <c r="G27" s="29">
        <f t="shared" si="2"/>
        <v>22.010299956639813</v>
      </c>
      <c r="H27" s="29">
        <f t="shared" si="2"/>
        <v>22.010299956639813</v>
      </c>
      <c r="I27" s="29">
        <f t="shared" si="2"/>
        <v>22.010299956639813</v>
      </c>
    </row>
    <row r="28" spans="1:9" x14ac:dyDescent="0.55000000000000004">
      <c r="A28" s="8" t="s">
        <v>20</v>
      </c>
      <c r="B28" s="29">
        <f t="shared" ref="B28:I28" si="3">B21+B22+B23-B25-B26</f>
        <v>70.154499349597188</v>
      </c>
      <c r="C28" s="29">
        <f t="shared" si="3"/>
        <v>70.154499349597188</v>
      </c>
      <c r="D28" s="29">
        <f t="shared" si="3"/>
        <v>70.154499349597188</v>
      </c>
      <c r="E28" s="29">
        <f t="shared" si="3"/>
        <v>70.154499349597188</v>
      </c>
      <c r="F28" s="29">
        <f t="shared" si="3"/>
        <v>22.010299956639813</v>
      </c>
      <c r="G28" s="29">
        <f t="shared" si="3"/>
        <v>22.010299956639813</v>
      </c>
      <c r="H28" s="29">
        <f t="shared" si="3"/>
        <v>22.010299956639813</v>
      </c>
      <c r="I28" s="29">
        <f t="shared" si="3"/>
        <v>22.010299956639813</v>
      </c>
    </row>
    <row r="29" spans="1:9" x14ac:dyDescent="0.55000000000000004">
      <c r="A29" s="4" t="s">
        <v>21</v>
      </c>
      <c r="B29" s="38"/>
      <c r="C29" s="38"/>
      <c r="D29" s="38"/>
      <c r="E29" s="38"/>
      <c r="F29" s="38"/>
      <c r="G29" s="38"/>
      <c r="H29" s="38"/>
      <c r="I29" s="38"/>
    </row>
    <row r="30" spans="1:9" ht="28.8" x14ac:dyDescent="0.55000000000000004">
      <c r="A30" s="5" t="s">
        <v>68</v>
      </c>
      <c r="B30" s="10">
        <v>4</v>
      </c>
      <c r="C30" s="10">
        <v>4</v>
      </c>
      <c r="D30" s="10">
        <v>4</v>
      </c>
      <c r="E30" s="10">
        <v>4</v>
      </c>
      <c r="F30" s="10">
        <v>256</v>
      </c>
      <c r="G30" s="10">
        <v>256</v>
      </c>
      <c r="H30" s="10">
        <v>256</v>
      </c>
      <c r="I30" s="10">
        <v>256</v>
      </c>
    </row>
    <row r="31" spans="1:9" x14ac:dyDescent="0.55000000000000004">
      <c r="A31" s="5" t="s">
        <v>69</v>
      </c>
      <c r="B31" s="10">
        <v>2</v>
      </c>
      <c r="C31" s="10">
        <v>2</v>
      </c>
      <c r="D31" s="10">
        <v>2</v>
      </c>
      <c r="E31" s="10">
        <v>2</v>
      </c>
      <c r="F31" s="10">
        <v>2</v>
      </c>
      <c r="G31" s="10">
        <v>2</v>
      </c>
      <c r="H31" s="10">
        <v>2</v>
      </c>
      <c r="I31" s="10">
        <v>2</v>
      </c>
    </row>
    <row r="32" spans="1:9" x14ac:dyDescent="0.55000000000000004">
      <c r="A32" s="5" t="s">
        <v>22</v>
      </c>
      <c r="B32" s="10">
        <v>0</v>
      </c>
      <c r="C32" s="10">
        <v>0</v>
      </c>
      <c r="D32" s="10">
        <v>0</v>
      </c>
      <c r="E32" s="10">
        <v>0</v>
      </c>
      <c r="F32" s="10">
        <v>8</v>
      </c>
      <c r="G32" s="10">
        <v>8</v>
      </c>
      <c r="H32" s="10">
        <v>8</v>
      </c>
      <c r="I32" s="10">
        <v>8</v>
      </c>
    </row>
    <row r="33" spans="1:9" ht="28.8" x14ac:dyDescent="0.55000000000000004">
      <c r="A33" s="9" t="s">
        <v>70</v>
      </c>
      <c r="B33" s="30">
        <f t="shared" ref="B33:I33" si="4">IF(B30&gt;=2, 10*LOG10(B30/2), 0)</f>
        <v>3.0102999566398121</v>
      </c>
      <c r="C33" s="30">
        <f t="shared" si="4"/>
        <v>3.0102999566398121</v>
      </c>
      <c r="D33" s="30">
        <f t="shared" si="4"/>
        <v>3.0102999566398121</v>
      </c>
      <c r="E33" s="30">
        <f t="shared" si="4"/>
        <v>3.0102999566398121</v>
      </c>
      <c r="F33" s="30">
        <f>IF(F30&gt;=2, 10*LOG10(F30/2), 0)</f>
        <v>21.072099696478684</v>
      </c>
      <c r="G33" s="30">
        <f t="shared" si="4"/>
        <v>21.072099696478684</v>
      </c>
      <c r="H33" s="30">
        <f t="shared" si="4"/>
        <v>21.072099696478684</v>
      </c>
      <c r="I33" s="30">
        <f t="shared" si="4"/>
        <v>21.072099696478684</v>
      </c>
    </row>
    <row r="34" spans="1:9" ht="28.8" x14ac:dyDescent="0.55000000000000004">
      <c r="A34" s="5" t="s">
        <v>23</v>
      </c>
      <c r="B34" s="10">
        <v>1</v>
      </c>
      <c r="C34" s="10">
        <v>1</v>
      </c>
      <c r="D34" s="10">
        <v>1</v>
      </c>
      <c r="E34" s="10">
        <v>1</v>
      </c>
      <c r="F34" s="10">
        <v>3</v>
      </c>
      <c r="G34" s="10">
        <v>3</v>
      </c>
      <c r="H34" s="10">
        <v>3</v>
      </c>
      <c r="I34" s="10">
        <v>3</v>
      </c>
    </row>
    <row r="35" spans="1:9" x14ac:dyDescent="0.55000000000000004">
      <c r="A35" s="5" t="s">
        <v>24</v>
      </c>
      <c r="B35" s="10">
        <v>7</v>
      </c>
      <c r="C35" s="10">
        <v>7</v>
      </c>
      <c r="D35" s="10">
        <v>7</v>
      </c>
      <c r="E35" s="10">
        <v>7</v>
      </c>
      <c r="F35" s="10">
        <v>5</v>
      </c>
      <c r="G35" s="10">
        <v>5</v>
      </c>
      <c r="H35" s="10">
        <v>5</v>
      </c>
      <c r="I35" s="10">
        <v>5</v>
      </c>
    </row>
    <row r="36" spans="1:9" x14ac:dyDescent="0.55000000000000004">
      <c r="A36" s="5" t="s">
        <v>25</v>
      </c>
      <c r="B36" s="10">
        <v>-174</v>
      </c>
      <c r="C36" s="10">
        <v>-174</v>
      </c>
      <c r="D36" s="10">
        <v>-174</v>
      </c>
      <c r="E36" s="10">
        <v>-174</v>
      </c>
      <c r="F36" s="10">
        <v>-174</v>
      </c>
      <c r="G36" s="10">
        <v>-174</v>
      </c>
      <c r="H36" s="10">
        <v>-174</v>
      </c>
      <c r="I36" s="10">
        <v>-174</v>
      </c>
    </row>
    <row r="37" spans="1:9" ht="28.8" x14ac:dyDescent="0.55000000000000004">
      <c r="A37" s="5" t="s">
        <v>26</v>
      </c>
      <c r="B37" s="10" t="s">
        <v>59</v>
      </c>
      <c r="C37" s="10">
        <v>-169.3</v>
      </c>
      <c r="D37" s="10" t="s">
        <v>59</v>
      </c>
      <c r="E37" s="10">
        <v>-169.3</v>
      </c>
      <c r="F37" s="10" t="s">
        <v>59</v>
      </c>
      <c r="G37" s="10">
        <v>-161.69999999999999</v>
      </c>
      <c r="H37" s="10" t="s">
        <v>59</v>
      </c>
      <c r="I37" s="10">
        <v>-161.69999999999999</v>
      </c>
    </row>
    <row r="38" spans="1:9" x14ac:dyDescent="0.55000000000000004">
      <c r="A38" s="5" t="s">
        <v>27</v>
      </c>
      <c r="B38" s="10">
        <v>-169.3</v>
      </c>
      <c r="C38" s="10" t="s">
        <v>59</v>
      </c>
      <c r="D38" s="10">
        <v>-169.3</v>
      </c>
      <c r="E38" s="10" t="s">
        <v>59</v>
      </c>
      <c r="F38" s="10">
        <v>-165.7</v>
      </c>
      <c r="G38" s="10" t="s">
        <v>59</v>
      </c>
      <c r="H38" s="10">
        <v>-165.7</v>
      </c>
      <c r="I38" s="10" t="s">
        <v>59</v>
      </c>
    </row>
    <row r="39" spans="1:9" ht="28.8" x14ac:dyDescent="0.55000000000000004">
      <c r="A39" s="8" t="s">
        <v>28</v>
      </c>
      <c r="B39" s="29" t="s">
        <v>59</v>
      </c>
      <c r="C39" s="29">
        <f t="shared" ref="C39:I39" si="5">10*LOG10(10^((C35+C36)/10)+10^(C37/10))</f>
        <v>-164.98918835931039</v>
      </c>
      <c r="D39" s="29" t="s">
        <v>59</v>
      </c>
      <c r="E39" s="29">
        <f t="shared" si="5"/>
        <v>-164.98918835931039</v>
      </c>
      <c r="F39" s="29" t="s">
        <v>59</v>
      </c>
      <c r="G39" s="29">
        <f t="shared" si="5"/>
        <v>-160.9583889004532</v>
      </c>
      <c r="H39" s="29" t="s">
        <v>59</v>
      </c>
      <c r="I39" s="29">
        <f t="shared" si="5"/>
        <v>-160.9583889004532</v>
      </c>
    </row>
    <row r="40" spans="1:9" ht="28.8" x14ac:dyDescent="0.55000000000000004">
      <c r="A40" s="8" t="s">
        <v>29</v>
      </c>
      <c r="B40" s="29">
        <f t="shared" ref="B40:H40" si="6">10*LOG10(10^((B35+B36)/10)+10^(B38/10))</f>
        <v>-164.98918835931039</v>
      </c>
      <c r="C40" s="29" t="s">
        <v>59</v>
      </c>
      <c r="D40" s="29">
        <f t="shared" si="6"/>
        <v>-164.98918835931039</v>
      </c>
      <c r="E40" s="29" t="s">
        <v>59</v>
      </c>
      <c r="F40" s="29">
        <f t="shared" si="6"/>
        <v>-164.03352307536667</v>
      </c>
      <c r="G40" s="29" t="s">
        <v>59</v>
      </c>
      <c r="H40" s="29">
        <f t="shared" si="6"/>
        <v>-164.03352307536667</v>
      </c>
      <c r="I40" s="29" t="s">
        <v>59</v>
      </c>
    </row>
    <row r="41" spans="1:9" ht="28.8" x14ac:dyDescent="0.55000000000000004">
      <c r="A41" s="5" t="s">
        <v>30</v>
      </c>
      <c r="B41" s="10" t="s">
        <v>59</v>
      </c>
      <c r="C41" s="10">
        <f>'[2]NR MaxN_RB'!$F$6*12*15*1000</f>
        <v>19080000</v>
      </c>
      <c r="D41" s="10" t="s">
        <v>59</v>
      </c>
      <c r="E41" s="10">
        <f>'[2]NR MaxN_RB'!$F$6*12*15*1000</f>
        <v>19080000</v>
      </c>
      <c r="F41" s="10" t="s">
        <v>59</v>
      </c>
      <c r="G41" s="10">
        <f>1*12*30*1000</f>
        <v>360000</v>
      </c>
      <c r="H41" s="10" t="s">
        <v>59</v>
      </c>
      <c r="I41" s="10">
        <f>1*12*30*1000</f>
        <v>360000</v>
      </c>
    </row>
    <row r="42" spans="1:9" ht="28.8" x14ac:dyDescent="0.55000000000000004">
      <c r="A42" s="5" t="s">
        <v>31</v>
      </c>
      <c r="B42" s="10">
        <f>'[2]NR MaxN_RB'!$F$7*12*30*1000</f>
        <v>18360000</v>
      </c>
      <c r="C42" s="10" t="s">
        <v>59</v>
      </c>
      <c r="D42" s="10">
        <f>'[2]NR MaxN_RB'!$F$7*12*30*1000</f>
        <v>18360000</v>
      </c>
      <c r="E42" s="10" t="s">
        <v>59</v>
      </c>
      <c r="F42" s="10">
        <f>4*12*30*1000</f>
        <v>1440000</v>
      </c>
      <c r="G42" s="10" t="s">
        <v>59</v>
      </c>
      <c r="H42" s="10">
        <f>4*12*30*1000</f>
        <v>1440000</v>
      </c>
      <c r="I42" s="10" t="s">
        <v>59</v>
      </c>
    </row>
    <row r="43" spans="1:9" x14ac:dyDescent="0.55000000000000004">
      <c r="A43" s="8" t="s">
        <v>32</v>
      </c>
      <c r="B43" s="29" t="s">
        <v>59</v>
      </c>
      <c r="C43" s="29">
        <f t="shared" ref="B43:I44" si="7">C39+10*LOG10(C41)</f>
        <v>-92.18340465562963</v>
      </c>
      <c r="D43" s="29" t="s">
        <v>59</v>
      </c>
      <c r="E43" s="29">
        <f t="shared" si="7"/>
        <v>-92.18340465562963</v>
      </c>
      <c r="F43" s="29" t="s">
        <v>59</v>
      </c>
      <c r="G43" s="29">
        <f t="shared" si="7"/>
        <v>-105.39536389278032</v>
      </c>
      <c r="H43" s="29" t="s">
        <v>59</v>
      </c>
      <c r="I43" s="29">
        <f t="shared" si="7"/>
        <v>-105.39536389278032</v>
      </c>
    </row>
    <row r="44" spans="1:9" x14ac:dyDescent="0.55000000000000004">
      <c r="A44" s="8" t="s">
        <v>33</v>
      </c>
      <c r="B44" s="29">
        <f t="shared" si="7"/>
        <v>-92.350461590658156</v>
      </c>
      <c r="C44" s="29" t="s">
        <v>59</v>
      </c>
      <c r="D44" s="29">
        <f t="shared" si="7"/>
        <v>-92.350461590658156</v>
      </c>
      <c r="E44" s="29" t="s">
        <v>59</v>
      </c>
      <c r="F44" s="29">
        <f t="shared" si="7"/>
        <v>-102.44989815441417</v>
      </c>
      <c r="G44" s="29" t="s">
        <v>59</v>
      </c>
      <c r="H44" s="29">
        <f t="shared" si="7"/>
        <v>-102.44989815441417</v>
      </c>
      <c r="I44" s="29" t="s">
        <v>59</v>
      </c>
    </row>
    <row r="45" spans="1:9" x14ac:dyDescent="0.55000000000000004">
      <c r="A45" s="18" t="s">
        <v>34</v>
      </c>
      <c r="B45" s="19" t="s">
        <v>59</v>
      </c>
      <c r="C45" s="19">
        <v>-5.33</v>
      </c>
      <c r="D45" s="19" t="s">
        <v>59</v>
      </c>
      <c r="E45" s="19">
        <v>-5.48</v>
      </c>
      <c r="F45" s="19" t="s">
        <v>59</v>
      </c>
      <c r="G45" s="19">
        <v>-6</v>
      </c>
      <c r="H45" s="19" t="s">
        <v>59</v>
      </c>
      <c r="I45" s="19">
        <v>-6.7</v>
      </c>
    </row>
    <row r="46" spans="1:9" x14ac:dyDescent="0.55000000000000004">
      <c r="A46" s="18" t="s">
        <v>35</v>
      </c>
      <c r="B46" s="19">
        <v>0.4</v>
      </c>
      <c r="C46" s="19" t="s">
        <v>59</v>
      </c>
      <c r="D46" s="19">
        <v>0.3</v>
      </c>
      <c r="E46" s="19" t="s">
        <v>59</v>
      </c>
      <c r="F46" s="19">
        <v>1.7</v>
      </c>
      <c r="G46" s="19" t="s">
        <v>59</v>
      </c>
      <c r="H46" s="19">
        <v>1.26</v>
      </c>
      <c r="I46" s="19" t="s">
        <v>59</v>
      </c>
    </row>
    <row r="47" spans="1:9" x14ac:dyDescent="0.55000000000000004">
      <c r="A47" s="5" t="s">
        <v>36</v>
      </c>
      <c r="B47" s="10">
        <v>2</v>
      </c>
      <c r="C47" s="10">
        <v>2</v>
      </c>
      <c r="D47" s="10">
        <v>2</v>
      </c>
      <c r="E47" s="10">
        <v>2</v>
      </c>
      <c r="F47" s="10">
        <v>2</v>
      </c>
      <c r="G47" s="10">
        <v>2</v>
      </c>
      <c r="H47" s="10">
        <v>2</v>
      </c>
      <c r="I47" s="10">
        <v>2</v>
      </c>
    </row>
    <row r="48" spans="1:9" x14ac:dyDescent="0.55000000000000004">
      <c r="A48" s="5" t="s">
        <v>37</v>
      </c>
      <c r="B48" s="10" t="s">
        <v>59</v>
      </c>
      <c r="C48" s="10">
        <v>0</v>
      </c>
      <c r="D48" s="10" t="s">
        <v>59</v>
      </c>
      <c r="E48" s="10">
        <v>0</v>
      </c>
      <c r="F48" s="10" t="s">
        <v>59</v>
      </c>
      <c r="G48" s="10">
        <v>0</v>
      </c>
      <c r="H48" s="10" t="s">
        <v>59</v>
      </c>
      <c r="I48" s="10">
        <v>0</v>
      </c>
    </row>
    <row r="49" spans="1:9" x14ac:dyDescent="0.55000000000000004">
      <c r="A49" s="5" t="s">
        <v>38</v>
      </c>
      <c r="B49" s="10">
        <v>0.5</v>
      </c>
      <c r="C49" s="10" t="s">
        <v>59</v>
      </c>
      <c r="D49" s="10">
        <v>0.5</v>
      </c>
      <c r="E49" s="10" t="s">
        <v>59</v>
      </c>
      <c r="F49" s="10">
        <v>0.5</v>
      </c>
      <c r="G49" s="10" t="s">
        <v>59</v>
      </c>
      <c r="H49" s="10">
        <v>0.5</v>
      </c>
      <c r="I49" s="10" t="s">
        <v>59</v>
      </c>
    </row>
    <row r="50" spans="1:9" x14ac:dyDescent="0.55000000000000004">
      <c r="A50" s="8" t="s">
        <v>39</v>
      </c>
      <c r="B50" s="29" t="s">
        <v>59</v>
      </c>
      <c r="C50" s="29">
        <f t="shared" ref="C50:I50" si="8">C43+C45+C47-C48</f>
        <v>-95.513404655629628</v>
      </c>
      <c r="D50" s="29" t="s">
        <v>59</v>
      </c>
      <c r="E50" s="29">
        <f t="shared" si="8"/>
        <v>-95.663404655629634</v>
      </c>
      <c r="F50" s="29" t="s">
        <v>59</v>
      </c>
      <c r="G50" s="29">
        <f t="shared" si="8"/>
        <v>-109.39536389278032</v>
      </c>
      <c r="H50" s="29" t="s">
        <v>59</v>
      </c>
      <c r="I50" s="29">
        <f t="shared" si="8"/>
        <v>-110.09536389278033</v>
      </c>
    </row>
    <row r="51" spans="1:9" x14ac:dyDescent="0.55000000000000004">
      <c r="A51" s="8" t="s">
        <v>40</v>
      </c>
      <c r="B51" s="29">
        <f t="shared" ref="B51:H51" si="9">B44+B46+B47-B49</f>
        <v>-90.450461590658151</v>
      </c>
      <c r="C51" s="29" t="s">
        <v>59</v>
      </c>
      <c r="D51" s="29">
        <f t="shared" si="9"/>
        <v>-90.550461590658159</v>
      </c>
      <c r="E51" s="29" t="s">
        <v>59</v>
      </c>
      <c r="F51" s="29">
        <f t="shared" si="9"/>
        <v>-99.249898154414169</v>
      </c>
      <c r="G51" s="29" t="s">
        <v>59</v>
      </c>
      <c r="H51" s="29">
        <f t="shared" si="9"/>
        <v>-99.689898154414166</v>
      </c>
      <c r="I51" s="29" t="s">
        <v>59</v>
      </c>
    </row>
    <row r="52" spans="1:9" x14ac:dyDescent="0.55000000000000004">
      <c r="A52" s="8" t="s">
        <v>41</v>
      </c>
      <c r="B52" s="29" t="s">
        <v>59</v>
      </c>
      <c r="C52" s="29">
        <f t="shared" ref="C52:I52" si="10">C27+C32+C33-C50</f>
        <v>168.67820396186664</v>
      </c>
      <c r="D52" s="29" t="s">
        <v>59</v>
      </c>
      <c r="E52" s="29">
        <f t="shared" si="10"/>
        <v>168.82820396186662</v>
      </c>
      <c r="F52" s="29" t="s">
        <v>59</v>
      </c>
      <c r="G52" s="29">
        <f t="shared" si="10"/>
        <v>160.47776354589882</v>
      </c>
      <c r="H52" s="29" t="s">
        <v>59</v>
      </c>
      <c r="I52" s="29">
        <f t="shared" si="10"/>
        <v>161.17776354589881</v>
      </c>
    </row>
    <row r="53" spans="1:9" x14ac:dyDescent="0.55000000000000004">
      <c r="A53" s="8" t="s">
        <v>42</v>
      </c>
      <c r="B53" s="29">
        <f t="shared" ref="B53:H53" si="11">B28+B32+B33-B51</f>
        <v>163.61526089689517</v>
      </c>
      <c r="C53" s="29" t="s">
        <v>59</v>
      </c>
      <c r="D53" s="29">
        <f t="shared" si="11"/>
        <v>163.71526089689516</v>
      </c>
      <c r="E53" s="29" t="s">
        <v>59</v>
      </c>
      <c r="F53" s="29">
        <f t="shared" si="11"/>
        <v>150.33229780753265</v>
      </c>
      <c r="G53" s="29" t="s">
        <v>59</v>
      </c>
      <c r="H53" s="29">
        <f t="shared" si="11"/>
        <v>150.77229780753265</v>
      </c>
      <c r="I53" s="29" t="s">
        <v>59</v>
      </c>
    </row>
    <row r="54" spans="1:9" x14ac:dyDescent="0.55000000000000004">
      <c r="A54" s="4" t="s">
        <v>43</v>
      </c>
      <c r="B54" s="37"/>
      <c r="C54" s="37"/>
      <c r="D54" s="37"/>
      <c r="E54" s="37"/>
      <c r="F54" s="37"/>
      <c r="G54" s="37"/>
      <c r="H54" s="37"/>
      <c r="I54" s="37"/>
    </row>
    <row r="55" spans="1:9" x14ac:dyDescent="0.55000000000000004">
      <c r="A55" s="5" t="s">
        <v>44</v>
      </c>
      <c r="B55" s="10">
        <v>6</v>
      </c>
      <c r="C55" s="10">
        <v>6</v>
      </c>
      <c r="D55" s="10">
        <v>6</v>
      </c>
      <c r="E55" s="10">
        <v>6</v>
      </c>
      <c r="F55" s="10">
        <v>6</v>
      </c>
      <c r="G55" s="10">
        <v>6</v>
      </c>
      <c r="H55" s="10">
        <v>6</v>
      </c>
      <c r="I55" s="10">
        <v>6</v>
      </c>
    </row>
    <row r="56" spans="1:9" x14ac:dyDescent="0.55000000000000004">
      <c r="A56" s="5" t="s">
        <v>45</v>
      </c>
      <c r="B56" s="10" t="s">
        <v>59</v>
      </c>
      <c r="C56" s="10">
        <v>8.1199999999999992</v>
      </c>
      <c r="D56" s="10" t="s">
        <v>59</v>
      </c>
      <c r="E56" s="10">
        <v>6.97</v>
      </c>
      <c r="F56" s="10" t="s">
        <v>59</v>
      </c>
      <c r="G56" s="10">
        <v>8.1199999999999992</v>
      </c>
      <c r="H56" s="10" t="s">
        <v>59</v>
      </c>
      <c r="I56" s="10">
        <v>6.97</v>
      </c>
    </row>
    <row r="57" spans="1:9" x14ac:dyDescent="0.55000000000000004">
      <c r="A57" s="5" t="s">
        <v>46</v>
      </c>
      <c r="B57" s="10">
        <v>4.8899999999999997</v>
      </c>
      <c r="C57" s="10" t="s">
        <v>59</v>
      </c>
      <c r="D57" s="10">
        <v>4.04</v>
      </c>
      <c r="E57" s="10" t="s">
        <v>59</v>
      </c>
      <c r="F57" s="10">
        <v>4.8899999999999997</v>
      </c>
      <c r="G57" s="10" t="s">
        <v>59</v>
      </c>
      <c r="H57" s="10">
        <v>4.04</v>
      </c>
      <c r="I57" s="10" t="s">
        <v>59</v>
      </c>
    </row>
    <row r="58" spans="1:9" x14ac:dyDescent="0.55000000000000004">
      <c r="A58" s="5" t="s">
        <v>47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</row>
    <row r="59" spans="1:9" x14ac:dyDescent="0.55000000000000004">
      <c r="A59" s="5" t="s">
        <v>48</v>
      </c>
      <c r="B59" s="10">
        <v>9</v>
      </c>
      <c r="C59" s="10">
        <v>9</v>
      </c>
      <c r="D59" s="10">
        <v>26.25</v>
      </c>
      <c r="E59" s="10">
        <v>26.25</v>
      </c>
      <c r="F59" s="10">
        <v>9</v>
      </c>
      <c r="G59" s="10">
        <v>9</v>
      </c>
      <c r="H59" s="10">
        <v>26.25</v>
      </c>
      <c r="I59" s="10">
        <v>26.25</v>
      </c>
    </row>
    <row r="60" spans="1:9" x14ac:dyDescent="0.55000000000000004">
      <c r="A60" s="5" t="s">
        <v>49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</row>
    <row r="61" spans="1:9" x14ac:dyDescent="0.55000000000000004">
      <c r="A61" s="8" t="s">
        <v>72</v>
      </c>
      <c r="B61" s="29" t="s">
        <v>59</v>
      </c>
      <c r="C61" s="29">
        <f t="shared" ref="C61:I61" si="12">C52-C56+C58-C59+C60-C34</f>
        <v>150.55820396186664</v>
      </c>
      <c r="D61" s="29" t="s">
        <v>59</v>
      </c>
      <c r="E61" s="29">
        <f t="shared" si="12"/>
        <v>134.60820396186662</v>
      </c>
      <c r="F61" s="29" t="s">
        <v>59</v>
      </c>
      <c r="G61" s="29">
        <f t="shared" si="12"/>
        <v>140.35776354589882</v>
      </c>
      <c r="H61" s="29" t="s">
        <v>59</v>
      </c>
      <c r="I61" s="29">
        <f t="shared" si="12"/>
        <v>124.95776354589881</v>
      </c>
    </row>
    <row r="62" spans="1:9" x14ac:dyDescent="0.55000000000000004">
      <c r="A62" s="8" t="s">
        <v>50</v>
      </c>
      <c r="B62" s="29">
        <f t="shared" ref="B62:H62" si="13">B53-B57+B58-B59+B60-B34</f>
        <v>148.72526089689518</v>
      </c>
      <c r="C62" s="29" t="s">
        <v>59</v>
      </c>
      <c r="D62" s="29">
        <f t="shared" si="13"/>
        <v>132.42526089689517</v>
      </c>
      <c r="E62" s="29" t="s">
        <v>59</v>
      </c>
      <c r="F62" s="29">
        <f t="shared" si="13"/>
        <v>133.44229780753267</v>
      </c>
      <c r="G62" s="29" t="s">
        <v>59</v>
      </c>
      <c r="H62" s="29">
        <f t="shared" si="13"/>
        <v>117.48229780753266</v>
      </c>
      <c r="I62" s="29" t="s">
        <v>59</v>
      </c>
    </row>
    <row r="63" spans="1:9" x14ac:dyDescent="0.55000000000000004">
      <c r="A63" s="4" t="s">
        <v>51</v>
      </c>
      <c r="B63" s="38"/>
      <c r="C63" s="38"/>
      <c r="D63" s="38"/>
      <c r="E63" s="38"/>
      <c r="F63" s="38"/>
      <c r="G63" s="38"/>
      <c r="H63" s="38"/>
      <c r="I63" s="38"/>
    </row>
    <row r="64" spans="1:9" ht="28.8" x14ac:dyDescent="0.55000000000000004">
      <c r="A64" s="5" t="s">
        <v>52</v>
      </c>
      <c r="B64" s="31" t="s">
        <v>59</v>
      </c>
      <c r="C64" s="31">
        <f>10^((C61-161.04+7.1*LOG10(20)-7.5*LOG10(20)+(24.37-3.7*(20/C5)^2)*LOG10(C5)-20*LOG10(C4)+(3.2*(LOG10(17.625))^2-4.97)+0.6*(C6-1.5))/(43.42-3.1*LOG10(C5))+3)</f>
        <v>1575.2009003066782</v>
      </c>
      <c r="D64" s="31" t="s">
        <v>59</v>
      </c>
      <c r="E64" s="31">
        <f>10^((E61-161.04+7.1*LOG10(20)-7.5*LOG10(20)+(24.37-3.7*(20/E5)^2)*LOG10(E5)-20*LOG10(E4)+(3.2*(LOG10(17.625))^2-4.97)+0.6*(E6-1.5))/(43.42-3.1*LOG10(E5))+3)</f>
        <v>615.55303741597504</v>
      </c>
      <c r="F64" s="31" t="s">
        <v>59</v>
      </c>
      <c r="G64" s="31">
        <f>10^((G61-161.04+7.1*LOG10(20)-7.5*LOG10(20)+(24.37-3.7*(20/G5)^2)*LOG10(G5)-20*LOG10(G4)+(3.2*(LOG10(17.625))^2-4.97)+0.6*(G6-1.5))/(43.42-3.1*LOG10(G5))+3)</f>
        <v>863.70265759098288</v>
      </c>
      <c r="H64" s="31" t="s">
        <v>59</v>
      </c>
      <c r="I64" s="31">
        <f>10^((I61-161.04+7.1*LOG10(20)-7.5*LOG10(20)+(24.37-3.7*(20/I5)^2)*LOG10(I5)-20*LOG10(I4)+(3.2*(LOG10(17.625))^2-4.97)+0.6*(I6-1.5))/(43.42-3.1*LOG10(I5))+3)</f>
        <v>348.63033950056928</v>
      </c>
    </row>
    <row r="65" spans="1:9" ht="28.8" x14ac:dyDescent="0.55000000000000004">
      <c r="A65" s="5" t="s">
        <v>53</v>
      </c>
      <c r="B65" s="31">
        <f>10^((B62-161.04+7.1*LOG10(20)-7.5*LOG10(20)+(24.37-3.7*(20/B5)^2)*LOG10(B5)-20*LOG10(B4)+(3.2*(LOG10(17.625))^2-4.97)+0.6*(B6-1.5))/(43.42-3.1*LOG10(B5))+3)</f>
        <v>1413.9735451892168</v>
      </c>
      <c r="C65" s="31" t="s">
        <v>59</v>
      </c>
      <c r="D65" s="31">
        <f>10^((D62-161.04+7.1*LOG10(20)-7.5*LOG10(20)+(24.37-3.7*(20/D5)^2)*LOG10(D5)-20*LOG10(D4)+(3.2*(LOG10(17.625))^2-4.97)+0.6*(D6-1.5))/(43.42-3.1*LOG10(D5))+3)</f>
        <v>541.2729039457339</v>
      </c>
      <c r="E65" s="31" t="s">
        <v>59</v>
      </c>
      <c r="F65" s="31">
        <f>10^((F62-161.04+7.1*LOG10(20)-7.5*LOG10(20)+(24.37-3.7*(20/F5)^2)*LOG10(F5)-20*LOG10(F4)+(3.2*(LOG10(17.625))^2-4.97)+0.6*(F6-1.5))/(43.42-3.1*LOG10(F5))+3)</f>
        <v>574.69381205093805</v>
      </c>
      <c r="G65" s="31" t="s">
        <v>59</v>
      </c>
      <c r="H65" s="31">
        <f>10^((H62-161.04+7.1*LOG10(20)-7.5*LOG10(20)+(24.37-3.7*(20/H5)^2)*LOG10(H5)-20*LOG10(H4)+(3.2*(LOG10(17.625))^2-4.97)+0.6*(H6-1.5))/(43.42-3.1*LOG10(H5))+3)</f>
        <v>224.4451393815888</v>
      </c>
      <c r="I65" s="31" t="s">
        <v>59</v>
      </c>
    </row>
    <row r="66" spans="1:9" x14ac:dyDescent="0.55000000000000004">
      <c r="A66" s="5" t="s">
        <v>73</v>
      </c>
      <c r="B66" s="31" t="s">
        <v>59</v>
      </c>
      <c r="C66" s="31">
        <f>PI()*(C64)^2</f>
        <v>7795101.51593062</v>
      </c>
      <c r="D66" s="31" t="s">
        <v>59</v>
      </c>
      <c r="E66" s="31">
        <f>PI()*(E64)^2</f>
        <v>1190366.8667496378</v>
      </c>
      <c r="F66" s="31" t="s">
        <v>59</v>
      </c>
      <c r="G66" s="31">
        <f>PI()*(G64)^2</f>
        <v>2343572.4528486677</v>
      </c>
      <c r="H66" s="31" t="s">
        <v>59</v>
      </c>
      <c r="I66" s="31">
        <f>PI()*(I64)^2</f>
        <v>381838.95284390805</v>
      </c>
    </row>
    <row r="67" spans="1:9" x14ac:dyDescent="0.55000000000000004">
      <c r="A67" s="5" t="s">
        <v>74</v>
      </c>
      <c r="B67" s="31">
        <f>PI()*(B65)^2</f>
        <v>6281052.7516590012</v>
      </c>
      <c r="C67" s="31" t="s">
        <v>59</v>
      </c>
      <c r="D67" s="31">
        <f>PI()*(D65)^2</f>
        <v>920412.36939993897</v>
      </c>
      <c r="E67" s="31" t="s">
        <v>59</v>
      </c>
      <c r="F67" s="31">
        <f>PI()*(F65)^2</f>
        <v>1037583.1601376678</v>
      </c>
      <c r="G67" s="31" t="s">
        <v>59</v>
      </c>
      <c r="H67" s="31">
        <f>PI()*(H65)^2</f>
        <v>158259.67957191932</v>
      </c>
      <c r="I67" s="31" t="s">
        <v>59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7"/>
  <sheetViews>
    <sheetView topLeftCell="A25" zoomScale="71" zoomScaleNormal="71" workbookViewId="0">
      <selection activeCell="F46" sqref="F46"/>
    </sheetView>
  </sheetViews>
  <sheetFormatPr defaultRowHeight="14.4" x14ac:dyDescent="0.55000000000000004"/>
  <cols>
    <col min="1" max="1" width="51.26171875" style="39" customWidth="1"/>
    <col min="2" max="2" width="15.41796875" customWidth="1"/>
    <col min="3" max="3" width="15.578125" customWidth="1"/>
    <col min="4" max="4" width="17.15625" customWidth="1"/>
    <col min="5" max="5" width="18.68359375" customWidth="1"/>
    <col min="6" max="6" width="13.41796875" customWidth="1"/>
    <col min="7" max="7" width="13.26171875" customWidth="1"/>
    <col min="8" max="8" width="17.578125" customWidth="1"/>
    <col min="9" max="9" width="17.83984375" customWidth="1"/>
  </cols>
  <sheetData>
    <row r="1" spans="1:10" x14ac:dyDescent="0.55000000000000004">
      <c r="A1" s="43" t="s">
        <v>0</v>
      </c>
      <c r="B1" s="106" t="s">
        <v>1</v>
      </c>
      <c r="C1" s="107"/>
      <c r="D1" s="107"/>
      <c r="E1" s="108"/>
      <c r="F1" s="106" t="s">
        <v>2</v>
      </c>
      <c r="G1" s="107"/>
      <c r="H1" s="107"/>
      <c r="I1" s="108"/>
      <c r="J1" s="40"/>
    </row>
    <row r="2" spans="1:10" ht="54" customHeight="1" x14ac:dyDescent="0.55000000000000004">
      <c r="A2" s="44"/>
      <c r="B2" s="45" t="s">
        <v>94</v>
      </c>
      <c r="C2" s="45" t="s">
        <v>76</v>
      </c>
      <c r="D2" s="45" t="s">
        <v>95</v>
      </c>
      <c r="E2" s="45" t="s">
        <v>96</v>
      </c>
      <c r="F2" s="45" t="s">
        <v>97</v>
      </c>
      <c r="G2" s="45" t="s">
        <v>98</v>
      </c>
      <c r="H2" s="45" t="s">
        <v>99</v>
      </c>
      <c r="I2" s="45" t="s">
        <v>100</v>
      </c>
      <c r="J2" s="40"/>
    </row>
    <row r="3" spans="1:10" x14ac:dyDescent="0.55000000000000004">
      <c r="A3" s="42" t="s">
        <v>3</v>
      </c>
      <c r="B3" s="46"/>
      <c r="C3" s="46"/>
      <c r="D3" s="46"/>
      <c r="E3" s="46"/>
      <c r="F3" s="46"/>
      <c r="G3" s="46"/>
      <c r="H3" s="46"/>
      <c r="I3" s="46"/>
    </row>
    <row r="4" spans="1:10" x14ac:dyDescent="0.55000000000000004">
      <c r="A4" s="47" t="s">
        <v>4</v>
      </c>
      <c r="B4" s="58">
        <v>0.7</v>
      </c>
      <c r="C4" s="58">
        <v>0.7</v>
      </c>
      <c r="D4" s="58">
        <v>0.7</v>
      </c>
      <c r="E4" s="58">
        <v>0.7</v>
      </c>
      <c r="F4" s="58">
        <v>0.7</v>
      </c>
      <c r="G4" s="58">
        <v>0.7</v>
      </c>
      <c r="H4" s="58">
        <v>0.7</v>
      </c>
      <c r="I4" s="58">
        <v>0.7</v>
      </c>
    </row>
    <row r="5" spans="1:10" x14ac:dyDescent="0.55000000000000004">
      <c r="A5" s="47" t="s">
        <v>5</v>
      </c>
      <c r="B5" s="58">
        <v>35</v>
      </c>
      <c r="C5" s="58">
        <v>35</v>
      </c>
      <c r="D5" s="58">
        <v>35</v>
      </c>
      <c r="E5" s="58">
        <v>35</v>
      </c>
      <c r="F5" s="58">
        <v>35</v>
      </c>
      <c r="G5" s="58">
        <v>35</v>
      </c>
      <c r="H5" s="58">
        <v>35</v>
      </c>
      <c r="I5" s="58">
        <v>35</v>
      </c>
    </row>
    <row r="6" spans="1:10" x14ac:dyDescent="0.55000000000000004">
      <c r="A6" s="47" t="s">
        <v>6</v>
      </c>
      <c r="B6" s="58">
        <v>1.5</v>
      </c>
      <c r="C6" s="58">
        <v>1.5</v>
      </c>
      <c r="D6" s="58">
        <v>1.5</v>
      </c>
      <c r="E6" s="58">
        <v>1.5</v>
      </c>
      <c r="F6" s="58">
        <v>1.5</v>
      </c>
      <c r="G6" s="58">
        <v>1.5</v>
      </c>
      <c r="H6" s="58">
        <v>1.5</v>
      </c>
      <c r="I6" s="58">
        <v>1.5</v>
      </c>
    </row>
    <row r="7" spans="1:10" ht="28.8" x14ac:dyDescent="0.55000000000000004">
      <c r="A7" s="47" t="s">
        <v>58</v>
      </c>
      <c r="B7" s="58" t="s">
        <v>59</v>
      </c>
      <c r="C7" s="58">
        <v>0.95</v>
      </c>
      <c r="D7" s="58" t="s">
        <v>59</v>
      </c>
      <c r="E7" s="58">
        <v>0.95</v>
      </c>
      <c r="F7" s="58" t="s">
        <v>59</v>
      </c>
      <c r="G7" s="58">
        <v>0.95</v>
      </c>
      <c r="H7" s="58" t="s">
        <v>59</v>
      </c>
      <c r="I7" s="58">
        <v>0.95</v>
      </c>
    </row>
    <row r="8" spans="1:10" ht="28.8" x14ac:dyDescent="0.55000000000000004">
      <c r="A8" s="47" t="s">
        <v>60</v>
      </c>
      <c r="B8" s="58">
        <v>0.9</v>
      </c>
      <c r="C8" s="58" t="s">
        <v>59</v>
      </c>
      <c r="D8" s="58">
        <v>0.9</v>
      </c>
      <c r="E8" s="58" t="s">
        <v>59</v>
      </c>
      <c r="F8" s="58">
        <v>0.9</v>
      </c>
      <c r="G8" s="58" t="s">
        <v>59</v>
      </c>
      <c r="H8" s="58">
        <v>0.9</v>
      </c>
      <c r="I8" s="58" t="s">
        <v>59</v>
      </c>
    </row>
    <row r="9" spans="1:10" x14ac:dyDescent="0.55000000000000004">
      <c r="A9" s="47" t="s">
        <v>7</v>
      </c>
      <c r="B9" s="58" t="s">
        <v>59</v>
      </c>
      <c r="C9" s="58">
        <f>64/(0.001)</f>
        <v>64000</v>
      </c>
      <c r="D9" s="58" t="s">
        <v>59</v>
      </c>
      <c r="E9" s="58">
        <f>64/(0.001)</f>
        <v>64000</v>
      </c>
      <c r="F9" s="58" t="s">
        <v>59</v>
      </c>
      <c r="G9" s="58">
        <f>2/(0.001)</f>
        <v>2000</v>
      </c>
      <c r="H9" s="58" t="s">
        <v>59</v>
      </c>
      <c r="I9" s="58">
        <f>2/(0.001)</f>
        <v>2000</v>
      </c>
    </row>
    <row r="10" spans="1:10" x14ac:dyDescent="0.55000000000000004">
      <c r="A10" s="47" t="s">
        <v>8</v>
      </c>
      <c r="B10" s="58">
        <f>1994400*3</f>
        <v>5983200</v>
      </c>
      <c r="C10" s="58" t="s">
        <v>59</v>
      </c>
      <c r="D10" s="58">
        <f>1994400*3</f>
        <v>5983200</v>
      </c>
      <c r="E10" s="58" t="s">
        <v>59</v>
      </c>
      <c r="F10" s="58">
        <f>187200*3</f>
        <v>561600</v>
      </c>
      <c r="G10" s="58" t="s">
        <v>59</v>
      </c>
      <c r="H10" s="58">
        <f>187200*3</f>
        <v>561600</v>
      </c>
      <c r="I10" s="58" t="s">
        <v>59</v>
      </c>
    </row>
    <row r="11" spans="1:10" ht="28.8" x14ac:dyDescent="0.55000000000000004">
      <c r="A11" s="47" t="s">
        <v>9</v>
      </c>
      <c r="B11" s="58" t="s">
        <v>59</v>
      </c>
      <c r="C11" s="58">
        <v>0.01</v>
      </c>
      <c r="D11" s="58" t="s">
        <v>59</v>
      </c>
      <c r="E11" s="58">
        <v>0.01</v>
      </c>
      <c r="F11" s="58" t="s">
        <v>59</v>
      </c>
      <c r="G11" s="58">
        <v>0.01</v>
      </c>
      <c r="H11" s="58" t="s">
        <v>59</v>
      </c>
      <c r="I11" s="58">
        <v>0.01</v>
      </c>
    </row>
    <row r="12" spans="1:10" ht="28.8" x14ac:dyDescent="0.55000000000000004">
      <c r="A12" s="47" t="s">
        <v>10</v>
      </c>
      <c r="B12" s="58">
        <v>0.1</v>
      </c>
      <c r="C12" s="58" t="s">
        <v>59</v>
      </c>
      <c r="D12" s="58">
        <v>0.1</v>
      </c>
      <c r="E12" s="58" t="s">
        <v>59</v>
      </c>
      <c r="F12" s="58">
        <v>0.1</v>
      </c>
      <c r="G12" s="58" t="s">
        <v>59</v>
      </c>
      <c r="H12" s="58">
        <v>0.1</v>
      </c>
      <c r="I12" s="58" t="s">
        <v>59</v>
      </c>
    </row>
    <row r="13" spans="1:10" x14ac:dyDescent="0.55000000000000004">
      <c r="A13" s="47" t="s">
        <v>61</v>
      </c>
      <c r="B13" s="58">
        <f>B10/B42</f>
        <v>0.63923076923076927</v>
      </c>
      <c r="C13" s="58" t="s">
        <v>59</v>
      </c>
      <c r="D13" s="58">
        <f>D10/D42</f>
        <v>0.63923076923076927</v>
      </c>
      <c r="E13" s="58" t="s">
        <v>59</v>
      </c>
      <c r="F13" s="58">
        <f>F10/F42</f>
        <v>0.78</v>
      </c>
      <c r="G13" s="58" t="s">
        <v>59</v>
      </c>
      <c r="H13" s="58">
        <f>H10/H42</f>
        <v>0.78</v>
      </c>
      <c r="I13" s="58" t="s">
        <v>59</v>
      </c>
    </row>
    <row r="14" spans="1:10" x14ac:dyDescent="0.55000000000000004">
      <c r="A14" s="47" t="s">
        <v>62</v>
      </c>
      <c r="B14" s="58" t="s">
        <v>63</v>
      </c>
      <c r="C14" s="58" t="s">
        <v>63</v>
      </c>
      <c r="D14" s="58" t="s">
        <v>87</v>
      </c>
      <c r="E14" s="58" t="s">
        <v>87</v>
      </c>
      <c r="F14" s="58" t="s">
        <v>63</v>
      </c>
      <c r="G14" s="58" t="s">
        <v>63</v>
      </c>
      <c r="H14" s="58" t="s">
        <v>87</v>
      </c>
      <c r="I14" s="58" t="s">
        <v>87</v>
      </c>
    </row>
    <row r="15" spans="1:10" x14ac:dyDescent="0.55000000000000004">
      <c r="A15" s="47" t="s">
        <v>64</v>
      </c>
      <c r="B15" s="58">
        <v>120</v>
      </c>
      <c r="C15" s="58">
        <v>120</v>
      </c>
      <c r="D15" s="58">
        <v>3</v>
      </c>
      <c r="E15" s="58">
        <v>3</v>
      </c>
      <c r="F15" s="58">
        <v>120</v>
      </c>
      <c r="G15" s="58">
        <v>120</v>
      </c>
      <c r="H15" s="58">
        <v>3</v>
      </c>
      <c r="I15" s="58">
        <v>3</v>
      </c>
    </row>
    <row r="16" spans="1:10" x14ac:dyDescent="0.55000000000000004">
      <c r="A16" s="47" t="s">
        <v>11</v>
      </c>
      <c r="B16" s="58">
        <v>3</v>
      </c>
      <c r="C16" s="58">
        <v>3</v>
      </c>
      <c r="D16" s="58">
        <v>3</v>
      </c>
      <c r="E16" s="58">
        <v>3</v>
      </c>
      <c r="F16" s="58">
        <v>3</v>
      </c>
      <c r="G16" s="58">
        <v>3</v>
      </c>
      <c r="H16" s="58">
        <v>3</v>
      </c>
      <c r="I16" s="58">
        <v>3</v>
      </c>
    </row>
    <row r="17" spans="1:9" x14ac:dyDescent="0.55000000000000004">
      <c r="A17" s="48" t="s">
        <v>12</v>
      </c>
      <c r="B17" s="59"/>
      <c r="C17" s="59"/>
      <c r="D17" s="59"/>
      <c r="E17" s="59"/>
      <c r="F17" s="59"/>
      <c r="G17" s="59"/>
      <c r="H17" s="59"/>
      <c r="I17" s="59"/>
    </row>
    <row r="18" spans="1:9" ht="28.8" x14ac:dyDescent="0.55000000000000004">
      <c r="A18" s="47" t="s">
        <v>65</v>
      </c>
      <c r="B18" s="58">
        <v>64</v>
      </c>
      <c r="C18" s="58">
        <v>64</v>
      </c>
      <c r="D18" s="58">
        <v>64</v>
      </c>
      <c r="E18" s="58">
        <v>64</v>
      </c>
      <c r="F18" s="58">
        <v>1</v>
      </c>
      <c r="G18" s="58">
        <v>1</v>
      </c>
      <c r="H18" s="58">
        <v>1</v>
      </c>
      <c r="I18" s="58">
        <v>1</v>
      </c>
    </row>
    <row r="19" spans="1:9" x14ac:dyDescent="0.55000000000000004">
      <c r="A19" s="47" t="s">
        <v>66</v>
      </c>
      <c r="B19" s="58">
        <v>2</v>
      </c>
      <c r="C19" s="58">
        <v>2</v>
      </c>
      <c r="D19" s="58">
        <v>2</v>
      </c>
      <c r="E19" s="58">
        <v>2</v>
      </c>
      <c r="F19" s="58">
        <v>1</v>
      </c>
      <c r="G19" s="58">
        <v>1</v>
      </c>
      <c r="H19" s="58">
        <v>1</v>
      </c>
      <c r="I19" s="58">
        <v>1</v>
      </c>
    </row>
    <row r="20" spans="1:9" x14ac:dyDescent="0.55000000000000004">
      <c r="A20" s="47" t="s">
        <v>13</v>
      </c>
      <c r="B20" s="58">
        <v>28</v>
      </c>
      <c r="C20" s="58">
        <v>28</v>
      </c>
      <c r="D20" s="58">
        <v>28</v>
      </c>
      <c r="E20" s="58">
        <v>28</v>
      </c>
      <c r="F20" s="58">
        <v>23</v>
      </c>
      <c r="G20" s="58">
        <v>23</v>
      </c>
      <c r="H20" s="58">
        <v>23</v>
      </c>
      <c r="I20" s="58">
        <v>23</v>
      </c>
    </row>
    <row r="21" spans="1:9" ht="43.2" x14ac:dyDescent="0.55000000000000004">
      <c r="A21" s="52" t="s">
        <v>67</v>
      </c>
      <c r="B21" s="60">
        <f t="shared" ref="B21:I21" si="0">B20+10*LOG10(B18)</f>
        <v>46.061799739838875</v>
      </c>
      <c r="C21" s="60">
        <f t="shared" si="0"/>
        <v>46.061799739838875</v>
      </c>
      <c r="D21" s="60">
        <f t="shared" si="0"/>
        <v>46.061799739838875</v>
      </c>
      <c r="E21" s="60">
        <f t="shared" si="0"/>
        <v>46.061799739838875</v>
      </c>
      <c r="F21" s="60">
        <f t="shared" si="0"/>
        <v>23</v>
      </c>
      <c r="G21" s="60">
        <f t="shared" si="0"/>
        <v>23</v>
      </c>
      <c r="H21" s="60">
        <f t="shared" si="0"/>
        <v>23</v>
      </c>
      <c r="I21" s="60">
        <f t="shared" si="0"/>
        <v>23</v>
      </c>
    </row>
    <row r="22" spans="1:9" x14ac:dyDescent="0.55000000000000004">
      <c r="A22" s="47" t="s">
        <v>14</v>
      </c>
      <c r="B22" s="58">
        <v>8</v>
      </c>
      <c r="C22" s="58">
        <v>8</v>
      </c>
      <c r="D22" s="58">
        <v>8</v>
      </c>
      <c r="E22" s="58">
        <v>8</v>
      </c>
      <c r="F22" s="58">
        <v>0</v>
      </c>
      <c r="G22" s="58">
        <v>0</v>
      </c>
      <c r="H22" s="58">
        <v>0</v>
      </c>
      <c r="I22" s="58">
        <v>0</v>
      </c>
    </row>
    <row r="23" spans="1:9" ht="43.2" x14ac:dyDescent="0.55000000000000004">
      <c r="A23" s="52" t="s">
        <v>15</v>
      </c>
      <c r="B23" s="60">
        <f t="shared" ref="B23:I23" si="1">IF(B18&gt;=2, 10*LOG10(B18/2), 0)</f>
        <v>15.051499783199061</v>
      </c>
      <c r="C23" s="60">
        <f t="shared" si="1"/>
        <v>15.051499783199061</v>
      </c>
      <c r="D23" s="60">
        <f t="shared" si="1"/>
        <v>15.051499783199061</v>
      </c>
      <c r="E23" s="60">
        <f t="shared" si="1"/>
        <v>15.051499783199061</v>
      </c>
      <c r="F23" s="60">
        <f t="shared" si="1"/>
        <v>0</v>
      </c>
      <c r="G23" s="60">
        <f t="shared" si="1"/>
        <v>0</v>
      </c>
      <c r="H23" s="60">
        <f t="shared" si="1"/>
        <v>0</v>
      </c>
      <c r="I23" s="60">
        <f t="shared" si="1"/>
        <v>0</v>
      </c>
    </row>
    <row r="24" spans="1:9" x14ac:dyDescent="0.55000000000000004">
      <c r="A24" s="47" t="s">
        <v>16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</row>
    <row r="25" spans="1:9" x14ac:dyDescent="0.55000000000000004">
      <c r="A25" s="47" t="s">
        <v>17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</row>
    <row r="26" spans="1:9" ht="43.2" x14ac:dyDescent="0.55000000000000004">
      <c r="A26" s="47" t="s">
        <v>18</v>
      </c>
      <c r="B26" s="58">
        <v>3</v>
      </c>
      <c r="C26" s="58">
        <v>3</v>
      </c>
      <c r="D26" s="58">
        <v>3</v>
      </c>
      <c r="E26" s="58">
        <v>3</v>
      </c>
      <c r="F26" s="58">
        <v>1</v>
      </c>
      <c r="G26" s="58">
        <v>1</v>
      </c>
      <c r="H26" s="58">
        <v>1</v>
      </c>
      <c r="I26" s="58">
        <v>1</v>
      </c>
    </row>
    <row r="27" spans="1:9" x14ac:dyDescent="0.55000000000000004">
      <c r="A27" s="49" t="s">
        <v>19</v>
      </c>
      <c r="B27" s="61">
        <f t="shared" ref="B27:I27" si="2">B21+B22+B23+B24-B26</f>
        <v>66.113299523037938</v>
      </c>
      <c r="C27" s="61">
        <f t="shared" si="2"/>
        <v>66.113299523037938</v>
      </c>
      <c r="D27" s="61">
        <f t="shared" si="2"/>
        <v>66.113299523037938</v>
      </c>
      <c r="E27" s="61">
        <f t="shared" si="2"/>
        <v>66.113299523037938</v>
      </c>
      <c r="F27" s="61">
        <f t="shared" si="2"/>
        <v>22</v>
      </c>
      <c r="G27" s="61">
        <f t="shared" si="2"/>
        <v>22</v>
      </c>
      <c r="H27" s="61">
        <f t="shared" si="2"/>
        <v>22</v>
      </c>
      <c r="I27" s="61">
        <f t="shared" si="2"/>
        <v>22</v>
      </c>
    </row>
    <row r="28" spans="1:9" x14ac:dyDescent="0.55000000000000004">
      <c r="A28" s="49" t="s">
        <v>20</v>
      </c>
      <c r="B28" s="61">
        <f t="shared" ref="B28:I28" si="3">B21+B22+B23-B25-B26</f>
        <v>66.113299523037938</v>
      </c>
      <c r="C28" s="61">
        <f t="shared" si="3"/>
        <v>66.113299523037938</v>
      </c>
      <c r="D28" s="61">
        <f t="shared" si="3"/>
        <v>66.113299523037938</v>
      </c>
      <c r="E28" s="61">
        <f t="shared" si="3"/>
        <v>66.113299523037938</v>
      </c>
      <c r="F28" s="61">
        <f t="shared" si="3"/>
        <v>22</v>
      </c>
      <c r="G28" s="61">
        <f t="shared" si="3"/>
        <v>22</v>
      </c>
      <c r="H28" s="61">
        <f t="shared" si="3"/>
        <v>22</v>
      </c>
      <c r="I28" s="61">
        <f t="shared" si="3"/>
        <v>22</v>
      </c>
    </row>
    <row r="29" spans="1:9" x14ac:dyDescent="0.55000000000000004">
      <c r="A29" s="48" t="s">
        <v>21</v>
      </c>
      <c r="B29" s="59"/>
      <c r="C29" s="59"/>
      <c r="D29" s="59"/>
      <c r="E29" s="59"/>
      <c r="F29" s="59"/>
      <c r="G29" s="59"/>
      <c r="H29" s="59"/>
      <c r="I29" s="59"/>
    </row>
    <row r="30" spans="1:9" ht="28.8" x14ac:dyDescent="0.55000000000000004">
      <c r="A30" s="47" t="s">
        <v>68</v>
      </c>
      <c r="B30" s="58">
        <v>2</v>
      </c>
      <c r="C30" s="58">
        <v>2</v>
      </c>
      <c r="D30" s="58">
        <v>2</v>
      </c>
      <c r="E30" s="58">
        <v>2</v>
      </c>
      <c r="F30" s="58">
        <v>64</v>
      </c>
      <c r="G30" s="58">
        <v>64</v>
      </c>
      <c r="H30" s="58">
        <v>64</v>
      </c>
      <c r="I30" s="58">
        <v>64</v>
      </c>
    </row>
    <row r="31" spans="1:9" x14ac:dyDescent="0.55000000000000004">
      <c r="A31" s="47" t="s">
        <v>69</v>
      </c>
      <c r="B31" s="58">
        <v>2</v>
      </c>
      <c r="C31" s="58">
        <v>2</v>
      </c>
      <c r="D31" s="58">
        <v>2</v>
      </c>
      <c r="E31" s="58">
        <v>2</v>
      </c>
      <c r="F31" s="58">
        <v>2</v>
      </c>
      <c r="G31" s="58">
        <v>2</v>
      </c>
      <c r="H31" s="58">
        <v>2</v>
      </c>
      <c r="I31" s="58">
        <v>2</v>
      </c>
    </row>
    <row r="32" spans="1:9" x14ac:dyDescent="0.55000000000000004">
      <c r="A32" s="47" t="s">
        <v>22</v>
      </c>
      <c r="B32" s="58">
        <v>0</v>
      </c>
      <c r="C32" s="58">
        <v>0</v>
      </c>
      <c r="D32" s="58">
        <v>0</v>
      </c>
      <c r="E32" s="58">
        <v>0</v>
      </c>
      <c r="F32" s="58">
        <v>8</v>
      </c>
      <c r="G32" s="58">
        <v>8</v>
      </c>
      <c r="H32" s="58">
        <v>8</v>
      </c>
      <c r="I32" s="58">
        <v>8</v>
      </c>
    </row>
    <row r="33" spans="1:9" ht="43.2" x14ac:dyDescent="0.55000000000000004">
      <c r="A33" s="53" t="s">
        <v>70</v>
      </c>
      <c r="B33" s="62">
        <f t="shared" ref="B33:I33" si="4">IF(B30&gt;=2, 10*LOG10(B30/2), 0)</f>
        <v>0</v>
      </c>
      <c r="C33" s="62">
        <f t="shared" si="4"/>
        <v>0</v>
      </c>
      <c r="D33" s="62">
        <f t="shared" si="4"/>
        <v>0</v>
      </c>
      <c r="E33" s="62">
        <f t="shared" si="4"/>
        <v>0</v>
      </c>
      <c r="F33" s="62">
        <f t="shared" si="4"/>
        <v>15.051499783199061</v>
      </c>
      <c r="G33" s="62">
        <f t="shared" si="4"/>
        <v>15.051499783199061</v>
      </c>
      <c r="H33" s="62">
        <f t="shared" si="4"/>
        <v>15.051499783199061</v>
      </c>
      <c r="I33" s="62">
        <f t="shared" si="4"/>
        <v>15.051499783199061</v>
      </c>
    </row>
    <row r="34" spans="1:9" ht="43.2" x14ac:dyDescent="0.55000000000000004">
      <c r="A34" s="47" t="s">
        <v>23</v>
      </c>
      <c r="B34" s="58">
        <v>1</v>
      </c>
      <c r="C34" s="58">
        <v>1</v>
      </c>
      <c r="D34" s="58">
        <v>1</v>
      </c>
      <c r="E34" s="58">
        <v>1</v>
      </c>
      <c r="F34" s="58">
        <v>3</v>
      </c>
      <c r="G34" s="58">
        <v>3</v>
      </c>
      <c r="H34" s="58">
        <v>3</v>
      </c>
      <c r="I34" s="58">
        <v>3</v>
      </c>
    </row>
    <row r="35" spans="1:9" x14ac:dyDescent="0.55000000000000004">
      <c r="A35" s="47" t="s">
        <v>24</v>
      </c>
      <c r="B35" s="58">
        <v>7</v>
      </c>
      <c r="C35" s="58">
        <v>7</v>
      </c>
      <c r="D35" s="58">
        <v>7</v>
      </c>
      <c r="E35" s="58">
        <v>7</v>
      </c>
      <c r="F35" s="58">
        <v>5</v>
      </c>
      <c r="G35" s="58">
        <v>5</v>
      </c>
      <c r="H35" s="58">
        <v>5</v>
      </c>
      <c r="I35" s="58">
        <v>5</v>
      </c>
    </row>
    <row r="36" spans="1:9" x14ac:dyDescent="0.55000000000000004">
      <c r="A36" s="47" t="s">
        <v>25</v>
      </c>
      <c r="B36" s="58">
        <v>-174</v>
      </c>
      <c r="C36" s="58">
        <v>-174</v>
      </c>
      <c r="D36" s="58">
        <v>-174</v>
      </c>
      <c r="E36" s="58">
        <v>-174</v>
      </c>
      <c r="F36" s="58">
        <v>-174</v>
      </c>
      <c r="G36" s="58">
        <v>-174</v>
      </c>
      <c r="H36" s="58">
        <v>-174</v>
      </c>
      <c r="I36" s="58">
        <v>-174</v>
      </c>
    </row>
    <row r="37" spans="1:9" ht="28.8" x14ac:dyDescent="0.55000000000000004">
      <c r="A37" s="47" t="s">
        <v>26</v>
      </c>
      <c r="B37" s="58" t="s">
        <v>59</v>
      </c>
      <c r="C37" s="58">
        <v>-169.3</v>
      </c>
      <c r="D37" s="58" t="s">
        <v>59</v>
      </c>
      <c r="E37" s="58">
        <v>-169.3</v>
      </c>
      <c r="F37" s="58" t="s">
        <v>59</v>
      </c>
      <c r="G37" s="58">
        <v>-161.69999999999999</v>
      </c>
      <c r="H37" s="58" t="s">
        <v>59</v>
      </c>
      <c r="I37" s="58">
        <v>-161.69999999999999</v>
      </c>
    </row>
    <row r="38" spans="1:9" x14ac:dyDescent="0.55000000000000004">
      <c r="A38" s="47" t="s">
        <v>27</v>
      </c>
      <c r="B38" s="58">
        <v>-169.3</v>
      </c>
      <c r="C38" s="58" t="s">
        <v>59</v>
      </c>
      <c r="D38" s="58">
        <v>-169.3</v>
      </c>
      <c r="E38" s="58" t="s">
        <v>59</v>
      </c>
      <c r="F38" s="58">
        <v>-165.7</v>
      </c>
      <c r="G38" s="58" t="s">
        <v>59</v>
      </c>
      <c r="H38" s="58">
        <v>-165.7</v>
      </c>
      <c r="I38" s="58" t="s">
        <v>59</v>
      </c>
    </row>
    <row r="39" spans="1:9" ht="43.2" x14ac:dyDescent="0.55000000000000004">
      <c r="A39" s="47" t="s">
        <v>28</v>
      </c>
      <c r="B39" s="58" t="s">
        <v>59</v>
      </c>
      <c r="C39" s="58">
        <f t="shared" ref="C39:I39" si="5">10*LOG10(10^((C35+C36)/10)+10^(C37/10))</f>
        <v>-164.98918835931039</v>
      </c>
      <c r="D39" s="58" t="s">
        <v>59</v>
      </c>
      <c r="E39" s="58">
        <f t="shared" si="5"/>
        <v>-164.98918835931039</v>
      </c>
      <c r="F39" s="58" t="s">
        <v>59</v>
      </c>
      <c r="G39" s="58">
        <f t="shared" si="5"/>
        <v>-160.9583889004532</v>
      </c>
      <c r="H39" s="58" t="s">
        <v>59</v>
      </c>
      <c r="I39" s="58">
        <f t="shared" si="5"/>
        <v>-160.9583889004532</v>
      </c>
    </row>
    <row r="40" spans="1:9" ht="43.2" x14ac:dyDescent="0.55000000000000004">
      <c r="A40" s="47" t="s">
        <v>29</v>
      </c>
      <c r="B40" s="58">
        <f t="shared" ref="B40:H40" si="6">10*LOG10(10^((B35+B36)/10)+10^(B38/10))</f>
        <v>-164.98918835931039</v>
      </c>
      <c r="C40" s="58" t="s">
        <v>59</v>
      </c>
      <c r="D40" s="58">
        <f t="shared" si="6"/>
        <v>-164.98918835931039</v>
      </c>
      <c r="E40" s="58" t="s">
        <v>59</v>
      </c>
      <c r="F40" s="58">
        <f t="shared" si="6"/>
        <v>-164.03352307536667</v>
      </c>
      <c r="G40" s="58" t="s">
        <v>59</v>
      </c>
      <c r="H40" s="58">
        <f t="shared" si="6"/>
        <v>-164.03352307536667</v>
      </c>
      <c r="I40" s="58" t="s">
        <v>59</v>
      </c>
    </row>
    <row r="41" spans="1:9" ht="28.8" x14ac:dyDescent="0.55000000000000004">
      <c r="A41" s="47" t="s">
        <v>30</v>
      </c>
      <c r="B41" s="58" t="s">
        <v>59</v>
      </c>
      <c r="C41" s="58">
        <f>[1]MaxN_RB!$D$6*12*15*1000</f>
        <v>9360000</v>
      </c>
      <c r="D41" s="58" t="s">
        <v>59</v>
      </c>
      <c r="E41" s="58">
        <f>[1]MaxN_RB!$D$6*12*15*1000</f>
        <v>9360000</v>
      </c>
      <c r="F41" s="58" t="s">
        <v>59</v>
      </c>
      <c r="G41" s="58">
        <f>1*12*15*1000</f>
        <v>180000</v>
      </c>
      <c r="H41" s="58" t="s">
        <v>59</v>
      </c>
      <c r="I41" s="58">
        <f>1*12*15*1000</f>
        <v>180000</v>
      </c>
    </row>
    <row r="42" spans="1:9" ht="28.8" x14ac:dyDescent="0.55000000000000004">
      <c r="A42" s="47" t="s">
        <v>31</v>
      </c>
      <c r="B42" s="58">
        <f>[1]MaxN_RB!$D$6*12*15*1000</f>
        <v>9360000</v>
      </c>
      <c r="C42" s="58" t="s">
        <v>59</v>
      </c>
      <c r="D42" s="58">
        <f>[1]MaxN_RB!$D$6*12*15*1000</f>
        <v>9360000</v>
      </c>
      <c r="E42" s="58" t="s">
        <v>59</v>
      </c>
      <c r="F42" s="58">
        <f>4*12*15*1000</f>
        <v>720000</v>
      </c>
      <c r="G42" s="58" t="s">
        <v>59</v>
      </c>
      <c r="H42" s="58">
        <f>4*12*15*1000</f>
        <v>720000</v>
      </c>
      <c r="I42" s="58" t="s">
        <v>59</v>
      </c>
    </row>
    <row r="43" spans="1:9" ht="28.8" x14ac:dyDescent="0.55000000000000004">
      <c r="A43" s="47" t="s">
        <v>32</v>
      </c>
      <c r="B43" s="58" t="s">
        <v>59</v>
      </c>
      <c r="C43" s="58">
        <f t="shared" ref="C43:I43" si="7">C39+10*LOG10(C41)</f>
        <v>-95.276429871929338</v>
      </c>
      <c r="D43" s="58" t="s">
        <v>59</v>
      </c>
      <c r="E43" s="58">
        <f t="shared" si="7"/>
        <v>-95.276429871929338</v>
      </c>
      <c r="F43" s="58" t="s">
        <v>59</v>
      </c>
      <c r="G43" s="58">
        <f t="shared" si="7"/>
        <v>-108.40566384942014</v>
      </c>
      <c r="H43" s="58" t="s">
        <v>59</v>
      </c>
      <c r="I43" s="58">
        <f t="shared" si="7"/>
        <v>-108.40566384942014</v>
      </c>
    </row>
    <row r="44" spans="1:9" ht="28.8" x14ac:dyDescent="0.55000000000000004">
      <c r="A44" s="47" t="s">
        <v>33</v>
      </c>
      <c r="B44" s="58">
        <f t="shared" ref="B44:H44" si="8">B40+10*LOG10(B42)</f>
        <v>-95.276429871929338</v>
      </c>
      <c r="C44" s="58" t="s">
        <v>59</v>
      </c>
      <c r="D44" s="58">
        <f t="shared" si="8"/>
        <v>-95.276429871929338</v>
      </c>
      <c r="E44" s="58" t="s">
        <v>59</v>
      </c>
      <c r="F44" s="58">
        <f t="shared" si="8"/>
        <v>-105.46019811105398</v>
      </c>
      <c r="G44" s="58" t="s">
        <v>59</v>
      </c>
      <c r="H44" s="58">
        <f t="shared" si="8"/>
        <v>-105.46019811105398</v>
      </c>
      <c r="I44" s="58" t="s">
        <v>59</v>
      </c>
    </row>
    <row r="45" spans="1:9" x14ac:dyDescent="0.55000000000000004">
      <c r="A45" s="54" t="s">
        <v>34</v>
      </c>
      <c r="B45" s="63" t="s">
        <v>59</v>
      </c>
      <c r="C45" s="63">
        <v>-7.65</v>
      </c>
      <c r="D45" s="63" t="s">
        <v>59</v>
      </c>
      <c r="E45" s="63">
        <v>-7.65</v>
      </c>
      <c r="F45" s="63" t="s">
        <v>59</v>
      </c>
      <c r="G45" s="63">
        <v>-6.3</v>
      </c>
      <c r="H45" s="63" t="s">
        <v>59</v>
      </c>
      <c r="I45" s="63">
        <v>-6.3</v>
      </c>
    </row>
    <row r="46" spans="1:9" x14ac:dyDescent="0.55000000000000004">
      <c r="A46" s="54" t="s">
        <v>35</v>
      </c>
      <c r="B46" s="63">
        <v>2.2999999999999998</v>
      </c>
      <c r="C46" s="63" t="s">
        <v>59</v>
      </c>
      <c r="D46" s="63">
        <v>2.1</v>
      </c>
      <c r="E46" s="63" t="s">
        <v>59</v>
      </c>
      <c r="F46" s="63">
        <v>4.5</v>
      </c>
      <c r="G46" s="63" t="s">
        <v>59</v>
      </c>
      <c r="H46" s="63">
        <v>4.2</v>
      </c>
      <c r="I46" s="63" t="s">
        <v>59</v>
      </c>
    </row>
    <row r="47" spans="1:9" x14ac:dyDescent="0.55000000000000004">
      <c r="A47" s="47" t="s">
        <v>36</v>
      </c>
      <c r="B47" s="58">
        <v>2</v>
      </c>
      <c r="C47" s="58">
        <v>2</v>
      </c>
      <c r="D47" s="58">
        <v>2</v>
      </c>
      <c r="E47" s="58">
        <v>2</v>
      </c>
      <c r="F47" s="58">
        <v>2</v>
      </c>
      <c r="G47" s="58">
        <v>2</v>
      </c>
      <c r="H47" s="58">
        <v>2</v>
      </c>
      <c r="I47" s="58">
        <v>2</v>
      </c>
    </row>
    <row r="48" spans="1:9" x14ac:dyDescent="0.55000000000000004">
      <c r="A48" s="47" t="s">
        <v>37</v>
      </c>
      <c r="B48" s="58" t="s">
        <v>59</v>
      </c>
      <c r="C48" s="58">
        <v>0</v>
      </c>
      <c r="D48" s="58" t="s">
        <v>59</v>
      </c>
      <c r="E48" s="58">
        <v>0</v>
      </c>
      <c r="F48" s="58" t="s">
        <v>59</v>
      </c>
      <c r="G48" s="58">
        <v>0</v>
      </c>
      <c r="H48" s="58" t="s">
        <v>59</v>
      </c>
      <c r="I48" s="58">
        <v>0</v>
      </c>
    </row>
    <row r="49" spans="1:9" x14ac:dyDescent="0.55000000000000004">
      <c r="A49" s="47" t="s">
        <v>38</v>
      </c>
      <c r="B49" s="58">
        <v>0.5</v>
      </c>
      <c r="C49" s="58" t="s">
        <v>59</v>
      </c>
      <c r="D49" s="58">
        <v>0.5</v>
      </c>
      <c r="E49" s="58" t="s">
        <v>59</v>
      </c>
      <c r="F49" s="58">
        <v>0.5</v>
      </c>
      <c r="G49" s="58" t="s">
        <v>59</v>
      </c>
      <c r="H49" s="58">
        <v>0.5</v>
      </c>
      <c r="I49" s="58" t="s">
        <v>59</v>
      </c>
    </row>
    <row r="50" spans="1:9" ht="28.8" x14ac:dyDescent="0.55000000000000004">
      <c r="A50" s="50" t="s">
        <v>39</v>
      </c>
      <c r="B50" s="61" t="s">
        <v>59</v>
      </c>
      <c r="C50" s="61">
        <f t="shared" ref="C50:I50" si="9">C43+C45+C47-C48</f>
        <v>-100.92642987192934</v>
      </c>
      <c r="D50" s="61" t="s">
        <v>59</v>
      </c>
      <c r="E50" s="61">
        <f t="shared" si="9"/>
        <v>-100.92642987192934</v>
      </c>
      <c r="F50" s="61" t="s">
        <v>59</v>
      </c>
      <c r="G50" s="61">
        <f t="shared" si="9"/>
        <v>-112.70566384942013</v>
      </c>
      <c r="H50" s="61" t="s">
        <v>59</v>
      </c>
      <c r="I50" s="61">
        <f t="shared" si="9"/>
        <v>-112.70566384942013</v>
      </c>
    </row>
    <row r="51" spans="1:9" ht="28.8" x14ac:dyDescent="0.55000000000000004">
      <c r="A51" s="50" t="s">
        <v>40</v>
      </c>
      <c r="B51" s="61">
        <f>B44+B46+B47-B49</f>
        <v>-91.476429871929341</v>
      </c>
      <c r="C51" s="61" t="s">
        <v>59</v>
      </c>
      <c r="D51" s="61">
        <f t="shared" ref="D51:H51" si="10">D44+D46+D47-D49</f>
        <v>-91.676429871929344</v>
      </c>
      <c r="E51" s="61" t="s">
        <v>59</v>
      </c>
      <c r="F51" s="61">
        <f t="shared" si="10"/>
        <v>-99.460198111053984</v>
      </c>
      <c r="G51" s="61" t="s">
        <v>59</v>
      </c>
      <c r="H51" s="61">
        <f t="shared" si="10"/>
        <v>-99.760198111053981</v>
      </c>
      <c r="I51" s="61" t="s">
        <v>59</v>
      </c>
    </row>
    <row r="52" spans="1:9" ht="28.8" x14ac:dyDescent="0.55000000000000004">
      <c r="A52" s="50" t="s">
        <v>41</v>
      </c>
      <c r="B52" s="61" t="s">
        <v>59</v>
      </c>
      <c r="C52" s="61">
        <f t="shared" ref="C52:I52" si="11">C27+C32+C33-C50</f>
        <v>167.03972939496728</v>
      </c>
      <c r="D52" s="61" t="s">
        <v>59</v>
      </c>
      <c r="E52" s="61">
        <f t="shared" si="11"/>
        <v>167.03972939496728</v>
      </c>
      <c r="F52" s="61" t="s">
        <v>59</v>
      </c>
      <c r="G52" s="61">
        <f t="shared" si="11"/>
        <v>157.75716363261921</v>
      </c>
      <c r="H52" s="61" t="s">
        <v>59</v>
      </c>
      <c r="I52" s="61">
        <f t="shared" si="11"/>
        <v>157.75716363261921</v>
      </c>
    </row>
    <row r="53" spans="1:9" ht="28.8" x14ac:dyDescent="0.55000000000000004">
      <c r="A53" s="50" t="s">
        <v>42</v>
      </c>
      <c r="B53" s="61">
        <f t="shared" ref="B53:H53" si="12">B28+B32+B33-B51</f>
        <v>157.58972939496726</v>
      </c>
      <c r="C53" s="61" t="s">
        <v>59</v>
      </c>
      <c r="D53" s="61">
        <f t="shared" si="12"/>
        <v>157.78972939496728</v>
      </c>
      <c r="E53" s="61" t="s">
        <v>59</v>
      </c>
      <c r="F53" s="61">
        <f t="shared" si="12"/>
        <v>144.51169789425305</v>
      </c>
      <c r="G53" s="61" t="s">
        <v>59</v>
      </c>
      <c r="H53" s="61">
        <f t="shared" si="12"/>
        <v>144.81169789425303</v>
      </c>
      <c r="I53" s="61" t="s">
        <v>59</v>
      </c>
    </row>
    <row r="54" spans="1:9" s="51" customFormat="1" x14ac:dyDescent="0.55000000000000004">
      <c r="A54" s="48" t="s">
        <v>43</v>
      </c>
      <c r="B54" s="59"/>
      <c r="C54" s="59"/>
      <c r="D54" s="59"/>
      <c r="E54" s="59"/>
      <c r="F54" s="59"/>
      <c r="G54" s="59"/>
      <c r="H54" s="59"/>
      <c r="I54" s="59"/>
    </row>
    <row r="55" spans="1:9" x14ac:dyDescent="0.55000000000000004">
      <c r="A55" s="47" t="s">
        <v>44</v>
      </c>
      <c r="B55" s="58">
        <v>8</v>
      </c>
      <c r="C55" s="58">
        <v>8</v>
      </c>
      <c r="D55" s="58">
        <v>8</v>
      </c>
      <c r="E55" s="58">
        <v>8</v>
      </c>
      <c r="F55" s="58">
        <v>8</v>
      </c>
      <c r="G55" s="58">
        <v>8</v>
      </c>
      <c r="H55" s="58">
        <v>8</v>
      </c>
      <c r="I55" s="58">
        <v>8</v>
      </c>
    </row>
    <row r="56" spans="1:9" ht="28.8" x14ac:dyDescent="0.55000000000000004">
      <c r="A56" s="47" t="s">
        <v>45</v>
      </c>
      <c r="B56" s="58" t="s">
        <v>59</v>
      </c>
      <c r="C56" s="58">
        <v>10.01</v>
      </c>
      <c r="D56" s="58" t="s">
        <v>59</v>
      </c>
      <c r="E56" s="58">
        <v>8.24</v>
      </c>
      <c r="F56" s="58" t="s">
        <v>59</v>
      </c>
      <c r="G56" s="58">
        <v>10.01</v>
      </c>
      <c r="H56" s="58" t="s">
        <v>59</v>
      </c>
      <c r="I56" s="58">
        <v>8.24</v>
      </c>
    </row>
    <row r="57" spans="1:9" ht="28.8" x14ac:dyDescent="0.55000000000000004">
      <c r="A57" s="47" t="s">
        <v>46</v>
      </c>
      <c r="B57" s="58">
        <v>6.24</v>
      </c>
      <c r="C57" s="58" t="s">
        <v>59</v>
      </c>
      <c r="D57" s="58">
        <v>4.8600000000000003</v>
      </c>
      <c r="E57" s="58" t="s">
        <v>59</v>
      </c>
      <c r="F57" s="58">
        <v>6.24</v>
      </c>
      <c r="G57" s="58" t="s">
        <v>59</v>
      </c>
      <c r="H57" s="58">
        <v>4.8600000000000003</v>
      </c>
      <c r="I57" s="58" t="s">
        <v>59</v>
      </c>
    </row>
    <row r="58" spans="1:9" x14ac:dyDescent="0.55000000000000004">
      <c r="A58" s="47" t="s">
        <v>47</v>
      </c>
      <c r="B58" s="58">
        <v>0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</row>
    <row r="59" spans="1:9" x14ac:dyDescent="0.55000000000000004">
      <c r="A59" s="47" t="s">
        <v>48</v>
      </c>
      <c r="B59" s="58">
        <v>9</v>
      </c>
      <c r="C59" s="58">
        <v>9</v>
      </c>
      <c r="D59" s="58">
        <f>10+0.5*5</f>
        <v>12.5</v>
      </c>
      <c r="E59" s="58">
        <f>10+0.5*5</f>
        <v>12.5</v>
      </c>
      <c r="F59" s="58">
        <v>9</v>
      </c>
      <c r="G59" s="58">
        <v>9</v>
      </c>
      <c r="H59" s="58">
        <f>10+0.5*5</f>
        <v>12.5</v>
      </c>
      <c r="I59" s="58">
        <f>10+0.5*5</f>
        <v>12.5</v>
      </c>
    </row>
    <row r="60" spans="1:9" x14ac:dyDescent="0.55000000000000004">
      <c r="A60" s="47" t="s">
        <v>49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</row>
    <row r="61" spans="1:9" ht="28.8" x14ac:dyDescent="0.55000000000000004">
      <c r="A61" s="49" t="s">
        <v>72</v>
      </c>
      <c r="B61" s="61" t="s">
        <v>59</v>
      </c>
      <c r="C61" s="61">
        <f t="shared" ref="C61:I61" si="13">C52-C56+C58-C59+C60-C34</f>
        <v>147.02972939496729</v>
      </c>
      <c r="D61" s="61" t="s">
        <v>59</v>
      </c>
      <c r="E61" s="61">
        <f t="shared" si="13"/>
        <v>145.29972939496727</v>
      </c>
      <c r="F61" s="61" t="s">
        <v>59</v>
      </c>
      <c r="G61" s="61">
        <f t="shared" si="13"/>
        <v>135.74716363261922</v>
      </c>
      <c r="H61" s="61" t="s">
        <v>59</v>
      </c>
      <c r="I61" s="61">
        <f t="shared" si="13"/>
        <v>134.0171636326192</v>
      </c>
    </row>
    <row r="62" spans="1:9" ht="28.8" x14ac:dyDescent="0.55000000000000004">
      <c r="A62" s="49" t="s">
        <v>50</v>
      </c>
      <c r="B62" s="61">
        <f t="shared" ref="B62:H62" si="14">B53-B57+B58-B59+B60-B34</f>
        <v>141.34972939496726</v>
      </c>
      <c r="C62" s="61" t="s">
        <v>59</v>
      </c>
      <c r="D62" s="61">
        <f t="shared" si="14"/>
        <v>139.42972939496727</v>
      </c>
      <c r="E62" s="61" t="s">
        <v>59</v>
      </c>
      <c r="F62" s="61">
        <f t="shared" si="14"/>
        <v>126.27169789425304</v>
      </c>
      <c r="G62" s="61" t="s">
        <v>59</v>
      </c>
      <c r="H62" s="61">
        <f t="shared" si="14"/>
        <v>124.45169789425302</v>
      </c>
      <c r="I62" s="61" t="s">
        <v>59</v>
      </c>
    </row>
    <row r="63" spans="1:9" x14ac:dyDescent="0.55000000000000004">
      <c r="A63" s="48" t="s">
        <v>51</v>
      </c>
      <c r="B63" s="59"/>
      <c r="C63" s="59"/>
      <c r="D63" s="59"/>
      <c r="E63" s="59"/>
      <c r="F63" s="59"/>
      <c r="G63" s="59"/>
      <c r="H63" s="59"/>
      <c r="I63" s="59"/>
    </row>
    <row r="64" spans="1:9" ht="43.2" x14ac:dyDescent="0.55000000000000004">
      <c r="A64" s="47" t="s">
        <v>52</v>
      </c>
      <c r="B64" s="58" t="s">
        <v>59</v>
      </c>
      <c r="C64" s="58">
        <f>10^((C61-161.04+7.1*LOG10(20)-7.5*LOG10(5)+(24.37-3.7*(5/C$5)^2)*LOG10(C$5)-20*LOG10(C$4)+(3.2*(LOG10(11.75*C$6)^2)-4.97))/(43.42-3.1*LOG10(C$5))+3)</f>
        <v>6193.1514503830804</v>
      </c>
      <c r="D64" s="58" t="s">
        <v>59</v>
      </c>
      <c r="E64" s="58">
        <f>10^((E61-161.04+7.1*LOG10(20)-7.5*LOG10(5)+(24.37-3.7*(5/E$5)^2)*LOG10(E$5)-20*LOG10(E$4)+(3.2*(LOG10(11.75*E$6)^2)-4.97))/(43.42-3.1*LOG10(E$5))+3)</f>
        <v>5586.3968280754789</v>
      </c>
      <c r="F64" s="58" t="s">
        <v>59</v>
      </c>
      <c r="G64" s="58">
        <f>10^((G61-161.04+7.1*LOG10(20)-7.5*LOG10(5)+(24.37-3.7*(5/G$5)^2)*LOG10(G$5)-20*LOG10(G$4)+(3.2*(LOG10(11.75*G$6)^2)-4.97))/(43.42-3.1*LOG10(G$5))+3)</f>
        <v>3161.3302532084926</v>
      </c>
      <c r="H64" s="58" t="s">
        <v>59</v>
      </c>
      <c r="I64" s="58">
        <f>10^((I61-161.04+7.1*LOG10(20)-7.5*LOG10(5)+(24.37-3.7*(5/I$5)^2)*LOG10(I$5)-20*LOG10(I$4)+(3.2*(LOG10(11.75*I$6)^2)-4.97))/(43.42-3.1*LOG10(I$5))+3)</f>
        <v>2851.6088199216538</v>
      </c>
    </row>
    <row r="65" spans="1:9" ht="43.2" x14ac:dyDescent="0.55000000000000004">
      <c r="A65" s="47" t="s">
        <v>53</v>
      </c>
      <c r="B65" s="58">
        <f>10^((B62-161.04+7.1*LOG10(20)-7.5*LOG10(5)+(24.37-3.7*(5/B$5)^2)*LOG10(B$5)-20*LOG10(B$4)+(3.2*(LOG10(11.75*B$6)^2)-4.97))/(43.42-3.1*LOG10(B$5))+3)</f>
        <v>4414.5721254104164</v>
      </c>
      <c r="C65" s="58" t="s">
        <v>59</v>
      </c>
      <c r="D65" s="58">
        <f>10^((D62-161.04+7.1*LOG10(20)-7.5*LOG10(5)+(24.37-3.7*(5/D$5)^2)*LOG10(D$5)-20*LOG10(D$4)+(3.2*(LOG10(11.75*D$6)^2)-4.97))/(43.42-3.1*LOG10(D$5))+3)</f>
        <v>3937.2289783315873</v>
      </c>
      <c r="E65" s="58" t="s">
        <v>59</v>
      </c>
      <c r="F65" s="58">
        <f>10^((F62-161.04+7.1*LOG10(20)-7.5*LOG10(5)+(24.37-3.7*(5/F$5)^2)*LOG10(F$5)-20*LOG10(F$4)+(3.2*(LOG10(11.75*F$6)^2)-4.97))/(43.42-3.1*LOG10(F$5))+3)</f>
        <v>1797.2299037938201</v>
      </c>
      <c r="G65" s="58" t="s">
        <v>59</v>
      </c>
      <c r="H65" s="58">
        <f>10^((H62-161.04+7.1*LOG10(20)-7.5*LOG10(5)+(24.37-3.7*(5/H$5)^2)*LOG10(H$5)-20*LOG10(H$4)+(3.2*(LOG10(11.75*H$6)^2)-4.97))/(43.42-3.1*LOG10(H$5))+3)</f>
        <v>1612.4792210015298</v>
      </c>
      <c r="I65" s="58" t="s">
        <v>59</v>
      </c>
    </row>
    <row r="66" spans="1:9" x14ac:dyDescent="0.55000000000000004">
      <c r="A66" s="47" t="s">
        <v>73</v>
      </c>
      <c r="B66" s="58" t="s">
        <v>59</v>
      </c>
      <c r="C66" s="58">
        <f>PI()*(C64)^2</f>
        <v>120496178.5737185</v>
      </c>
      <c r="D66" s="58" t="s">
        <v>59</v>
      </c>
      <c r="E66" s="58">
        <f>PI()*(E64)^2</f>
        <v>98042287.956813619</v>
      </c>
      <c r="F66" s="58" t="s">
        <v>59</v>
      </c>
      <c r="G66" s="58">
        <f>PI()*(G64)^2</f>
        <v>31397105.159595251</v>
      </c>
      <c r="H66" s="58" t="s">
        <v>59</v>
      </c>
      <c r="I66" s="58">
        <f>PI()*(I64)^2</f>
        <v>25546403.724199053</v>
      </c>
    </row>
    <row r="67" spans="1:9" x14ac:dyDescent="0.55000000000000004">
      <c r="A67" s="47" t="s">
        <v>74</v>
      </c>
      <c r="B67" s="58">
        <f>PI()*(B65)^2</f>
        <v>61224762.083569407</v>
      </c>
      <c r="C67" s="58" t="s">
        <v>59</v>
      </c>
      <c r="D67" s="58">
        <f>PI()*(D65)^2</f>
        <v>48700253.120204195</v>
      </c>
      <c r="E67" s="58" t="s">
        <v>59</v>
      </c>
      <c r="F67" s="58">
        <f>PI()*(F65)^2</f>
        <v>10147455.254423786</v>
      </c>
      <c r="G67" s="58" t="s">
        <v>59</v>
      </c>
      <c r="H67" s="58">
        <f>PI()*(H65)^2</f>
        <v>8168421.2492866796</v>
      </c>
      <c r="I67" s="58" t="s">
        <v>59</v>
      </c>
    </row>
  </sheetData>
  <mergeCells count="2">
    <mergeCell ref="F1:I1"/>
    <mergeCell ref="B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topLeftCell="A28" zoomScale="78" zoomScaleNormal="78" workbookViewId="0">
      <selection activeCell="H47" sqref="H47"/>
    </sheetView>
  </sheetViews>
  <sheetFormatPr defaultRowHeight="14.4" x14ac:dyDescent="0.55000000000000004"/>
  <cols>
    <col min="1" max="1" width="65.68359375" customWidth="1"/>
    <col min="2" max="2" width="16.15625" customWidth="1"/>
    <col min="3" max="3" width="13.68359375" customWidth="1"/>
    <col min="4" max="4" width="13.41796875" customWidth="1"/>
    <col min="5" max="5" width="14" customWidth="1"/>
    <col min="6" max="6" width="15.83984375" customWidth="1"/>
    <col min="7" max="7" width="14.26171875" customWidth="1"/>
    <col min="8" max="8" width="15" customWidth="1"/>
    <col min="9" max="9" width="16.41796875" customWidth="1"/>
  </cols>
  <sheetData>
    <row r="1" spans="1:9" x14ac:dyDescent="0.55000000000000004">
      <c r="A1" s="45" t="s">
        <v>0</v>
      </c>
      <c r="B1" s="109" t="s">
        <v>1</v>
      </c>
      <c r="C1" s="110"/>
      <c r="D1" s="110"/>
      <c r="E1" s="110"/>
      <c r="F1" s="109" t="s">
        <v>2</v>
      </c>
      <c r="G1" s="110"/>
      <c r="H1" s="110"/>
      <c r="I1" s="110"/>
    </row>
    <row r="2" spans="1:9" ht="31.5" customHeight="1" x14ac:dyDescent="0.55000000000000004">
      <c r="A2" s="41"/>
      <c r="B2" s="55" t="s">
        <v>54</v>
      </c>
      <c r="C2" s="55" t="s">
        <v>101</v>
      </c>
      <c r="D2" s="55" t="s">
        <v>102</v>
      </c>
      <c r="E2" s="55" t="s">
        <v>103</v>
      </c>
      <c r="F2" s="55" t="s">
        <v>83</v>
      </c>
      <c r="G2" s="55" t="s">
        <v>98</v>
      </c>
      <c r="H2" s="55" t="s">
        <v>85</v>
      </c>
      <c r="I2" s="55" t="s">
        <v>100</v>
      </c>
    </row>
    <row r="3" spans="1:9" x14ac:dyDescent="0.55000000000000004">
      <c r="A3" s="56" t="s">
        <v>3</v>
      </c>
      <c r="B3" s="57"/>
      <c r="C3" s="57"/>
      <c r="D3" s="57"/>
      <c r="E3" s="57"/>
      <c r="F3" s="57"/>
      <c r="G3" s="57"/>
      <c r="H3" s="57"/>
      <c r="I3" s="57"/>
    </row>
    <row r="4" spans="1:9" x14ac:dyDescent="0.55000000000000004">
      <c r="A4" s="5" t="s">
        <v>4</v>
      </c>
      <c r="B4" s="31">
        <v>0.7</v>
      </c>
      <c r="C4" s="31">
        <v>0.7</v>
      </c>
      <c r="D4" s="31">
        <v>0.7</v>
      </c>
      <c r="E4" s="31">
        <v>0.7</v>
      </c>
      <c r="F4" s="31">
        <v>0.7</v>
      </c>
      <c r="G4" s="31">
        <v>0.7</v>
      </c>
      <c r="H4" s="31">
        <v>0.7</v>
      </c>
      <c r="I4" s="31">
        <v>0.7</v>
      </c>
    </row>
    <row r="5" spans="1:9" x14ac:dyDescent="0.55000000000000004">
      <c r="A5" s="5" t="s">
        <v>5</v>
      </c>
      <c r="B5" s="31">
        <v>35</v>
      </c>
      <c r="C5" s="31">
        <v>35</v>
      </c>
      <c r="D5" s="31">
        <v>35</v>
      </c>
      <c r="E5" s="31">
        <v>35</v>
      </c>
      <c r="F5" s="31">
        <v>35</v>
      </c>
      <c r="G5" s="31">
        <v>35</v>
      </c>
      <c r="H5" s="31">
        <v>35</v>
      </c>
      <c r="I5" s="31">
        <v>35</v>
      </c>
    </row>
    <row r="6" spans="1:9" x14ac:dyDescent="0.55000000000000004">
      <c r="A6" s="5" t="s">
        <v>6</v>
      </c>
      <c r="B6" s="31">
        <v>1.5</v>
      </c>
      <c r="C6" s="31">
        <v>1.5</v>
      </c>
      <c r="D6" s="31">
        <v>1.5</v>
      </c>
      <c r="E6" s="31">
        <v>1.5</v>
      </c>
      <c r="F6" s="31">
        <v>1.5</v>
      </c>
      <c r="G6" s="31">
        <v>1.5</v>
      </c>
      <c r="H6" s="31">
        <v>1.5</v>
      </c>
      <c r="I6" s="31">
        <v>1.5</v>
      </c>
    </row>
    <row r="7" spans="1:9" ht="28.8" x14ac:dyDescent="0.55000000000000004">
      <c r="A7" s="5" t="s">
        <v>58</v>
      </c>
      <c r="B7" s="64" t="s">
        <v>59</v>
      </c>
      <c r="C7" s="64">
        <v>0.95</v>
      </c>
      <c r="D7" s="64" t="s">
        <v>59</v>
      </c>
      <c r="E7" s="64">
        <v>0.95</v>
      </c>
      <c r="F7" s="64" t="s">
        <v>59</v>
      </c>
      <c r="G7" s="64">
        <v>0.95</v>
      </c>
      <c r="H7" s="64" t="s">
        <v>59</v>
      </c>
      <c r="I7" s="64">
        <v>0.95</v>
      </c>
    </row>
    <row r="8" spans="1:9" ht="28.8" x14ac:dyDescent="0.55000000000000004">
      <c r="A8" s="5" t="s">
        <v>60</v>
      </c>
      <c r="B8" s="64">
        <v>0.9</v>
      </c>
      <c r="C8" s="64" t="s">
        <v>59</v>
      </c>
      <c r="D8" s="64">
        <v>0.9</v>
      </c>
      <c r="E8" s="64" t="s">
        <v>59</v>
      </c>
      <c r="F8" s="64">
        <v>0.9</v>
      </c>
      <c r="G8" s="64" t="s">
        <v>59</v>
      </c>
      <c r="H8" s="64">
        <v>0.9</v>
      </c>
      <c r="I8" s="64" t="s">
        <v>59</v>
      </c>
    </row>
    <row r="9" spans="1:9" x14ac:dyDescent="0.55000000000000004">
      <c r="A9" s="5" t="s">
        <v>7</v>
      </c>
      <c r="B9" s="31" t="s">
        <v>59</v>
      </c>
      <c r="C9" s="31">
        <f>64/(0.001)</f>
        <v>64000</v>
      </c>
      <c r="D9" s="31" t="s">
        <v>59</v>
      </c>
      <c r="E9" s="31">
        <f>64/(0.001)</f>
        <v>64000</v>
      </c>
      <c r="F9" s="31" t="s">
        <v>59</v>
      </c>
      <c r="G9" s="31">
        <f>2/(0.5*0.001)</f>
        <v>4000</v>
      </c>
      <c r="H9" s="31" t="s">
        <v>59</v>
      </c>
      <c r="I9" s="31">
        <f>2/(0.5*0.001)</f>
        <v>4000</v>
      </c>
    </row>
    <row r="10" spans="1:9" x14ac:dyDescent="0.55000000000000004">
      <c r="A10" s="5" t="s">
        <v>8</v>
      </c>
      <c r="B10" s="31">
        <f>2248233*3</f>
        <v>6744699</v>
      </c>
      <c r="C10" s="31" t="s">
        <v>59</v>
      </c>
      <c r="D10" s="31">
        <f>2248233*3</f>
        <v>6744699</v>
      </c>
      <c r="E10" s="31" t="s">
        <v>59</v>
      </c>
      <c r="F10" s="31">
        <f>74880*3</f>
        <v>224640</v>
      </c>
      <c r="G10" s="31" t="s">
        <v>59</v>
      </c>
      <c r="H10" s="31">
        <f>74880*3</f>
        <v>224640</v>
      </c>
      <c r="I10" s="31" t="s">
        <v>59</v>
      </c>
    </row>
    <row r="11" spans="1:9" x14ac:dyDescent="0.55000000000000004">
      <c r="A11" s="5" t="s">
        <v>9</v>
      </c>
      <c r="B11" s="64" t="s">
        <v>59</v>
      </c>
      <c r="C11" s="64">
        <v>0.01</v>
      </c>
      <c r="D11" s="64" t="s">
        <v>59</v>
      </c>
      <c r="E11" s="64">
        <v>0.01</v>
      </c>
      <c r="F11" s="64" t="s">
        <v>59</v>
      </c>
      <c r="G11" s="64">
        <v>0.01</v>
      </c>
      <c r="H11" s="64" t="s">
        <v>59</v>
      </c>
      <c r="I11" s="64">
        <v>0.01</v>
      </c>
    </row>
    <row r="12" spans="1:9" x14ac:dyDescent="0.55000000000000004">
      <c r="A12" s="5" t="s">
        <v>10</v>
      </c>
      <c r="B12" s="64">
        <v>0.1</v>
      </c>
      <c r="C12" s="64" t="s">
        <v>59</v>
      </c>
      <c r="D12" s="64">
        <v>0.1</v>
      </c>
      <c r="E12" s="64" t="s">
        <v>59</v>
      </c>
      <c r="F12" s="64">
        <v>0.1</v>
      </c>
      <c r="G12" s="64" t="s">
        <v>59</v>
      </c>
      <c r="H12" s="64">
        <v>0.1</v>
      </c>
      <c r="I12" s="64" t="s">
        <v>59</v>
      </c>
    </row>
    <row r="13" spans="1:9" x14ac:dyDescent="0.55000000000000004">
      <c r="A13" s="5" t="s">
        <v>61</v>
      </c>
      <c r="B13" s="31">
        <f>B10/(B42*(4+2*11/14+1/14)/10)</f>
        <v>0.65101476793248958</v>
      </c>
      <c r="C13" s="31" t="s">
        <v>59</v>
      </c>
      <c r="D13" s="31">
        <f>D10/(D42*(4+2*11/14+1/14)/10)</f>
        <v>0.65101476793248958</v>
      </c>
      <c r="E13" s="31" t="s">
        <v>59</v>
      </c>
      <c r="F13" s="31">
        <f>F10/(F42*(4+2*2/14+1/14)/10)</f>
        <v>0.35803278688524592</v>
      </c>
      <c r="G13" s="31" t="s">
        <v>59</v>
      </c>
      <c r="H13" s="31">
        <f>H10/(H42*(4+2*2/14+1/14)/10)</f>
        <v>0.35803278688524592</v>
      </c>
      <c r="I13" s="31" t="s">
        <v>59</v>
      </c>
    </row>
    <row r="14" spans="1:9" x14ac:dyDescent="0.55000000000000004">
      <c r="A14" s="5" t="s">
        <v>62</v>
      </c>
      <c r="B14" s="31" t="s">
        <v>63</v>
      </c>
      <c r="C14" s="31" t="s">
        <v>63</v>
      </c>
      <c r="D14" s="31" t="s">
        <v>87</v>
      </c>
      <c r="E14" s="31" t="s">
        <v>87</v>
      </c>
      <c r="F14" s="31" t="s">
        <v>63</v>
      </c>
      <c r="G14" s="31" t="s">
        <v>63</v>
      </c>
      <c r="H14" s="31" t="s">
        <v>87</v>
      </c>
      <c r="I14" s="31" t="s">
        <v>87</v>
      </c>
    </row>
    <row r="15" spans="1:9" x14ac:dyDescent="0.55000000000000004">
      <c r="A15" s="5" t="s">
        <v>64</v>
      </c>
      <c r="B15" s="31">
        <v>120</v>
      </c>
      <c r="C15" s="31">
        <v>120</v>
      </c>
      <c r="D15" s="31">
        <v>3</v>
      </c>
      <c r="E15" s="31">
        <v>3</v>
      </c>
      <c r="F15" s="31">
        <v>120</v>
      </c>
      <c r="G15" s="31">
        <v>120</v>
      </c>
      <c r="H15" s="31">
        <v>3</v>
      </c>
      <c r="I15" s="31">
        <v>3</v>
      </c>
    </row>
    <row r="16" spans="1:9" x14ac:dyDescent="0.55000000000000004">
      <c r="A16" s="5" t="s">
        <v>11</v>
      </c>
      <c r="B16" s="31">
        <v>3</v>
      </c>
      <c r="C16" s="31">
        <v>3</v>
      </c>
      <c r="D16" s="31">
        <v>3</v>
      </c>
      <c r="E16" s="31">
        <v>3</v>
      </c>
      <c r="F16" s="31">
        <v>3</v>
      </c>
      <c r="G16" s="31">
        <v>3</v>
      </c>
      <c r="H16" s="31">
        <v>3</v>
      </c>
      <c r="I16" s="31">
        <v>3</v>
      </c>
    </row>
    <row r="17" spans="1:9" x14ac:dyDescent="0.55000000000000004">
      <c r="A17" s="56" t="s">
        <v>12</v>
      </c>
      <c r="B17" s="65"/>
      <c r="C17" s="65"/>
      <c r="D17" s="65"/>
      <c r="E17" s="65"/>
      <c r="F17" s="65"/>
      <c r="G17" s="65"/>
      <c r="H17" s="65"/>
      <c r="I17" s="65"/>
    </row>
    <row r="18" spans="1:9" ht="28.8" x14ac:dyDescent="0.55000000000000004">
      <c r="A18" s="5" t="s">
        <v>65</v>
      </c>
      <c r="B18" s="31">
        <v>64</v>
      </c>
      <c r="C18" s="31">
        <v>64</v>
      </c>
      <c r="D18" s="31">
        <v>64</v>
      </c>
      <c r="E18" s="31">
        <v>64</v>
      </c>
      <c r="F18" s="31">
        <v>1</v>
      </c>
      <c r="G18" s="31">
        <v>1</v>
      </c>
      <c r="H18" s="31">
        <v>1</v>
      </c>
      <c r="I18" s="31">
        <v>1</v>
      </c>
    </row>
    <row r="19" spans="1:9" x14ac:dyDescent="0.55000000000000004">
      <c r="A19" s="5" t="s">
        <v>66</v>
      </c>
      <c r="B19" s="31">
        <v>2</v>
      </c>
      <c r="C19" s="31">
        <v>2</v>
      </c>
      <c r="D19" s="31">
        <v>2</v>
      </c>
      <c r="E19" s="31">
        <v>2</v>
      </c>
      <c r="F19" s="31">
        <v>1</v>
      </c>
      <c r="G19" s="31">
        <v>1</v>
      </c>
      <c r="H19" s="31">
        <v>1</v>
      </c>
      <c r="I19" s="31">
        <v>1</v>
      </c>
    </row>
    <row r="20" spans="1:9" x14ac:dyDescent="0.55000000000000004">
      <c r="A20" s="5" t="s">
        <v>13</v>
      </c>
      <c r="B20" s="31">
        <v>31</v>
      </c>
      <c r="C20" s="31">
        <v>31</v>
      </c>
      <c r="D20" s="31">
        <v>31</v>
      </c>
      <c r="E20" s="31">
        <v>31</v>
      </c>
      <c r="F20" s="31">
        <v>23</v>
      </c>
      <c r="G20" s="31">
        <v>23</v>
      </c>
      <c r="H20" s="31">
        <v>23</v>
      </c>
      <c r="I20" s="31">
        <v>23</v>
      </c>
    </row>
    <row r="21" spans="1:9" ht="33.75" customHeight="1" x14ac:dyDescent="0.55000000000000004">
      <c r="A21" s="26" t="s">
        <v>67</v>
      </c>
      <c r="B21" s="36">
        <f t="shared" ref="B21:I21" si="0">B20+10*LOG10(B18)</f>
        <v>49.061799739838875</v>
      </c>
      <c r="C21" s="36">
        <f t="shared" si="0"/>
        <v>49.061799739838875</v>
      </c>
      <c r="D21" s="36">
        <f t="shared" si="0"/>
        <v>49.061799739838875</v>
      </c>
      <c r="E21" s="36">
        <f t="shared" si="0"/>
        <v>49.061799739838875</v>
      </c>
      <c r="F21" s="36">
        <f t="shared" si="0"/>
        <v>23</v>
      </c>
      <c r="G21" s="36">
        <f t="shared" si="0"/>
        <v>23</v>
      </c>
      <c r="H21" s="36">
        <f t="shared" si="0"/>
        <v>23</v>
      </c>
      <c r="I21" s="36">
        <f t="shared" si="0"/>
        <v>23</v>
      </c>
    </row>
    <row r="22" spans="1:9" x14ac:dyDescent="0.55000000000000004">
      <c r="A22" s="5" t="s">
        <v>14</v>
      </c>
      <c r="B22" s="31">
        <v>8</v>
      </c>
      <c r="C22" s="31">
        <v>8</v>
      </c>
      <c r="D22" s="31">
        <v>8</v>
      </c>
      <c r="E22" s="31">
        <v>8</v>
      </c>
      <c r="F22" s="31">
        <v>0</v>
      </c>
      <c r="G22" s="31">
        <v>0</v>
      </c>
      <c r="H22" s="31">
        <v>0</v>
      </c>
      <c r="I22" s="31">
        <v>0</v>
      </c>
    </row>
    <row r="23" spans="1:9" ht="43.2" x14ac:dyDescent="0.55000000000000004">
      <c r="A23" s="26" t="s">
        <v>15</v>
      </c>
      <c r="B23" s="36">
        <f t="shared" ref="B23:I23" si="1">IF(B18&gt;=2, 10*LOG10(B18/2), 0)</f>
        <v>15.051499783199061</v>
      </c>
      <c r="C23" s="36">
        <f t="shared" si="1"/>
        <v>15.051499783199061</v>
      </c>
      <c r="D23" s="36">
        <f t="shared" si="1"/>
        <v>15.051499783199061</v>
      </c>
      <c r="E23" s="36">
        <f t="shared" si="1"/>
        <v>15.051499783199061</v>
      </c>
      <c r="F23" s="36">
        <f t="shared" si="1"/>
        <v>0</v>
      </c>
      <c r="G23" s="36">
        <f t="shared" si="1"/>
        <v>0</v>
      </c>
      <c r="H23" s="36">
        <f t="shared" si="1"/>
        <v>0</v>
      </c>
      <c r="I23" s="36">
        <f t="shared" si="1"/>
        <v>0</v>
      </c>
    </row>
    <row r="24" spans="1:9" x14ac:dyDescent="0.55000000000000004">
      <c r="A24" s="5" t="s">
        <v>16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</row>
    <row r="25" spans="1:9" x14ac:dyDescent="0.55000000000000004">
      <c r="A25" s="5" t="s">
        <v>17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ht="28.8" x14ac:dyDescent="0.55000000000000004">
      <c r="A26" s="5" t="s">
        <v>18</v>
      </c>
      <c r="B26" s="31">
        <v>3</v>
      </c>
      <c r="C26" s="31">
        <v>3</v>
      </c>
      <c r="D26" s="31">
        <v>3</v>
      </c>
      <c r="E26" s="31">
        <v>3</v>
      </c>
      <c r="F26" s="31">
        <v>1</v>
      </c>
      <c r="G26" s="31">
        <v>1</v>
      </c>
      <c r="H26" s="31">
        <v>1</v>
      </c>
      <c r="I26" s="31">
        <v>1</v>
      </c>
    </row>
    <row r="27" spans="1:9" x14ac:dyDescent="0.55000000000000004">
      <c r="A27" s="8" t="s">
        <v>19</v>
      </c>
      <c r="B27" s="29">
        <f t="shared" ref="B27:I27" si="2">B21+B22+B23+B24-B26</f>
        <v>69.113299523037938</v>
      </c>
      <c r="C27" s="29">
        <f t="shared" si="2"/>
        <v>69.113299523037938</v>
      </c>
      <c r="D27" s="29">
        <f t="shared" si="2"/>
        <v>69.113299523037938</v>
      </c>
      <c r="E27" s="29">
        <f t="shared" si="2"/>
        <v>69.113299523037938</v>
      </c>
      <c r="F27" s="29">
        <f t="shared" si="2"/>
        <v>22</v>
      </c>
      <c r="G27" s="29">
        <f t="shared" si="2"/>
        <v>22</v>
      </c>
      <c r="H27" s="29">
        <f t="shared" si="2"/>
        <v>22</v>
      </c>
      <c r="I27" s="29">
        <f t="shared" si="2"/>
        <v>22</v>
      </c>
    </row>
    <row r="28" spans="1:9" x14ac:dyDescent="0.55000000000000004">
      <c r="A28" s="8" t="s">
        <v>20</v>
      </c>
      <c r="B28" s="29">
        <f t="shared" ref="B28:I28" si="3">B21+B22+B23-B25-B26</f>
        <v>69.113299523037938</v>
      </c>
      <c r="C28" s="29">
        <f t="shared" si="3"/>
        <v>69.113299523037938</v>
      </c>
      <c r="D28" s="29">
        <f t="shared" si="3"/>
        <v>69.113299523037938</v>
      </c>
      <c r="E28" s="29">
        <f t="shared" si="3"/>
        <v>69.113299523037938</v>
      </c>
      <c r="F28" s="29">
        <f t="shared" si="3"/>
        <v>22</v>
      </c>
      <c r="G28" s="29">
        <f t="shared" si="3"/>
        <v>22</v>
      </c>
      <c r="H28" s="29">
        <f t="shared" si="3"/>
        <v>22</v>
      </c>
      <c r="I28" s="29">
        <f t="shared" si="3"/>
        <v>22</v>
      </c>
    </row>
    <row r="29" spans="1:9" x14ac:dyDescent="0.55000000000000004">
      <c r="A29" s="56" t="s">
        <v>21</v>
      </c>
      <c r="B29" s="65"/>
      <c r="C29" s="65"/>
      <c r="D29" s="65"/>
      <c r="E29" s="65"/>
      <c r="F29" s="65"/>
      <c r="G29" s="65"/>
      <c r="H29" s="65"/>
      <c r="I29" s="65"/>
    </row>
    <row r="30" spans="1:9" ht="28.8" x14ac:dyDescent="0.55000000000000004">
      <c r="A30" s="5" t="s">
        <v>68</v>
      </c>
      <c r="B30" s="31">
        <v>2</v>
      </c>
      <c r="C30" s="31">
        <v>2</v>
      </c>
      <c r="D30" s="31">
        <v>2</v>
      </c>
      <c r="E30" s="31">
        <v>2</v>
      </c>
      <c r="F30" s="31">
        <v>64</v>
      </c>
      <c r="G30" s="31">
        <v>64</v>
      </c>
      <c r="H30" s="31">
        <v>64</v>
      </c>
      <c r="I30" s="31">
        <v>64</v>
      </c>
    </row>
    <row r="31" spans="1:9" x14ac:dyDescent="0.55000000000000004">
      <c r="A31" s="5" t="s">
        <v>69</v>
      </c>
      <c r="B31" s="31">
        <v>2</v>
      </c>
      <c r="C31" s="31">
        <v>2</v>
      </c>
      <c r="D31" s="31">
        <v>2</v>
      </c>
      <c r="E31" s="31">
        <v>2</v>
      </c>
      <c r="F31" s="31">
        <v>2</v>
      </c>
      <c r="G31" s="31">
        <v>2</v>
      </c>
      <c r="H31" s="31">
        <v>2</v>
      </c>
      <c r="I31" s="31">
        <v>2</v>
      </c>
    </row>
    <row r="32" spans="1:9" x14ac:dyDescent="0.55000000000000004">
      <c r="A32" s="5" t="s">
        <v>22</v>
      </c>
      <c r="B32" s="31">
        <v>0</v>
      </c>
      <c r="C32" s="31">
        <v>0</v>
      </c>
      <c r="D32" s="31">
        <v>0</v>
      </c>
      <c r="E32" s="31">
        <v>0</v>
      </c>
      <c r="F32" s="31">
        <v>8</v>
      </c>
      <c r="G32" s="31">
        <v>8</v>
      </c>
      <c r="H32" s="31">
        <v>8</v>
      </c>
      <c r="I32" s="31">
        <v>8</v>
      </c>
    </row>
    <row r="33" spans="1:9" ht="28.8" x14ac:dyDescent="0.55000000000000004">
      <c r="A33" s="9" t="s">
        <v>70</v>
      </c>
      <c r="B33" s="30">
        <f t="shared" ref="B33:I33" si="4">IF(B30&gt;=2, 10*LOG10(B30/2), 0)</f>
        <v>0</v>
      </c>
      <c r="C33" s="30">
        <f t="shared" si="4"/>
        <v>0</v>
      </c>
      <c r="D33" s="30">
        <f t="shared" si="4"/>
        <v>0</v>
      </c>
      <c r="E33" s="30">
        <f t="shared" si="4"/>
        <v>0</v>
      </c>
      <c r="F33" s="30">
        <f t="shared" si="4"/>
        <v>15.051499783199061</v>
      </c>
      <c r="G33" s="30">
        <f t="shared" si="4"/>
        <v>15.051499783199061</v>
      </c>
      <c r="H33" s="30">
        <f t="shared" si="4"/>
        <v>15.051499783199061</v>
      </c>
      <c r="I33" s="30">
        <f t="shared" si="4"/>
        <v>15.051499783199061</v>
      </c>
    </row>
    <row r="34" spans="1:9" ht="28.8" x14ac:dyDescent="0.55000000000000004">
      <c r="A34" s="5" t="s">
        <v>23</v>
      </c>
      <c r="B34" s="31">
        <v>1</v>
      </c>
      <c r="C34" s="31">
        <v>1</v>
      </c>
      <c r="D34" s="31">
        <v>1</v>
      </c>
      <c r="E34" s="31">
        <v>1</v>
      </c>
      <c r="F34" s="31">
        <v>3</v>
      </c>
      <c r="G34" s="31">
        <v>3</v>
      </c>
      <c r="H34" s="31">
        <v>3</v>
      </c>
      <c r="I34" s="31">
        <v>3</v>
      </c>
    </row>
    <row r="35" spans="1:9" x14ac:dyDescent="0.55000000000000004">
      <c r="A35" s="5" t="s">
        <v>24</v>
      </c>
      <c r="B35" s="31">
        <v>7</v>
      </c>
      <c r="C35" s="31">
        <v>7</v>
      </c>
      <c r="D35" s="31">
        <v>7</v>
      </c>
      <c r="E35" s="31">
        <v>7</v>
      </c>
      <c r="F35" s="31">
        <v>5</v>
      </c>
      <c r="G35" s="31">
        <v>5</v>
      </c>
      <c r="H35" s="31">
        <v>5</v>
      </c>
      <c r="I35" s="31">
        <v>5</v>
      </c>
    </row>
    <row r="36" spans="1:9" x14ac:dyDescent="0.55000000000000004">
      <c r="A36" s="5" t="s">
        <v>25</v>
      </c>
      <c r="B36" s="31">
        <v>-174</v>
      </c>
      <c r="C36" s="31">
        <v>-174</v>
      </c>
      <c r="D36" s="31">
        <v>-174</v>
      </c>
      <c r="E36" s="31">
        <v>-174</v>
      </c>
      <c r="F36" s="31">
        <v>-174</v>
      </c>
      <c r="G36" s="31">
        <v>-174</v>
      </c>
      <c r="H36" s="31">
        <v>-174</v>
      </c>
      <c r="I36" s="31">
        <v>-174</v>
      </c>
    </row>
    <row r="37" spans="1:9" ht="28.8" x14ac:dyDescent="0.55000000000000004">
      <c r="A37" s="5" t="s">
        <v>26</v>
      </c>
      <c r="B37" s="31" t="s">
        <v>59</v>
      </c>
      <c r="C37" s="31">
        <v>-169.3</v>
      </c>
      <c r="D37" s="31" t="s">
        <v>59</v>
      </c>
      <c r="E37" s="31">
        <v>-169.3</v>
      </c>
      <c r="F37" s="31" t="s">
        <v>59</v>
      </c>
      <c r="G37" s="31">
        <v>-161.69999999999999</v>
      </c>
      <c r="H37" s="31" t="s">
        <v>59</v>
      </c>
      <c r="I37" s="31">
        <v>-161.69999999999999</v>
      </c>
    </row>
    <row r="38" spans="1:9" x14ac:dyDescent="0.55000000000000004">
      <c r="A38" s="5" t="s">
        <v>27</v>
      </c>
      <c r="B38" s="31">
        <v>-169.3</v>
      </c>
      <c r="C38" s="31" t="s">
        <v>59</v>
      </c>
      <c r="D38" s="31">
        <v>-169.3</v>
      </c>
      <c r="E38" s="31" t="s">
        <v>59</v>
      </c>
      <c r="F38" s="31">
        <v>-165.7</v>
      </c>
      <c r="G38" s="31" t="s">
        <v>59</v>
      </c>
      <c r="H38" s="31">
        <v>-165.7</v>
      </c>
      <c r="I38" s="31" t="s">
        <v>59</v>
      </c>
    </row>
    <row r="39" spans="1:9" ht="43.2" x14ac:dyDescent="0.55000000000000004">
      <c r="A39" s="5" t="s">
        <v>28</v>
      </c>
      <c r="B39" s="31" t="s">
        <v>59</v>
      </c>
      <c r="C39" s="31">
        <f t="shared" ref="C39:I39" si="5">10*LOG10(10^((C35+C36)/10)+10^(C37/10))</f>
        <v>-164.98918835931039</v>
      </c>
      <c r="D39" s="31" t="s">
        <v>59</v>
      </c>
      <c r="E39" s="31">
        <f t="shared" si="5"/>
        <v>-164.98918835931039</v>
      </c>
      <c r="F39" s="31" t="s">
        <v>59</v>
      </c>
      <c r="G39" s="31">
        <f t="shared" si="5"/>
        <v>-160.9583889004532</v>
      </c>
      <c r="H39" s="31" t="s">
        <v>59</v>
      </c>
      <c r="I39" s="31">
        <f t="shared" si="5"/>
        <v>-160.9583889004532</v>
      </c>
    </row>
    <row r="40" spans="1:9" ht="28.8" x14ac:dyDescent="0.55000000000000004">
      <c r="A40" s="5" t="s">
        <v>29</v>
      </c>
      <c r="B40" s="31">
        <f t="shared" ref="B40:H40" si="6">10*LOG10(10^((B35+B36)/10)+10^(B38/10))</f>
        <v>-164.98918835931039</v>
      </c>
      <c r="C40" s="31" t="s">
        <v>59</v>
      </c>
      <c r="D40" s="31">
        <f t="shared" si="6"/>
        <v>-164.98918835931039</v>
      </c>
      <c r="E40" s="31" t="s">
        <v>59</v>
      </c>
      <c r="F40" s="31">
        <f t="shared" si="6"/>
        <v>-164.03352307536667</v>
      </c>
      <c r="G40" s="31" t="s">
        <v>59</v>
      </c>
      <c r="H40" s="31">
        <f t="shared" si="6"/>
        <v>-164.03352307536667</v>
      </c>
      <c r="I40" s="31" t="s">
        <v>59</v>
      </c>
    </row>
    <row r="41" spans="1:9" ht="28.8" x14ac:dyDescent="0.55000000000000004">
      <c r="A41" s="5" t="s">
        <v>30</v>
      </c>
      <c r="B41" s="31" t="s">
        <v>59</v>
      </c>
      <c r="C41" s="31">
        <f>'[2]NR MaxN_RB'!$F$6*12*15*1000</f>
        <v>19080000</v>
      </c>
      <c r="D41" s="31" t="s">
        <v>59</v>
      </c>
      <c r="E41" s="31">
        <f>'[2]NR MaxN_RB'!$F$6*12*15*1000</f>
        <v>19080000</v>
      </c>
      <c r="F41" s="31" t="s">
        <v>59</v>
      </c>
      <c r="G41" s="31">
        <f>1*12*30*1000</f>
        <v>360000</v>
      </c>
      <c r="H41" s="31" t="s">
        <v>59</v>
      </c>
      <c r="I41" s="31">
        <f>1*12*30*1000</f>
        <v>360000</v>
      </c>
    </row>
    <row r="42" spans="1:9" ht="28.8" x14ac:dyDescent="0.55000000000000004">
      <c r="A42" s="5" t="s">
        <v>31</v>
      </c>
      <c r="B42" s="31">
        <f>'[2]NR MaxN_RB'!$F$7*12*30*1000</f>
        <v>18360000</v>
      </c>
      <c r="C42" s="31" t="s">
        <v>59</v>
      </c>
      <c r="D42" s="31">
        <f>'[2]NR MaxN_RB'!$F$7*12*30*1000</f>
        <v>18360000</v>
      </c>
      <c r="E42" s="31" t="s">
        <v>59</v>
      </c>
      <c r="F42" s="31">
        <f>4*12*30*1000</f>
        <v>1440000</v>
      </c>
      <c r="G42" s="31" t="s">
        <v>59</v>
      </c>
      <c r="H42" s="31">
        <f>4*12*30*1000</f>
        <v>1440000</v>
      </c>
      <c r="I42" s="31" t="s">
        <v>59</v>
      </c>
    </row>
    <row r="43" spans="1:9" ht="18" customHeight="1" x14ac:dyDescent="0.55000000000000004">
      <c r="A43" s="5" t="s">
        <v>32</v>
      </c>
      <c r="B43" s="31" t="s">
        <v>59</v>
      </c>
      <c r="C43" s="31">
        <f t="shared" ref="B43:I44" si="7">C39+10*LOG10(C41)</f>
        <v>-92.18340465562963</v>
      </c>
      <c r="D43" s="31" t="s">
        <v>59</v>
      </c>
      <c r="E43" s="31">
        <f t="shared" si="7"/>
        <v>-92.18340465562963</v>
      </c>
      <c r="F43" s="31" t="s">
        <v>59</v>
      </c>
      <c r="G43" s="31">
        <f t="shared" si="7"/>
        <v>-105.39536389278032</v>
      </c>
      <c r="H43" s="31" t="s">
        <v>59</v>
      </c>
      <c r="I43" s="31">
        <f t="shared" si="7"/>
        <v>-105.39536389278032</v>
      </c>
    </row>
    <row r="44" spans="1:9" ht="21.75" customHeight="1" x14ac:dyDescent="0.55000000000000004">
      <c r="A44" s="5" t="s">
        <v>33</v>
      </c>
      <c r="B44" s="31">
        <f t="shared" si="7"/>
        <v>-92.350461590658156</v>
      </c>
      <c r="C44" s="31" t="s">
        <v>59</v>
      </c>
      <c r="D44" s="31">
        <f t="shared" si="7"/>
        <v>-92.350461590658156</v>
      </c>
      <c r="E44" s="31" t="s">
        <v>59</v>
      </c>
      <c r="F44" s="31">
        <f t="shared" si="7"/>
        <v>-102.44989815441417</v>
      </c>
      <c r="G44" s="31" t="s">
        <v>59</v>
      </c>
      <c r="H44" s="31">
        <f t="shared" si="7"/>
        <v>-102.44989815441417</v>
      </c>
      <c r="I44" s="31" t="s">
        <v>59</v>
      </c>
    </row>
    <row r="45" spans="1:9" x14ac:dyDescent="0.55000000000000004">
      <c r="A45" s="18" t="s">
        <v>34</v>
      </c>
      <c r="B45" s="66" t="s">
        <v>59</v>
      </c>
      <c r="C45" s="66">
        <v>-4.79</v>
      </c>
      <c r="D45" s="66" t="s">
        <v>59</v>
      </c>
      <c r="E45" s="66">
        <v>-4.78</v>
      </c>
      <c r="F45" s="66" t="s">
        <v>59</v>
      </c>
      <c r="G45" s="66">
        <v>-5</v>
      </c>
      <c r="H45" s="66" t="s">
        <v>59</v>
      </c>
      <c r="I45" s="66">
        <v>-7.5</v>
      </c>
    </row>
    <row r="46" spans="1:9" x14ac:dyDescent="0.55000000000000004">
      <c r="A46" s="18" t="s">
        <v>35</v>
      </c>
      <c r="B46" s="66">
        <v>2</v>
      </c>
      <c r="C46" s="66" t="s">
        <v>59</v>
      </c>
      <c r="D46" s="66">
        <v>1.5</v>
      </c>
      <c r="E46" s="66" t="s">
        <v>59</v>
      </c>
      <c r="F46" s="66">
        <v>1.5</v>
      </c>
      <c r="G46" s="66" t="s">
        <v>59</v>
      </c>
      <c r="H46" s="66">
        <v>1.2</v>
      </c>
      <c r="I46" s="66" t="s">
        <v>59</v>
      </c>
    </row>
    <row r="47" spans="1:9" x14ac:dyDescent="0.55000000000000004">
      <c r="A47" s="5" t="s">
        <v>36</v>
      </c>
      <c r="B47" s="31">
        <v>2</v>
      </c>
      <c r="C47" s="31">
        <v>2</v>
      </c>
      <c r="D47" s="31">
        <v>2</v>
      </c>
      <c r="E47" s="31">
        <v>2</v>
      </c>
      <c r="F47" s="31">
        <v>2</v>
      </c>
      <c r="G47" s="31">
        <v>2</v>
      </c>
      <c r="H47" s="31">
        <v>2</v>
      </c>
      <c r="I47" s="31">
        <v>2</v>
      </c>
    </row>
    <row r="48" spans="1:9" x14ac:dyDescent="0.55000000000000004">
      <c r="A48" s="5" t="s">
        <v>37</v>
      </c>
      <c r="B48" s="31" t="s">
        <v>59</v>
      </c>
      <c r="C48" s="31">
        <v>0</v>
      </c>
      <c r="D48" s="31" t="s">
        <v>59</v>
      </c>
      <c r="E48" s="31">
        <v>0</v>
      </c>
      <c r="F48" s="31" t="s">
        <v>59</v>
      </c>
      <c r="G48" s="31">
        <v>0</v>
      </c>
      <c r="H48" s="31" t="s">
        <v>59</v>
      </c>
      <c r="I48" s="31">
        <v>0</v>
      </c>
    </row>
    <row r="49" spans="1:9" x14ac:dyDescent="0.55000000000000004">
      <c r="A49" s="5" t="s">
        <v>38</v>
      </c>
      <c r="B49" s="31">
        <v>0.5</v>
      </c>
      <c r="C49" s="31" t="s">
        <v>59</v>
      </c>
      <c r="D49" s="31">
        <v>0.5</v>
      </c>
      <c r="E49" s="31" t="s">
        <v>59</v>
      </c>
      <c r="F49" s="31">
        <v>0.5</v>
      </c>
      <c r="G49" s="31" t="s">
        <v>59</v>
      </c>
      <c r="H49" s="31">
        <v>0.5</v>
      </c>
      <c r="I49" s="31" t="s">
        <v>59</v>
      </c>
    </row>
    <row r="50" spans="1:9" ht="28.8" x14ac:dyDescent="0.55000000000000004">
      <c r="A50" s="8" t="s">
        <v>39</v>
      </c>
      <c r="B50" s="29" t="s">
        <v>59</v>
      </c>
      <c r="C50" s="29">
        <f t="shared" ref="C50:I50" si="8">C43+C45+C47-C48</f>
        <v>-94.973404655629636</v>
      </c>
      <c r="D50" s="29" t="s">
        <v>59</v>
      </c>
      <c r="E50" s="29">
        <f t="shared" si="8"/>
        <v>-94.963404655629631</v>
      </c>
      <c r="F50" s="29" t="s">
        <v>59</v>
      </c>
      <c r="G50" s="29">
        <f t="shared" si="8"/>
        <v>-108.39536389278032</v>
      </c>
      <c r="H50" s="29" t="s">
        <v>59</v>
      </c>
      <c r="I50" s="29">
        <f t="shared" si="8"/>
        <v>-110.89536389278032</v>
      </c>
    </row>
    <row r="51" spans="1:9" ht="28.8" x14ac:dyDescent="0.55000000000000004">
      <c r="A51" s="8" t="s">
        <v>40</v>
      </c>
      <c r="B51" s="29">
        <f>B44+B46+B47-B49</f>
        <v>-88.850461590658156</v>
      </c>
      <c r="C51" s="29" t="s">
        <v>59</v>
      </c>
      <c r="D51" s="29">
        <f t="shared" ref="D51:H51" si="9">D44+D46+D47-D49</f>
        <v>-89.350461590658156</v>
      </c>
      <c r="E51" s="29" t="s">
        <v>59</v>
      </c>
      <c r="F51" s="29">
        <f t="shared" si="9"/>
        <v>-99.449898154414171</v>
      </c>
      <c r="G51" s="29" t="s">
        <v>59</v>
      </c>
      <c r="H51" s="29">
        <f t="shared" si="9"/>
        <v>-99.749898154414169</v>
      </c>
      <c r="I51" s="29" t="s">
        <v>59</v>
      </c>
    </row>
    <row r="52" spans="1:9" ht="28.8" x14ac:dyDescent="0.55000000000000004">
      <c r="A52" s="8" t="s">
        <v>41</v>
      </c>
      <c r="B52" s="29" t="s">
        <v>59</v>
      </c>
      <c r="C52" s="29">
        <f t="shared" ref="C52:I52" si="10">C27+C32+C33-C50</f>
        <v>164.08670417866756</v>
      </c>
      <c r="D52" s="29" t="s">
        <v>59</v>
      </c>
      <c r="E52" s="29">
        <f t="shared" si="10"/>
        <v>164.07670417866757</v>
      </c>
      <c r="F52" s="29" t="s">
        <v>59</v>
      </c>
      <c r="G52" s="29">
        <f t="shared" si="10"/>
        <v>153.44686367597939</v>
      </c>
      <c r="H52" s="29" t="s">
        <v>59</v>
      </c>
      <c r="I52" s="29">
        <f t="shared" si="10"/>
        <v>155.94686367597939</v>
      </c>
    </row>
    <row r="53" spans="1:9" ht="28.8" x14ac:dyDescent="0.55000000000000004">
      <c r="A53" s="8" t="s">
        <v>42</v>
      </c>
      <c r="B53" s="29">
        <f t="shared" ref="B53:H53" si="11">B28+B32+B33-B51</f>
        <v>157.96376111369608</v>
      </c>
      <c r="C53" s="29" t="s">
        <v>59</v>
      </c>
      <c r="D53" s="29">
        <f t="shared" si="11"/>
        <v>158.46376111369608</v>
      </c>
      <c r="E53" s="29" t="s">
        <v>59</v>
      </c>
      <c r="F53" s="29">
        <f t="shared" si="11"/>
        <v>144.50139793761323</v>
      </c>
      <c r="G53" s="29" t="s">
        <v>59</v>
      </c>
      <c r="H53" s="29">
        <f t="shared" si="11"/>
        <v>144.80139793761322</v>
      </c>
      <c r="I53" s="29" t="s">
        <v>59</v>
      </c>
    </row>
    <row r="54" spans="1:9" x14ac:dyDescent="0.55000000000000004">
      <c r="A54" s="56" t="s">
        <v>43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55000000000000004">
      <c r="A55" s="5" t="s">
        <v>44</v>
      </c>
      <c r="B55" s="31">
        <v>8</v>
      </c>
      <c r="C55" s="31">
        <v>8</v>
      </c>
      <c r="D55" s="31">
        <v>8</v>
      </c>
      <c r="E55" s="31">
        <v>8</v>
      </c>
      <c r="F55" s="31">
        <v>8</v>
      </c>
      <c r="G55" s="31">
        <v>8</v>
      </c>
      <c r="H55" s="31">
        <v>8</v>
      </c>
      <c r="I55" s="31">
        <v>8</v>
      </c>
    </row>
    <row r="56" spans="1:9" ht="28.8" x14ac:dyDescent="0.55000000000000004">
      <c r="A56" s="5" t="s">
        <v>45</v>
      </c>
      <c r="B56" s="58" t="s">
        <v>59</v>
      </c>
      <c r="C56" s="58">
        <v>10.01</v>
      </c>
      <c r="D56" s="58" t="s">
        <v>59</v>
      </c>
      <c r="E56" s="58">
        <v>8.24</v>
      </c>
      <c r="F56" s="58" t="s">
        <v>59</v>
      </c>
      <c r="G56" s="58">
        <v>10.01</v>
      </c>
      <c r="H56" s="58" t="s">
        <v>59</v>
      </c>
      <c r="I56" s="58">
        <v>8.24</v>
      </c>
    </row>
    <row r="57" spans="1:9" ht="28.8" x14ac:dyDescent="0.55000000000000004">
      <c r="A57" s="5" t="s">
        <v>46</v>
      </c>
      <c r="B57" s="58">
        <v>6.24</v>
      </c>
      <c r="C57" s="58" t="s">
        <v>59</v>
      </c>
      <c r="D57" s="58">
        <v>4.8600000000000003</v>
      </c>
      <c r="E57" s="58" t="s">
        <v>59</v>
      </c>
      <c r="F57" s="58">
        <v>6.24</v>
      </c>
      <c r="G57" s="58" t="s">
        <v>59</v>
      </c>
      <c r="H57" s="58">
        <v>4.8600000000000003</v>
      </c>
      <c r="I57" s="58" t="s">
        <v>59</v>
      </c>
    </row>
    <row r="58" spans="1:9" x14ac:dyDescent="0.55000000000000004">
      <c r="A58" s="5" t="s">
        <v>47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55000000000000004">
      <c r="A59" s="5" t="s">
        <v>48</v>
      </c>
      <c r="B59" s="31">
        <v>9</v>
      </c>
      <c r="C59" s="31">
        <v>9</v>
      </c>
      <c r="D59" s="31">
        <v>12.5</v>
      </c>
      <c r="E59" s="31">
        <v>12.5</v>
      </c>
      <c r="F59" s="31">
        <v>9</v>
      </c>
      <c r="G59" s="31">
        <v>9</v>
      </c>
      <c r="H59" s="31">
        <v>12.5</v>
      </c>
      <c r="I59" s="31">
        <v>12.5</v>
      </c>
    </row>
    <row r="60" spans="1:9" x14ac:dyDescent="0.55000000000000004">
      <c r="A60" s="5" t="s">
        <v>49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</row>
    <row r="61" spans="1:9" ht="28.8" x14ac:dyDescent="0.55000000000000004">
      <c r="A61" s="8" t="s">
        <v>72</v>
      </c>
      <c r="B61" s="29" t="s">
        <v>59</v>
      </c>
      <c r="C61" s="29">
        <f t="shared" ref="C61:I61" si="12">C52-C56+C58-C59+C60-C34</f>
        <v>144.07670417866757</v>
      </c>
      <c r="D61" s="29" t="s">
        <v>59</v>
      </c>
      <c r="E61" s="29">
        <f t="shared" si="12"/>
        <v>142.33670417866756</v>
      </c>
      <c r="F61" s="29" t="s">
        <v>59</v>
      </c>
      <c r="G61" s="29">
        <f t="shared" si="12"/>
        <v>131.4368636759794</v>
      </c>
      <c r="H61" s="29" t="s">
        <v>59</v>
      </c>
      <c r="I61" s="29">
        <f t="shared" si="12"/>
        <v>132.20686367597938</v>
      </c>
    </row>
    <row r="62" spans="1:9" ht="28.8" x14ac:dyDescent="0.55000000000000004">
      <c r="A62" s="8" t="s">
        <v>50</v>
      </c>
      <c r="B62" s="29">
        <f t="shared" ref="B62:H62" si="13">B53-B57+B58-B59+B60-B34</f>
        <v>141.72376111369607</v>
      </c>
      <c r="C62" s="29" t="s">
        <v>59</v>
      </c>
      <c r="D62" s="29">
        <f t="shared" si="13"/>
        <v>140.10376111369607</v>
      </c>
      <c r="E62" s="29" t="s">
        <v>59</v>
      </c>
      <c r="F62" s="29">
        <f t="shared" si="13"/>
        <v>126.26139793761322</v>
      </c>
      <c r="G62" s="29" t="s">
        <v>59</v>
      </c>
      <c r="H62" s="29">
        <f t="shared" si="13"/>
        <v>124.4413979376132</v>
      </c>
      <c r="I62" s="29" t="s">
        <v>59</v>
      </c>
    </row>
    <row r="63" spans="1:9" x14ac:dyDescent="0.55000000000000004">
      <c r="A63" s="56" t="s">
        <v>51</v>
      </c>
      <c r="B63" s="65"/>
      <c r="C63" s="65"/>
      <c r="D63" s="65"/>
      <c r="E63" s="65"/>
      <c r="F63" s="65"/>
      <c r="G63" s="65"/>
      <c r="H63" s="65"/>
      <c r="I63" s="65"/>
    </row>
    <row r="64" spans="1:9" ht="28.8" x14ac:dyDescent="0.55000000000000004">
      <c r="A64" s="5" t="s">
        <v>52</v>
      </c>
      <c r="B64" s="31" t="s">
        <v>59</v>
      </c>
      <c r="C64" s="31">
        <f>10^((C61-161.04+7.1*LOG10(20)-7.5*LOG10(5)+(24.37-3.7*(5/C$5)^2)*LOG10(C$5)-20*LOG10(C$4)+(3.2*(LOG10(11.75*C$6)^2)-4.97))/(43.42-3.1*LOG10(C$5))+3)</f>
        <v>5193.6726704181201</v>
      </c>
      <c r="D64" s="31" t="s">
        <v>59</v>
      </c>
      <c r="E64" s="31">
        <f>10^((E61-161.04+7.1*LOG10(20)-7.5*LOG10(5)+(24.37-3.7*(5/E$5)^2)*LOG10(E$5)-20*LOG10(E$4)+(3.2*(LOG10(11.75*E$6)^2)-4.97))/(43.42-3.1*LOG10(E$5))+3)</f>
        <v>4682.0474775627818</v>
      </c>
      <c r="F64" s="31" t="s">
        <v>59</v>
      </c>
      <c r="G64" s="31">
        <f>10^((G61-161.04+7.1*LOG10(20)-7.5*LOG10(5)+(24.37-3.7*(5/G$5)^2)*LOG10(G$5)-20*LOG10(G$4)+(3.2*(LOG10(11.75*G$6)^2)-4.97))/(43.42-3.1*LOG10(G$5))+3)</f>
        <v>2445.1222243375623</v>
      </c>
      <c r="H64" s="31" t="s">
        <v>59</v>
      </c>
      <c r="I64" s="31">
        <f>10^((I61-161.04+7.1*LOG10(20)-7.5*LOG10(5)+(24.37-3.7*(5/I$5)^2)*LOG10(I$5)-20*LOG10(I$4)+(3.2*(LOG10(11.75*I$6)^2)-4.97))/(43.42-3.1*LOG10(I$5))+3)</f>
        <v>2559.9502145341198</v>
      </c>
    </row>
    <row r="65" spans="1:9" ht="28.8" x14ac:dyDescent="0.55000000000000004">
      <c r="A65" s="5" t="s">
        <v>53</v>
      </c>
      <c r="B65" s="31">
        <f>10^((B62-161.04+7.1*LOG10(20)-7.5*LOG10(5)+(24.37-3.7*(5/B$5)^2)*LOG10(B$5)-20*LOG10(B$4)+(3.2*(LOG10(11.75*B$6)^2)-4.97))/(43.42-3.1*LOG10(B$5))+3)</f>
        <v>4514.0896824863848</v>
      </c>
      <c r="C65" s="31" t="s">
        <v>59</v>
      </c>
      <c r="D65" s="31">
        <f>10^((D62-161.04+7.1*LOG10(20)-7.5*LOG10(5)+(24.37-3.7*(5/D$5)^2)*LOG10(D$5)-20*LOG10(D$4)+(3.2*(LOG10(11.75*D$6)^2)-4.97))/(43.42-3.1*LOG10(D$5))+3)</f>
        <v>4098.618942975676</v>
      </c>
      <c r="E65" s="31" t="s">
        <v>59</v>
      </c>
      <c r="F65" s="31">
        <f>10^((F62-161.04+7.1*LOG10(20)-7.5*LOG10(5)+(24.37-3.7*(5/F$5)^2)*LOG10(F$5)-20*LOG10(F$4)+(3.2*(LOG10(11.75*F$6)^2)-4.97))/(43.42-3.1*LOG10(F$5))+3)</f>
        <v>1796.1269467043458</v>
      </c>
      <c r="G65" s="31" t="s">
        <v>59</v>
      </c>
      <c r="H65" s="31">
        <f>10^((H62-161.04+7.1*LOG10(20)-7.5*LOG10(5)+(24.37-3.7*(5/H$5)^2)*LOG10(H$5)-20*LOG10(H$4)+(3.2*(LOG10(11.75*H$6)^2)-4.97))/(43.42-3.1*LOG10(H$5))+3)</f>
        <v>1611.4896451077154</v>
      </c>
      <c r="I65" s="31" t="s">
        <v>59</v>
      </c>
    </row>
    <row r="66" spans="1:9" x14ac:dyDescent="0.55000000000000004">
      <c r="A66" s="5" t="s">
        <v>73</v>
      </c>
      <c r="B66" s="31" t="s">
        <v>59</v>
      </c>
      <c r="C66" s="31">
        <f>PI()*(C64)^2</f>
        <v>84742061.048877642</v>
      </c>
      <c r="D66" s="31" t="s">
        <v>59</v>
      </c>
      <c r="E66" s="31">
        <f>PI()*(E64)^2</f>
        <v>68868638.812853575</v>
      </c>
      <c r="F66" s="31" t="s">
        <v>59</v>
      </c>
      <c r="G66" s="31">
        <f>PI()*(G64)^2</f>
        <v>18782397.127613682</v>
      </c>
      <c r="H66" s="31" t="s">
        <v>59</v>
      </c>
      <c r="I66" s="31">
        <f>PI()*(I64)^2</f>
        <v>20587940.825405009</v>
      </c>
    </row>
    <row r="67" spans="1:9" x14ac:dyDescent="0.55000000000000004">
      <c r="A67" s="5" t="s">
        <v>74</v>
      </c>
      <c r="B67" s="31">
        <f>PI()*(B65)^2</f>
        <v>64016251.288420364</v>
      </c>
      <c r="C67" s="31" t="s">
        <v>59</v>
      </c>
      <c r="D67" s="31">
        <f>PI()*(D65)^2</f>
        <v>52774601.006327428</v>
      </c>
      <c r="E67" s="31" t="s">
        <v>59</v>
      </c>
      <c r="F67" s="31">
        <f>PI()*(F65)^2</f>
        <v>10135004.122412825</v>
      </c>
      <c r="G67" s="31" t="s">
        <v>59</v>
      </c>
      <c r="H67" s="31">
        <f>PI()*(H65)^2</f>
        <v>8158398.4318663385</v>
      </c>
      <c r="I67" s="31" t="s">
        <v>59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7"/>
  <sheetViews>
    <sheetView zoomScale="57" zoomScaleNormal="57" workbookViewId="0">
      <selection activeCell="H47" sqref="H47"/>
    </sheetView>
  </sheetViews>
  <sheetFormatPr defaultRowHeight="14.4" x14ac:dyDescent="0.55000000000000004"/>
  <cols>
    <col min="1" max="1" width="44.68359375" customWidth="1"/>
    <col min="2" max="2" width="13" customWidth="1"/>
    <col min="3" max="3" width="17.68359375" customWidth="1"/>
    <col min="4" max="4" width="22.578125" customWidth="1"/>
    <col min="5" max="5" width="21.41796875" customWidth="1"/>
    <col min="6" max="6" width="17.15625" customWidth="1"/>
    <col min="7" max="7" width="19.578125" customWidth="1"/>
    <col min="8" max="8" width="20.578125" customWidth="1"/>
    <col min="9" max="9" width="18.578125" customWidth="1"/>
  </cols>
  <sheetData>
    <row r="1" spans="1:9" x14ac:dyDescent="0.55000000000000004">
      <c r="A1" s="57" t="s">
        <v>0</v>
      </c>
      <c r="B1" s="110" t="s">
        <v>1</v>
      </c>
      <c r="C1" s="110"/>
      <c r="D1" s="110"/>
      <c r="E1" s="110"/>
      <c r="F1" s="111" t="s">
        <v>2</v>
      </c>
      <c r="G1" s="111"/>
      <c r="H1" s="111"/>
      <c r="I1" s="111"/>
    </row>
    <row r="2" spans="1:9" ht="48.75" customHeight="1" x14ac:dyDescent="0.55000000000000004">
      <c r="A2" s="57"/>
      <c r="B2" s="67" t="s">
        <v>104</v>
      </c>
      <c r="C2" s="67" t="s">
        <v>105</v>
      </c>
      <c r="D2" s="67" t="s">
        <v>106</v>
      </c>
      <c r="E2" s="67" t="s">
        <v>107</v>
      </c>
      <c r="F2" s="67" t="s">
        <v>108</v>
      </c>
      <c r="G2" s="67" t="s">
        <v>109</v>
      </c>
      <c r="H2" s="67" t="s">
        <v>110</v>
      </c>
      <c r="I2" s="67" t="s">
        <v>111</v>
      </c>
    </row>
    <row r="3" spans="1:9" x14ac:dyDescent="0.55000000000000004">
      <c r="A3" s="57" t="s">
        <v>3</v>
      </c>
      <c r="B3" s="57"/>
      <c r="C3" s="57"/>
      <c r="D3" s="57"/>
      <c r="E3" s="57"/>
      <c r="F3" s="57"/>
      <c r="G3" s="57"/>
      <c r="H3" s="57"/>
      <c r="I3" s="57"/>
    </row>
    <row r="4" spans="1:9" x14ac:dyDescent="0.55000000000000004">
      <c r="A4" s="5" t="s">
        <v>4</v>
      </c>
      <c r="B4" s="31">
        <v>0.7</v>
      </c>
      <c r="C4" s="31">
        <v>0.7</v>
      </c>
      <c r="D4" s="31">
        <v>0.7</v>
      </c>
      <c r="E4" s="31">
        <v>0.7</v>
      </c>
      <c r="F4" s="31">
        <v>0.7</v>
      </c>
      <c r="G4" s="31">
        <v>0.7</v>
      </c>
      <c r="H4" s="31">
        <v>0.7</v>
      </c>
      <c r="I4" s="31">
        <v>0.7</v>
      </c>
    </row>
    <row r="5" spans="1:9" x14ac:dyDescent="0.55000000000000004">
      <c r="A5" s="5" t="s">
        <v>5</v>
      </c>
      <c r="B5" s="31">
        <v>35</v>
      </c>
      <c r="C5" s="31">
        <v>35</v>
      </c>
      <c r="D5" s="31">
        <v>35</v>
      </c>
      <c r="E5" s="31">
        <v>35</v>
      </c>
      <c r="F5" s="31">
        <v>35</v>
      </c>
      <c r="G5" s="31">
        <v>35</v>
      </c>
      <c r="H5" s="31">
        <v>35</v>
      </c>
      <c r="I5" s="31">
        <v>35</v>
      </c>
    </row>
    <row r="6" spans="1:9" x14ac:dyDescent="0.55000000000000004">
      <c r="A6" s="5" t="s">
        <v>6</v>
      </c>
      <c r="B6" s="31">
        <v>1.5</v>
      </c>
      <c r="C6" s="31">
        <v>1.5</v>
      </c>
      <c r="D6" s="31">
        <v>1.5</v>
      </c>
      <c r="E6" s="31">
        <v>1.5</v>
      </c>
      <c r="F6" s="31">
        <v>1.5</v>
      </c>
      <c r="G6" s="31">
        <v>1.5</v>
      </c>
      <c r="H6" s="31">
        <v>1.5</v>
      </c>
      <c r="I6" s="31">
        <v>1.5</v>
      </c>
    </row>
    <row r="7" spans="1:9" ht="43.2" x14ac:dyDescent="0.55000000000000004">
      <c r="A7" s="5" t="s">
        <v>58</v>
      </c>
      <c r="B7" s="64" t="s">
        <v>59</v>
      </c>
      <c r="C7" s="64">
        <v>0.95</v>
      </c>
      <c r="D7" s="64" t="s">
        <v>59</v>
      </c>
      <c r="E7" s="64">
        <v>0.95</v>
      </c>
      <c r="F7" s="64" t="s">
        <v>59</v>
      </c>
      <c r="G7" s="64">
        <v>0.95</v>
      </c>
      <c r="H7" s="64" t="s">
        <v>59</v>
      </c>
      <c r="I7" s="64">
        <v>0.95</v>
      </c>
    </row>
    <row r="8" spans="1:9" ht="43.2" x14ac:dyDescent="0.55000000000000004">
      <c r="A8" s="5" t="s">
        <v>60</v>
      </c>
      <c r="B8" s="64">
        <v>0.9</v>
      </c>
      <c r="C8" s="64" t="s">
        <v>59</v>
      </c>
      <c r="D8" s="64">
        <v>0.9</v>
      </c>
      <c r="E8" s="64" t="s">
        <v>59</v>
      </c>
      <c r="F8" s="64">
        <v>0.9</v>
      </c>
      <c r="G8" s="64" t="s">
        <v>59</v>
      </c>
      <c r="H8" s="64">
        <v>0.9</v>
      </c>
      <c r="I8" s="64" t="s">
        <v>59</v>
      </c>
    </row>
    <row r="9" spans="1:9" x14ac:dyDescent="0.55000000000000004">
      <c r="A9" s="5" t="s">
        <v>7</v>
      </c>
      <c r="B9" s="31" t="s">
        <v>59</v>
      </c>
      <c r="C9" s="31">
        <f>43/(0.001)</f>
        <v>43000</v>
      </c>
      <c r="D9" s="31" t="s">
        <v>59</v>
      </c>
      <c r="E9" s="31">
        <f>43/(0.001)</f>
        <v>43000</v>
      </c>
      <c r="F9" s="31" t="s">
        <v>59</v>
      </c>
      <c r="G9" s="31">
        <f>2/(0.001)</f>
        <v>2000</v>
      </c>
      <c r="H9" s="31" t="s">
        <v>59</v>
      </c>
      <c r="I9" s="31">
        <f>2/(0.001)</f>
        <v>2000</v>
      </c>
    </row>
    <row r="10" spans="1:9" x14ac:dyDescent="0.55000000000000004">
      <c r="A10" s="5" t="s">
        <v>8</v>
      </c>
      <c r="B10" s="31">
        <f>1994400*3</f>
        <v>5983200</v>
      </c>
      <c r="C10" s="31" t="s">
        <v>59</v>
      </c>
      <c r="D10" s="31">
        <f>1994400*3</f>
        <v>5983200</v>
      </c>
      <c r="E10" s="31" t="s">
        <v>59</v>
      </c>
      <c r="F10" s="31">
        <f>187200*3</f>
        <v>561600</v>
      </c>
      <c r="G10" s="31" t="s">
        <v>59</v>
      </c>
      <c r="H10" s="31">
        <f>187200*3</f>
        <v>561600</v>
      </c>
      <c r="I10" s="31" t="s">
        <v>59</v>
      </c>
    </row>
    <row r="11" spans="1:9" ht="28.8" x14ac:dyDescent="0.55000000000000004">
      <c r="A11" s="5" t="s">
        <v>9</v>
      </c>
      <c r="B11" s="64" t="s">
        <v>59</v>
      </c>
      <c r="C11" s="64">
        <v>0.01</v>
      </c>
      <c r="D11" s="64" t="s">
        <v>59</v>
      </c>
      <c r="E11" s="64">
        <v>0.01</v>
      </c>
      <c r="F11" s="64" t="s">
        <v>59</v>
      </c>
      <c r="G11" s="64">
        <v>0.01</v>
      </c>
      <c r="H11" s="64" t="s">
        <v>59</v>
      </c>
      <c r="I11" s="64">
        <v>0.01</v>
      </c>
    </row>
    <row r="12" spans="1:9" ht="28.8" x14ac:dyDescent="0.55000000000000004">
      <c r="A12" s="5" t="s">
        <v>10</v>
      </c>
      <c r="B12" s="64">
        <v>0.1</v>
      </c>
      <c r="C12" s="64" t="s">
        <v>59</v>
      </c>
      <c r="D12" s="64">
        <v>0.1</v>
      </c>
      <c r="E12" s="64" t="s">
        <v>59</v>
      </c>
      <c r="F12" s="64">
        <v>0.1</v>
      </c>
      <c r="G12" s="64" t="s">
        <v>59</v>
      </c>
      <c r="H12" s="64">
        <v>0.1</v>
      </c>
      <c r="I12" s="64" t="s">
        <v>59</v>
      </c>
    </row>
    <row r="13" spans="1:9" x14ac:dyDescent="0.55000000000000004">
      <c r="A13" s="5" t="s">
        <v>61</v>
      </c>
      <c r="B13" s="31">
        <f>B10/B42</f>
        <v>0.66479999999999995</v>
      </c>
      <c r="C13" s="31" t="s">
        <v>59</v>
      </c>
      <c r="D13" s="31">
        <f>D10/D42</f>
        <v>0.66479999999999995</v>
      </c>
      <c r="E13" s="31" t="s">
        <v>59</v>
      </c>
      <c r="F13" s="31">
        <f>F10/F42</f>
        <v>0.78</v>
      </c>
      <c r="G13" s="31" t="s">
        <v>59</v>
      </c>
      <c r="H13" s="31">
        <f>H10/H42</f>
        <v>0.78</v>
      </c>
      <c r="I13" s="31" t="s">
        <v>59</v>
      </c>
    </row>
    <row r="14" spans="1:9" x14ac:dyDescent="0.55000000000000004">
      <c r="A14" s="5" t="s">
        <v>62</v>
      </c>
      <c r="B14" s="31" t="s">
        <v>63</v>
      </c>
      <c r="C14" s="31" t="s">
        <v>63</v>
      </c>
      <c r="D14" s="31" t="s">
        <v>87</v>
      </c>
      <c r="E14" s="31" t="s">
        <v>87</v>
      </c>
      <c r="F14" s="31" t="s">
        <v>63</v>
      </c>
      <c r="G14" s="31" t="s">
        <v>63</v>
      </c>
      <c r="H14" s="31" t="s">
        <v>87</v>
      </c>
      <c r="I14" s="31" t="s">
        <v>87</v>
      </c>
    </row>
    <row r="15" spans="1:9" x14ac:dyDescent="0.55000000000000004">
      <c r="A15" s="5" t="s">
        <v>64</v>
      </c>
      <c r="B15" s="31">
        <v>120</v>
      </c>
      <c r="C15" s="31">
        <v>120</v>
      </c>
      <c r="D15" s="31">
        <v>3</v>
      </c>
      <c r="E15" s="31">
        <v>3</v>
      </c>
      <c r="F15" s="31">
        <v>120</v>
      </c>
      <c r="G15" s="31">
        <v>120</v>
      </c>
      <c r="H15" s="31">
        <v>3</v>
      </c>
      <c r="I15" s="31">
        <v>3</v>
      </c>
    </row>
    <row r="16" spans="1:9" x14ac:dyDescent="0.55000000000000004">
      <c r="A16" s="5" t="s">
        <v>11</v>
      </c>
      <c r="B16" s="31">
        <v>3</v>
      </c>
      <c r="C16" s="31">
        <v>3</v>
      </c>
      <c r="D16" s="31">
        <v>3</v>
      </c>
      <c r="E16" s="31">
        <v>3</v>
      </c>
      <c r="F16" s="31">
        <v>3</v>
      </c>
      <c r="G16" s="31">
        <v>3</v>
      </c>
      <c r="H16" s="31">
        <v>3</v>
      </c>
      <c r="I16" s="31">
        <v>3</v>
      </c>
    </row>
    <row r="17" spans="1:9" x14ac:dyDescent="0.55000000000000004">
      <c r="A17" s="56" t="s">
        <v>12</v>
      </c>
      <c r="B17" s="65"/>
      <c r="C17" s="65"/>
      <c r="D17" s="65"/>
      <c r="E17" s="65"/>
      <c r="F17" s="65"/>
      <c r="G17" s="65"/>
      <c r="H17" s="65"/>
      <c r="I17" s="65"/>
    </row>
    <row r="18" spans="1:9" ht="43.2" x14ac:dyDescent="0.55000000000000004">
      <c r="A18" s="5" t="s">
        <v>65</v>
      </c>
      <c r="B18" s="31">
        <v>64</v>
      </c>
      <c r="C18" s="31">
        <v>64</v>
      </c>
      <c r="D18" s="31">
        <v>64</v>
      </c>
      <c r="E18" s="31">
        <v>64</v>
      </c>
      <c r="F18" s="31">
        <v>1</v>
      </c>
      <c r="G18" s="31">
        <v>1</v>
      </c>
      <c r="H18" s="31">
        <v>1</v>
      </c>
      <c r="I18" s="31">
        <v>1</v>
      </c>
    </row>
    <row r="19" spans="1:9" x14ac:dyDescent="0.55000000000000004">
      <c r="A19" s="5" t="s">
        <v>66</v>
      </c>
      <c r="B19" s="31">
        <v>2</v>
      </c>
      <c r="C19" s="31">
        <v>2</v>
      </c>
      <c r="D19" s="31">
        <v>2</v>
      </c>
      <c r="E19" s="31">
        <v>2</v>
      </c>
      <c r="F19" s="31">
        <v>1</v>
      </c>
      <c r="G19" s="31">
        <v>1</v>
      </c>
      <c r="H19" s="31">
        <v>1</v>
      </c>
      <c r="I19" s="31">
        <v>1</v>
      </c>
    </row>
    <row r="20" spans="1:9" x14ac:dyDescent="0.55000000000000004">
      <c r="A20" s="5" t="s">
        <v>13</v>
      </c>
      <c r="B20" s="31">
        <v>28</v>
      </c>
      <c r="C20" s="31">
        <v>28</v>
      </c>
      <c r="D20" s="31">
        <v>28</v>
      </c>
      <c r="E20" s="31">
        <v>28</v>
      </c>
      <c r="F20" s="31">
        <v>23</v>
      </c>
      <c r="G20" s="31">
        <v>23</v>
      </c>
      <c r="H20" s="31">
        <v>23</v>
      </c>
      <c r="I20" s="31">
        <v>23</v>
      </c>
    </row>
    <row r="21" spans="1:9" ht="59.25" customHeight="1" x14ac:dyDescent="0.55000000000000004">
      <c r="A21" s="26" t="s">
        <v>67</v>
      </c>
      <c r="B21" s="36">
        <f t="shared" ref="B21:I21" si="0">B20+10*LOG10(B18)</f>
        <v>46.061799739838875</v>
      </c>
      <c r="C21" s="36">
        <f t="shared" si="0"/>
        <v>46.061799739838875</v>
      </c>
      <c r="D21" s="36">
        <f t="shared" si="0"/>
        <v>46.061799739838875</v>
      </c>
      <c r="E21" s="36">
        <f t="shared" si="0"/>
        <v>46.061799739838875</v>
      </c>
      <c r="F21" s="36">
        <f t="shared" si="0"/>
        <v>23</v>
      </c>
      <c r="G21" s="36">
        <f t="shared" si="0"/>
        <v>23</v>
      </c>
      <c r="H21" s="36">
        <f t="shared" si="0"/>
        <v>23</v>
      </c>
      <c r="I21" s="36">
        <f t="shared" si="0"/>
        <v>23</v>
      </c>
    </row>
    <row r="22" spans="1:9" x14ac:dyDescent="0.55000000000000004">
      <c r="A22" s="5" t="s">
        <v>14</v>
      </c>
      <c r="B22" s="31">
        <v>8</v>
      </c>
      <c r="C22" s="31">
        <v>8</v>
      </c>
      <c r="D22" s="31">
        <v>8</v>
      </c>
      <c r="E22" s="31">
        <v>8</v>
      </c>
      <c r="F22" s="31">
        <v>0</v>
      </c>
      <c r="G22" s="31">
        <v>0</v>
      </c>
      <c r="H22" s="31">
        <v>0</v>
      </c>
      <c r="I22" s="31">
        <v>0</v>
      </c>
    </row>
    <row r="23" spans="1:9" ht="43.2" x14ac:dyDescent="0.55000000000000004">
      <c r="A23" s="26" t="s">
        <v>15</v>
      </c>
      <c r="B23" s="36">
        <f t="shared" ref="B23:I23" si="1">IF(B18&gt;=2, 10*LOG10(B18/2), 0)</f>
        <v>15.051499783199061</v>
      </c>
      <c r="C23" s="36">
        <f>IF(C18&gt;=2, 10*LOG10(C18/2), 0)-1.25</f>
        <v>13.801499783199061</v>
      </c>
      <c r="D23" s="36">
        <f t="shared" si="1"/>
        <v>15.051499783199061</v>
      </c>
      <c r="E23" s="36">
        <f>IF(E18&gt;=2, 10*LOG10(E18/2), 0)-1.25</f>
        <v>13.801499783199061</v>
      </c>
      <c r="F23" s="36">
        <f t="shared" si="1"/>
        <v>0</v>
      </c>
      <c r="G23" s="36">
        <f t="shared" si="1"/>
        <v>0</v>
      </c>
      <c r="H23" s="36">
        <f t="shared" si="1"/>
        <v>0</v>
      </c>
      <c r="I23" s="36">
        <f t="shared" si="1"/>
        <v>0</v>
      </c>
    </row>
    <row r="24" spans="1:9" x14ac:dyDescent="0.55000000000000004">
      <c r="A24" s="5" t="s">
        <v>16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</row>
    <row r="25" spans="1:9" ht="28.8" x14ac:dyDescent="0.55000000000000004">
      <c r="A25" s="5" t="s">
        <v>17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ht="43.2" x14ac:dyDescent="0.55000000000000004">
      <c r="A26" s="5" t="s">
        <v>18</v>
      </c>
      <c r="B26" s="31">
        <v>3</v>
      </c>
      <c r="C26" s="31">
        <v>3</v>
      </c>
      <c r="D26" s="31">
        <v>3</v>
      </c>
      <c r="E26" s="31">
        <v>3</v>
      </c>
      <c r="F26" s="31">
        <v>1</v>
      </c>
      <c r="G26" s="31">
        <v>1</v>
      </c>
      <c r="H26" s="31">
        <v>1</v>
      </c>
      <c r="I26" s="31">
        <v>1</v>
      </c>
    </row>
    <row r="27" spans="1:9" ht="28.8" x14ac:dyDescent="0.55000000000000004">
      <c r="A27" s="8" t="s">
        <v>19</v>
      </c>
      <c r="B27" s="29">
        <f t="shared" ref="B27:I27" si="2">B21+B22+B23+B24-B26</f>
        <v>66.113299523037938</v>
      </c>
      <c r="C27" s="29">
        <f t="shared" si="2"/>
        <v>64.863299523037938</v>
      </c>
      <c r="D27" s="29">
        <f t="shared" si="2"/>
        <v>66.113299523037938</v>
      </c>
      <c r="E27" s="29">
        <f t="shared" si="2"/>
        <v>64.863299523037938</v>
      </c>
      <c r="F27" s="29">
        <f t="shared" si="2"/>
        <v>22</v>
      </c>
      <c r="G27" s="29">
        <f t="shared" si="2"/>
        <v>22</v>
      </c>
      <c r="H27" s="29">
        <f t="shared" si="2"/>
        <v>22</v>
      </c>
      <c r="I27" s="29">
        <f t="shared" si="2"/>
        <v>22</v>
      </c>
    </row>
    <row r="28" spans="1:9" x14ac:dyDescent="0.55000000000000004">
      <c r="A28" s="8" t="s">
        <v>20</v>
      </c>
      <c r="B28" s="29">
        <f t="shared" ref="B28:I28" si="3">B21+B22+B23-B25-B26</f>
        <v>66.113299523037938</v>
      </c>
      <c r="C28" s="29">
        <f t="shared" si="3"/>
        <v>64.863299523037938</v>
      </c>
      <c r="D28" s="29">
        <f t="shared" si="3"/>
        <v>66.113299523037938</v>
      </c>
      <c r="E28" s="29">
        <f t="shared" si="3"/>
        <v>64.863299523037938</v>
      </c>
      <c r="F28" s="29">
        <f t="shared" si="3"/>
        <v>22</v>
      </c>
      <c r="G28" s="29">
        <f t="shared" si="3"/>
        <v>22</v>
      </c>
      <c r="H28" s="29">
        <f t="shared" si="3"/>
        <v>22</v>
      </c>
      <c r="I28" s="29">
        <f t="shared" si="3"/>
        <v>22</v>
      </c>
    </row>
    <row r="29" spans="1:9" x14ac:dyDescent="0.55000000000000004">
      <c r="A29" s="56" t="s">
        <v>21</v>
      </c>
      <c r="B29" s="65"/>
      <c r="C29" s="65"/>
      <c r="D29" s="65"/>
      <c r="E29" s="65"/>
      <c r="F29" s="65"/>
      <c r="G29" s="65"/>
      <c r="H29" s="65"/>
      <c r="I29" s="65"/>
    </row>
    <row r="30" spans="1:9" ht="43.2" x14ac:dyDescent="0.55000000000000004">
      <c r="A30" s="5" t="s">
        <v>68</v>
      </c>
      <c r="B30" s="31">
        <v>2</v>
      </c>
      <c r="C30" s="31">
        <v>2</v>
      </c>
      <c r="D30" s="31">
        <v>2</v>
      </c>
      <c r="E30" s="31">
        <v>2</v>
      </c>
      <c r="F30" s="31">
        <v>64</v>
      </c>
      <c r="G30" s="31">
        <v>64</v>
      </c>
      <c r="H30" s="31">
        <v>64</v>
      </c>
      <c r="I30" s="31">
        <v>64</v>
      </c>
    </row>
    <row r="31" spans="1:9" x14ac:dyDescent="0.55000000000000004">
      <c r="A31" s="5" t="s">
        <v>69</v>
      </c>
      <c r="B31" s="31">
        <v>2</v>
      </c>
      <c r="C31" s="31">
        <v>2</v>
      </c>
      <c r="D31" s="31">
        <v>2</v>
      </c>
      <c r="E31" s="31">
        <v>2</v>
      </c>
      <c r="F31" s="31">
        <v>2</v>
      </c>
      <c r="G31" s="31">
        <v>2</v>
      </c>
      <c r="H31" s="31">
        <v>2</v>
      </c>
      <c r="I31" s="31">
        <v>2</v>
      </c>
    </row>
    <row r="32" spans="1:9" x14ac:dyDescent="0.55000000000000004">
      <c r="A32" s="5" t="s">
        <v>22</v>
      </c>
      <c r="B32" s="31">
        <v>0</v>
      </c>
      <c r="C32" s="31">
        <v>0</v>
      </c>
      <c r="D32" s="31">
        <v>0</v>
      </c>
      <c r="E32" s="31">
        <v>0</v>
      </c>
      <c r="F32" s="31">
        <v>8</v>
      </c>
      <c r="G32" s="31">
        <v>8</v>
      </c>
      <c r="H32" s="31">
        <v>8</v>
      </c>
      <c r="I32" s="31">
        <v>8</v>
      </c>
    </row>
    <row r="33" spans="1:9" ht="43.2" x14ac:dyDescent="0.55000000000000004">
      <c r="A33" s="9" t="s">
        <v>70</v>
      </c>
      <c r="B33" s="30">
        <f t="shared" ref="B33:I33" si="4">IF(B30&gt;=2, 10*LOG10(B30/2), 0)</f>
        <v>0</v>
      </c>
      <c r="C33" s="30">
        <f t="shared" si="4"/>
        <v>0</v>
      </c>
      <c r="D33" s="30">
        <f t="shared" si="4"/>
        <v>0</v>
      </c>
      <c r="E33" s="30">
        <f t="shared" si="4"/>
        <v>0</v>
      </c>
      <c r="F33" s="30">
        <f t="shared" si="4"/>
        <v>15.051499783199061</v>
      </c>
      <c r="G33" s="30">
        <f t="shared" si="4"/>
        <v>15.051499783199061</v>
      </c>
      <c r="H33" s="30">
        <f t="shared" si="4"/>
        <v>15.051499783199061</v>
      </c>
      <c r="I33" s="30">
        <f t="shared" si="4"/>
        <v>15.051499783199061</v>
      </c>
    </row>
    <row r="34" spans="1:9" ht="43.2" x14ac:dyDescent="0.55000000000000004">
      <c r="A34" s="5" t="s">
        <v>23</v>
      </c>
      <c r="B34" s="31">
        <v>1</v>
      </c>
      <c r="C34" s="31">
        <v>1</v>
      </c>
      <c r="D34" s="31">
        <v>1</v>
      </c>
      <c r="E34" s="31">
        <v>1</v>
      </c>
      <c r="F34" s="31">
        <v>3</v>
      </c>
      <c r="G34" s="31">
        <v>3</v>
      </c>
      <c r="H34" s="31">
        <v>3</v>
      </c>
      <c r="I34" s="31">
        <v>3</v>
      </c>
    </row>
    <row r="35" spans="1:9" x14ac:dyDescent="0.55000000000000004">
      <c r="A35" s="5" t="s">
        <v>24</v>
      </c>
      <c r="B35" s="31">
        <v>7</v>
      </c>
      <c r="C35" s="31">
        <v>7</v>
      </c>
      <c r="D35" s="31">
        <v>7</v>
      </c>
      <c r="E35" s="31">
        <v>7</v>
      </c>
      <c r="F35" s="31">
        <v>5</v>
      </c>
      <c r="G35" s="31">
        <v>5</v>
      </c>
      <c r="H35" s="31">
        <v>5</v>
      </c>
      <c r="I35" s="31">
        <v>5</v>
      </c>
    </row>
    <row r="36" spans="1:9" x14ac:dyDescent="0.55000000000000004">
      <c r="A36" s="5" t="s">
        <v>25</v>
      </c>
      <c r="B36" s="31">
        <v>-174</v>
      </c>
      <c r="C36" s="31">
        <v>-174</v>
      </c>
      <c r="D36" s="31">
        <v>-174</v>
      </c>
      <c r="E36" s="31">
        <v>-174</v>
      </c>
      <c r="F36" s="31">
        <v>-174</v>
      </c>
      <c r="G36" s="31">
        <v>-174</v>
      </c>
      <c r="H36" s="31">
        <v>-174</v>
      </c>
      <c r="I36" s="31">
        <v>-174</v>
      </c>
    </row>
    <row r="37" spans="1:9" ht="28.8" x14ac:dyDescent="0.55000000000000004">
      <c r="A37" s="5" t="s">
        <v>26</v>
      </c>
      <c r="B37" s="31" t="s">
        <v>59</v>
      </c>
      <c r="C37" s="31">
        <v>-169.3</v>
      </c>
      <c r="D37" s="31" t="s">
        <v>59</v>
      </c>
      <c r="E37" s="31">
        <v>-169.3</v>
      </c>
      <c r="F37" s="31" t="s">
        <v>59</v>
      </c>
      <c r="G37" s="31">
        <v>-161.69999999999999</v>
      </c>
      <c r="H37" s="31" t="s">
        <v>59</v>
      </c>
      <c r="I37" s="31">
        <v>-161.69999999999999</v>
      </c>
    </row>
    <row r="38" spans="1:9" ht="28.8" x14ac:dyDescent="0.55000000000000004">
      <c r="A38" s="5" t="s">
        <v>27</v>
      </c>
      <c r="B38" s="31">
        <v>-169.3</v>
      </c>
      <c r="C38" s="31" t="s">
        <v>59</v>
      </c>
      <c r="D38" s="31">
        <v>-169.3</v>
      </c>
      <c r="E38" s="31" t="s">
        <v>59</v>
      </c>
      <c r="F38" s="31">
        <v>-165.7</v>
      </c>
      <c r="G38" s="31" t="s">
        <v>59</v>
      </c>
      <c r="H38" s="31">
        <v>-165.7</v>
      </c>
      <c r="I38" s="31" t="s">
        <v>59</v>
      </c>
    </row>
    <row r="39" spans="1:9" ht="57.6" x14ac:dyDescent="0.55000000000000004">
      <c r="A39" s="5" t="s">
        <v>28</v>
      </c>
      <c r="B39" s="31" t="s">
        <v>59</v>
      </c>
      <c r="C39" s="31">
        <f t="shared" ref="C39:I39" si="5">10*LOG10(10^((C35+C36)/10)+10^(C37/10))</f>
        <v>-164.98918835931039</v>
      </c>
      <c r="D39" s="31" t="s">
        <v>59</v>
      </c>
      <c r="E39" s="31">
        <f t="shared" si="5"/>
        <v>-164.98918835931039</v>
      </c>
      <c r="F39" s="31" t="s">
        <v>59</v>
      </c>
      <c r="G39" s="31">
        <f t="shared" si="5"/>
        <v>-160.9583889004532</v>
      </c>
      <c r="H39" s="31" t="s">
        <v>59</v>
      </c>
      <c r="I39" s="31">
        <f t="shared" si="5"/>
        <v>-160.9583889004532</v>
      </c>
    </row>
    <row r="40" spans="1:9" ht="57.6" x14ac:dyDescent="0.55000000000000004">
      <c r="A40" s="5" t="s">
        <v>29</v>
      </c>
      <c r="B40" s="31">
        <f t="shared" ref="B40:H40" si="6">10*LOG10(10^((B35+B36)/10)+10^(B38/10))</f>
        <v>-164.98918835931039</v>
      </c>
      <c r="C40" s="31" t="s">
        <v>59</v>
      </c>
      <c r="D40" s="31">
        <f t="shared" si="6"/>
        <v>-164.98918835931039</v>
      </c>
      <c r="E40" s="31" t="s">
        <v>59</v>
      </c>
      <c r="F40" s="31">
        <f t="shared" si="6"/>
        <v>-164.03352307536667</v>
      </c>
      <c r="G40" s="31" t="s">
        <v>59</v>
      </c>
      <c r="H40" s="31">
        <f t="shared" si="6"/>
        <v>-164.03352307536667</v>
      </c>
      <c r="I40" s="31" t="s">
        <v>59</v>
      </c>
    </row>
    <row r="41" spans="1:9" ht="28.8" x14ac:dyDescent="0.55000000000000004">
      <c r="A41" s="5" t="s">
        <v>30</v>
      </c>
      <c r="B41" s="31" t="s">
        <v>59</v>
      </c>
      <c r="C41" s="31">
        <f>[1]MaxN_RB!$D$23*12*15*1000</f>
        <v>9000000</v>
      </c>
      <c r="D41" s="31" t="s">
        <v>59</v>
      </c>
      <c r="E41" s="31">
        <f>[1]MaxN_RB!$D$23*12*15*1000</f>
        <v>9000000</v>
      </c>
      <c r="F41" s="31" t="s">
        <v>59</v>
      </c>
      <c r="G41" s="31">
        <f>1*12*15*1000</f>
        <v>180000</v>
      </c>
      <c r="H41" s="31" t="s">
        <v>59</v>
      </c>
      <c r="I41" s="31">
        <f>1*12*15*1000</f>
        <v>180000</v>
      </c>
    </row>
    <row r="42" spans="1:9" ht="28.8" x14ac:dyDescent="0.55000000000000004">
      <c r="A42" s="5" t="s">
        <v>31</v>
      </c>
      <c r="B42" s="31">
        <f>[1]MaxN_RB!$D$23*12*15*1000</f>
        <v>9000000</v>
      </c>
      <c r="C42" s="31" t="s">
        <v>59</v>
      </c>
      <c r="D42" s="31">
        <f>[1]MaxN_RB!$D$23*12*15*1000</f>
        <v>9000000</v>
      </c>
      <c r="E42" s="31" t="s">
        <v>59</v>
      </c>
      <c r="F42" s="31">
        <f>4*12*15*1000</f>
        <v>720000</v>
      </c>
      <c r="G42" s="31" t="s">
        <v>59</v>
      </c>
      <c r="H42" s="31">
        <f>4*12*15*1000</f>
        <v>720000</v>
      </c>
      <c r="I42" s="31" t="s">
        <v>59</v>
      </c>
    </row>
    <row r="43" spans="1:9" ht="28.8" x14ac:dyDescent="0.55000000000000004">
      <c r="A43" s="5" t="s">
        <v>32</v>
      </c>
      <c r="B43" s="31" t="s">
        <v>59</v>
      </c>
      <c r="C43" s="31">
        <f t="shared" ref="C43:I43" si="7">C39+10*LOG10(C41)</f>
        <v>-95.446763264917138</v>
      </c>
      <c r="D43" s="31" t="s">
        <v>59</v>
      </c>
      <c r="E43" s="31">
        <f t="shared" si="7"/>
        <v>-95.446763264917138</v>
      </c>
      <c r="F43" s="31" t="s">
        <v>59</v>
      </c>
      <c r="G43" s="31">
        <f t="shared" si="7"/>
        <v>-108.40566384942014</v>
      </c>
      <c r="H43" s="31" t="s">
        <v>59</v>
      </c>
      <c r="I43" s="31">
        <f t="shared" si="7"/>
        <v>-108.40566384942014</v>
      </c>
    </row>
    <row r="44" spans="1:9" ht="28.8" x14ac:dyDescent="0.55000000000000004">
      <c r="A44" s="5" t="s">
        <v>33</v>
      </c>
      <c r="B44" s="31">
        <f t="shared" ref="B44:H44" si="8">B40+10*LOG10(B42)</f>
        <v>-95.446763264917138</v>
      </c>
      <c r="C44" s="31" t="s">
        <v>59</v>
      </c>
      <c r="D44" s="31">
        <f t="shared" si="8"/>
        <v>-95.446763264917138</v>
      </c>
      <c r="E44" s="31" t="s">
        <v>59</v>
      </c>
      <c r="F44" s="31">
        <f t="shared" si="8"/>
        <v>-105.46019811105398</v>
      </c>
      <c r="G44" s="31" t="s">
        <v>59</v>
      </c>
      <c r="H44" s="31">
        <f t="shared" si="8"/>
        <v>-105.46019811105398</v>
      </c>
      <c r="I44" s="31" t="s">
        <v>59</v>
      </c>
    </row>
    <row r="45" spans="1:9" ht="21" customHeight="1" x14ac:dyDescent="0.55000000000000004">
      <c r="A45" s="18" t="s">
        <v>34</v>
      </c>
      <c r="B45" s="66" t="s">
        <v>59</v>
      </c>
      <c r="C45" s="66">
        <v>-4</v>
      </c>
      <c r="D45" s="66" t="s">
        <v>59</v>
      </c>
      <c r="E45" s="66">
        <v>-5.3</v>
      </c>
      <c r="F45" s="66" t="s">
        <v>59</v>
      </c>
      <c r="G45" s="66">
        <v>-6.2</v>
      </c>
      <c r="H45" s="66" t="s">
        <v>59</v>
      </c>
      <c r="I45" s="66">
        <v>-6.3</v>
      </c>
    </row>
    <row r="46" spans="1:9" x14ac:dyDescent="0.55000000000000004">
      <c r="A46" s="18" t="s">
        <v>35</v>
      </c>
      <c r="B46" s="66">
        <v>3.2</v>
      </c>
      <c r="C46" s="66" t="s">
        <v>59</v>
      </c>
      <c r="D46" s="66">
        <v>3.2</v>
      </c>
      <c r="E46" s="66" t="s">
        <v>59</v>
      </c>
      <c r="F46" s="66">
        <v>4.4000000000000004</v>
      </c>
      <c r="G46" s="66" t="s">
        <v>59</v>
      </c>
      <c r="H46" s="66">
        <v>4.0999999999999996</v>
      </c>
      <c r="I46" s="66" t="s">
        <v>59</v>
      </c>
    </row>
    <row r="47" spans="1:9" x14ac:dyDescent="0.55000000000000004">
      <c r="A47" s="5" t="s">
        <v>36</v>
      </c>
      <c r="B47" s="31">
        <v>2</v>
      </c>
      <c r="C47" s="31">
        <v>2</v>
      </c>
      <c r="D47" s="31">
        <v>2</v>
      </c>
      <c r="E47" s="31">
        <v>2</v>
      </c>
      <c r="F47" s="31">
        <v>2</v>
      </c>
      <c r="G47" s="31">
        <v>2</v>
      </c>
      <c r="H47" s="31">
        <v>2</v>
      </c>
      <c r="I47" s="31">
        <v>2</v>
      </c>
    </row>
    <row r="48" spans="1:9" x14ac:dyDescent="0.55000000000000004">
      <c r="A48" s="5" t="s">
        <v>37</v>
      </c>
      <c r="B48" s="31" t="s">
        <v>59</v>
      </c>
      <c r="C48" s="31">
        <v>0</v>
      </c>
      <c r="D48" s="31" t="s">
        <v>59</v>
      </c>
      <c r="E48" s="31">
        <v>0</v>
      </c>
      <c r="F48" s="31" t="s">
        <v>59</v>
      </c>
      <c r="G48" s="31">
        <v>0</v>
      </c>
      <c r="H48" s="31" t="s">
        <v>59</v>
      </c>
      <c r="I48" s="31">
        <v>0</v>
      </c>
    </row>
    <row r="49" spans="1:9" x14ac:dyDescent="0.55000000000000004">
      <c r="A49" s="5" t="s">
        <v>38</v>
      </c>
      <c r="B49" s="31">
        <v>0.5</v>
      </c>
      <c r="C49" s="31" t="s">
        <v>59</v>
      </c>
      <c r="D49" s="31">
        <v>0.5</v>
      </c>
      <c r="E49" s="31" t="s">
        <v>59</v>
      </c>
      <c r="F49" s="31">
        <v>0.5</v>
      </c>
      <c r="G49" s="31" t="s">
        <v>59</v>
      </c>
      <c r="H49" s="31">
        <v>0.5</v>
      </c>
      <c r="I49" s="31" t="s">
        <v>59</v>
      </c>
    </row>
    <row r="50" spans="1:9" ht="28.8" x14ac:dyDescent="0.55000000000000004">
      <c r="A50" s="8" t="s">
        <v>39</v>
      </c>
      <c r="B50" s="29" t="s">
        <v>59</v>
      </c>
      <c r="C50" s="29">
        <f t="shared" ref="C50:I50" si="9">C43+C45+C47-C48</f>
        <v>-97.446763264917138</v>
      </c>
      <c r="D50" s="29" t="s">
        <v>59</v>
      </c>
      <c r="E50" s="29">
        <f t="shared" si="9"/>
        <v>-98.746763264917135</v>
      </c>
      <c r="F50" s="29" t="s">
        <v>59</v>
      </c>
      <c r="G50" s="29">
        <f t="shared" si="9"/>
        <v>-112.60566384942014</v>
      </c>
      <c r="H50" s="29" t="s">
        <v>59</v>
      </c>
      <c r="I50" s="29">
        <f t="shared" si="9"/>
        <v>-112.70566384942013</v>
      </c>
    </row>
    <row r="51" spans="1:9" ht="28.8" x14ac:dyDescent="0.55000000000000004">
      <c r="A51" s="8" t="s">
        <v>40</v>
      </c>
      <c r="B51" s="29">
        <f>B44+B46+B47-B49</f>
        <v>-90.746763264917135</v>
      </c>
      <c r="C51" s="29" t="s">
        <v>59</v>
      </c>
      <c r="D51" s="29">
        <f t="shared" ref="D51:H51" si="10">D44+D46+D47-D49</f>
        <v>-90.746763264917135</v>
      </c>
      <c r="E51" s="29" t="s">
        <v>59</v>
      </c>
      <c r="F51" s="29">
        <f t="shared" si="10"/>
        <v>-99.560198111053978</v>
      </c>
      <c r="G51" s="29" t="s">
        <v>59</v>
      </c>
      <c r="H51" s="29">
        <f t="shared" si="10"/>
        <v>-99.86019811105399</v>
      </c>
      <c r="I51" s="29" t="s">
        <v>59</v>
      </c>
    </row>
    <row r="52" spans="1:9" ht="28.8" x14ac:dyDescent="0.55000000000000004">
      <c r="A52" s="8" t="s">
        <v>41</v>
      </c>
      <c r="B52" s="29" t="s">
        <v>59</v>
      </c>
      <c r="C52" s="29">
        <f t="shared" ref="C52:I52" si="11">C27+C32+C33-C50</f>
        <v>162.31006278795508</v>
      </c>
      <c r="D52" s="29" t="s">
        <v>59</v>
      </c>
      <c r="E52" s="29">
        <f t="shared" si="11"/>
        <v>163.61006278795509</v>
      </c>
      <c r="F52" s="29" t="s">
        <v>59</v>
      </c>
      <c r="G52" s="29">
        <f t="shared" si="11"/>
        <v>157.65716363261919</v>
      </c>
      <c r="H52" s="29" t="s">
        <v>59</v>
      </c>
      <c r="I52" s="29">
        <f t="shared" si="11"/>
        <v>157.75716363261921</v>
      </c>
    </row>
    <row r="53" spans="1:9" ht="28.8" x14ac:dyDescent="0.55000000000000004">
      <c r="A53" s="8" t="s">
        <v>42</v>
      </c>
      <c r="B53" s="29">
        <f t="shared" ref="B53:H53" si="12">B28+B32+B33-B51</f>
        <v>156.86006278795509</v>
      </c>
      <c r="C53" s="29" t="s">
        <v>59</v>
      </c>
      <c r="D53" s="29">
        <f t="shared" si="12"/>
        <v>156.86006278795509</v>
      </c>
      <c r="E53" s="29" t="s">
        <v>59</v>
      </c>
      <c r="F53" s="29">
        <f t="shared" si="12"/>
        <v>144.61169789425304</v>
      </c>
      <c r="G53" s="29" t="s">
        <v>59</v>
      </c>
      <c r="H53" s="29">
        <f t="shared" si="12"/>
        <v>144.91169789425305</v>
      </c>
      <c r="I53" s="29" t="s">
        <v>59</v>
      </c>
    </row>
    <row r="54" spans="1:9" x14ac:dyDescent="0.55000000000000004">
      <c r="A54" s="56" t="s">
        <v>43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55000000000000004">
      <c r="A55" s="5" t="s">
        <v>44</v>
      </c>
      <c r="B55" s="31">
        <v>8</v>
      </c>
      <c r="C55" s="31">
        <v>8</v>
      </c>
      <c r="D55" s="31">
        <v>8</v>
      </c>
      <c r="E55" s="31">
        <v>8</v>
      </c>
      <c r="F55" s="31">
        <v>8</v>
      </c>
      <c r="G55" s="31">
        <v>8</v>
      </c>
      <c r="H55" s="31">
        <v>8</v>
      </c>
      <c r="I55" s="31">
        <v>8</v>
      </c>
    </row>
    <row r="56" spans="1:9" ht="31.5" customHeight="1" x14ac:dyDescent="0.55000000000000004">
      <c r="A56" s="5" t="s">
        <v>45</v>
      </c>
      <c r="B56" s="58" t="s">
        <v>59</v>
      </c>
      <c r="C56" s="58">
        <v>10.01</v>
      </c>
      <c r="D56" s="58" t="s">
        <v>59</v>
      </c>
      <c r="E56" s="58">
        <v>8.24</v>
      </c>
      <c r="F56" s="58" t="s">
        <v>59</v>
      </c>
      <c r="G56" s="58">
        <v>10.01</v>
      </c>
      <c r="H56" s="58" t="s">
        <v>59</v>
      </c>
      <c r="I56" s="58">
        <v>8.24</v>
      </c>
    </row>
    <row r="57" spans="1:9" ht="29.25" customHeight="1" x14ac:dyDescent="0.55000000000000004">
      <c r="A57" s="5" t="s">
        <v>46</v>
      </c>
      <c r="B57" s="58">
        <v>6.24</v>
      </c>
      <c r="C57" s="58" t="s">
        <v>59</v>
      </c>
      <c r="D57" s="58">
        <v>4.8600000000000003</v>
      </c>
      <c r="E57" s="58" t="s">
        <v>59</v>
      </c>
      <c r="F57" s="58">
        <v>6.24</v>
      </c>
      <c r="G57" s="58" t="s">
        <v>59</v>
      </c>
      <c r="H57" s="58">
        <v>4.8600000000000003</v>
      </c>
      <c r="I57" s="58" t="s">
        <v>59</v>
      </c>
    </row>
    <row r="58" spans="1:9" x14ac:dyDescent="0.55000000000000004">
      <c r="A58" s="5" t="s">
        <v>47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55000000000000004">
      <c r="A59" s="5" t="s">
        <v>48</v>
      </c>
      <c r="B59" s="31">
        <v>9</v>
      </c>
      <c r="C59" s="31">
        <v>9</v>
      </c>
      <c r="D59" s="31">
        <f>10+0.5*5</f>
        <v>12.5</v>
      </c>
      <c r="E59" s="31">
        <f>10+0.5*5</f>
        <v>12.5</v>
      </c>
      <c r="F59" s="31">
        <v>9</v>
      </c>
      <c r="G59" s="31">
        <v>9</v>
      </c>
      <c r="H59" s="31">
        <f>10+0.5*5</f>
        <v>12.5</v>
      </c>
      <c r="I59" s="31">
        <f>10+0.5*5</f>
        <v>12.5</v>
      </c>
    </row>
    <row r="60" spans="1:9" x14ac:dyDescent="0.55000000000000004">
      <c r="A60" s="5" t="s">
        <v>49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</row>
    <row r="61" spans="1:9" ht="28.8" x14ac:dyDescent="0.55000000000000004">
      <c r="A61" s="8" t="s">
        <v>72</v>
      </c>
      <c r="B61" s="29" t="s">
        <v>59</v>
      </c>
      <c r="C61" s="29">
        <f t="shared" ref="C61:I61" si="13">C52-C56+C58-C59+C60-C34</f>
        <v>142.30006278795508</v>
      </c>
      <c r="D61" s="29" t="s">
        <v>59</v>
      </c>
      <c r="E61" s="29">
        <f t="shared" si="13"/>
        <v>141.87006278795508</v>
      </c>
      <c r="F61" s="29" t="s">
        <v>59</v>
      </c>
      <c r="G61" s="29">
        <f t="shared" si="13"/>
        <v>135.6471636326192</v>
      </c>
      <c r="H61" s="29" t="s">
        <v>59</v>
      </c>
      <c r="I61" s="29">
        <f t="shared" si="13"/>
        <v>134.0171636326192</v>
      </c>
    </row>
    <row r="62" spans="1:9" ht="28.8" x14ac:dyDescent="0.55000000000000004">
      <c r="A62" s="8" t="s">
        <v>50</v>
      </c>
      <c r="B62" s="29">
        <f t="shared" ref="B62:H62" si="14">B53-B57+B58-B59+B60-B34</f>
        <v>140.62006278795508</v>
      </c>
      <c r="C62" s="29" t="s">
        <v>59</v>
      </c>
      <c r="D62" s="29">
        <f t="shared" si="14"/>
        <v>138.50006278795507</v>
      </c>
      <c r="E62" s="29" t="s">
        <v>59</v>
      </c>
      <c r="F62" s="29">
        <f t="shared" si="14"/>
        <v>126.37169789425303</v>
      </c>
      <c r="G62" s="29" t="s">
        <v>59</v>
      </c>
      <c r="H62" s="29">
        <f t="shared" si="14"/>
        <v>124.55169789425304</v>
      </c>
      <c r="I62" s="29" t="s">
        <v>59</v>
      </c>
    </row>
    <row r="63" spans="1:9" x14ac:dyDescent="0.55000000000000004">
      <c r="A63" s="56" t="s">
        <v>51</v>
      </c>
      <c r="B63" s="65"/>
      <c r="C63" s="65"/>
      <c r="D63" s="65"/>
      <c r="E63" s="65"/>
      <c r="F63" s="65"/>
      <c r="G63" s="65"/>
      <c r="H63" s="65"/>
      <c r="I63" s="65"/>
    </row>
    <row r="64" spans="1:9" ht="43.2" x14ac:dyDescent="0.55000000000000004">
      <c r="A64" s="5" t="s">
        <v>52</v>
      </c>
      <c r="B64" s="31" t="s">
        <v>59</v>
      </c>
      <c r="C64" s="31">
        <f>10^((C61-161.04+7.1*LOG10(20)-7.5*LOG10(5)+(24.37-3.7*(5/C$5)^2)*LOG10(C$5)-20*LOG10(C$4)+(3.2*(LOG10(11.75*C$6)^2)-4.97))/(43.42-3.1*LOG10(C$5))+3)</f>
        <v>4671.8336973030619</v>
      </c>
      <c r="D64" s="31" t="s">
        <v>59</v>
      </c>
      <c r="E64" s="31">
        <f>10^((E61-161.04+7.1*LOG10(20)-7.5*LOG10(5)+(24.37-3.7*(5/E$5)^2)*LOG10(E$5)-20*LOG10(E$4)+(3.2*(LOG10(11.75*E$6)^2)-4.97))/(43.42-3.1*LOG10(E$5))+3)</f>
        <v>4553.6233583925932</v>
      </c>
      <c r="F64" s="31" t="s">
        <v>59</v>
      </c>
      <c r="G64" s="31">
        <f>10^((G61-161.04+7.1*LOG10(20)-7.5*LOG10(5)+(24.37-3.7*(5/G$5)^2)*LOG10(G$5)-20*LOG10(G$4)+(3.2*(LOG10(11.75*G$6)^2)-4.97))/(43.42-3.1*LOG10(G$5))+3)</f>
        <v>3142.5444757203441</v>
      </c>
      <c r="H64" s="31" t="s">
        <v>59</v>
      </c>
      <c r="I64" s="31">
        <f>10^((I61-161.04+7.1*LOG10(20)-7.5*LOG10(5)+(24.37-3.7*(5/I$5)^2)*LOG10(I$5)-20*LOG10(I$4)+(3.2*(LOG10(11.75*I$6)^2)-4.97))/(43.42-3.1*LOG10(I$5))+3)</f>
        <v>2851.6088199216538</v>
      </c>
    </row>
    <row r="65" spans="1:9" ht="43.2" x14ac:dyDescent="0.55000000000000004">
      <c r="A65" s="5" t="s">
        <v>53</v>
      </c>
      <c r="B65" s="31">
        <f>10^((B62-161.04+7.1*LOG10(20)-7.5*LOG10(5)+(24.37-3.7*(5/B$5)^2)*LOG10(B$5)-20*LOG10(B$4)+(3.2*(LOG10(11.75*B$6)^2)-4.97))/(43.42-3.1*LOG10(B$5))+3)</f>
        <v>4226.7024344779693</v>
      </c>
      <c r="C65" s="31" t="s">
        <v>59</v>
      </c>
      <c r="D65" s="31">
        <f>10^((D62-161.04+7.1*LOG10(20)-7.5*LOG10(5)+(24.37-3.7*(5/D$5)^2)*LOG10(D$5)-20*LOG10(D$4)+(3.2*(LOG10(11.75*D$6)^2)-4.97))/(43.42-3.1*LOG10(D$5))+3)</f>
        <v>3725.0050083272804</v>
      </c>
      <c r="E65" s="31" t="s">
        <v>59</v>
      </c>
      <c r="F65" s="31">
        <f>10^((F62-161.04+7.1*LOG10(20)-7.5*LOG10(5)+(24.37-3.7*(5/F$5)^2)*LOG10(F$5)-20*LOG10(F$4)+(3.2*(LOG10(11.75*F$6)^2)-4.97))/(43.42-3.1*LOG10(F$5))+3)</f>
        <v>1807.9735420552861</v>
      </c>
      <c r="G65" s="31" t="s">
        <v>59</v>
      </c>
      <c r="H65" s="31">
        <f>10^((H62-161.04+7.1*LOG10(20)-7.5*LOG10(5)+(24.37-3.7*(5/H$5)^2)*LOG10(H$5)-20*LOG10(H$4)+(3.2*(LOG10(11.75*H$6)^2)-4.97))/(43.42-3.1*LOG10(H$5))+3)</f>
        <v>1622.1184404569854</v>
      </c>
      <c r="I65" s="31" t="s">
        <v>59</v>
      </c>
    </row>
    <row r="66" spans="1:9" ht="28.8" x14ac:dyDescent="0.55000000000000004">
      <c r="A66" s="5" t="s">
        <v>73</v>
      </c>
      <c r="B66" s="31" t="s">
        <v>59</v>
      </c>
      <c r="C66" s="31">
        <f>PI()*(C64)^2</f>
        <v>68568495.804287225</v>
      </c>
      <c r="D66" s="31" t="s">
        <v>59</v>
      </c>
      <c r="E66" s="31">
        <f>PI()*(E64)^2</f>
        <v>65142449.512630165</v>
      </c>
      <c r="F66" s="31" t="s">
        <v>59</v>
      </c>
      <c r="G66" s="31">
        <f>PI()*(G64)^2</f>
        <v>31025067.742251441</v>
      </c>
      <c r="H66" s="31" t="s">
        <v>59</v>
      </c>
      <c r="I66" s="31">
        <f>PI()*(I64)^2</f>
        <v>25546403.724199053</v>
      </c>
    </row>
    <row r="67" spans="1:9" ht="28.8" x14ac:dyDescent="0.55000000000000004">
      <c r="A67" s="5" t="s">
        <v>74</v>
      </c>
      <c r="B67" s="31">
        <f>PI()*(B65)^2</f>
        <v>56124595.072447158</v>
      </c>
      <c r="C67" s="31" t="s">
        <v>59</v>
      </c>
      <c r="D67" s="31">
        <f>PI()*(D65)^2</f>
        <v>43591678.783270895</v>
      </c>
      <c r="E67" s="31" t="s">
        <v>59</v>
      </c>
      <c r="F67" s="31">
        <f>PI()*(F65)^2</f>
        <v>10269138.567956904</v>
      </c>
      <c r="G67" s="31" t="s">
        <v>59</v>
      </c>
      <c r="H67" s="31">
        <f>PI()*(H65)^2</f>
        <v>8266372.9562936667</v>
      </c>
      <c r="I67" s="31" t="s">
        <v>59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9"/>
  <sheetViews>
    <sheetView topLeftCell="A52" workbookViewId="0">
      <selection activeCell="A22" sqref="A22"/>
    </sheetView>
  </sheetViews>
  <sheetFormatPr defaultRowHeight="14.4" x14ac:dyDescent="0.55000000000000004"/>
  <cols>
    <col min="1" max="1" width="44" customWidth="1"/>
    <col min="2" max="2" width="16" customWidth="1"/>
    <col min="3" max="3" width="11.83984375" customWidth="1"/>
    <col min="4" max="4" width="12.15625" customWidth="1"/>
    <col min="5" max="5" width="15.578125" customWidth="1"/>
    <col min="6" max="6" width="12.83984375" bestFit="1" customWidth="1"/>
    <col min="7" max="7" width="14.15625" customWidth="1"/>
    <col min="8" max="8" width="13.83984375" customWidth="1"/>
    <col min="9" max="9" width="13" customWidth="1"/>
  </cols>
  <sheetData>
    <row r="1" spans="1:9" x14ac:dyDescent="0.55000000000000004">
      <c r="A1" s="57"/>
      <c r="B1" s="111" t="s">
        <v>63</v>
      </c>
      <c r="C1" s="111"/>
      <c r="D1" s="111"/>
      <c r="E1" s="111" t="s">
        <v>87</v>
      </c>
      <c r="F1" s="111"/>
      <c r="G1" s="111"/>
      <c r="H1" s="111"/>
      <c r="I1" s="111"/>
    </row>
    <row r="2" spans="1:9" x14ac:dyDescent="0.55000000000000004">
      <c r="A2" s="56" t="s">
        <v>0</v>
      </c>
      <c r="B2" s="56" t="s">
        <v>2</v>
      </c>
      <c r="C2" s="56" t="s">
        <v>1</v>
      </c>
      <c r="D2" s="56" t="s">
        <v>1</v>
      </c>
      <c r="E2" s="56" t="s">
        <v>2</v>
      </c>
      <c r="F2" s="56" t="s">
        <v>2</v>
      </c>
      <c r="G2" s="56" t="s">
        <v>1</v>
      </c>
      <c r="H2" s="56" t="s">
        <v>1</v>
      </c>
      <c r="I2" s="56" t="s">
        <v>2</v>
      </c>
    </row>
    <row r="3" spans="1:9" ht="28.8" x14ac:dyDescent="0.55000000000000004">
      <c r="A3" s="56"/>
      <c r="B3" s="56" t="s">
        <v>77</v>
      </c>
      <c r="C3" s="56" t="s">
        <v>76</v>
      </c>
      <c r="D3" s="56" t="s">
        <v>75</v>
      </c>
      <c r="E3" s="56" t="s">
        <v>78</v>
      </c>
      <c r="F3" s="56" t="s">
        <v>91</v>
      </c>
      <c r="G3" s="56" t="s">
        <v>112</v>
      </c>
      <c r="H3" s="56" t="s">
        <v>89</v>
      </c>
      <c r="I3" s="56" t="s">
        <v>92</v>
      </c>
    </row>
    <row r="4" spans="1:9" x14ac:dyDescent="0.55000000000000004">
      <c r="A4" s="56" t="s">
        <v>3</v>
      </c>
      <c r="B4" s="56"/>
      <c r="C4" s="56"/>
      <c r="D4" s="56"/>
      <c r="E4" s="56"/>
      <c r="F4" s="56"/>
      <c r="G4" s="56"/>
      <c r="H4" s="56"/>
      <c r="I4" s="56"/>
    </row>
    <row r="5" spans="1:9" x14ac:dyDescent="0.55000000000000004">
      <c r="A5" s="5" t="s">
        <v>4</v>
      </c>
      <c r="B5" s="31">
        <v>0.7</v>
      </c>
      <c r="C5" s="31">
        <v>0.7</v>
      </c>
      <c r="D5" s="31">
        <v>0.7</v>
      </c>
      <c r="E5" s="31">
        <v>0.7</v>
      </c>
      <c r="F5" s="31">
        <v>0.7</v>
      </c>
      <c r="G5" s="31">
        <v>0.7</v>
      </c>
      <c r="H5" s="31">
        <v>0.7</v>
      </c>
      <c r="I5" s="31">
        <v>0.7</v>
      </c>
    </row>
    <row r="6" spans="1:9" x14ac:dyDescent="0.55000000000000004">
      <c r="A6" s="5" t="s">
        <v>5</v>
      </c>
      <c r="B6" s="31">
        <v>25</v>
      </c>
      <c r="C6" s="31">
        <v>25</v>
      </c>
      <c r="D6" s="31">
        <v>25</v>
      </c>
      <c r="E6" s="31">
        <v>25</v>
      </c>
      <c r="F6" s="31">
        <v>25</v>
      </c>
      <c r="G6" s="31">
        <v>25</v>
      </c>
      <c r="H6" s="31">
        <v>25</v>
      </c>
      <c r="I6" s="31">
        <v>25</v>
      </c>
    </row>
    <row r="7" spans="1:9" x14ac:dyDescent="0.55000000000000004">
      <c r="A7" s="5" t="s">
        <v>6</v>
      </c>
      <c r="B7" s="31">
        <v>1.5</v>
      </c>
      <c r="C7" s="31">
        <v>1.5</v>
      </c>
      <c r="D7" s="31">
        <v>1.5</v>
      </c>
      <c r="E7" s="31">
        <v>1.5</v>
      </c>
      <c r="F7" s="31">
        <v>1.5</v>
      </c>
      <c r="G7" s="31">
        <v>1.5</v>
      </c>
      <c r="H7" s="31">
        <v>1.5</v>
      </c>
      <c r="I7" s="31">
        <v>1.5</v>
      </c>
    </row>
    <row r="8" spans="1:9" ht="43.2" x14ac:dyDescent="0.55000000000000004">
      <c r="A8" s="5" t="s">
        <v>58</v>
      </c>
      <c r="B8" s="64" t="s">
        <v>59</v>
      </c>
      <c r="C8" s="64">
        <v>0.95</v>
      </c>
      <c r="D8" s="64" t="s">
        <v>59</v>
      </c>
      <c r="E8" s="64">
        <v>0.95</v>
      </c>
      <c r="F8" s="64" t="s">
        <v>59</v>
      </c>
      <c r="G8" s="64">
        <v>0.95</v>
      </c>
      <c r="H8" s="64" t="s">
        <v>59</v>
      </c>
      <c r="I8" s="64">
        <v>0.95</v>
      </c>
    </row>
    <row r="9" spans="1:9" ht="43.2" x14ac:dyDescent="0.55000000000000004">
      <c r="A9" s="5" t="s">
        <v>60</v>
      </c>
      <c r="B9" s="64">
        <v>0.9</v>
      </c>
      <c r="C9" s="64" t="s">
        <v>59</v>
      </c>
      <c r="D9" s="64">
        <v>0.9</v>
      </c>
      <c r="E9" s="64" t="s">
        <v>59</v>
      </c>
      <c r="F9" s="64">
        <v>0.9</v>
      </c>
      <c r="G9" s="64" t="s">
        <v>59</v>
      </c>
      <c r="H9" s="64">
        <v>0.9</v>
      </c>
      <c r="I9" s="64" t="s">
        <v>59</v>
      </c>
    </row>
    <row r="10" spans="1:9" ht="18" customHeight="1" x14ac:dyDescent="0.55000000000000004">
      <c r="A10" s="5" t="s">
        <v>7</v>
      </c>
      <c r="B10" s="31" t="s">
        <v>59</v>
      </c>
      <c r="C10" s="31"/>
      <c r="D10" s="31" t="s">
        <v>59</v>
      </c>
      <c r="E10" s="31"/>
      <c r="F10" s="31" t="s">
        <v>59</v>
      </c>
      <c r="G10" s="31"/>
      <c r="H10" s="31" t="s">
        <v>59</v>
      </c>
      <c r="I10" s="31"/>
    </row>
    <row r="11" spans="1:9" ht="19.5" customHeight="1" x14ac:dyDescent="0.55000000000000004">
      <c r="A11" s="5" t="s">
        <v>8</v>
      </c>
      <c r="B11" s="31">
        <f>32*8/0.001</f>
        <v>256000</v>
      </c>
      <c r="C11" s="31" t="s">
        <v>59</v>
      </c>
      <c r="D11" s="31">
        <f>32*8/0.001</f>
        <v>256000</v>
      </c>
      <c r="E11" s="31" t="s">
        <v>59</v>
      </c>
      <c r="F11" s="31">
        <f>32*8/0.001</f>
        <v>256000</v>
      </c>
      <c r="G11" s="31" t="s">
        <v>59</v>
      </c>
      <c r="H11" s="31">
        <f>32*8/0.001</f>
        <v>256000</v>
      </c>
      <c r="I11" s="31" t="s">
        <v>59</v>
      </c>
    </row>
    <row r="12" spans="1:9" ht="28.8" x14ac:dyDescent="0.55000000000000004">
      <c r="A12" s="5" t="s">
        <v>9</v>
      </c>
      <c r="B12" s="68" t="s">
        <v>59</v>
      </c>
      <c r="C12" s="68">
        <v>1.0000000000000001E-5</v>
      </c>
      <c r="D12" s="68" t="s">
        <v>59</v>
      </c>
      <c r="E12" s="68">
        <v>1.0000000000000001E-5</v>
      </c>
      <c r="F12" s="68" t="s">
        <v>59</v>
      </c>
      <c r="G12" s="68">
        <v>1.0000000000000001E-5</v>
      </c>
      <c r="H12" s="68" t="s">
        <v>59</v>
      </c>
      <c r="I12" s="68">
        <v>1.0000000000000001E-5</v>
      </c>
    </row>
    <row r="13" spans="1:9" ht="28.8" x14ac:dyDescent="0.55000000000000004">
      <c r="A13" s="5" t="s">
        <v>10</v>
      </c>
      <c r="B13" s="68">
        <v>1.0000000000000001E-5</v>
      </c>
      <c r="C13" s="68" t="s">
        <v>59</v>
      </c>
      <c r="D13" s="68">
        <v>1.0000000000000001E-5</v>
      </c>
      <c r="E13" s="68" t="s">
        <v>59</v>
      </c>
      <c r="F13" s="68">
        <v>1.0000000000000001E-5</v>
      </c>
      <c r="G13" s="68" t="s">
        <v>59</v>
      </c>
      <c r="H13" s="68">
        <v>1.0000000000000001E-5</v>
      </c>
      <c r="I13" s="68" t="s">
        <v>59</v>
      </c>
    </row>
    <row r="14" spans="1:9" x14ac:dyDescent="0.55000000000000004">
      <c r="A14" s="5" t="s">
        <v>61</v>
      </c>
      <c r="B14" s="69">
        <f>B11/B43</f>
        <v>4.4444444444444446E-2</v>
      </c>
      <c r="C14" s="69" t="s">
        <v>59</v>
      </c>
      <c r="D14" s="69">
        <f>D11/D43</f>
        <v>1.3943355119825708E-2</v>
      </c>
      <c r="E14" s="69" t="s">
        <v>59</v>
      </c>
      <c r="F14" s="69">
        <f>F11/F43</f>
        <v>4.4444444444444446E-2</v>
      </c>
      <c r="G14" s="69" t="s">
        <v>59</v>
      </c>
      <c r="H14" s="69">
        <f>H11/H43</f>
        <v>1.3943355119825708E-2</v>
      </c>
      <c r="I14" s="69" t="s">
        <v>59</v>
      </c>
    </row>
    <row r="15" spans="1:9" x14ac:dyDescent="0.55000000000000004">
      <c r="A15" s="5" t="s">
        <v>62</v>
      </c>
      <c r="B15" s="31" t="s">
        <v>63</v>
      </c>
      <c r="C15" s="31" t="s">
        <v>63</v>
      </c>
      <c r="D15" s="31" t="s">
        <v>63</v>
      </c>
      <c r="E15" s="31" t="s">
        <v>63</v>
      </c>
      <c r="F15" s="31" t="s">
        <v>87</v>
      </c>
      <c r="G15" s="31" t="s">
        <v>87</v>
      </c>
      <c r="H15" s="31" t="s">
        <v>87</v>
      </c>
      <c r="I15" s="31" t="s">
        <v>87</v>
      </c>
    </row>
    <row r="16" spans="1:9" x14ac:dyDescent="0.55000000000000004">
      <c r="A16" s="5" t="s">
        <v>64</v>
      </c>
      <c r="B16" s="31">
        <v>30</v>
      </c>
      <c r="C16" s="31">
        <v>30</v>
      </c>
      <c r="D16" s="31">
        <v>30</v>
      </c>
      <c r="E16" s="31">
        <v>30</v>
      </c>
      <c r="F16" s="31">
        <v>3</v>
      </c>
      <c r="G16" s="31">
        <v>3</v>
      </c>
      <c r="H16" s="31">
        <v>3</v>
      </c>
      <c r="I16" s="31">
        <v>3</v>
      </c>
    </row>
    <row r="17" spans="1:9" x14ac:dyDescent="0.55000000000000004">
      <c r="A17" s="5" t="s">
        <v>11</v>
      </c>
      <c r="B17" s="31">
        <v>3</v>
      </c>
      <c r="C17" s="31">
        <v>3</v>
      </c>
      <c r="D17" s="31">
        <v>3</v>
      </c>
      <c r="E17" s="31">
        <v>3</v>
      </c>
      <c r="F17" s="31">
        <v>3</v>
      </c>
      <c r="G17" s="31">
        <v>3</v>
      </c>
      <c r="H17" s="31">
        <v>3</v>
      </c>
      <c r="I17" s="31">
        <v>3</v>
      </c>
    </row>
    <row r="18" spans="1:9" x14ac:dyDescent="0.55000000000000004">
      <c r="A18" s="56" t="s">
        <v>12</v>
      </c>
      <c r="B18" s="65"/>
      <c r="C18" s="65"/>
      <c r="D18" s="65"/>
      <c r="E18" s="65"/>
      <c r="F18" s="65"/>
      <c r="G18" s="65"/>
      <c r="H18" s="65"/>
      <c r="I18" s="65"/>
    </row>
    <row r="19" spans="1:9" ht="43.2" x14ac:dyDescent="0.55000000000000004">
      <c r="A19" s="5" t="s">
        <v>65</v>
      </c>
      <c r="B19" s="31">
        <v>1</v>
      </c>
      <c r="C19" s="31">
        <v>64</v>
      </c>
      <c r="D19" s="31">
        <v>64</v>
      </c>
      <c r="E19" s="31">
        <v>1</v>
      </c>
      <c r="F19" s="31">
        <v>1</v>
      </c>
      <c r="G19" s="31">
        <v>64</v>
      </c>
      <c r="H19" s="31">
        <v>64</v>
      </c>
      <c r="I19" s="31">
        <v>1</v>
      </c>
    </row>
    <row r="20" spans="1:9" x14ac:dyDescent="0.55000000000000004">
      <c r="A20" s="5" t="s">
        <v>66</v>
      </c>
      <c r="B20" s="31">
        <v>1</v>
      </c>
      <c r="C20" s="31">
        <v>2</v>
      </c>
      <c r="D20" s="31">
        <v>2</v>
      </c>
      <c r="E20" s="31">
        <v>1</v>
      </c>
      <c r="F20" s="31">
        <v>1</v>
      </c>
      <c r="G20" s="31">
        <v>2</v>
      </c>
      <c r="H20" s="31">
        <v>2</v>
      </c>
      <c r="I20" s="31">
        <v>1</v>
      </c>
    </row>
    <row r="21" spans="1:9" x14ac:dyDescent="0.55000000000000004">
      <c r="A21" s="5" t="s">
        <v>13</v>
      </c>
      <c r="B21" s="31">
        <v>23</v>
      </c>
      <c r="C21" s="31">
        <v>28</v>
      </c>
      <c r="D21" s="31">
        <v>28</v>
      </c>
      <c r="E21" s="31">
        <v>23</v>
      </c>
      <c r="F21" s="31">
        <v>23</v>
      </c>
      <c r="G21" s="31">
        <v>28</v>
      </c>
      <c r="H21" s="31">
        <v>28</v>
      </c>
      <c r="I21" s="31">
        <v>23</v>
      </c>
    </row>
    <row r="22" spans="1:9" ht="43.2" x14ac:dyDescent="0.55000000000000004">
      <c r="A22" s="26" t="s">
        <v>67</v>
      </c>
      <c r="B22" s="36">
        <f t="shared" ref="B22:I22" si="0">B21+10*LOG10(B19)</f>
        <v>23</v>
      </c>
      <c r="C22" s="36">
        <f t="shared" si="0"/>
        <v>46.061799739838875</v>
      </c>
      <c r="D22" s="36">
        <f t="shared" si="0"/>
        <v>46.061799739838875</v>
      </c>
      <c r="E22" s="36">
        <f t="shared" si="0"/>
        <v>23</v>
      </c>
      <c r="F22" s="36">
        <f t="shared" si="0"/>
        <v>23</v>
      </c>
      <c r="G22" s="36">
        <f t="shared" si="0"/>
        <v>46.061799739838875</v>
      </c>
      <c r="H22" s="36">
        <f t="shared" si="0"/>
        <v>46.061799739838875</v>
      </c>
      <c r="I22" s="36">
        <f t="shared" si="0"/>
        <v>23</v>
      </c>
    </row>
    <row r="23" spans="1:9" x14ac:dyDescent="0.55000000000000004">
      <c r="A23" s="5" t="s">
        <v>14</v>
      </c>
      <c r="B23" s="31">
        <v>0</v>
      </c>
      <c r="C23" s="31">
        <v>8</v>
      </c>
      <c r="D23" s="31">
        <v>8</v>
      </c>
      <c r="E23" s="31">
        <v>0</v>
      </c>
      <c r="F23" s="31">
        <v>0</v>
      </c>
      <c r="G23" s="31">
        <v>8</v>
      </c>
      <c r="H23" s="31">
        <v>8</v>
      </c>
      <c r="I23" s="31">
        <v>0</v>
      </c>
    </row>
    <row r="24" spans="1:9" ht="60.75" customHeight="1" x14ac:dyDescent="0.55000000000000004">
      <c r="A24" s="26" t="s">
        <v>15</v>
      </c>
      <c r="B24" s="36">
        <f t="shared" ref="B24:I24" si="1">IF(B19&gt;=2, 10*LOG10(B19/2), 0)</f>
        <v>0</v>
      </c>
      <c r="C24" s="36">
        <f t="shared" si="1"/>
        <v>15.051499783199061</v>
      </c>
      <c r="D24" s="36">
        <f t="shared" si="1"/>
        <v>15.051499783199061</v>
      </c>
      <c r="E24" s="36">
        <f t="shared" si="1"/>
        <v>0</v>
      </c>
      <c r="F24" s="36">
        <f t="shared" si="1"/>
        <v>0</v>
      </c>
      <c r="G24" s="36">
        <f t="shared" si="1"/>
        <v>15.051499783199061</v>
      </c>
      <c r="H24" s="36">
        <f t="shared" si="1"/>
        <v>15.051499783199061</v>
      </c>
      <c r="I24" s="36">
        <f t="shared" si="1"/>
        <v>0</v>
      </c>
    </row>
    <row r="25" spans="1:9" x14ac:dyDescent="0.55000000000000004">
      <c r="A25" s="5" t="s">
        <v>16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ht="28.8" x14ac:dyDescent="0.55000000000000004">
      <c r="A26" s="5" t="s">
        <v>17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ht="49.5" customHeight="1" x14ac:dyDescent="0.55000000000000004">
      <c r="A27" s="5" t="s">
        <v>18</v>
      </c>
      <c r="B27" s="31">
        <v>1</v>
      </c>
      <c r="C27" s="31">
        <v>3</v>
      </c>
      <c r="D27" s="31">
        <v>3</v>
      </c>
      <c r="E27" s="31">
        <v>1</v>
      </c>
      <c r="F27" s="31">
        <v>1</v>
      </c>
      <c r="G27" s="31">
        <v>3</v>
      </c>
      <c r="H27" s="31">
        <v>3</v>
      </c>
      <c r="I27" s="31">
        <v>1</v>
      </c>
    </row>
    <row r="28" spans="1:9" ht="28.8" x14ac:dyDescent="0.55000000000000004">
      <c r="A28" s="8" t="s">
        <v>19</v>
      </c>
      <c r="B28" s="29">
        <f t="shared" ref="B28:I28" si="2">B22+B23+B24+B25-B27</f>
        <v>22</v>
      </c>
      <c r="C28" s="29">
        <f t="shared" si="2"/>
        <v>66.113299523037938</v>
      </c>
      <c r="D28" s="29">
        <f t="shared" si="2"/>
        <v>66.113299523037938</v>
      </c>
      <c r="E28" s="29">
        <f t="shared" si="2"/>
        <v>22</v>
      </c>
      <c r="F28" s="29">
        <f t="shared" si="2"/>
        <v>22</v>
      </c>
      <c r="G28" s="29">
        <f t="shared" si="2"/>
        <v>66.113299523037938</v>
      </c>
      <c r="H28" s="29">
        <f t="shared" si="2"/>
        <v>66.113299523037938</v>
      </c>
      <c r="I28" s="29">
        <f t="shared" si="2"/>
        <v>22</v>
      </c>
    </row>
    <row r="29" spans="1:9" x14ac:dyDescent="0.55000000000000004">
      <c r="A29" s="8" t="s">
        <v>20</v>
      </c>
      <c r="B29" s="29">
        <f t="shared" ref="B29:I29" si="3">B22+B23+B24-B26-B27</f>
        <v>22</v>
      </c>
      <c r="C29" s="29">
        <f t="shared" si="3"/>
        <v>66.113299523037938</v>
      </c>
      <c r="D29" s="29">
        <f t="shared" si="3"/>
        <v>66.113299523037938</v>
      </c>
      <c r="E29" s="29">
        <f t="shared" si="3"/>
        <v>22</v>
      </c>
      <c r="F29" s="29">
        <f t="shared" si="3"/>
        <v>22</v>
      </c>
      <c r="G29" s="29">
        <f t="shared" si="3"/>
        <v>66.113299523037938</v>
      </c>
      <c r="H29" s="29">
        <f t="shared" si="3"/>
        <v>66.113299523037938</v>
      </c>
      <c r="I29" s="29">
        <f t="shared" si="3"/>
        <v>22</v>
      </c>
    </row>
    <row r="30" spans="1:9" x14ac:dyDescent="0.55000000000000004">
      <c r="A30" s="56" t="s">
        <v>21</v>
      </c>
      <c r="B30" s="65"/>
      <c r="C30" s="65"/>
      <c r="D30" s="65"/>
      <c r="E30" s="65"/>
      <c r="F30" s="65"/>
      <c r="G30" s="65"/>
      <c r="H30" s="65"/>
      <c r="I30" s="65"/>
    </row>
    <row r="31" spans="1:9" ht="43.2" x14ac:dyDescent="0.55000000000000004">
      <c r="A31" s="5" t="s">
        <v>68</v>
      </c>
      <c r="B31" s="31">
        <v>64</v>
      </c>
      <c r="C31" s="31">
        <v>2</v>
      </c>
      <c r="D31" s="31">
        <v>2</v>
      </c>
      <c r="E31" s="31">
        <v>64</v>
      </c>
      <c r="F31" s="31">
        <v>64</v>
      </c>
      <c r="G31" s="31">
        <v>2</v>
      </c>
      <c r="H31" s="31">
        <v>2</v>
      </c>
      <c r="I31" s="31">
        <v>64</v>
      </c>
    </row>
    <row r="32" spans="1:9" x14ac:dyDescent="0.55000000000000004">
      <c r="A32" s="5" t="s">
        <v>113</v>
      </c>
      <c r="B32" s="31">
        <v>2</v>
      </c>
      <c r="C32" s="31">
        <v>2</v>
      </c>
      <c r="D32" s="31">
        <v>2</v>
      </c>
      <c r="E32" s="31">
        <v>2</v>
      </c>
      <c r="F32" s="31">
        <v>2</v>
      </c>
      <c r="G32" s="31">
        <v>2</v>
      </c>
      <c r="H32" s="31">
        <v>2</v>
      </c>
      <c r="I32" s="31">
        <v>2</v>
      </c>
    </row>
    <row r="33" spans="1:9" x14ac:dyDescent="0.55000000000000004">
      <c r="A33" s="5" t="s">
        <v>22</v>
      </c>
      <c r="B33" s="31">
        <v>8</v>
      </c>
      <c r="C33" s="31">
        <v>0</v>
      </c>
      <c r="D33" s="31">
        <v>0</v>
      </c>
      <c r="E33" s="31">
        <v>8</v>
      </c>
      <c r="F33" s="31">
        <v>8</v>
      </c>
      <c r="G33" s="31">
        <v>0</v>
      </c>
      <c r="H33" s="31">
        <v>0</v>
      </c>
      <c r="I33" s="31">
        <v>8</v>
      </c>
    </row>
    <row r="34" spans="1:9" ht="49.5" customHeight="1" x14ac:dyDescent="0.55000000000000004">
      <c r="A34" s="9" t="s">
        <v>70</v>
      </c>
      <c r="B34" s="30">
        <f t="shared" ref="B34:I34" si="4">IF(B31&gt;=2, 10*LOG10(B31/2), 0)</f>
        <v>15.051499783199061</v>
      </c>
      <c r="C34" s="30">
        <f t="shared" si="4"/>
        <v>0</v>
      </c>
      <c r="D34" s="30">
        <f t="shared" si="4"/>
        <v>0</v>
      </c>
      <c r="E34" s="30">
        <f t="shared" si="4"/>
        <v>15.051499783199061</v>
      </c>
      <c r="F34" s="30">
        <f t="shared" si="4"/>
        <v>15.051499783199061</v>
      </c>
      <c r="G34" s="30">
        <f t="shared" si="4"/>
        <v>0</v>
      </c>
      <c r="H34" s="30">
        <f t="shared" si="4"/>
        <v>0</v>
      </c>
      <c r="I34" s="30">
        <f t="shared" si="4"/>
        <v>15.051499783199061</v>
      </c>
    </row>
    <row r="35" spans="1:9" ht="45.75" customHeight="1" x14ac:dyDescent="0.55000000000000004">
      <c r="A35" s="5" t="s">
        <v>23</v>
      </c>
      <c r="B35" s="31">
        <v>3</v>
      </c>
      <c r="C35" s="31">
        <v>1</v>
      </c>
      <c r="D35" s="31">
        <v>1</v>
      </c>
      <c r="E35" s="31">
        <v>3</v>
      </c>
      <c r="F35" s="31">
        <v>3</v>
      </c>
      <c r="G35" s="31">
        <v>1</v>
      </c>
      <c r="H35" s="31">
        <v>1</v>
      </c>
      <c r="I35" s="31">
        <v>3</v>
      </c>
    </row>
    <row r="36" spans="1:9" x14ac:dyDescent="0.55000000000000004">
      <c r="A36" s="5" t="s">
        <v>24</v>
      </c>
      <c r="B36" s="31">
        <v>5</v>
      </c>
      <c r="C36" s="31">
        <v>7</v>
      </c>
      <c r="D36" s="31">
        <v>7</v>
      </c>
      <c r="E36" s="31">
        <v>5</v>
      </c>
      <c r="F36" s="31">
        <v>5</v>
      </c>
      <c r="G36" s="31">
        <v>7</v>
      </c>
      <c r="H36" s="31">
        <v>7</v>
      </c>
      <c r="I36" s="31">
        <v>5</v>
      </c>
    </row>
    <row r="37" spans="1:9" x14ac:dyDescent="0.55000000000000004">
      <c r="A37" s="5" t="s">
        <v>25</v>
      </c>
      <c r="B37" s="31">
        <v>-174</v>
      </c>
      <c r="C37" s="31">
        <v>-174</v>
      </c>
      <c r="D37" s="31">
        <v>-174</v>
      </c>
      <c r="E37" s="31">
        <v>-174</v>
      </c>
      <c r="F37" s="31">
        <v>-174</v>
      </c>
      <c r="G37" s="31">
        <v>-174</v>
      </c>
      <c r="H37" s="31">
        <v>-174</v>
      </c>
      <c r="I37" s="31">
        <v>-174</v>
      </c>
    </row>
    <row r="38" spans="1:9" ht="28.8" x14ac:dyDescent="0.55000000000000004">
      <c r="A38" s="5" t="s">
        <v>26</v>
      </c>
      <c r="B38" s="31" t="s">
        <v>59</v>
      </c>
      <c r="C38" s="31">
        <v>-169.3</v>
      </c>
      <c r="D38" s="31" t="s">
        <v>59</v>
      </c>
      <c r="E38" s="31">
        <v>-161.69999999999999</v>
      </c>
      <c r="F38" s="31" t="s">
        <v>59</v>
      </c>
      <c r="G38" s="31">
        <v>-169.3</v>
      </c>
      <c r="H38" s="31" t="s">
        <v>59</v>
      </c>
      <c r="I38" s="31">
        <v>-161.69999999999999</v>
      </c>
    </row>
    <row r="39" spans="1:9" ht="28.8" x14ac:dyDescent="0.55000000000000004">
      <c r="A39" s="5" t="s">
        <v>27</v>
      </c>
      <c r="B39" s="31">
        <v>-165.7</v>
      </c>
      <c r="C39" s="31" t="s">
        <v>59</v>
      </c>
      <c r="D39" s="31">
        <v>-169.3</v>
      </c>
      <c r="E39" s="31" t="s">
        <v>59</v>
      </c>
      <c r="F39" s="31">
        <v>-165.7</v>
      </c>
      <c r="G39" s="31" t="s">
        <v>59</v>
      </c>
      <c r="H39" s="31">
        <v>-169.3</v>
      </c>
      <c r="I39" s="31" t="s">
        <v>59</v>
      </c>
    </row>
    <row r="40" spans="1:9" ht="57.6" x14ac:dyDescent="0.55000000000000004">
      <c r="A40" s="5" t="s">
        <v>28</v>
      </c>
      <c r="B40" s="31" t="s">
        <v>59</v>
      </c>
      <c r="C40" s="31">
        <f t="shared" ref="C40" si="5">10*LOG10(10^((C36+C37)/10)+10^(C38/10))</f>
        <v>-164.98918835931039</v>
      </c>
      <c r="D40" s="31" t="s">
        <v>59</v>
      </c>
      <c r="E40" s="31">
        <f t="shared" ref="E40:I40" si="6">10*LOG10(10^((E36+E37)/10)+10^(E38/10))</f>
        <v>-160.9583889004532</v>
      </c>
      <c r="F40" s="31" t="s">
        <v>59</v>
      </c>
      <c r="G40" s="31">
        <f t="shared" si="6"/>
        <v>-164.98918835931039</v>
      </c>
      <c r="H40" s="31" t="s">
        <v>59</v>
      </c>
      <c r="I40" s="31">
        <f t="shared" si="6"/>
        <v>-160.9583889004532</v>
      </c>
    </row>
    <row r="41" spans="1:9" ht="57.6" x14ac:dyDescent="0.55000000000000004">
      <c r="A41" s="5" t="s">
        <v>29</v>
      </c>
      <c r="B41" s="31">
        <f t="shared" ref="B41" si="7">10*LOG10(10^((B36+B37)/10)+10^(B39/10))</f>
        <v>-164.03352307536667</v>
      </c>
      <c r="C41" s="31" t="s">
        <v>59</v>
      </c>
      <c r="D41" s="31">
        <f t="shared" ref="D41:H41" si="8">10*LOG10(10^((D36+D37)/10)+10^(D39/10))</f>
        <v>-164.98918835931039</v>
      </c>
      <c r="E41" s="31" t="s">
        <v>59</v>
      </c>
      <c r="F41" s="31">
        <f t="shared" si="8"/>
        <v>-164.03352307536667</v>
      </c>
      <c r="G41" s="31" t="s">
        <v>59</v>
      </c>
      <c r="H41" s="31">
        <f t="shared" si="8"/>
        <v>-164.98918835931039</v>
      </c>
      <c r="I41" s="31" t="s">
        <v>59</v>
      </c>
    </row>
    <row r="42" spans="1:9" ht="28.8" x14ac:dyDescent="0.55000000000000004">
      <c r="A42" s="5" t="s">
        <v>30</v>
      </c>
      <c r="B42" s="31" t="s">
        <v>59</v>
      </c>
      <c r="C42" s="31">
        <f>[1]MaxN_RB!$F$7*12*30*1000</f>
        <v>18360000</v>
      </c>
      <c r="D42" s="31" t="s">
        <v>59</v>
      </c>
      <c r="E42" s="31">
        <f>1*12*30*1000</f>
        <v>360000</v>
      </c>
      <c r="F42" s="31" t="s">
        <v>59</v>
      </c>
      <c r="G42" s="31">
        <f>[1]MaxN_RB!$F$7*12*30*1000</f>
        <v>18360000</v>
      </c>
      <c r="H42" s="31" t="s">
        <v>59</v>
      </c>
      <c r="I42" s="31">
        <f>1*12*30*1000</f>
        <v>360000</v>
      </c>
    </row>
    <row r="43" spans="1:9" ht="28.8" x14ac:dyDescent="0.55000000000000004">
      <c r="A43" s="5" t="s">
        <v>31</v>
      </c>
      <c r="B43" s="31">
        <f>16*12*30*1000</f>
        <v>5760000</v>
      </c>
      <c r="C43" s="31" t="s">
        <v>59</v>
      </c>
      <c r="D43" s="31">
        <f>[1]MaxN_RB!$F$7*12*30*1000</f>
        <v>18360000</v>
      </c>
      <c r="E43" s="31" t="s">
        <v>59</v>
      </c>
      <c r="F43" s="31">
        <f>16*12*30*1000</f>
        <v>5760000</v>
      </c>
      <c r="G43" s="31" t="s">
        <v>59</v>
      </c>
      <c r="H43" s="31">
        <f>[1]MaxN_RB!$F$7*12*30*1000</f>
        <v>18360000</v>
      </c>
      <c r="I43" s="31" t="s">
        <v>59</v>
      </c>
    </row>
    <row r="44" spans="1:9" ht="28.8" x14ac:dyDescent="0.55000000000000004">
      <c r="A44" s="5" t="s">
        <v>32</v>
      </c>
      <c r="B44" s="31" t="s">
        <v>59</v>
      </c>
      <c r="C44" s="31">
        <f t="shared" ref="C44" si="9">C40+10*LOG10(C42)</f>
        <v>-92.350461590658156</v>
      </c>
      <c r="D44" s="31" t="s">
        <v>59</v>
      </c>
      <c r="E44" s="31">
        <f t="shared" ref="E44:I44" si="10">E40+10*LOG10(E42)</f>
        <v>-105.39536389278032</v>
      </c>
      <c r="F44" s="31" t="s">
        <v>59</v>
      </c>
      <c r="G44" s="31">
        <f t="shared" si="10"/>
        <v>-92.350461590658156</v>
      </c>
      <c r="H44" s="31" t="s">
        <v>59</v>
      </c>
      <c r="I44" s="31">
        <f t="shared" si="10"/>
        <v>-105.39536389278032</v>
      </c>
    </row>
    <row r="45" spans="1:9" ht="28.8" x14ac:dyDescent="0.55000000000000004">
      <c r="A45" s="5" t="s">
        <v>33</v>
      </c>
      <c r="B45" s="31">
        <f t="shared" ref="B45" si="11">B41+10*LOG10(B43)</f>
        <v>-96.42929824113456</v>
      </c>
      <c r="C45" s="31" t="s">
        <v>59</v>
      </c>
      <c r="D45" s="31">
        <f>D41+10*LOG10(D43)</f>
        <v>-92.350461590658156</v>
      </c>
      <c r="E45" s="31" t="s">
        <v>59</v>
      </c>
      <c r="F45" s="31">
        <f t="shared" ref="F45:H45" si="12">F41+10*LOG10(F43)</f>
        <v>-96.42929824113456</v>
      </c>
      <c r="G45" s="31" t="s">
        <v>59</v>
      </c>
      <c r="H45" s="31">
        <f t="shared" si="12"/>
        <v>-92.350461590658156</v>
      </c>
      <c r="I45" s="31" t="s">
        <v>59</v>
      </c>
    </row>
    <row r="46" spans="1:9" ht="20.25" customHeight="1" x14ac:dyDescent="0.55000000000000004">
      <c r="A46" s="18" t="s">
        <v>34</v>
      </c>
      <c r="B46" s="66" t="s">
        <v>59</v>
      </c>
      <c r="C46" s="66">
        <v>-2.87</v>
      </c>
      <c r="D46" s="66" t="s">
        <v>59</v>
      </c>
      <c r="E46" s="66">
        <v>4.2</v>
      </c>
      <c r="F46" s="66" t="s">
        <v>59</v>
      </c>
      <c r="G46" s="66">
        <v>-3</v>
      </c>
      <c r="H46" s="66" t="s">
        <v>59</v>
      </c>
      <c r="I46" s="66">
        <v>4.2</v>
      </c>
    </row>
    <row r="47" spans="1:9" ht="15.75" customHeight="1" x14ac:dyDescent="0.55000000000000004">
      <c r="A47" s="18" t="s">
        <v>35</v>
      </c>
      <c r="B47" s="66">
        <v>-2.2000000000000002</v>
      </c>
      <c r="C47" s="66" t="s">
        <v>59</v>
      </c>
      <c r="D47" s="66">
        <v>-4</v>
      </c>
      <c r="E47" s="66" t="s">
        <v>59</v>
      </c>
      <c r="F47" s="66">
        <v>-1.3</v>
      </c>
      <c r="G47" s="66" t="s">
        <v>59</v>
      </c>
      <c r="H47" s="66">
        <v>-3.9</v>
      </c>
      <c r="I47" s="66" t="s">
        <v>59</v>
      </c>
    </row>
    <row r="48" spans="1:9" x14ac:dyDescent="0.55000000000000004">
      <c r="A48" s="5" t="s">
        <v>36</v>
      </c>
      <c r="B48" s="31">
        <v>2</v>
      </c>
      <c r="C48" s="31">
        <v>2</v>
      </c>
      <c r="D48" s="31">
        <v>2</v>
      </c>
      <c r="E48" s="31">
        <v>2</v>
      </c>
      <c r="F48" s="31">
        <v>2</v>
      </c>
      <c r="G48" s="31">
        <v>2</v>
      </c>
      <c r="H48" s="31">
        <v>2</v>
      </c>
      <c r="I48" s="31">
        <v>2</v>
      </c>
    </row>
    <row r="49" spans="1:9" x14ac:dyDescent="0.55000000000000004">
      <c r="A49" s="5" t="s">
        <v>37</v>
      </c>
      <c r="B49" s="31" t="s">
        <v>59</v>
      </c>
      <c r="C49" s="31">
        <v>0</v>
      </c>
      <c r="D49" s="31" t="s">
        <v>59</v>
      </c>
      <c r="E49" s="31">
        <v>0</v>
      </c>
      <c r="F49" s="31" t="s">
        <v>59</v>
      </c>
      <c r="G49" s="31">
        <v>0</v>
      </c>
      <c r="H49" s="31" t="s">
        <v>59</v>
      </c>
      <c r="I49" s="31">
        <v>0</v>
      </c>
    </row>
    <row r="50" spans="1:9" x14ac:dyDescent="0.55000000000000004">
      <c r="A50" s="5" t="s">
        <v>38</v>
      </c>
      <c r="B50" s="31">
        <v>0.5</v>
      </c>
      <c r="C50" s="31" t="s">
        <v>59</v>
      </c>
      <c r="D50" s="31">
        <v>0.5</v>
      </c>
      <c r="E50" s="31" t="s">
        <v>59</v>
      </c>
      <c r="F50" s="31">
        <v>0.5</v>
      </c>
      <c r="G50" s="31" t="s">
        <v>59</v>
      </c>
      <c r="H50" s="31">
        <v>0.5</v>
      </c>
      <c r="I50" s="31" t="s">
        <v>59</v>
      </c>
    </row>
    <row r="51" spans="1:9" ht="30" customHeight="1" x14ac:dyDescent="0.55000000000000004">
      <c r="A51" s="8" t="s">
        <v>39</v>
      </c>
      <c r="B51" s="29" t="s">
        <v>59</v>
      </c>
      <c r="C51" s="29">
        <f t="shared" ref="C51" si="13">C44+C46+C48-C49</f>
        <v>-93.220461590658161</v>
      </c>
      <c r="D51" s="29" t="s">
        <v>59</v>
      </c>
      <c r="E51" s="29">
        <f t="shared" ref="E51:I51" si="14">E44+E46+E48-E49</f>
        <v>-99.195363892780321</v>
      </c>
      <c r="F51" s="29" t="s">
        <v>59</v>
      </c>
      <c r="G51" s="29">
        <f t="shared" si="14"/>
        <v>-93.350461590658156</v>
      </c>
      <c r="H51" s="29" t="s">
        <v>59</v>
      </c>
      <c r="I51" s="29">
        <f t="shared" si="14"/>
        <v>-99.195363892780321</v>
      </c>
    </row>
    <row r="52" spans="1:9" ht="28.8" x14ac:dyDescent="0.55000000000000004">
      <c r="A52" s="8" t="s">
        <v>40</v>
      </c>
      <c r="B52" s="29">
        <f t="shared" ref="B52" si="15">B45+B47+B48-B50</f>
        <v>-97.129298241134563</v>
      </c>
      <c r="C52" s="29" t="s">
        <v>59</v>
      </c>
      <c r="D52" s="29">
        <f t="shared" ref="D52:H52" si="16">D45+D47+D48-D50</f>
        <v>-94.850461590658156</v>
      </c>
      <c r="E52" s="29" t="s">
        <v>59</v>
      </c>
      <c r="F52" s="29">
        <f t="shared" si="16"/>
        <v>-96.229298241134558</v>
      </c>
      <c r="G52" s="29" t="s">
        <v>59</v>
      </c>
      <c r="H52" s="29">
        <f t="shared" si="16"/>
        <v>-94.750461590658162</v>
      </c>
      <c r="I52" s="29" t="s">
        <v>59</v>
      </c>
    </row>
    <row r="53" spans="1:9" ht="27.75" customHeight="1" x14ac:dyDescent="0.55000000000000004">
      <c r="A53" s="8" t="s">
        <v>41</v>
      </c>
      <c r="B53" s="29" t="s">
        <v>59</v>
      </c>
      <c r="C53" s="29">
        <f t="shared" ref="C53:I53" si="17">C28+C33+C34-C51</f>
        <v>159.33376111369608</v>
      </c>
      <c r="D53" s="29" t="s">
        <v>59</v>
      </c>
      <c r="E53" s="29">
        <f t="shared" si="17"/>
        <v>144.2468636759794</v>
      </c>
      <c r="F53" s="29" t="s">
        <v>59</v>
      </c>
      <c r="G53" s="29">
        <f t="shared" si="17"/>
        <v>159.46376111369608</v>
      </c>
      <c r="H53" s="29" t="s">
        <v>59</v>
      </c>
      <c r="I53" s="29">
        <f t="shared" si="17"/>
        <v>144.2468636759794</v>
      </c>
    </row>
    <row r="54" spans="1:9" ht="33" customHeight="1" x14ac:dyDescent="0.55000000000000004">
      <c r="A54" s="8" t="s">
        <v>42</v>
      </c>
      <c r="B54" s="29">
        <f t="shared" ref="B54:H54" si="18">B29+B33+B34-B52</f>
        <v>142.18079802433363</v>
      </c>
      <c r="C54" s="29" t="s">
        <v>59</v>
      </c>
      <c r="D54" s="29">
        <f t="shared" si="18"/>
        <v>160.96376111369608</v>
      </c>
      <c r="E54" s="29" t="s">
        <v>59</v>
      </c>
      <c r="F54" s="29">
        <f t="shared" si="18"/>
        <v>141.28079802433362</v>
      </c>
      <c r="G54" s="29" t="s">
        <v>59</v>
      </c>
      <c r="H54" s="29">
        <f t="shared" si="18"/>
        <v>160.86376111369611</v>
      </c>
      <c r="I54" s="29" t="s">
        <v>59</v>
      </c>
    </row>
    <row r="55" spans="1:9" x14ac:dyDescent="0.55000000000000004">
      <c r="A55" s="56" t="s">
        <v>43</v>
      </c>
      <c r="B55" s="65"/>
      <c r="C55" s="65"/>
      <c r="D55" s="65"/>
      <c r="E55" s="65"/>
      <c r="F55" s="65"/>
      <c r="G55" s="65"/>
      <c r="H55" s="65"/>
      <c r="I55" s="65"/>
    </row>
    <row r="56" spans="1:9" ht="15" customHeight="1" x14ac:dyDescent="0.55000000000000004">
      <c r="A56" s="5" t="s">
        <v>44</v>
      </c>
      <c r="B56" s="31">
        <v>6</v>
      </c>
      <c r="C56" s="31">
        <v>6</v>
      </c>
      <c r="D56" s="31">
        <v>6</v>
      </c>
      <c r="E56" s="31">
        <v>6</v>
      </c>
      <c r="F56" s="31">
        <v>6</v>
      </c>
      <c r="G56" s="31">
        <v>6</v>
      </c>
      <c r="H56" s="31">
        <v>6</v>
      </c>
      <c r="I56" s="31">
        <v>6</v>
      </c>
    </row>
    <row r="57" spans="1:9" x14ac:dyDescent="0.55000000000000004">
      <c r="A57" s="5" t="s">
        <v>71</v>
      </c>
      <c r="B57" s="31"/>
      <c r="C57" s="31"/>
      <c r="D57" s="31"/>
      <c r="E57" s="31"/>
      <c r="F57" s="31"/>
      <c r="G57" s="31"/>
      <c r="H57" s="31"/>
      <c r="I57" s="31"/>
    </row>
    <row r="58" spans="1:9" ht="27.75" customHeight="1" x14ac:dyDescent="0.55000000000000004">
      <c r="A58" s="5" t="s">
        <v>45</v>
      </c>
      <c r="B58" s="31" t="s">
        <v>59</v>
      </c>
      <c r="C58" s="31">
        <v>8.1199999999999992</v>
      </c>
      <c r="D58" s="31" t="s">
        <v>59</v>
      </c>
      <c r="E58" s="31">
        <v>8.1199999999999992</v>
      </c>
      <c r="F58" s="31" t="s">
        <v>59</v>
      </c>
      <c r="G58" s="31">
        <v>7.28</v>
      </c>
      <c r="H58" s="31" t="s">
        <v>59</v>
      </c>
      <c r="I58" s="31">
        <v>7.28</v>
      </c>
    </row>
    <row r="59" spans="1:9" ht="33" customHeight="1" x14ac:dyDescent="0.55000000000000004">
      <c r="A59" s="5" t="s">
        <v>46</v>
      </c>
      <c r="B59" s="31">
        <v>4.8899999999999997</v>
      </c>
      <c r="C59" s="31" t="s">
        <v>59</v>
      </c>
      <c r="D59" s="31">
        <v>4.8899999999999997</v>
      </c>
      <c r="E59" s="31" t="s">
        <v>59</v>
      </c>
      <c r="F59" s="31">
        <v>4.1500000000000004</v>
      </c>
      <c r="G59" s="31" t="s">
        <v>59</v>
      </c>
      <c r="H59" s="31">
        <v>4.1500000000000004</v>
      </c>
      <c r="I59" s="31" t="s">
        <v>59</v>
      </c>
    </row>
    <row r="60" spans="1:9" x14ac:dyDescent="0.55000000000000004">
      <c r="A60" s="5" t="s">
        <v>47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</row>
    <row r="61" spans="1:9" x14ac:dyDescent="0.55000000000000004">
      <c r="A61" s="5" t="s">
        <v>48</v>
      </c>
      <c r="B61" s="31">
        <v>9</v>
      </c>
      <c r="C61" s="31">
        <v>9</v>
      </c>
      <c r="D61" s="31">
        <v>9</v>
      </c>
      <c r="E61" s="31">
        <v>9</v>
      </c>
      <c r="F61" s="31">
        <f>20+0.5*12.5</f>
        <v>26.25</v>
      </c>
      <c r="G61" s="31">
        <f>20+0.5*12.5</f>
        <v>26.25</v>
      </c>
      <c r="H61" s="31">
        <f>20+0.5*12.5</f>
        <v>26.25</v>
      </c>
      <c r="I61" s="31">
        <f>20+0.5*12.5</f>
        <v>26.25</v>
      </c>
    </row>
    <row r="62" spans="1:9" x14ac:dyDescent="0.55000000000000004">
      <c r="A62" s="5" t="s">
        <v>49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ht="32.25" customHeight="1" x14ac:dyDescent="0.55000000000000004">
      <c r="A63" s="8" t="s">
        <v>72</v>
      </c>
      <c r="B63" s="29" t="s">
        <v>59</v>
      </c>
      <c r="C63" s="29">
        <f t="shared" ref="C63" si="19">C53-C58+C60-C61+C62-C35</f>
        <v>141.21376111369608</v>
      </c>
      <c r="D63" s="29" t="s">
        <v>59</v>
      </c>
      <c r="E63" s="29">
        <f t="shared" ref="E63:I63" si="20">E53-E58+E60-E61+E62-E35</f>
        <v>124.12686367597939</v>
      </c>
      <c r="F63" s="29" t="s">
        <v>59</v>
      </c>
      <c r="G63" s="29">
        <f t="shared" si="20"/>
        <v>124.93376111369608</v>
      </c>
      <c r="H63" s="29" t="s">
        <v>59</v>
      </c>
      <c r="I63" s="29">
        <f t="shared" si="20"/>
        <v>107.7168636759794</v>
      </c>
    </row>
    <row r="64" spans="1:9" ht="28.8" x14ac:dyDescent="0.55000000000000004">
      <c r="A64" s="8" t="s">
        <v>50</v>
      </c>
      <c r="B64" s="29">
        <f t="shared" ref="B64" si="21">B54-B59+B60-B61+B62-B35</f>
        <v>125.29079802433364</v>
      </c>
      <c r="C64" s="29" t="s">
        <v>59</v>
      </c>
      <c r="D64" s="29">
        <f t="shared" ref="D64:H64" si="22">D54-D59+D60-D61+D62-D35</f>
        <v>146.07376111369609</v>
      </c>
      <c r="E64" s="29" t="s">
        <v>59</v>
      </c>
      <c r="F64" s="29">
        <f t="shared" si="22"/>
        <v>107.88079802433361</v>
      </c>
      <c r="G64" s="29" t="s">
        <v>59</v>
      </c>
      <c r="H64" s="29">
        <f t="shared" si="22"/>
        <v>129.46376111369611</v>
      </c>
      <c r="I64" s="29" t="s">
        <v>59</v>
      </c>
    </row>
    <row r="65" spans="1:9" x14ac:dyDescent="0.55000000000000004">
      <c r="A65" s="56" t="s">
        <v>51</v>
      </c>
      <c r="B65" s="65"/>
      <c r="C65" s="65"/>
      <c r="D65" s="65"/>
      <c r="E65" s="65"/>
      <c r="F65" s="65"/>
      <c r="G65" s="65"/>
      <c r="H65" s="65"/>
      <c r="I65" s="65"/>
    </row>
    <row r="66" spans="1:9" ht="48.75" customHeight="1" x14ac:dyDescent="0.55000000000000004">
      <c r="A66" s="5" t="s">
        <v>52</v>
      </c>
      <c r="B66" s="31" t="s">
        <v>59</v>
      </c>
      <c r="C66" s="31">
        <f>10^((C63-161.04+7.1*LOG10(20)-7.5*LOG10(20)+(24.37-3.7*(20/C6)^2)*LOG10(C6)-20*LOG10(C5)+(3.2*(LOG10(17.625))^2-4.97)+0.6*(C7-1.5))/(43.42-3.1*LOG10(C6))+3)</f>
        <v>2216.1138998503643</v>
      </c>
      <c r="D66" s="31" t="s">
        <v>59</v>
      </c>
      <c r="E66" s="31">
        <f>10^((E63-161.04+7.1*LOG10(20)-7.5*LOG10(20)+(24.37-3.7*(20/E6)^2)*LOG10(E6)-20*LOG10(E5)+(3.2*(LOG10(17.625))^2-4.97)+0.6*(E7-1.5))/(43.42-3.1*LOG10(E6))+3)</f>
        <v>809.90637351085331</v>
      </c>
      <c r="F66" s="31" t="s">
        <v>59</v>
      </c>
      <c r="G66" s="31">
        <f>10^((G63-161.04+7.1*LOG10(20)-7.5*LOG10(20)+(24.37-3.7*(20/G6)^2)*LOG10(G6)-20*LOG10(G5)+(3.2*(LOG10(17.625))^2-4.97)+0.6*(G7-1.5))/(43.42-3.1*LOG10(G6))+3)</f>
        <v>849.33450421728355</v>
      </c>
      <c r="H66" s="31" t="s">
        <v>59</v>
      </c>
      <c r="I66" s="31">
        <f>10^((I63-161.04+7.1*LOG10(20)-7.5*LOG10(20)+(24.37-3.7*(20/I6)^2)*LOG10(I6)-20*LOG10(I5)+(3.2*(LOG10(17.625))^2-4.97)+0.6*(I7-1.5))/(43.42-3.1*LOG10(I6))+3)</f>
        <v>308.03179053615713</v>
      </c>
    </row>
    <row r="67" spans="1:9" ht="42.75" customHeight="1" x14ac:dyDescent="0.55000000000000004">
      <c r="A67" s="5" t="s">
        <v>53</v>
      </c>
      <c r="B67" s="31">
        <f>10^((B64-161.04+7.1*LOG10(20)-7.5*LOG10(20)+(24.37-3.7*(20/B6)^2)*LOG10(B6)-20*LOG10(B5)+(3.2*(LOG10(17.625))^2-4.97)+0.6*(B7-1.5))/(43.42-3.1*LOG10(B6))+3)</f>
        <v>867.38783505810147</v>
      </c>
      <c r="C67" s="31" t="s">
        <v>59</v>
      </c>
      <c r="D67" s="31">
        <f>10^((D64-161.04+7.1*LOG10(20)-7.5*LOG10(20)+(24.37-3.7*(20/D6)^2)*LOG10(D6)-20*LOG10(D5)+(3.2*(LOG10(17.625))^2-4.97)+0.6*(D7-1.5))/(43.42-3.1*LOG10(D6))+3)</f>
        <v>2950.7474888484303</v>
      </c>
      <c r="E67" s="31" t="s">
        <v>59</v>
      </c>
      <c r="F67" s="31">
        <f>10^((F64-161.04+7.1*LOG10(20)-7.5*LOG10(20)+(24.37-3.7*(20/F6)^2)*LOG10(F6)-20*LOG10(F5)+(3.2*(LOG10(17.625))^2-4.97)+0.6*(F7-1.5))/(43.42-3.1*LOG10(F6))+3)</f>
        <v>311.02098683901124</v>
      </c>
      <c r="G67" s="31" t="s">
        <v>59</v>
      </c>
      <c r="H67" s="31">
        <f>10^((H64-161.04+7.1*LOG10(20)-7.5*LOG10(20)+(24.37-3.7*(20/H6)^2)*LOG10(H6)-20*LOG10(H5)+(3.2*(LOG10(17.625))^2-4.97)+0.6*(H7-1.5))/(43.42-3.1*LOG10(H6))+3)</f>
        <v>1109.1132631783603</v>
      </c>
      <c r="I67" s="31" t="s">
        <v>59</v>
      </c>
    </row>
    <row r="68" spans="1:9" ht="28.8" x14ac:dyDescent="0.55000000000000004">
      <c r="A68" s="5" t="s">
        <v>73</v>
      </c>
      <c r="B68" s="31" t="s">
        <v>59</v>
      </c>
      <c r="C68" s="31">
        <f>PI()*(C66)^2</f>
        <v>15428866.743630793</v>
      </c>
      <c r="D68" s="31" t="s">
        <v>59</v>
      </c>
      <c r="E68" s="31">
        <f>PI()*(E66)^2</f>
        <v>2060722.4667686264</v>
      </c>
      <c r="F68" s="31" t="s">
        <v>59</v>
      </c>
      <c r="G68" s="31">
        <f>PI()*(G66)^2</f>
        <v>2266247.8652563863</v>
      </c>
      <c r="H68" s="31" t="s">
        <v>59</v>
      </c>
      <c r="I68" s="31">
        <f>PI()*(I66)^2</f>
        <v>298085.57038070017</v>
      </c>
    </row>
    <row r="69" spans="1:9" ht="28.8" x14ac:dyDescent="0.55000000000000004">
      <c r="A69" s="5" t="s">
        <v>74</v>
      </c>
      <c r="B69" s="31">
        <f>PI()*(B67)^2</f>
        <v>2363613.852610189</v>
      </c>
      <c r="C69" s="31" t="s">
        <v>59</v>
      </c>
      <c r="D69" s="31">
        <f>PI()*(D67)^2</f>
        <v>27353566.825499058</v>
      </c>
      <c r="E69" s="31" t="s">
        <v>59</v>
      </c>
      <c r="F69" s="31">
        <f>PI()*(F67)^2</f>
        <v>303898.9941973043</v>
      </c>
      <c r="G69" s="31" t="s">
        <v>59</v>
      </c>
      <c r="H69" s="31">
        <f>PI()*(H67)^2</f>
        <v>3864574.3784655118</v>
      </c>
      <c r="I69" s="31" t="s">
        <v>59</v>
      </c>
    </row>
  </sheetData>
  <mergeCells count="2">
    <mergeCell ref="B1:D1"/>
    <mergeCell ref="E1: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1CEE-62DE-4FE1-A88A-F5ABB3A96A15}">
  <dimension ref="A1:M73"/>
  <sheetViews>
    <sheetView workbookViewId="0">
      <selection activeCell="N8" sqref="N8"/>
    </sheetView>
  </sheetViews>
  <sheetFormatPr defaultRowHeight="14.4" x14ac:dyDescent="0.55000000000000004"/>
  <cols>
    <col min="1" max="1" width="44.68359375" customWidth="1"/>
    <col min="2" max="2" width="17.83984375" customWidth="1"/>
    <col min="3" max="3" width="13.578125" customWidth="1"/>
    <col min="4" max="4" width="12.41796875" customWidth="1"/>
    <col min="5" max="5" width="13.15625" customWidth="1"/>
    <col min="6" max="6" width="16.578125" customWidth="1"/>
    <col min="7" max="8" width="15.15625" customWidth="1"/>
    <col min="9" max="9" width="14.26171875" customWidth="1"/>
    <col min="10" max="10" width="17.68359375" customWidth="1"/>
    <col min="11" max="11" width="17.578125" customWidth="1"/>
    <col min="12" max="12" width="17.83984375" customWidth="1"/>
    <col min="13" max="13" width="15.15625" customWidth="1"/>
  </cols>
  <sheetData>
    <row r="1" spans="1:13" ht="14.7" thickBot="1" x14ac:dyDescent="0.6">
      <c r="A1" t="s">
        <v>0</v>
      </c>
      <c r="B1" s="80"/>
      <c r="C1" s="81"/>
      <c r="D1" s="81"/>
      <c r="E1" s="84" t="s">
        <v>1</v>
      </c>
      <c r="F1" s="81"/>
      <c r="G1" s="82"/>
      <c r="H1" s="80"/>
      <c r="I1" s="81"/>
      <c r="J1" s="81"/>
      <c r="K1" s="83" t="s">
        <v>2</v>
      </c>
      <c r="L1" s="81"/>
      <c r="M1" s="82"/>
    </row>
    <row r="2" spans="1:13" ht="27.6" x14ac:dyDescent="0.55000000000000004">
      <c r="A2" s="70"/>
      <c r="B2" s="79" t="s">
        <v>114</v>
      </c>
      <c r="C2" s="79" t="s">
        <v>115</v>
      </c>
      <c r="D2" s="79" t="s">
        <v>116</v>
      </c>
      <c r="E2" s="79" t="s">
        <v>117</v>
      </c>
      <c r="F2" s="79" t="s">
        <v>118</v>
      </c>
      <c r="G2" s="79" t="s">
        <v>125</v>
      </c>
      <c r="H2" s="79" t="s">
        <v>119</v>
      </c>
      <c r="I2" s="79" t="s">
        <v>120</v>
      </c>
      <c r="J2" s="79" t="s">
        <v>121</v>
      </c>
      <c r="K2" s="79" t="s">
        <v>122</v>
      </c>
      <c r="L2" s="79" t="s">
        <v>123</v>
      </c>
      <c r="M2" s="79" t="s">
        <v>124</v>
      </c>
    </row>
    <row r="3" spans="1:13" x14ac:dyDescent="0.55000000000000004">
      <c r="A3" s="14" t="s">
        <v>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55000000000000004">
      <c r="A4" s="85" t="s">
        <v>4</v>
      </c>
      <c r="B4" s="72">
        <v>0.7</v>
      </c>
      <c r="C4" s="72">
        <v>0.7</v>
      </c>
      <c r="D4" s="72">
        <v>0.7</v>
      </c>
      <c r="E4" s="72">
        <v>0.7</v>
      </c>
      <c r="F4" s="72">
        <v>0.7</v>
      </c>
      <c r="G4" s="72">
        <v>0.7</v>
      </c>
      <c r="H4" s="72">
        <v>0.7</v>
      </c>
      <c r="I4" s="72">
        <v>0.7</v>
      </c>
      <c r="J4" s="72">
        <v>0.7</v>
      </c>
      <c r="K4" s="72">
        <v>0.7</v>
      </c>
      <c r="L4" s="72">
        <v>0.7</v>
      </c>
      <c r="M4" s="72">
        <v>0.7</v>
      </c>
    </row>
    <row r="5" spans="1:13" x14ac:dyDescent="0.55000000000000004">
      <c r="A5" s="85" t="s">
        <v>5</v>
      </c>
      <c r="B5" s="72">
        <v>25</v>
      </c>
      <c r="C5" s="72">
        <v>25</v>
      </c>
      <c r="D5" s="72">
        <v>25</v>
      </c>
      <c r="E5" s="72">
        <v>25</v>
      </c>
      <c r="F5" s="72">
        <v>25</v>
      </c>
      <c r="G5" s="72">
        <v>25</v>
      </c>
      <c r="H5" s="72">
        <v>25</v>
      </c>
      <c r="I5" s="72">
        <v>25</v>
      </c>
      <c r="J5" s="72">
        <v>25</v>
      </c>
      <c r="K5" s="72">
        <v>25</v>
      </c>
      <c r="L5" s="72">
        <v>25</v>
      </c>
      <c r="M5" s="72">
        <v>25</v>
      </c>
    </row>
    <row r="6" spans="1:13" x14ac:dyDescent="0.55000000000000004">
      <c r="A6" s="85" t="s">
        <v>6</v>
      </c>
      <c r="B6" s="72">
        <v>1.5</v>
      </c>
      <c r="C6" s="72">
        <v>1.5</v>
      </c>
      <c r="D6" s="72">
        <v>1.5</v>
      </c>
      <c r="E6" s="72">
        <v>1.5</v>
      </c>
      <c r="F6" s="72">
        <v>1.5</v>
      </c>
      <c r="G6" s="72">
        <v>1.5</v>
      </c>
      <c r="H6" s="72">
        <v>1.5</v>
      </c>
      <c r="I6" s="72">
        <v>1.5</v>
      </c>
      <c r="J6" s="72">
        <v>1.5</v>
      </c>
      <c r="K6" s="72">
        <v>1.5</v>
      </c>
      <c r="L6" s="72">
        <v>1.5</v>
      </c>
      <c r="M6" s="72">
        <v>1.5</v>
      </c>
    </row>
    <row r="7" spans="1:13" ht="43.2" x14ac:dyDescent="0.55000000000000004">
      <c r="A7" s="85" t="s">
        <v>128</v>
      </c>
      <c r="B7" s="78" t="s">
        <v>59</v>
      </c>
      <c r="C7" s="78">
        <v>0.99</v>
      </c>
      <c r="D7" s="78" t="s">
        <v>59</v>
      </c>
      <c r="E7" s="78">
        <v>0.99</v>
      </c>
      <c r="F7" s="78" t="s">
        <v>59</v>
      </c>
      <c r="G7" s="78">
        <v>0.99</v>
      </c>
      <c r="H7" s="78" t="s">
        <v>59</v>
      </c>
      <c r="I7" s="78">
        <v>0.99</v>
      </c>
      <c r="J7" s="78" t="s">
        <v>59</v>
      </c>
      <c r="K7" s="78">
        <v>0.99</v>
      </c>
      <c r="L7" s="78" t="s">
        <v>59</v>
      </c>
      <c r="M7" s="78">
        <v>0.99</v>
      </c>
    </row>
    <row r="8" spans="1:13" ht="43.2" x14ac:dyDescent="0.55000000000000004">
      <c r="A8" s="85" t="s">
        <v>129</v>
      </c>
      <c r="B8" s="78">
        <v>0.99</v>
      </c>
      <c r="C8" s="78" t="s">
        <v>59</v>
      </c>
      <c r="D8" s="78">
        <v>0.99</v>
      </c>
      <c r="E8" s="78" t="s">
        <v>59</v>
      </c>
      <c r="F8" s="78">
        <v>0.99</v>
      </c>
      <c r="G8" s="78" t="s">
        <v>59</v>
      </c>
      <c r="H8" s="78">
        <v>0.99</v>
      </c>
      <c r="I8" s="78" t="s">
        <v>59</v>
      </c>
      <c r="J8" s="78">
        <v>0.99</v>
      </c>
      <c r="K8" s="78" t="s">
        <v>59</v>
      </c>
      <c r="L8" s="78">
        <v>0.99</v>
      </c>
      <c r="M8" s="78" t="s">
        <v>59</v>
      </c>
    </row>
    <row r="9" spans="1:13" x14ac:dyDescent="0.55000000000000004">
      <c r="A9" s="85" t="s">
        <v>130</v>
      </c>
      <c r="B9" s="72" t="s">
        <v>59</v>
      </c>
      <c r="C9" s="72">
        <v>89</v>
      </c>
      <c r="D9" s="72" t="s">
        <v>59</v>
      </c>
      <c r="E9" s="72">
        <v>44</v>
      </c>
      <c r="F9" s="72" t="s">
        <v>59</v>
      </c>
      <c r="G9" s="72">
        <v>44</v>
      </c>
      <c r="H9" s="72"/>
      <c r="I9" s="72">
        <v>15</v>
      </c>
      <c r="J9" s="72"/>
      <c r="K9" s="72">
        <v>15</v>
      </c>
      <c r="L9" s="72"/>
      <c r="M9" s="72">
        <v>15</v>
      </c>
    </row>
    <row r="10" spans="1:13" x14ac:dyDescent="0.55000000000000004">
      <c r="A10" s="85" t="s">
        <v>131</v>
      </c>
      <c r="B10" s="72">
        <v>360</v>
      </c>
      <c r="C10" s="72" t="s">
        <v>59</v>
      </c>
      <c r="D10" s="72">
        <v>180</v>
      </c>
      <c r="E10" s="72" t="s">
        <v>59</v>
      </c>
      <c r="F10" s="72">
        <v>180</v>
      </c>
      <c r="G10" s="72" t="s">
        <v>59</v>
      </c>
      <c r="H10" s="72">
        <v>180</v>
      </c>
      <c r="I10" s="72" t="s">
        <v>59</v>
      </c>
      <c r="J10" s="72">
        <v>180</v>
      </c>
      <c r="K10" s="72" t="s">
        <v>59</v>
      </c>
      <c r="L10" s="72">
        <v>180</v>
      </c>
      <c r="M10" s="72" t="s">
        <v>59</v>
      </c>
    </row>
    <row r="11" spans="1:13" ht="28.2" x14ac:dyDescent="0.55000000000000004">
      <c r="A11" s="85" t="s">
        <v>9</v>
      </c>
      <c r="B11" s="72" t="s">
        <v>59</v>
      </c>
      <c r="C11" s="72">
        <v>0.01</v>
      </c>
      <c r="D11" s="72" t="s">
        <v>59</v>
      </c>
      <c r="E11" s="72">
        <v>0.01</v>
      </c>
      <c r="F11" s="72" t="s">
        <v>59</v>
      </c>
      <c r="G11" s="72">
        <v>0.01</v>
      </c>
      <c r="H11" s="72" t="s">
        <v>59</v>
      </c>
      <c r="I11" s="72">
        <v>0.01</v>
      </c>
      <c r="J11" s="72" t="s">
        <v>59</v>
      </c>
      <c r="K11" s="72">
        <v>0.01</v>
      </c>
      <c r="L11" s="72" t="s">
        <v>59</v>
      </c>
      <c r="M11" s="72">
        <v>0.01</v>
      </c>
    </row>
    <row r="12" spans="1:13" ht="28.2" x14ac:dyDescent="0.55000000000000004">
      <c r="A12" s="85" t="s">
        <v>132</v>
      </c>
      <c r="B12" s="78">
        <v>0.1</v>
      </c>
      <c r="C12" s="78" t="s">
        <v>59</v>
      </c>
      <c r="D12" s="78">
        <v>0.1</v>
      </c>
      <c r="E12" s="78" t="s">
        <v>59</v>
      </c>
      <c r="F12" s="78">
        <v>0.1</v>
      </c>
      <c r="G12" s="78" t="s">
        <v>59</v>
      </c>
      <c r="H12" s="78">
        <v>0.1</v>
      </c>
      <c r="I12" s="78" t="s">
        <v>59</v>
      </c>
      <c r="J12" s="78">
        <v>0.1</v>
      </c>
      <c r="K12" s="78" t="s">
        <v>59</v>
      </c>
      <c r="L12" s="78">
        <v>0.1</v>
      </c>
      <c r="M12" s="78" t="s">
        <v>59</v>
      </c>
    </row>
    <row r="13" spans="1:13" ht="15" x14ac:dyDescent="0.55000000000000004">
      <c r="A13" s="85" t="s">
        <v>133</v>
      </c>
      <c r="B13" s="78">
        <f>B10/B42</f>
        <v>2E-3</v>
      </c>
      <c r="C13" s="78" t="s">
        <v>59</v>
      </c>
      <c r="D13" s="78">
        <f>D10/D42</f>
        <v>1E-3</v>
      </c>
      <c r="E13" s="78" t="s">
        <v>59</v>
      </c>
      <c r="F13" s="78">
        <f>F10/F42</f>
        <v>1E-3</v>
      </c>
      <c r="G13" s="78" t="s">
        <v>59</v>
      </c>
      <c r="H13" s="78">
        <f>H10/H42</f>
        <v>1.2E-2</v>
      </c>
      <c r="I13" s="78" t="s">
        <v>59</v>
      </c>
      <c r="J13" s="78">
        <f>J10/J42</f>
        <v>1.2E-2</v>
      </c>
      <c r="K13" s="78" t="s">
        <v>59</v>
      </c>
      <c r="L13" s="78">
        <f>L10/L42</f>
        <v>1.2E-2</v>
      </c>
      <c r="M13" s="78" t="s">
        <v>59</v>
      </c>
    </row>
    <row r="14" spans="1:13" ht="15" x14ac:dyDescent="0.55000000000000004">
      <c r="A14" s="85" t="s">
        <v>134</v>
      </c>
      <c r="B14" s="72" t="s">
        <v>126</v>
      </c>
      <c r="C14" s="72" t="s">
        <v>126</v>
      </c>
      <c r="D14" s="72" t="s">
        <v>63</v>
      </c>
      <c r="E14" s="72" t="s">
        <v>63</v>
      </c>
      <c r="F14" s="72" t="s">
        <v>87</v>
      </c>
      <c r="G14" s="72" t="s">
        <v>87</v>
      </c>
      <c r="H14" s="72" t="s">
        <v>126</v>
      </c>
      <c r="I14" s="72" t="s">
        <v>126</v>
      </c>
      <c r="J14" s="72" t="s">
        <v>63</v>
      </c>
      <c r="K14" s="72" t="s">
        <v>63</v>
      </c>
      <c r="L14" s="72" t="s">
        <v>87</v>
      </c>
      <c r="M14" s="72" t="s">
        <v>87</v>
      </c>
    </row>
    <row r="15" spans="1:13" x14ac:dyDescent="0.55000000000000004">
      <c r="A15" s="85" t="s">
        <v>135</v>
      </c>
      <c r="B15" s="72">
        <v>3</v>
      </c>
      <c r="C15" s="72">
        <v>3</v>
      </c>
      <c r="D15" s="72">
        <v>3</v>
      </c>
      <c r="E15" s="72">
        <v>3</v>
      </c>
      <c r="F15" s="72">
        <v>3</v>
      </c>
      <c r="G15" s="72">
        <v>3</v>
      </c>
      <c r="H15" s="72">
        <v>3</v>
      </c>
      <c r="I15" s="72">
        <v>3</v>
      </c>
      <c r="J15" s="72">
        <v>3</v>
      </c>
      <c r="K15" s="72">
        <v>3</v>
      </c>
      <c r="L15" s="72">
        <v>3</v>
      </c>
      <c r="M15" s="72">
        <v>3</v>
      </c>
    </row>
    <row r="16" spans="1:13" x14ac:dyDescent="0.55000000000000004">
      <c r="A16" s="85" t="s">
        <v>11</v>
      </c>
      <c r="B16" s="72">
        <v>3</v>
      </c>
      <c r="C16" s="72">
        <v>3</v>
      </c>
      <c r="D16" s="72">
        <v>3</v>
      </c>
      <c r="E16" s="72">
        <v>3</v>
      </c>
      <c r="F16" s="72">
        <v>3</v>
      </c>
      <c r="G16" s="72">
        <v>3</v>
      </c>
      <c r="H16" s="72">
        <v>3</v>
      </c>
      <c r="I16" s="72">
        <v>3</v>
      </c>
      <c r="J16" s="72">
        <v>3</v>
      </c>
      <c r="K16" s="72">
        <v>3</v>
      </c>
      <c r="L16" s="72">
        <v>3</v>
      </c>
      <c r="M16" s="72">
        <v>3</v>
      </c>
    </row>
    <row r="17" spans="1:13" x14ac:dyDescent="0.55000000000000004">
      <c r="A17" s="86" t="s">
        <v>12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13" ht="42.3" x14ac:dyDescent="0.55000000000000004">
      <c r="A18" s="85" t="s">
        <v>136</v>
      </c>
      <c r="B18" s="72">
        <v>16</v>
      </c>
      <c r="C18" s="72">
        <v>16</v>
      </c>
      <c r="D18" s="72">
        <v>16</v>
      </c>
      <c r="E18" s="72">
        <v>16</v>
      </c>
      <c r="F18" s="72">
        <v>16</v>
      </c>
      <c r="G18" s="72">
        <v>16</v>
      </c>
      <c r="H18" s="72">
        <v>1</v>
      </c>
      <c r="I18" s="72">
        <v>1</v>
      </c>
      <c r="J18" s="72">
        <v>1</v>
      </c>
      <c r="K18" s="72">
        <v>1</v>
      </c>
      <c r="L18" s="72">
        <v>1</v>
      </c>
      <c r="M18" s="72">
        <v>1</v>
      </c>
    </row>
    <row r="19" spans="1:13" x14ac:dyDescent="0.55000000000000004">
      <c r="A19" s="85" t="s">
        <v>137</v>
      </c>
      <c r="B19" s="72">
        <v>2</v>
      </c>
      <c r="C19" s="72">
        <v>2</v>
      </c>
      <c r="D19" s="72">
        <v>2</v>
      </c>
      <c r="E19" s="72">
        <v>2</v>
      </c>
      <c r="F19" s="72">
        <v>2</v>
      </c>
      <c r="G19" s="72">
        <v>2</v>
      </c>
      <c r="H19" s="72">
        <v>23</v>
      </c>
      <c r="I19" s="72">
        <v>23</v>
      </c>
      <c r="J19" s="72">
        <v>23</v>
      </c>
      <c r="K19" s="72">
        <v>23</v>
      </c>
      <c r="L19" s="72">
        <v>23</v>
      </c>
      <c r="M19" s="72">
        <v>23</v>
      </c>
    </row>
    <row r="20" spans="1:13" x14ac:dyDescent="0.55000000000000004">
      <c r="A20" s="85" t="s">
        <v>13</v>
      </c>
      <c r="B20" s="72">
        <v>23</v>
      </c>
      <c r="C20" s="72">
        <v>23</v>
      </c>
      <c r="D20" s="72">
        <v>23</v>
      </c>
      <c r="E20" s="72">
        <v>23</v>
      </c>
      <c r="F20" s="72">
        <v>23</v>
      </c>
      <c r="G20" s="72">
        <v>23</v>
      </c>
      <c r="H20" s="72">
        <f t="shared" ref="H20:M20" si="0">H19+10*LOG10(H18)</f>
        <v>23</v>
      </c>
      <c r="I20" s="72">
        <f t="shared" si="0"/>
        <v>23</v>
      </c>
      <c r="J20" s="72">
        <f t="shared" si="0"/>
        <v>23</v>
      </c>
      <c r="K20" s="72">
        <f t="shared" si="0"/>
        <v>23</v>
      </c>
      <c r="L20" s="72">
        <f t="shared" si="0"/>
        <v>23</v>
      </c>
      <c r="M20" s="72">
        <f t="shared" si="0"/>
        <v>23</v>
      </c>
    </row>
    <row r="21" spans="1:13" ht="42.3" x14ac:dyDescent="0.55000000000000004">
      <c r="A21" s="95" t="s">
        <v>138</v>
      </c>
      <c r="B21" s="72">
        <f t="shared" ref="B21:M21" si="1">B20+10*LOG10(B18)</f>
        <v>35.04119982655925</v>
      </c>
      <c r="C21" s="72">
        <f t="shared" si="1"/>
        <v>35.04119982655925</v>
      </c>
      <c r="D21" s="72">
        <f t="shared" si="1"/>
        <v>35.04119982655925</v>
      </c>
      <c r="E21" s="72">
        <f t="shared" si="1"/>
        <v>35.04119982655925</v>
      </c>
      <c r="F21" s="72">
        <f t="shared" si="1"/>
        <v>35.04119982655925</v>
      </c>
      <c r="G21" s="72">
        <f t="shared" si="1"/>
        <v>35.04119982655925</v>
      </c>
      <c r="H21" s="72">
        <f t="shared" si="1"/>
        <v>23</v>
      </c>
      <c r="I21" s="72">
        <f t="shared" si="1"/>
        <v>23</v>
      </c>
      <c r="J21" s="72">
        <f t="shared" si="1"/>
        <v>23</v>
      </c>
      <c r="K21" s="72">
        <f t="shared" si="1"/>
        <v>23</v>
      </c>
      <c r="L21" s="72">
        <f t="shared" si="1"/>
        <v>23</v>
      </c>
      <c r="M21" s="72">
        <f t="shared" si="1"/>
        <v>23</v>
      </c>
    </row>
    <row r="22" spans="1:13" x14ac:dyDescent="0.55000000000000004">
      <c r="A22" s="85" t="s">
        <v>139</v>
      </c>
      <c r="B22" s="72">
        <f>8</f>
        <v>8</v>
      </c>
      <c r="C22" s="72">
        <f>8</f>
        <v>8</v>
      </c>
      <c r="D22" s="72">
        <v>8</v>
      </c>
      <c r="E22" s="72">
        <v>8</v>
      </c>
      <c r="F22" s="72">
        <v>8</v>
      </c>
      <c r="G22" s="72">
        <v>8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</row>
    <row r="23" spans="1:13" ht="42.3" x14ac:dyDescent="0.55000000000000004">
      <c r="A23" s="94" t="s">
        <v>15</v>
      </c>
      <c r="B23" s="74">
        <f>IF(B18&gt;=2, 10*LOG10(B18/B19), 0)</f>
        <v>9.0308998699194358</v>
      </c>
      <c r="C23" s="74">
        <f>IF(C18&gt;=2, 10*LOG10(C18/C19), 0)</f>
        <v>9.0308998699194358</v>
      </c>
      <c r="D23" s="74">
        <f t="shared" ref="D23:M23" si="2">IF(D18&gt;=2, 10*LOG10(D18/2), 0)</f>
        <v>9.0308998699194358</v>
      </c>
      <c r="E23" s="74">
        <f t="shared" si="2"/>
        <v>9.0308998699194358</v>
      </c>
      <c r="F23" s="74">
        <f t="shared" si="2"/>
        <v>9.0308998699194358</v>
      </c>
      <c r="G23" s="74">
        <f t="shared" si="2"/>
        <v>9.0308998699194358</v>
      </c>
      <c r="H23" s="74">
        <f t="shared" si="2"/>
        <v>0</v>
      </c>
      <c r="I23" s="74">
        <f t="shared" si="2"/>
        <v>0</v>
      </c>
      <c r="J23" s="74">
        <f t="shared" si="2"/>
        <v>0</v>
      </c>
      <c r="K23" s="74">
        <f t="shared" si="2"/>
        <v>0</v>
      </c>
      <c r="L23" s="74">
        <f t="shared" si="2"/>
        <v>0</v>
      </c>
      <c r="M23" s="74">
        <f t="shared" si="2"/>
        <v>0</v>
      </c>
    </row>
    <row r="24" spans="1:13" x14ac:dyDescent="0.55000000000000004">
      <c r="A24" s="85" t="s">
        <v>16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</row>
    <row r="25" spans="1:13" ht="28.2" x14ac:dyDescent="0.55000000000000004">
      <c r="A25" s="94" t="s">
        <v>17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</row>
    <row r="26" spans="1:13" ht="42.3" x14ac:dyDescent="0.55000000000000004">
      <c r="A26" s="85" t="s">
        <v>18</v>
      </c>
      <c r="B26" s="72">
        <v>3</v>
      </c>
      <c r="C26" s="72">
        <v>3</v>
      </c>
      <c r="D26" s="72">
        <v>3</v>
      </c>
      <c r="E26" s="72">
        <v>3</v>
      </c>
      <c r="F26" s="72">
        <v>3</v>
      </c>
      <c r="G26" s="72">
        <v>3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1:13" ht="28.2" x14ac:dyDescent="0.55000000000000004">
      <c r="A27" s="93" t="s">
        <v>19</v>
      </c>
      <c r="B27" s="75">
        <f t="shared" ref="B27:M27" si="3">B21+B22+B23+B24-B26</f>
        <v>49.072099696478688</v>
      </c>
      <c r="C27" s="75">
        <f t="shared" si="3"/>
        <v>49.072099696478688</v>
      </c>
      <c r="D27" s="75">
        <f t="shared" si="3"/>
        <v>49.072099696478688</v>
      </c>
      <c r="E27" s="75">
        <f t="shared" si="3"/>
        <v>49.072099696478688</v>
      </c>
      <c r="F27" s="75">
        <f t="shared" si="3"/>
        <v>49.072099696478688</v>
      </c>
      <c r="G27" s="75">
        <f t="shared" si="3"/>
        <v>49.072099696478688</v>
      </c>
      <c r="H27" s="75">
        <f t="shared" si="3"/>
        <v>23</v>
      </c>
      <c r="I27" s="75">
        <f t="shared" si="3"/>
        <v>23</v>
      </c>
      <c r="J27" s="75">
        <f t="shared" si="3"/>
        <v>23</v>
      </c>
      <c r="K27" s="75">
        <f t="shared" si="3"/>
        <v>23</v>
      </c>
      <c r="L27" s="75">
        <f t="shared" si="3"/>
        <v>23</v>
      </c>
      <c r="M27" s="75">
        <f t="shared" si="3"/>
        <v>23</v>
      </c>
    </row>
    <row r="28" spans="1:13" ht="28.2" x14ac:dyDescent="0.55000000000000004">
      <c r="A28" s="93" t="s">
        <v>140</v>
      </c>
      <c r="B28" s="75">
        <f t="shared" ref="B28:M28" si="4">B21+B22+B23-B25-B26</f>
        <v>49.072099696478688</v>
      </c>
      <c r="C28" s="75">
        <f t="shared" si="4"/>
        <v>49.072099696478688</v>
      </c>
      <c r="D28" s="75">
        <f t="shared" si="4"/>
        <v>49.072099696478688</v>
      </c>
      <c r="E28" s="75">
        <f t="shared" si="4"/>
        <v>49.072099696478688</v>
      </c>
      <c r="F28" s="75">
        <f t="shared" si="4"/>
        <v>49.072099696478688</v>
      </c>
      <c r="G28" s="75">
        <f t="shared" si="4"/>
        <v>49.072099696478688</v>
      </c>
      <c r="H28" s="75">
        <f t="shared" si="4"/>
        <v>23</v>
      </c>
      <c r="I28" s="75">
        <f t="shared" si="4"/>
        <v>23</v>
      </c>
      <c r="J28" s="75">
        <f t="shared" si="4"/>
        <v>23</v>
      </c>
      <c r="K28" s="75">
        <f t="shared" si="4"/>
        <v>23</v>
      </c>
      <c r="L28" s="75">
        <f t="shared" si="4"/>
        <v>23</v>
      </c>
      <c r="M28" s="75">
        <f t="shared" si="4"/>
        <v>23</v>
      </c>
    </row>
    <row r="29" spans="1:13" x14ac:dyDescent="0.55000000000000004">
      <c r="A29" s="86" t="s">
        <v>21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spans="1:13" ht="42.3" x14ac:dyDescent="0.55000000000000004">
      <c r="A30" s="85" t="s">
        <v>141</v>
      </c>
      <c r="B30" s="72">
        <v>1</v>
      </c>
      <c r="C30" s="72">
        <v>1</v>
      </c>
      <c r="D30" s="72">
        <v>1</v>
      </c>
      <c r="E30" s="72">
        <v>1</v>
      </c>
      <c r="F30" s="72">
        <v>1</v>
      </c>
      <c r="G30" s="72">
        <v>1</v>
      </c>
      <c r="H30" s="72">
        <v>32</v>
      </c>
      <c r="I30" s="72">
        <v>32</v>
      </c>
      <c r="J30" s="72">
        <v>32</v>
      </c>
      <c r="K30" s="72">
        <v>32</v>
      </c>
      <c r="L30" s="72">
        <v>32</v>
      </c>
      <c r="M30" s="72">
        <v>32</v>
      </c>
    </row>
    <row r="31" spans="1:13" x14ac:dyDescent="0.55000000000000004">
      <c r="A31" s="85" t="s">
        <v>142</v>
      </c>
      <c r="B31" s="72">
        <v>1</v>
      </c>
      <c r="C31" s="72">
        <v>1</v>
      </c>
      <c r="D31" s="72">
        <v>1</v>
      </c>
      <c r="E31" s="72">
        <v>1</v>
      </c>
      <c r="F31" s="72">
        <v>1</v>
      </c>
      <c r="G31" s="72">
        <v>1</v>
      </c>
      <c r="H31" s="72">
        <v>4</v>
      </c>
      <c r="I31" s="72">
        <v>4</v>
      </c>
      <c r="J31" s="72">
        <v>4</v>
      </c>
      <c r="K31" s="72">
        <v>4</v>
      </c>
      <c r="L31" s="72">
        <v>4</v>
      </c>
      <c r="M31" s="72">
        <v>4</v>
      </c>
    </row>
    <row r="32" spans="1:13" x14ac:dyDescent="0.55000000000000004">
      <c r="A32" s="85" t="s">
        <v>22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8</v>
      </c>
      <c r="I32" s="72">
        <v>8</v>
      </c>
      <c r="J32" s="72">
        <v>8</v>
      </c>
      <c r="K32" s="72">
        <v>8</v>
      </c>
      <c r="L32" s="72">
        <v>8</v>
      </c>
      <c r="M32" s="72">
        <v>8</v>
      </c>
    </row>
    <row r="33" spans="1:13" ht="41.4" x14ac:dyDescent="0.55000000000000004">
      <c r="A33" s="92" t="s">
        <v>143</v>
      </c>
      <c r="B33" s="76">
        <f t="shared" ref="B33:G33" si="5">IF(B30&gt;=2, 10*LOG10(B30/2), 0)</f>
        <v>0</v>
      </c>
      <c r="C33" s="76">
        <f t="shared" si="5"/>
        <v>0</v>
      </c>
      <c r="D33" s="76">
        <f t="shared" si="5"/>
        <v>0</v>
      </c>
      <c r="E33" s="76">
        <f t="shared" si="5"/>
        <v>0</v>
      </c>
      <c r="F33" s="76">
        <f t="shared" si="5"/>
        <v>0</v>
      </c>
      <c r="G33" s="76">
        <f t="shared" si="5"/>
        <v>0</v>
      </c>
      <c r="H33" s="76">
        <f t="shared" ref="H33:M33" si="6">IF(H30/H31&gt;=2, 10*LOG10(H30/H31), 0)</f>
        <v>9.0308998699194358</v>
      </c>
      <c r="I33" s="76">
        <f t="shared" si="6"/>
        <v>9.0308998699194358</v>
      </c>
      <c r="J33" s="76">
        <f t="shared" si="6"/>
        <v>9.0308998699194358</v>
      </c>
      <c r="K33" s="76">
        <f t="shared" si="6"/>
        <v>9.0308998699194358</v>
      </c>
      <c r="L33" s="76">
        <f t="shared" si="6"/>
        <v>9.0308998699194358</v>
      </c>
      <c r="M33" s="76">
        <f t="shared" si="6"/>
        <v>9.0308998699194358</v>
      </c>
    </row>
    <row r="34" spans="1:13" ht="42.3" x14ac:dyDescent="0.55000000000000004">
      <c r="A34" s="85" t="s">
        <v>23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3</v>
      </c>
      <c r="I34" s="72">
        <v>3</v>
      </c>
      <c r="J34" s="72">
        <v>3</v>
      </c>
      <c r="K34" s="72">
        <v>3</v>
      </c>
      <c r="L34" s="72">
        <v>3</v>
      </c>
      <c r="M34" s="72">
        <v>3</v>
      </c>
    </row>
    <row r="35" spans="1:13" x14ac:dyDescent="0.55000000000000004">
      <c r="A35" s="85" t="s">
        <v>24</v>
      </c>
      <c r="B35" s="72">
        <v>7</v>
      </c>
      <c r="C35" s="72">
        <v>7</v>
      </c>
      <c r="D35" s="72">
        <v>7</v>
      </c>
      <c r="E35" s="72">
        <v>7</v>
      </c>
      <c r="F35" s="72">
        <v>7</v>
      </c>
      <c r="G35" s="72">
        <v>7</v>
      </c>
      <c r="H35" s="72">
        <v>5</v>
      </c>
      <c r="I35" s="72">
        <v>5</v>
      </c>
      <c r="J35" s="72">
        <v>5</v>
      </c>
      <c r="K35" s="72">
        <v>5</v>
      </c>
      <c r="L35" s="72">
        <v>5</v>
      </c>
      <c r="M35" s="72">
        <v>5</v>
      </c>
    </row>
    <row r="36" spans="1:13" x14ac:dyDescent="0.55000000000000004">
      <c r="A36" s="85" t="s">
        <v>25</v>
      </c>
      <c r="B36" s="72">
        <v>-174</v>
      </c>
      <c r="C36" s="72">
        <v>-174</v>
      </c>
      <c r="D36" s="72">
        <v>-174</v>
      </c>
      <c r="E36" s="72">
        <v>-174</v>
      </c>
      <c r="F36" s="72">
        <v>-174</v>
      </c>
      <c r="G36" s="72">
        <v>-174</v>
      </c>
      <c r="H36" s="72">
        <v>-174</v>
      </c>
      <c r="I36" s="72">
        <v>-174</v>
      </c>
      <c r="J36" s="72">
        <v>-174</v>
      </c>
      <c r="K36" s="72">
        <v>-174</v>
      </c>
      <c r="L36" s="72">
        <v>-174</v>
      </c>
      <c r="M36" s="72">
        <v>-174</v>
      </c>
    </row>
    <row r="37" spans="1:13" ht="28.2" x14ac:dyDescent="0.55000000000000004">
      <c r="A37" s="85" t="s">
        <v>144</v>
      </c>
      <c r="B37" s="72" t="s">
        <v>59</v>
      </c>
      <c r="C37" s="72">
        <v>-177</v>
      </c>
      <c r="D37" s="72" t="s">
        <v>59</v>
      </c>
      <c r="E37" s="72">
        <v>-177</v>
      </c>
      <c r="F37" s="72" t="s">
        <v>59</v>
      </c>
      <c r="G37" s="72">
        <v>-177</v>
      </c>
      <c r="H37" s="72" t="s">
        <v>59</v>
      </c>
      <c r="I37" s="72">
        <v>-177</v>
      </c>
      <c r="J37" s="72" t="s">
        <v>59</v>
      </c>
      <c r="K37" s="72">
        <v>-177</v>
      </c>
      <c r="L37" s="72" t="s">
        <v>59</v>
      </c>
      <c r="M37" s="72">
        <v>-177</v>
      </c>
    </row>
    <row r="38" spans="1:13" ht="28.2" x14ac:dyDescent="0.55000000000000004">
      <c r="A38" s="85" t="s">
        <v>145</v>
      </c>
      <c r="B38" s="72">
        <v>-177</v>
      </c>
      <c r="C38" s="72" t="s">
        <v>59</v>
      </c>
      <c r="D38" s="72">
        <v>-177</v>
      </c>
      <c r="E38" s="72" t="s">
        <v>59</v>
      </c>
      <c r="F38" s="72">
        <v>-177</v>
      </c>
      <c r="G38" s="72" t="s">
        <v>59</v>
      </c>
      <c r="H38" s="72">
        <v>-177</v>
      </c>
      <c r="I38" s="72" t="s">
        <v>59</v>
      </c>
      <c r="J38" s="72">
        <v>-177</v>
      </c>
      <c r="K38" s="72" t="s">
        <v>59</v>
      </c>
      <c r="L38" s="72">
        <v>-177</v>
      </c>
      <c r="M38" s="72" t="s">
        <v>59</v>
      </c>
    </row>
    <row r="39" spans="1:13" ht="56.4" x14ac:dyDescent="0.55000000000000004">
      <c r="A39" s="88" t="s">
        <v>28</v>
      </c>
      <c r="B39" s="72" t="s">
        <v>59</v>
      </c>
      <c r="C39" s="72">
        <f t="shared" ref="C39:G39" si="7">10*LOG10(10^((C35+C36)/10)+10^(C37/10))</f>
        <v>-166.58607314841777</v>
      </c>
      <c r="D39" s="72" t="s">
        <v>59</v>
      </c>
      <c r="E39" s="72">
        <f t="shared" si="7"/>
        <v>-166.58607314841777</v>
      </c>
      <c r="F39" s="72" t="s">
        <v>59</v>
      </c>
      <c r="G39" s="72">
        <f t="shared" si="7"/>
        <v>-166.58607314841777</v>
      </c>
      <c r="H39" s="72" t="s">
        <v>59</v>
      </c>
      <c r="I39" s="72">
        <f t="shared" ref="I39:M39" si="8">10*LOG10(10^((I35+I36)/10)+10^(I37/10))</f>
        <v>-168.36107965856621</v>
      </c>
      <c r="J39" s="72" t="s">
        <v>59</v>
      </c>
      <c r="K39" s="72">
        <f t="shared" ref="K39" si="9">10*LOG10(10^((K35+K36)/10)+10^(K37/10))</f>
        <v>-168.36107965856621</v>
      </c>
      <c r="L39" s="72" t="s">
        <v>59</v>
      </c>
      <c r="M39" s="72">
        <f t="shared" si="8"/>
        <v>-168.36107965856621</v>
      </c>
    </row>
    <row r="40" spans="1:13" ht="56.4" x14ac:dyDescent="0.55000000000000004">
      <c r="A40" s="88" t="s">
        <v>146</v>
      </c>
      <c r="B40" s="72">
        <f t="shared" ref="B40:F40" si="10">10*LOG10(10^((B35+B36)/10)+10^(B38/10))</f>
        <v>-166.58607314841777</v>
      </c>
      <c r="C40" s="72" t="s">
        <v>59</v>
      </c>
      <c r="D40" s="72">
        <f t="shared" si="10"/>
        <v>-166.58607314841777</v>
      </c>
      <c r="E40" s="72" t="s">
        <v>59</v>
      </c>
      <c r="F40" s="72">
        <f t="shared" si="10"/>
        <v>-166.58607314841777</v>
      </c>
      <c r="G40" s="72" t="s">
        <v>59</v>
      </c>
      <c r="H40" s="72">
        <f t="shared" ref="H40:L40" si="11">10*LOG10(10^((H35+H36)/10)+10^(H38/10))</f>
        <v>-168.36107965856621</v>
      </c>
      <c r="I40" s="72" t="s">
        <v>59</v>
      </c>
      <c r="J40" s="72">
        <f t="shared" ref="J40" si="12">10*LOG10(10^((J35+J36)/10)+10^(J38/10))</f>
        <v>-168.36107965856621</v>
      </c>
      <c r="K40" s="72" t="s">
        <v>59</v>
      </c>
      <c r="L40" s="72">
        <f t="shared" si="11"/>
        <v>-168.36107965856621</v>
      </c>
      <c r="M40" s="72" t="s">
        <v>59</v>
      </c>
    </row>
    <row r="41" spans="1:13" ht="28.2" x14ac:dyDescent="0.55000000000000004">
      <c r="A41" s="85" t="s">
        <v>30</v>
      </c>
      <c r="B41" s="72" t="s">
        <v>59</v>
      </c>
      <c r="C41" s="72">
        <v>180000</v>
      </c>
      <c r="D41" s="72" t="s">
        <v>59</v>
      </c>
      <c r="E41" s="72">
        <f>1*12*15*1000</f>
        <v>180000</v>
      </c>
      <c r="F41" s="72" t="s">
        <v>59</v>
      </c>
      <c r="G41" s="72">
        <f>1*12*15*1000</f>
        <v>180000</v>
      </c>
      <c r="H41" s="72" t="s">
        <v>59</v>
      </c>
      <c r="I41" s="72">
        <f>'[3]NB-IoT LL'!$D$7</f>
        <v>15000</v>
      </c>
      <c r="J41" s="72" t="s">
        <v>59</v>
      </c>
      <c r="K41" s="72">
        <f>15*1000</f>
        <v>15000</v>
      </c>
      <c r="L41" s="72" t="s">
        <v>59</v>
      </c>
      <c r="M41" s="72">
        <f>15*1000</f>
        <v>15000</v>
      </c>
    </row>
    <row r="42" spans="1:13" ht="28.2" x14ac:dyDescent="0.55000000000000004">
      <c r="A42" s="85" t="s">
        <v>31</v>
      </c>
      <c r="B42" s="72">
        <v>180000</v>
      </c>
      <c r="C42" s="72" t="s">
        <v>59</v>
      </c>
      <c r="D42" s="72">
        <f>1*12*15*1000</f>
        <v>180000</v>
      </c>
      <c r="E42" s="72" t="s">
        <v>59</v>
      </c>
      <c r="F42" s="72">
        <f>1*12*15*1000</f>
        <v>180000</v>
      </c>
      <c r="G42" s="72" t="s">
        <v>59</v>
      </c>
      <c r="H42" s="72">
        <f>'[3]NB-IoT LL'!$D$7</f>
        <v>15000</v>
      </c>
      <c r="I42" s="72" t="s">
        <v>59</v>
      </c>
      <c r="J42" s="72">
        <f>15*1000</f>
        <v>15000</v>
      </c>
      <c r="K42" s="72" t="s">
        <v>59</v>
      </c>
      <c r="L42" s="72">
        <f>15*1000</f>
        <v>15000</v>
      </c>
      <c r="M42" s="72" t="s">
        <v>59</v>
      </c>
    </row>
    <row r="43" spans="1:13" ht="28.2" x14ac:dyDescent="0.55000000000000004">
      <c r="A43" s="90" t="s">
        <v>32</v>
      </c>
      <c r="B43" s="72" t="s">
        <v>59</v>
      </c>
      <c r="C43" s="72">
        <f t="shared" ref="C43:G43" si="13">C39+10*LOG10(C41)</f>
        <v>-114.0333480973847</v>
      </c>
      <c r="D43" s="72" t="s">
        <v>59</v>
      </c>
      <c r="E43" s="72">
        <f t="shared" si="13"/>
        <v>-114.0333480973847</v>
      </c>
      <c r="F43" s="72" t="s">
        <v>59</v>
      </c>
      <c r="G43" s="72">
        <f t="shared" si="13"/>
        <v>-114.0333480973847</v>
      </c>
      <c r="H43" s="72" t="s">
        <v>59</v>
      </c>
      <c r="I43" s="72">
        <f t="shared" ref="I43:M43" si="14">I39+10*LOG10(I41)</f>
        <v>-126.6001670680094</v>
      </c>
      <c r="J43" s="72" t="s">
        <v>59</v>
      </c>
      <c r="K43" s="72">
        <f t="shared" si="14"/>
        <v>-126.6001670680094</v>
      </c>
      <c r="L43" s="72" t="s">
        <v>59</v>
      </c>
      <c r="M43" s="72">
        <f t="shared" si="14"/>
        <v>-126.6001670680094</v>
      </c>
    </row>
    <row r="44" spans="1:13" ht="28.2" x14ac:dyDescent="0.55000000000000004">
      <c r="A44" s="90" t="s">
        <v>147</v>
      </c>
      <c r="B44" s="72">
        <f>B40+10*LOG10(B42)</f>
        <v>-114.0333480973847</v>
      </c>
      <c r="C44" s="72" t="s">
        <v>59</v>
      </c>
      <c r="D44" s="72">
        <f t="shared" ref="D44:F44" si="15">D40+10*LOG10(D42)</f>
        <v>-114.0333480973847</v>
      </c>
      <c r="E44" s="72" t="s">
        <v>59</v>
      </c>
      <c r="F44" s="72">
        <f t="shared" si="15"/>
        <v>-114.0333480973847</v>
      </c>
      <c r="G44" s="72" t="s">
        <v>59</v>
      </c>
      <c r="H44" s="72">
        <f t="shared" ref="H44:L44" si="16">H40+10*LOG10(H42)</f>
        <v>-126.6001670680094</v>
      </c>
      <c r="I44" s="72" t="s">
        <v>59</v>
      </c>
      <c r="J44" s="72">
        <f t="shared" si="16"/>
        <v>-126.6001670680094</v>
      </c>
      <c r="K44" s="72" t="s">
        <v>59</v>
      </c>
      <c r="L44" s="72">
        <f t="shared" si="16"/>
        <v>-126.6001670680094</v>
      </c>
      <c r="M44" s="72" t="s">
        <v>59</v>
      </c>
    </row>
    <row r="45" spans="1:13" x14ac:dyDescent="0.55000000000000004">
      <c r="A45" s="87" t="s">
        <v>34</v>
      </c>
      <c r="B45" s="77" t="s">
        <v>59</v>
      </c>
      <c r="C45" s="77">
        <v>-17.2</v>
      </c>
      <c r="D45" s="77" t="s">
        <v>59</v>
      </c>
      <c r="E45" s="77">
        <v>-16.7</v>
      </c>
      <c r="F45" s="77" t="s">
        <v>59</v>
      </c>
      <c r="G45" s="77">
        <v>-16.7</v>
      </c>
      <c r="H45" s="77" t="s">
        <v>59</v>
      </c>
      <c r="I45" s="77">
        <v>-17.899999999999999</v>
      </c>
      <c r="J45" s="77" t="s">
        <v>59</v>
      </c>
      <c r="K45" s="77">
        <v>-16</v>
      </c>
      <c r="L45" s="77" t="s">
        <v>59</v>
      </c>
      <c r="M45" s="77">
        <v>-16</v>
      </c>
    </row>
    <row r="46" spans="1:13" x14ac:dyDescent="0.55000000000000004">
      <c r="A46" s="87" t="s">
        <v>148</v>
      </c>
      <c r="B46" s="77">
        <f>'[3]NB-IoT LL'!$B$15</f>
        <v>-16.899999999999999</v>
      </c>
      <c r="C46" s="77" t="s">
        <v>59</v>
      </c>
      <c r="D46" s="77">
        <v>-17.7</v>
      </c>
      <c r="E46" s="77" t="s">
        <v>59</v>
      </c>
      <c r="F46" s="77">
        <v>-17.7</v>
      </c>
      <c r="G46" s="77" t="s">
        <v>59</v>
      </c>
      <c r="H46" s="77">
        <v>-17.600000000000001</v>
      </c>
      <c r="I46" s="77" t="s">
        <v>59</v>
      </c>
      <c r="J46" s="77">
        <v>-16.600000000000001</v>
      </c>
      <c r="K46" s="77" t="s">
        <v>59</v>
      </c>
      <c r="L46" s="77">
        <v>-16.600000000000001</v>
      </c>
      <c r="M46" s="77" t="s">
        <v>59</v>
      </c>
    </row>
    <row r="47" spans="1:13" x14ac:dyDescent="0.55000000000000004">
      <c r="A47" s="85" t="s">
        <v>36</v>
      </c>
      <c r="B47" s="72">
        <v>2</v>
      </c>
      <c r="C47" s="72">
        <v>2</v>
      </c>
      <c r="D47" s="72">
        <v>2</v>
      </c>
      <c r="E47" s="72">
        <v>2</v>
      </c>
      <c r="F47" s="72">
        <v>2</v>
      </c>
      <c r="G47" s="72">
        <v>2</v>
      </c>
      <c r="H47" s="72">
        <v>2</v>
      </c>
      <c r="I47" s="72">
        <v>2</v>
      </c>
      <c r="J47" s="72">
        <v>2</v>
      </c>
      <c r="K47" s="72">
        <v>2</v>
      </c>
      <c r="L47" s="72">
        <v>2</v>
      </c>
      <c r="M47" s="72">
        <v>2</v>
      </c>
    </row>
    <row r="48" spans="1:13" x14ac:dyDescent="0.55000000000000004">
      <c r="A48" s="85" t="s">
        <v>37</v>
      </c>
      <c r="B48" s="72" t="s">
        <v>59</v>
      </c>
      <c r="C48" s="72">
        <v>0</v>
      </c>
      <c r="D48" s="72" t="s">
        <v>59</v>
      </c>
      <c r="E48" s="72">
        <v>0</v>
      </c>
      <c r="F48" s="72" t="s">
        <v>59</v>
      </c>
      <c r="G48" s="72">
        <v>0</v>
      </c>
      <c r="H48" s="72" t="s">
        <v>59</v>
      </c>
      <c r="I48" s="72">
        <v>0</v>
      </c>
      <c r="J48" s="72" t="s">
        <v>59</v>
      </c>
      <c r="K48" s="72">
        <v>0</v>
      </c>
      <c r="L48" s="72" t="s">
        <v>59</v>
      </c>
      <c r="M48" s="72">
        <v>0</v>
      </c>
    </row>
    <row r="49" spans="1:13" x14ac:dyDescent="0.55000000000000004">
      <c r="A49" s="85" t="s">
        <v>38</v>
      </c>
      <c r="B49" s="72">
        <v>0</v>
      </c>
      <c r="C49" s="72" t="s">
        <v>59</v>
      </c>
      <c r="D49" s="72">
        <v>0</v>
      </c>
      <c r="E49" s="72" t="s">
        <v>59</v>
      </c>
      <c r="F49" s="72">
        <v>0</v>
      </c>
      <c r="G49" s="72" t="s">
        <v>59</v>
      </c>
      <c r="H49" s="72">
        <v>0</v>
      </c>
      <c r="I49" s="72" t="s">
        <v>59</v>
      </c>
      <c r="J49" s="72">
        <v>0</v>
      </c>
      <c r="K49" s="72" t="s">
        <v>59</v>
      </c>
      <c r="L49" s="72">
        <v>0</v>
      </c>
      <c r="M49" s="72" t="s">
        <v>59</v>
      </c>
    </row>
    <row r="50" spans="1:13" ht="28.2" x14ac:dyDescent="0.55000000000000004">
      <c r="A50" s="91" t="s">
        <v>39</v>
      </c>
      <c r="B50" s="75" t="s">
        <v>59</v>
      </c>
      <c r="C50" s="75">
        <f t="shared" ref="C50:G50" si="17">C43+C45+C47-C48</f>
        <v>-129.23334809738469</v>
      </c>
      <c r="D50" s="75" t="s">
        <v>59</v>
      </c>
      <c r="E50" s="75">
        <f t="shared" si="17"/>
        <v>-128.73334809738469</v>
      </c>
      <c r="F50" s="75" t="s">
        <v>59</v>
      </c>
      <c r="G50" s="75">
        <f t="shared" si="17"/>
        <v>-128.73334809738469</v>
      </c>
      <c r="H50" s="75" t="s">
        <v>59</v>
      </c>
      <c r="I50" s="75">
        <f t="shared" ref="I50:M50" si="18">I43+I45+I47-I48</f>
        <v>-142.5001670680094</v>
      </c>
      <c r="J50" s="75" t="s">
        <v>59</v>
      </c>
      <c r="K50" s="75">
        <f t="shared" si="18"/>
        <v>-140.6001670680094</v>
      </c>
      <c r="L50" s="75" t="s">
        <v>59</v>
      </c>
      <c r="M50" s="75">
        <f t="shared" si="18"/>
        <v>-140.6001670680094</v>
      </c>
    </row>
    <row r="51" spans="1:13" ht="28.2" x14ac:dyDescent="0.55000000000000004">
      <c r="A51" s="91" t="s">
        <v>149</v>
      </c>
      <c r="B51" s="75">
        <f>B44+B46+B47-B49</f>
        <v>-128.93334809738471</v>
      </c>
      <c r="C51" s="75" t="s">
        <v>59</v>
      </c>
      <c r="D51" s="75">
        <f>D44+D46+D47-D49</f>
        <v>-129.73334809738469</v>
      </c>
      <c r="E51" s="75" t="s">
        <v>59</v>
      </c>
      <c r="F51" s="75">
        <f t="shared" ref="F51" si="19">F44+F46+F47-F49</f>
        <v>-129.73334809738469</v>
      </c>
      <c r="G51" s="75" t="s">
        <v>59</v>
      </c>
      <c r="H51" s="75">
        <f t="shared" ref="H51:L51" si="20">H44+H46+H47-H49</f>
        <v>-142.20016706800939</v>
      </c>
      <c r="I51" s="75" t="s">
        <v>59</v>
      </c>
      <c r="J51" s="75">
        <f t="shared" si="20"/>
        <v>-141.20016706800939</v>
      </c>
      <c r="K51" s="75" t="s">
        <v>59</v>
      </c>
      <c r="L51" s="75">
        <f t="shared" si="20"/>
        <v>-141.20016706800939</v>
      </c>
      <c r="M51" s="75" t="s">
        <v>59</v>
      </c>
    </row>
    <row r="52" spans="1:13" ht="28.2" x14ac:dyDescent="0.55000000000000004">
      <c r="A52" s="91" t="s">
        <v>41</v>
      </c>
      <c r="B52" s="75" t="s">
        <v>59</v>
      </c>
      <c r="C52" s="75">
        <f t="shared" ref="C52:M52" si="21">C27+C32+C33-C50</f>
        <v>178.30544779386338</v>
      </c>
      <c r="D52" s="75" t="s">
        <v>59</v>
      </c>
      <c r="E52" s="75">
        <f t="shared" si="21"/>
        <v>177.80544779386338</v>
      </c>
      <c r="F52" s="75" t="s">
        <v>59</v>
      </c>
      <c r="G52" s="75">
        <f t="shared" si="21"/>
        <v>177.80544779386338</v>
      </c>
      <c r="H52" s="75" t="s">
        <v>59</v>
      </c>
      <c r="I52" s="75">
        <f t="shared" ref="I52" si="22">I27+I32+I33-I50</f>
        <v>182.53106693792884</v>
      </c>
      <c r="J52" s="75" t="s">
        <v>59</v>
      </c>
      <c r="K52" s="75">
        <f t="shared" si="21"/>
        <v>180.63106693792884</v>
      </c>
      <c r="L52" s="75" t="s">
        <v>59</v>
      </c>
      <c r="M52" s="75">
        <f t="shared" si="21"/>
        <v>180.63106693792884</v>
      </c>
    </row>
    <row r="53" spans="1:13" ht="28.2" x14ac:dyDescent="0.55000000000000004">
      <c r="A53" s="91" t="s">
        <v>42</v>
      </c>
      <c r="B53" s="75">
        <f>B28+B32+B33-B51</f>
        <v>178.0054477938634</v>
      </c>
      <c r="C53" s="75" t="s">
        <v>59</v>
      </c>
      <c r="D53" s="75">
        <f t="shared" ref="D53:L53" si="23">D28+D32+D33-D51</f>
        <v>178.80544779386338</v>
      </c>
      <c r="E53" s="75" t="s">
        <v>59</v>
      </c>
      <c r="F53" s="75">
        <f t="shared" si="23"/>
        <v>178.80544779386338</v>
      </c>
      <c r="G53" s="75" t="s">
        <v>59</v>
      </c>
      <c r="H53" s="75">
        <f t="shared" si="23"/>
        <v>182.23106693792883</v>
      </c>
      <c r="I53" s="75" t="s">
        <v>59</v>
      </c>
      <c r="J53" s="75">
        <f t="shared" si="23"/>
        <v>181.23106693792883</v>
      </c>
      <c r="K53" s="75" t="s">
        <v>59</v>
      </c>
      <c r="L53" s="75">
        <f t="shared" si="23"/>
        <v>181.23106693792883</v>
      </c>
      <c r="M53" s="75" t="s">
        <v>59</v>
      </c>
    </row>
    <row r="54" spans="1:13" x14ac:dyDescent="0.55000000000000004">
      <c r="A54" s="86" t="s">
        <v>43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spans="1:13" x14ac:dyDescent="0.55000000000000004">
      <c r="A55" s="85" t="s">
        <v>44</v>
      </c>
      <c r="B55" s="72">
        <v>4</v>
      </c>
      <c r="C55" s="72">
        <v>4</v>
      </c>
      <c r="D55" s="72">
        <v>6</v>
      </c>
      <c r="E55" s="72">
        <v>6</v>
      </c>
      <c r="F55" s="72">
        <v>6</v>
      </c>
      <c r="G55" s="72">
        <v>6</v>
      </c>
      <c r="H55" s="72">
        <v>4</v>
      </c>
      <c r="I55" s="72">
        <v>4</v>
      </c>
      <c r="J55" s="72">
        <v>6</v>
      </c>
      <c r="K55" s="72">
        <v>6</v>
      </c>
      <c r="L55" s="72">
        <v>6</v>
      </c>
      <c r="M55" s="72">
        <v>6</v>
      </c>
    </row>
    <row r="56" spans="1:13" ht="28.2" x14ac:dyDescent="0.55000000000000004">
      <c r="A56" s="85" t="s">
        <v>45</v>
      </c>
      <c r="B56" s="72" t="s">
        <v>59</v>
      </c>
      <c r="C56" s="72">
        <v>6.24</v>
      </c>
      <c r="D56" s="72" t="s">
        <v>59</v>
      </c>
      <c r="E56" s="72">
        <v>10.26</v>
      </c>
      <c r="F56" s="72" t="s">
        <v>59</v>
      </c>
      <c r="G56" s="72">
        <v>12.32</v>
      </c>
      <c r="H56" s="72" t="s">
        <v>59</v>
      </c>
      <c r="I56" s="72">
        <v>6.3</v>
      </c>
      <c r="J56" s="72" t="s">
        <v>59</v>
      </c>
      <c r="K56" s="72">
        <v>10.26</v>
      </c>
      <c r="L56" s="72" t="s">
        <v>59</v>
      </c>
      <c r="M56" s="72">
        <v>12.32</v>
      </c>
    </row>
    <row r="57" spans="1:13" ht="31.5" customHeight="1" x14ac:dyDescent="0.55000000000000004">
      <c r="A57" s="85" t="s">
        <v>46</v>
      </c>
      <c r="B57" s="72">
        <v>6.24</v>
      </c>
      <c r="C57" s="72" t="s">
        <v>59</v>
      </c>
      <c r="D57" s="72">
        <v>10.26</v>
      </c>
      <c r="E57" s="72" t="s">
        <v>59</v>
      </c>
      <c r="F57" s="72">
        <v>12.32</v>
      </c>
      <c r="G57" s="72" t="s">
        <v>59</v>
      </c>
      <c r="H57" s="72">
        <v>6.3</v>
      </c>
      <c r="I57" s="72" t="s">
        <v>59</v>
      </c>
      <c r="J57" s="72">
        <v>10.26</v>
      </c>
      <c r="K57" s="72" t="s">
        <v>59</v>
      </c>
      <c r="L57" s="72">
        <v>12.32</v>
      </c>
      <c r="M57" s="72" t="s">
        <v>59</v>
      </c>
    </row>
    <row r="58" spans="1:13" ht="32.25" customHeight="1" x14ac:dyDescent="0.55000000000000004">
      <c r="A58" s="85" t="s">
        <v>47</v>
      </c>
      <c r="B58" s="72">
        <v>0</v>
      </c>
      <c r="C58" s="72">
        <v>0</v>
      </c>
      <c r="D58" s="72">
        <v>0</v>
      </c>
      <c r="E58" s="72">
        <v>0</v>
      </c>
      <c r="F58" s="72">
        <v>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</row>
    <row r="59" spans="1:13" x14ac:dyDescent="0.55000000000000004">
      <c r="A59" s="85" t="s">
        <v>48</v>
      </c>
      <c r="B59" s="72">
        <v>0</v>
      </c>
      <c r="C59" s="72">
        <v>0</v>
      </c>
      <c r="D59" s="72">
        <v>0</v>
      </c>
      <c r="E59" s="72">
        <v>0</v>
      </c>
      <c r="F59" s="72">
        <f>20+0.5*12.5</f>
        <v>26.25</v>
      </c>
      <c r="G59" s="72">
        <f>20+0.5*12.5</f>
        <v>26.25</v>
      </c>
      <c r="H59" s="72">
        <v>0</v>
      </c>
      <c r="I59" s="72">
        <v>0</v>
      </c>
      <c r="J59" s="72">
        <v>0</v>
      </c>
      <c r="K59" s="72">
        <v>0</v>
      </c>
      <c r="L59" s="72">
        <f>20+0.5*12.5</f>
        <v>26.25</v>
      </c>
      <c r="M59" s="72">
        <f>20+0.5*12.5</f>
        <v>26.25</v>
      </c>
    </row>
    <row r="60" spans="1:13" x14ac:dyDescent="0.55000000000000004">
      <c r="A60" s="85" t="s">
        <v>49</v>
      </c>
      <c r="B60" s="72">
        <v>0</v>
      </c>
      <c r="C60" s="72">
        <v>0</v>
      </c>
      <c r="D60" s="72">
        <v>0</v>
      </c>
      <c r="E60" s="72">
        <v>0</v>
      </c>
      <c r="F60" s="72">
        <v>0</v>
      </c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</row>
    <row r="61" spans="1:13" ht="28.2" x14ac:dyDescent="0.55000000000000004">
      <c r="A61" s="99" t="s">
        <v>150</v>
      </c>
      <c r="B61" s="72" t="s">
        <v>59</v>
      </c>
      <c r="C61" s="72">
        <f t="shared" ref="C61:M61" si="24">C52-C56+C58-C59+C60-C34</f>
        <v>172.06544779386337</v>
      </c>
      <c r="D61" s="72" t="s">
        <v>59</v>
      </c>
      <c r="E61" s="72">
        <f t="shared" si="24"/>
        <v>167.54544779386339</v>
      </c>
      <c r="F61" s="72" t="s">
        <v>59</v>
      </c>
      <c r="G61" s="72">
        <f t="shared" si="24"/>
        <v>139.23544779386339</v>
      </c>
      <c r="H61" s="72" t="s">
        <v>59</v>
      </c>
      <c r="I61" s="72">
        <f t="shared" si="24"/>
        <v>173.23106693792883</v>
      </c>
      <c r="J61" s="72" t="s">
        <v>59</v>
      </c>
      <c r="K61" s="72">
        <f t="shared" si="24"/>
        <v>167.37106693792884</v>
      </c>
      <c r="L61" s="72" t="s">
        <v>59</v>
      </c>
      <c r="M61" s="72">
        <f t="shared" si="24"/>
        <v>139.06106693792884</v>
      </c>
    </row>
    <row r="62" spans="1:13" ht="28.2" x14ac:dyDescent="0.55000000000000004">
      <c r="A62" s="99" t="s">
        <v>50</v>
      </c>
      <c r="B62" s="72">
        <f t="shared" ref="B62:L62" si="25">B53-B57+B58-B59+B60-B34</f>
        <v>171.76544779386339</v>
      </c>
      <c r="C62" s="72" t="s">
        <v>59</v>
      </c>
      <c r="D62" s="72">
        <f t="shared" si="25"/>
        <v>168.54544779386339</v>
      </c>
      <c r="E62" s="72" t="s">
        <v>59</v>
      </c>
      <c r="F62" s="72">
        <f t="shared" si="25"/>
        <v>140.23544779386339</v>
      </c>
      <c r="G62" s="72" t="s">
        <v>59</v>
      </c>
      <c r="H62" s="72">
        <f t="shared" si="25"/>
        <v>172.93106693792882</v>
      </c>
      <c r="I62" s="72" t="s">
        <v>59</v>
      </c>
      <c r="J62" s="72">
        <f t="shared" si="25"/>
        <v>167.97106693792884</v>
      </c>
      <c r="K62" s="72" t="s">
        <v>59</v>
      </c>
      <c r="L62" s="72">
        <f t="shared" si="25"/>
        <v>139.66106693792884</v>
      </c>
      <c r="M62" s="72" t="s">
        <v>59</v>
      </c>
    </row>
    <row r="63" spans="1:13" x14ac:dyDescent="0.55000000000000004">
      <c r="A63" s="86" t="s">
        <v>51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</row>
    <row r="64" spans="1:13" x14ac:dyDescent="0.55000000000000004">
      <c r="A64" s="89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</row>
    <row r="65" spans="1:13" ht="42.3" x14ac:dyDescent="0.55000000000000004">
      <c r="A65" s="89" t="s">
        <v>52</v>
      </c>
      <c r="B65" s="72" t="s">
        <v>59</v>
      </c>
      <c r="C65" s="72">
        <f>SQRT((10^((C61-28-20*LOG10(C$4)+9*LOG10(112^2+(C$5-C$6)^2))/40) )^2-(C$5-C$6)^2)</f>
        <v>40313.004438076714</v>
      </c>
      <c r="D65" s="72" t="s">
        <v>59</v>
      </c>
      <c r="E65" s="72">
        <f>SQRT((10^((E61-161.04+7.1*LOG10(20)-7.5*LOG10(20)+(24.37-3.7*(20/E5)^2)*LOG10(E5)-20*LOG10(E4)+(3.2*(LOG10(17.625))^2-4.97)+0.6*(E6-1.5))/(43.42-3.1*LOG10(E5))+3))^2-(E5-E6)^2)</f>
        <v>10453.704448474071</v>
      </c>
      <c r="F65" s="72" t="s">
        <v>59</v>
      </c>
      <c r="G65" s="72">
        <f>SQRT((10^((G61-161.04+7.1*LOG10(20)-7.5*LOG10(20)+(24.37-3.7*(20/G5)^2)*LOG10(G5)-20*LOG10(G4)+(3.2*(LOG10(17.625))^2-4.97)+0.6*(G6-1.5))/(43.42-3.1*LOG10(G5))+3))^2-(G5-G6)^2)</f>
        <v>1972.183753285103</v>
      </c>
      <c r="H65" s="72" t="s">
        <v>59</v>
      </c>
      <c r="I65" s="72">
        <f>SQRT((10^((I61-28-20*LOG10(I$4)+9*LOG10(112^2+(I$5-I$6)^2))/40) )^2-(I$5-I$6)^2)</f>
        <v>43110.75753038426</v>
      </c>
      <c r="J65" s="72" t="s">
        <v>59</v>
      </c>
      <c r="K65" s="72">
        <f>SQRT((10^((K61-161.04+7.1*LOG10(20)-7.5*LOG10(20)+(24.37-3.7*(20/K5)^2)*LOG10(K5)-20*LOG10(K4)+(3.2*(LOG10(17.625))^2-4.97)+0.6*(K6-1.5))/(43.42-3.1*LOG10(K5))+3))^2-(K5-K6)^2)</f>
        <v>10346.864763311562</v>
      </c>
      <c r="L65" s="72" t="s">
        <v>59</v>
      </c>
      <c r="M65" s="72">
        <f>SQRT((10^((M61-161.04+7.1*LOG10(20)-7.5*LOG10(20)+(24.37-3.7*(20/M5)^2)*LOG10(M5)-20*LOG10(M4)+(3.2*(LOG10(17.625))^2-4.97)+0.6*(M6-1.5))/(43.42-3.1*LOG10(M5))+3))^2-(M5-M6)^2)</f>
        <v>1952.0247279806447</v>
      </c>
    </row>
    <row r="66" spans="1:13" ht="42.3" x14ac:dyDescent="0.55000000000000004">
      <c r="A66" s="89" t="s">
        <v>53</v>
      </c>
      <c r="B66" s="72">
        <f>SQRT((10^((B62-28-20*LOG10(B$4)+9*LOG10(112^2+(B$5-B$6)^2))/40) )^2-(B$5-B$6)^2)</f>
        <v>39622.800132756187</v>
      </c>
      <c r="C66" s="72" t="s">
        <v>59</v>
      </c>
      <c r="D66" s="72">
        <f>SQRT((10^((D62-161.04+7.1*LOG10(20)-7.5*LOG10(20)+(24.37-3.7*(20/D5)^2)*LOG10(D5)-20*LOG10(D4)+(3.2*(LOG10(17.625))^2-4.97)+0.6*(D6-1.5))/(43.42-3.1*LOG10(D5))+3))^2-(D5-D6)^2)</f>
        <v>11088.037728125189</v>
      </c>
      <c r="E66" s="72" t="s">
        <v>59</v>
      </c>
      <c r="F66" s="72">
        <f>SQRT((10^((F62-161.04+7.1*LOG10(20)-7.5*LOG10(20)+(24.37-3.7*(20/F5)^2)*LOG10(F5)-20*LOG10(F4)+(3.2*(LOG10(17.625))^2-4.97)+0.6*(F6-1.5))/(43.42-3.1*LOG10(F5))+3))^2-(F5-F6)^2)</f>
        <v>2091.872251901686</v>
      </c>
      <c r="G66" s="72" t="s">
        <v>59</v>
      </c>
      <c r="H66" s="72">
        <f>SQRT((10^((H62-28-20*LOG10(H$4)+9*LOG10(112^2+(H$5-H$6)^2))/40) )^2-(H$5-H$6)^2)</f>
        <v>42372.652554409324</v>
      </c>
      <c r="I66" s="72" t="s">
        <v>59</v>
      </c>
      <c r="J66" s="72">
        <f>SQRT((10^((J62-161.04+7.1*LOG10(20)-7.5*LOG10(20)+(24.37-3.7*(20/J5)^2)*LOG10(J5)-20*LOG10(J4)+(3.2*(LOG10(17.625))^2-4.97)+0.6*(J6-1.5))/(43.42-3.1*LOG10(J5))+3))^2-(J5-J6)^2)</f>
        <v>10719.128138852448</v>
      </c>
      <c r="K66" s="72" t="s">
        <v>59</v>
      </c>
      <c r="L66" s="72">
        <f>SQRT((10^((L62-161.04+7.1*LOG10(20)-7.5*LOG10(20)+(24.37-3.7*(20/L5)^2)*LOG10(L5)-20*LOG10(L4)+(3.2*(LOG10(17.625))^2-4.97)+0.6*(L6-1.5))/(43.42-3.1*LOG10(L5))+3))^2-(L5-L6)^2)</f>
        <v>2022.2650505937909</v>
      </c>
      <c r="M66" s="72" t="s">
        <v>59</v>
      </c>
    </row>
    <row r="67" spans="1:13" ht="33" x14ac:dyDescent="0.55000000000000004">
      <c r="A67" s="89" t="s">
        <v>151</v>
      </c>
      <c r="B67" s="72" t="s">
        <v>59</v>
      </c>
      <c r="C67" s="72">
        <f>PI()*(C65)^2</f>
        <v>5105522628.618721</v>
      </c>
      <c r="D67" s="72" t="s">
        <v>59</v>
      </c>
      <c r="E67" s="72">
        <f>PI()*(E65)^2</f>
        <v>343313046.30905759</v>
      </c>
      <c r="F67" s="72" t="s">
        <v>59</v>
      </c>
      <c r="G67" s="72">
        <f>PI()*(G65)^2</f>
        <v>12219252.136190113</v>
      </c>
      <c r="H67" s="72" t="s">
        <v>59</v>
      </c>
      <c r="I67" s="72">
        <f>PI()*(I65)^2</f>
        <v>5838767488.8943663</v>
      </c>
      <c r="J67" s="72" t="s">
        <v>59</v>
      </c>
      <c r="K67" s="72">
        <f>PI()*(K65)^2</f>
        <v>336331402.43857789</v>
      </c>
      <c r="L67" s="72" t="s">
        <v>59</v>
      </c>
      <c r="M67" s="72">
        <f>PI()*(M65)^2</f>
        <v>11970726.339450864</v>
      </c>
    </row>
    <row r="68" spans="1:13" ht="33" x14ac:dyDescent="0.55000000000000004">
      <c r="A68" s="89" t="s">
        <v>152</v>
      </c>
      <c r="B68" s="72">
        <f>PI()*(B66)^2</f>
        <v>4932194564.1796761</v>
      </c>
      <c r="C68" s="72" t="s">
        <v>59</v>
      </c>
      <c r="D68" s="72">
        <f>PI()*(D66)^2</f>
        <v>386241791.40116298</v>
      </c>
      <c r="E68" s="72" t="s">
        <v>59</v>
      </c>
      <c r="F68" s="72">
        <f>PI()*(F66)^2</f>
        <v>13747388.027243331</v>
      </c>
      <c r="G68" s="72" t="s">
        <v>59</v>
      </c>
      <c r="H68" s="72">
        <f>PI()*(H66)^2</f>
        <v>5640546405.9636879</v>
      </c>
      <c r="I68" s="72" t="s">
        <v>59</v>
      </c>
      <c r="J68" s="72">
        <f>PI()*(J66)^2</f>
        <v>360968078.73191774</v>
      </c>
      <c r="K68" s="72" t="s">
        <v>59</v>
      </c>
      <c r="L68" s="72">
        <f>PI()*(L66)^2</f>
        <v>12847718.881379062</v>
      </c>
      <c r="M68" s="72" t="s">
        <v>59</v>
      </c>
    </row>
    <row r="71" spans="1:13" ht="15.3" x14ac:dyDescent="0.55000000000000004">
      <c r="A71" s="96" t="s">
        <v>153</v>
      </c>
      <c r="B71" s="97"/>
      <c r="C71" s="97"/>
      <c r="D71" s="98"/>
    </row>
    <row r="72" spans="1:13" ht="15.3" x14ac:dyDescent="0.55000000000000004">
      <c r="A72" s="96" t="s">
        <v>154</v>
      </c>
      <c r="B72" s="97"/>
      <c r="C72" s="97"/>
      <c r="D72" s="98"/>
    </row>
    <row r="73" spans="1:13" ht="15.3" x14ac:dyDescent="0.55000000000000004">
      <c r="A73" s="96"/>
      <c r="B73" s="97"/>
      <c r="C73" s="97"/>
      <c r="D73" s="9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InH-eMBB (4GHz, NR DDDSU)</vt:lpstr>
      <vt:lpstr>InH-eMBB (4GHz, NR DSUUD)</vt:lpstr>
      <vt:lpstr>DU-eMBB (4GHz, NR DDDSU)</vt:lpstr>
      <vt:lpstr>DU-eMBB (4GHz, NR DSUUD)</vt:lpstr>
      <vt:lpstr>Rural-eMBB (700MHz, NR FDD)</vt:lpstr>
      <vt:lpstr>Rural-eMBB (700 MHz, NR DSUUD)</vt:lpstr>
      <vt:lpstr>Rural-eMBB (700MHz, LTE FDD)</vt:lpstr>
      <vt:lpstr>UMa_URLLC</vt:lpstr>
      <vt:lpstr>UMA-mMTC(NB-IoT)</vt:lpstr>
      <vt:lpstr>UMA-mMTC(eMTC)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2019-11-24T13:22:17Z</dcterms:created>
  <dcterms:modified xsi:type="dcterms:W3CDTF">2019-11-24T13:23:50Z</dcterms:modified>
</cp:coreProperties>
</file>