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bookViews>
    <workbookView xWindow="0" yWindow="0" windowWidth="24450" windowHeight="9375"/>
  </bookViews>
  <sheets>
    <sheet name="Annex6rev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81" i="1" l="1"/>
  <c r="U81" i="1"/>
  <c r="T81" i="1"/>
  <c r="S81" i="1"/>
  <c r="R81" i="1"/>
  <c r="Q81" i="1"/>
  <c r="P81" i="1"/>
  <c r="V79" i="1"/>
  <c r="U79" i="1"/>
  <c r="T79" i="1"/>
  <c r="S79" i="1"/>
  <c r="R79" i="1"/>
  <c r="Q79" i="1"/>
  <c r="P79" i="1"/>
  <c r="V77" i="1"/>
  <c r="U77" i="1"/>
  <c r="T77" i="1"/>
  <c r="S77" i="1"/>
  <c r="R77" i="1"/>
  <c r="Q77" i="1"/>
  <c r="P77" i="1"/>
  <c r="V76" i="1"/>
  <c r="P76" i="1"/>
  <c r="I76" i="1"/>
  <c r="H76" i="1"/>
  <c r="V75" i="1"/>
  <c r="U75" i="1"/>
  <c r="U76" i="1" s="1"/>
  <c r="T75" i="1"/>
  <c r="T76" i="1" s="1"/>
  <c r="S75" i="1"/>
  <c r="S76" i="1" s="1"/>
  <c r="R75" i="1"/>
  <c r="R76" i="1" s="1"/>
  <c r="Q75" i="1"/>
  <c r="Q76" i="1" s="1"/>
  <c r="P75" i="1"/>
  <c r="I75" i="1"/>
  <c r="H75" i="1"/>
  <c r="G75" i="1"/>
  <c r="G76" i="1" s="1"/>
  <c r="F75" i="1"/>
  <c r="F76" i="1" s="1"/>
  <c r="V74" i="1"/>
  <c r="P74" i="1"/>
  <c r="V72" i="1"/>
  <c r="R72" i="1"/>
  <c r="Q72" i="1"/>
  <c r="P72" i="1"/>
  <c r="V71" i="1"/>
  <c r="U71" i="1"/>
  <c r="T71" i="1"/>
  <c r="S71" i="1"/>
  <c r="R71" i="1"/>
  <c r="Q71" i="1"/>
  <c r="P71" i="1"/>
  <c r="L70" i="1"/>
  <c r="K70" i="1"/>
  <c r="J70" i="1"/>
  <c r="V65" i="1"/>
  <c r="U65" i="1"/>
  <c r="T65" i="1"/>
  <c r="S65" i="1"/>
  <c r="R65" i="1"/>
  <c r="Q65" i="1"/>
  <c r="P65" i="1"/>
  <c r="V64" i="1"/>
  <c r="U64" i="1"/>
  <c r="T64" i="1"/>
  <c r="S64" i="1"/>
  <c r="R64" i="1"/>
  <c r="Q64" i="1"/>
  <c r="P64" i="1"/>
  <c r="V63" i="1"/>
  <c r="R63" i="1"/>
  <c r="Q63" i="1"/>
  <c r="P63" i="1"/>
  <c r="V62" i="1"/>
  <c r="U62" i="1"/>
  <c r="T62" i="1"/>
  <c r="S62" i="1"/>
  <c r="R62" i="1"/>
  <c r="Q62" i="1"/>
  <c r="P62" i="1"/>
  <c r="V37" i="1"/>
  <c r="U37" i="1"/>
  <c r="T37" i="1"/>
  <c r="E37" i="1"/>
  <c r="D37" i="1"/>
  <c r="C37" i="1"/>
  <c r="V36" i="1"/>
  <c r="U36" i="1"/>
  <c r="T36" i="1"/>
  <c r="S36" i="1"/>
  <c r="S37" i="1" s="1"/>
  <c r="R36" i="1"/>
  <c r="R37" i="1" s="1"/>
  <c r="Q36" i="1"/>
  <c r="Q37" i="1" s="1"/>
  <c r="P36" i="1"/>
  <c r="P37" i="1" s="1"/>
  <c r="I36" i="1"/>
  <c r="H36" i="1"/>
  <c r="G36" i="1"/>
  <c r="F36" i="1"/>
  <c r="V30" i="1"/>
  <c r="P30" i="1"/>
  <c r="V10" i="1"/>
  <c r="U10" i="1"/>
  <c r="T10" i="1"/>
  <c r="S10" i="1"/>
  <c r="R10" i="1"/>
  <c r="Q10" i="1"/>
</calcChain>
</file>

<file path=xl/sharedStrings.xml><?xml version="1.0" encoding="utf-8"?>
<sst xmlns="http://schemas.openxmlformats.org/spreadsheetml/2006/main" count="449" uniqueCount="161">
  <si>
    <t>Geostationary network</t>
  </si>
  <si>
    <t>Units</t>
  </si>
  <si>
    <t>Submission</t>
  </si>
  <si>
    <t>Link Direction</t>
  </si>
  <si>
    <t>Gateway to User</t>
  </si>
  <si>
    <t>User to Gateway</t>
  </si>
  <si>
    <t>A) Performance objectives</t>
  </si>
  <si>
    <t>(dB)</t>
  </si>
  <si>
    <t>N/A</t>
  </si>
  <si>
    <t>B) Waveform description</t>
  </si>
  <si>
    <t>1.B.1 Modulation type (e.g. FM, QPSK, BPSK)</t>
  </si>
  <si>
    <t>QPSK,</t>
  </si>
  <si>
    <t>8-PSK,</t>
  </si>
  <si>
    <t>16-APSK</t>
  </si>
  <si>
    <t>BPSK</t>
  </si>
  <si>
    <t>16APSK</t>
  </si>
  <si>
    <t>QPSK</t>
  </si>
  <si>
    <t>1.B.2 Noise bandwidth per carrier</t>
  </si>
  <si>
    <t>(kHz)</t>
  </si>
  <si>
    <t>C) Transmit earth station characteristics</t>
  </si>
  <si>
    <t>1.C.1 Altitude</t>
  </si>
  <si>
    <t>(km)</t>
  </si>
  <si>
    <t>1.C.2 Latitude (+: North, –: South) from Equator</t>
  </si>
  <si>
    <t>(degrees)</t>
  </si>
  <si>
    <t>(°C)</t>
  </si>
  <si>
    <t>(%)</t>
  </si>
  <si>
    <t>(ITU/Crane)</t>
  </si>
  <si>
    <t>ITU-R P.618</t>
  </si>
  <si>
    <t>(as per model )</t>
  </si>
  <si>
    <t>C</t>
  </si>
  <si>
    <t>-</t>
  </si>
  <si>
    <t>–</t>
  </si>
  <si>
    <t>(dBW)</t>
  </si>
  <si>
    <t>NA</t>
  </si>
  <si>
    <t>D) Receive earth station characteristics</t>
  </si>
  <si>
    <t>1.D.1 Altitude</t>
  </si>
  <si>
    <t>1.D.2 Latitude (+: North, –: South) from Equator</t>
  </si>
  <si>
    <t>(as per model)</t>
  </si>
  <si>
    <t>N</t>
  </si>
  <si>
    <t>(K)</t>
  </si>
  <si>
    <t>(dBi)</t>
  </si>
  <si>
    <t>(m)</t>
  </si>
  <si>
    <t>E) Space station receive characteristics</t>
  </si>
  <si>
    <t>1.E.1 Transponder bandwidth</t>
  </si>
  <si>
    <t>(MHz)</t>
  </si>
  <si>
    <t>1.E.2 Receive frequency</t>
  </si>
  <si>
    <t>(GHz)</t>
  </si>
  <si>
    <t>42.5-51.4</t>
  </si>
  <si>
    <t>1.E.3 Receive polarisation</t>
  </si>
  <si>
    <t>(H: horizontal, V: Vertical, C: Circular)</t>
  </si>
  <si>
    <t>1.E.4 Automatic level control range</t>
  </si>
  <si>
    <t>(0 if none)</t>
  </si>
  <si>
    <t>1.E.5 Peak receive antenna gain</t>
  </si>
  <si>
    <t>1.E.6 Receive satellite antenna gain in the direction of transmit earth station</t>
  </si>
  <si>
    <t>1.E.7 Satellite receive temperature</t>
  </si>
  <si>
    <t>1.E.10 Transponder total input back-off</t>
  </si>
  <si>
    <t>F) Space station transmit characteristics</t>
  </si>
  <si>
    <t>1.F.1  Transmit frequency</t>
  </si>
  <si>
    <t xml:space="preserve">37.5-50.2 </t>
  </si>
  <si>
    <t>1.F.2 Transmit polarisation (H: horizontal, V: Vertical, C: Circular)</t>
  </si>
  <si>
    <t>1.F.3 Transponder total output back-off</t>
  </si>
  <si>
    <t>1.F.4 Satellite e.i.r.p. in the direction of the receive earth station</t>
  </si>
  <si>
    <t>1.F.5 Transmit cross-polarisation isolation (C/I ratio, 100 if not applicable)</t>
  </si>
  <si>
    <t>1.F.6 Transmit frequency re-use isolation (C/I ratio, 100 if not applicable)</t>
  </si>
  <si>
    <t>1.F.7 Satellite adjacent transponder isolation</t>
  </si>
  <si>
    <t>G) Interference from other GSO networks and terrestrial services</t>
  </si>
  <si>
    <t>(100 dB if no sharing)</t>
  </si>
  <si>
    <t>500-600</t>
  </si>
  <si>
    <t>GW to User</t>
  </si>
  <si>
    <t>User to GW</t>
  </si>
  <si>
    <t>32APSK</t>
  </si>
  <si>
    <t>64APSK</t>
  </si>
  <si>
    <t>D</t>
  </si>
  <si>
    <t>37.5-42.5</t>
  </si>
  <si>
    <t>47.2-50.2, 50.4-51.4</t>
  </si>
  <si>
    <t>H and V</t>
  </si>
  <si>
    <t>1.D.15 Antenna Diameter</t>
  </si>
  <si>
    <t>Arctic Backhaul</t>
  </si>
  <si>
    <t>Phased Array RTN</t>
  </si>
  <si>
    <t>Steerable Beam RTN</t>
  </si>
  <si>
    <t>Steerable Beam FWD</t>
  </si>
  <si>
    <t>Broadcast</t>
  </si>
  <si>
    <t>Exurbia RTN</t>
  </si>
  <si>
    <t>Exurbia FWD</t>
  </si>
  <si>
    <t>1.F.9 Saturated Satellite e.i.r.p. densiy in direction of the receive earth station</t>
  </si>
  <si>
    <t>(dBW/Hz)</t>
  </si>
  <si>
    <t>E</t>
  </si>
  <si>
    <t>F</t>
  </si>
  <si>
    <t>B</t>
  </si>
  <si>
    <t>A</t>
  </si>
  <si>
    <t>1.F.10 Satellite e.i.r.p. densiy in direction of the receive earth station (with OBO)</t>
  </si>
  <si>
    <t>1.D.16 On-Axis Antenna Gain</t>
  </si>
  <si>
    <t>1.D.17 Uplink EIRP Density</t>
  </si>
  <si>
    <t>1.D.18 PSD at Antennaa Flange</t>
  </si>
  <si>
    <t>1.E.11 Uplink C/N</t>
  </si>
  <si>
    <t>1.F.11 Downlink C/N</t>
  </si>
  <si>
    <t>8PSK</t>
  </si>
  <si>
    <t>16PSK</t>
  </si>
  <si>
    <t>(Clear Sky)</t>
  </si>
  <si>
    <t xml:space="preserve">- </t>
  </si>
  <si>
    <t>47.2-50.2/
50.4-51.4</t>
  </si>
  <si>
    <t>40-42</t>
  </si>
  <si>
    <t>User to Gateway 2</t>
  </si>
  <si>
    <t>Gateway to User 3</t>
  </si>
  <si>
    <t>User to Gateway 3</t>
  </si>
  <si>
    <t>ITU-R P.835</t>
  </si>
  <si>
    <t>ITU-R P.837</t>
  </si>
  <si>
    <t>1.C.3 Longitude (+/:East, -:West)</t>
  </si>
  <si>
    <t>1.C.4 Elevation angle</t>
  </si>
  <si>
    <t>1.C.5 Temperature at ground level</t>
  </si>
  <si>
    <t>1.C.6 Relative humidity</t>
  </si>
  <si>
    <t>1.C.7 Rain model</t>
  </si>
  <si>
    <t>1.C.8 Rain zone</t>
  </si>
  <si>
    <t>1.C.9 Rain fall rate exceeded for 0.01% of an average year (mm/h) if available</t>
  </si>
  <si>
    <t>1.C.10 On-axis Earth station transmit e.i.r.p.</t>
  </si>
  <si>
    <t>1.C.11 Antenna pointing loss towards the geostationary satellite</t>
  </si>
  <si>
    <t>1.C.13 Power control range (&gt;0, 0 dB if none)</t>
  </si>
  <si>
    <t>1.C.14 Power control accuracy (applicable only if uplink power control used)</t>
  </si>
  <si>
    <t xml:space="preserve"> 1.D.3 Longitude (+/:East, -:West)</t>
  </si>
  <si>
    <t>1.D.4 Temperature at ground level</t>
  </si>
  <si>
    <t>1.D.5 Relative humidity</t>
  </si>
  <si>
    <t>1.D.6 Elevation angle</t>
  </si>
  <si>
    <t>1.D.7 Rain zone</t>
  </si>
  <si>
    <t>1.D.8 Rain fall rate exceeded for 0.01% of an average year (mm/h) if available</t>
  </si>
  <si>
    <t>1.D.10 On-axis antenna gain</t>
  </si>
  <si>
    <t>1.D.11 Antenna  diameter</t>
  </si>
  <si>
    <t>1.D.12 Antenna pointing loss</t>
  </si>
  <si>
    <t>8APSK</t>
  </si>
  <si>
    <t>11/20
13/18
4/5</t>
  </si>
  <si>
    <t>5/9-L
5/9-L
5/6</t>
  </si>
  <si>
    <t>1/2-L
2/3-L
4/5</t>
  </si>
  <si>
    <t>0.45
23/26
32/45-L</t>
  </si>
  <si>
    <t xml:space="preserve">11/20
2/3
32/45-L
</t>
  </si>
  <si>
    <t>1/2-L
2/3-L
32/45-L</t>
  </si>
  <si>
    <t>FEC</t>
  </si>
  <si>
    <t>186.1/399.3</t>
  </si>
  <si>
    <t>200.7/400.2</t>
  </si>
  <si>
    <t>181/385</t>
  </si>
  <si>
    <t>QPSK, 
8-PSK, 
16-APSK</t>
  </si>
  <si>
    <t>13-18
3/4
7/9</t>
  </si>
  <si>
    <t>5/9-L</t>
  </si>
  <si>
    <t>ITU</t>
  </si>
  <si>
    <r>
      <t xml:space="preserve">1.A.1 Threshold #1 (N/A for not applicable): </t>
    </r>
    <r>
      <rPr>
        <i/>
        <sz val="10"/>
        <rFont val="Times New Roman"/>
        <family val="1"/>
      </rPr>
      <t>C</t>
    </r>
    <r>
      <rPr>
        <sz val="10"/>
        <rFont val="Times New Roman"/>
        <family val="1"/>
      </rPr>
      <t>/(</t>
    </r>
    <r>
      <rPr>
        <i/>
        <sz val="10"/>
        <rFont val="Times New Roman"/>
        <family val="1"/>
      </rPr>
      <t>N</t>
    </r>
    <r>
      <rPr>
        <sz val="10"/>
        <rFont val="Times New Roman"/>
        <family val="1"/>
      </rPr>
      <t>+</t>
    </r>
    <r>
      <rPr>
        <i/>
        <sz val="10"/>
        <rFont val="Times New Roman"/>
        <family val="1"/>
      </rPr>
      <t>I</t>
    </r>
    <r>
      <rPr>
        <sz val="10"/>
        <rFont val="Times New Roman"/>
        <family val="1"/>
      </rPr>
      <t>)</t>
    </r>
  </si>
  <si>
    <r>
      <t xml:space="preserve">(% of the year </t>
    </r>
    <r>
      <rPr>
        <i/>
        <sz val="10"/>
        <rFont val="Times New Roman"/>
        <family val="1"/>
      </rPr>
      <t>C</t>
    </r>
    <r>
      <rPr>
        <sz val="10"/>
        <rFont val="Times New Roman"/>
        <family val="1"/>
      </rPr>
      <t>/(</t>
    </r>
    <r>
      <rPr>
        <i/>
        <sz val="10"/>
        <rFont val="Times New Roman"/>
        <family val="1"/>
      </rPr>
      <t>N</t>
    </r>
    <r>
      <rPr>
        <sz val="10"/>
        <rFont val="Times New Roman"/>
        <family val="1"/>
      </rPr>
      <t>+</t>
    </r>
    <r>
      <rPr>
        <i/>
        <sz val="10"/>
        <rFont val="Times New Roman"/>
        <family val="1"/>
      </rPr>
      <t>I</t>
    </r>
    <r>
      <rPr>
        <sz val="10"/>
        <rFont val="Times New Roman"/>
        <family val="1"/>
      </rPr>
      <t>) should be exceeded)</t>
    </r>
  </si>
  <si>
    <r>
      <t xml:space="preserve">1.A.2 Threshold #2 (N/A for not applicable): </t>
    </r>
    <r>
      <rPr>
        <i/>
        <sz val="10"/>
        <rFont val="Times New Roman"/>
        <family val="1"/>
      </rPr>
      <t>C</t>
    </r>
    <r>
      <rPr>
        <sz val="10"/>
        <rFont val="Times New Roman"/>
        <family val="1"/>
      </rPr>
      <t>/(</t>
    </r>
    <r>
      <rPr>
        <i/>
        <sz val="10"/>
        <rFont val="Times New Roman"/>
        <family val="1"/>
      </rPr>
      <t>N</t>
    </r>
    <r>
      <rPr>
        <sz val="10"/>
        <rFont val="Times New Roman"/>
        <family val="1"/>
      </rPr>
      <t>+</t>
    </r>
    <r>
      <rPr>
        <i/>
        <sz val="10"/>
        <rFont val="Times New Roman"/>
        <family val="1"/>
      </rPr>
      <t>I</t>
    </r>
    <r>
      <rPr>
        <sz val="10"/>
        <rFont val="Times New Roman"/>
        <family val="1"/>
      </rPr>
      <t>)</t>
    </r>
  </si>
  <si>
    <r>
      <t xml:space="preserve">(% of the year </t>
    </r>
    <r>
      <rPr>
        <i/>
        <sz val="10"/>
        <rFont val="Times New Roman"/>
        <family val="1"/>
      </rPr>
      <t>C</t>
    </r>
    <r>
      <rPr>
        <sz val="10"/>
        <rFont val="Times New Roman"/>
        <family val="1"/>
      </rPr>
      <t>/(</t>
    </r>
    <r>
      <rPr>
        <i/>
        <sz val="10"/>
        <rFont val="Times New Roman"/>
        <family val="1"/>
      </rPr>
      <t>N</t>
    </r>
    <r>
      <rPr>
        <sz val="10"/>
        <rFont val="Times New Roman"/>
        <family val="1"/>
      </rPr>
      <t>+</t>
    </r>
    <r>
      <rPr>
        <i/>
        <sz val="10"/>
        <rFont val="Times New Roman"/>
        <family val="1"/>
      </rPr>
      <t>I</t>
    </r>
    <r>
      <rPr>
        <sz val="10"/>
        <rFont val="Times New Roman"/>
        <family val="1"/>
      </rPr>
      <t>) should  be exceeded)</t>
    </r>
  </si>
  <si>
    <r>
      <t xml:space="preserve">1.A.3 Threshold #3 (N/A for not applicable): </t>
    </r>
    <r>
      <rPr>
        <i/>
        <sz val="10"/>
        <rFont val="Times New Roman"/>
        <family val="1"/>
      </rPr>
      <t>C</t>
    </r>
    <r>
      <rPr>
        <sz val="10"/>
        <rFont val="Times New Roman"/>
        <family val="1"/>
      </rPr>
      <t>/(</t>
    </r>
    <r>
      <rPr>
        <i/>
        <sz val="10"/>
        <rFont val="Times New Roman"/>
        <family val="1"/>
      </rPr>
      <t>N</t>
    </r>
    <r>
      <rPr>
        <sz val="10"/>
        <rFont val="Times New Roman"/>
        <family val="1"/>
      </rPr>
      <t>+</t>
    </r>
    <r>
      <rPr>
        <i/>
        <sz val="10"/>
        <rFont val="Times New Roman"/>
        <family val="1"/>
      </rPr>
      <t>I</t>
    </r>
    <r>
      <rPr>
        <sz val="10"/>
        <rFont val="Times New Roman"/>
        <family val="1"/>
      </rPr>
      <t>)</t>
    </r>
  </si>
  <si>
    <r>
      <t xml:space="preserve">1.C.12 Inter modulation earth stations </t>
    </r>
    <r>
      <rPr>
        <i/>
        <sz val="10"/>
        <rFont val="Times New Roman"/>
        <family val="1"/>
      </rPr>
      <t xml:space="preserve">C/I </t>
    </r>
  </si>
  <si>
    <r>
      <t>1.C.15 Polarisation isolation (</t>
    </r>
    <r>
      <rPr>
        <i/>
        <sz val="10"/>
        <rFont val="Times New Roman"/>
        <family val="1"/>
      </rPr>
      <t>C/I</t>
    </r>
    <r>
      <rPr>
        <sz val="10"/>
        <rFont val="Times New Roman"/>
        <family val="1"/>
      </rPr>
      <t xml:space="preserve"> of wanted to unwanted polarisation)</t>
    </r>
  </si>
  <si>
    <t>1.D.9 Earth station receive noise temperature (clear sky / faded link)</t>
  </si>
  <si>
    <r>
      <t>1.D.13 Polarisation isolation (</t>
    </r>
    <r>
      <rPr>
        <i/>
        <sz val="10"/>
        <rFont val="Times New Roman"/>
        <family val="1"/>
      </rPr>
      <t>C/I</t>
    </r>
    <r>
      <rPr>
        <sz val="10"/>
        <rFont val="Times New Roman"/>
        <family val="1"/>
      </rPr>
      <t xml:space="preserve"> of wanted to unwanted polarisation)</t>
    </r>
  </si>
  <si>
    <r>
      <t>1.E.8 Receive cross-polarisation isolation (</t>
    </r>
    <r>
      <rPr>
        <i/>
        <sz val="10"/>
        <rFont val="Times New Roman"/>
        <family val="1"/>
      </rPr>
      <t>C/I</t>
    </r>
    <r>
      <rPr>
        <sz val="10"/>
        <rFont val="Times New Roman"/>
        <family val="1"/>
      </rPr>
      <t xml:space="preserve"> ratio, 100 if not applicable)</t>
    </r>
  </si>
  <si>
    <r>
      <t>1.E.9 Receive frequency re-use isolation (</t>
    </r>
    <r>
      <rPr>
        <i/>
        <sz val="10"/>
        <rFont val="Times New Roman"/>
        <family val="1"/>
      </rPr>
      <t>C/I</t>
    </r>
    <r>
      <rPr>
        <sz val="10"/>
        <rFont val="Times New Roman"/>
        <family val="1"/>
      </rPr>
      <t xml:space="preserve"> ratio, 100 if not applicable)</t>
    </r>
  </si>
  <si>
    <r>
      <t xml:space="preserve">1.F.8 Transponder inter modulation </t>
    </r>
    <r>
      <rPr>
        <i/>
        <sz val="10"/>
        <rFont val="Times New Roman"/>
        <family val="1"/>
      </rPr>
      <t>C/I</t>
    </r>
  </si>
  <si>
    <r>
      <t xml:space="preserve">1.G.1 Up link clear-sky </t>
    </r>
    <r>
      <rPr>
        <i/>
        <sz val="10"/>
        <rFont val="Times New Roman"/>
        <family val="1"/>
      </rPr>
      <t>C/I</t>
    </r>
    <r>
      <rPr>
        <sz val="10"/>
        <rFont val="Times New Roman"/>
        <family val="1"/>
      </rPr>
      <t xml:space="preserve"> due to other geostationary networks</t>
    </r>
  </si>
  <si>
    <r>
      <t xml:space="preserve">1.G.2 Up link clear-sky </t>
    </r>
    <r>
      <rPr>
        <i/>
        <sz val="10"/>
        <rFont val="Times New Roman"/>
        <family val="1"/>
      </rPr>
      <t>C/I</t>
    </r>
    <r>
      <rPr>
        <sz val="10"/>
        <rFont val="Times New Roman"/>
        <family val="1"/>
      </rPr>
      <t xml:space="preserve"> due to sharing with fixed service (100 dB if no sharing)</t>
    </r>
  </si>
  <si>
    <r>
      <t xml:space="preserve">1.G.3 Down link clear-sky </t>
    </r>
    <r>
      <rPr>
        <i/>
        <sz val="10"/>
        <rFont val="Times New Roman"/>
        <family val="1"/>
      </rPr>
      <t>C/I</t>
    </r>
    <r>
      <rPr>
        <sz val="10"/>
        <rFont val="Times New Roman"/>
        <family val="1"/>
      </rPr>
      <t xml:space="preserve"> due to other geostationary networks</t>
    </r>
  </si>
  <si>
    <r>
      <t xml:space="preserve">1.G.4 Down link clear-sky </t>
    </r>
    <r>
      <rPr>
        <i/>
        <sz val="10"/>
        <rFont val="Times New Roman"/>
        <family val="1"/>
      </rPr>
      <t>C/I</t>
    </r>
    <r>
      <rPr>
        <sz val="10"/>
        <rFont val="Times New Roman"/>
        <family val="1"/>
      </rPr>
      <t xml:space="preserve"> due to sharing with fixed services</t>
    </r>
  </si>
  <si>
    <t>(mm/hr)</t>
  </si>
  <si>
    <t>(H, V, C)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</si>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</sst>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trike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164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1" fillId="0" borderId="2" xfId="0" quotePrefix="1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3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5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3" borderId="1" xfId="0" quotePrefix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86"/>
  <sheetViews>
    <sheetView tabSelected="1" zoomScale="85" zoomScaleNormal="85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 x14ac:dyDescent="0.25"/>
  <cols>
    <col min="1" max="1" width="37.140625" style="78" customWidth="1"/>
    <col min="2" max="2" width="13" style="2" customWidth="1"/>
    <col min="3" max="26" width="9.85546875" style="2" customWidth="1"/>
    <col min="27" max="16384" width="9.140625" style="60"/>
  </cols>
  <sheetData>
    <row r="1" spans="1:26" x14ac:dyDescent="0.25">
      <c r="A1" s="48" t="s">
        <v>0</v>
      </c>
      <c r="B1" s="5" t="s">
        <v>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37"/>
    </row>
    <row r="2" spans="1:26" x14ac:dyDescent="0.25">
      <c r="A2" s="85" t="s">
        <v>2</v>
      </c>
      <c r="B2" s="82"/>
      <c r="C2" s="82"/>
      <c r="D2" s="82"/>
      <c r="E2" s="82"/>
      <c r="F2" s="82"/>
      <c r="G2" s="82"/>
      <c r="H2" s="82"/>
      <c r="I2" s="82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  <c r="W2" s="61"/>
      <c r="X2" s="6"/>
      <c r="Y2" s="6"/>
      <c r="Z2" s="38"/>
    </row>
    <row r="3" spans="1:26" x14ac:dyDescent="0.25">
      <c r="A3" s="85"/>
      <c r="B3" s="82"/>
      <c r="C3" s="82"/>
      <c r="D3" s="82"/>
      <c r="E3" s="82"/>
      <c r="F3" s="82"/>
      <c r="G3" s="82"/>
      <c r="H3" s="82"/>
      <c r="I3" s="82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1"/>
      <c r="X3" s="6"/>
      <c r="Y3" s="6"/>
      <c r="Z3" s="38"/>
    </row>
    <row r="4" spans="1:26" ht="38.25" x14ac:dyDescent="0.25">
      <c r="A4" s="48" t="s">
        <v>3</v>
      </c>
      <c r="B4" s="5"/>
      <c r="C4" s="82" t="s">
        <v>5</v>
      </c>
      <c r="D4" s="82"/>
      <c r="E4" s="82"/>
      <c r="F4" s="5" t="s">
        <v>4</v>
      </c>
      <c r="G4" s="5" t="s">
        <v>5</v>
      </c>
      <c r="H4" s="5" t="s">
        <v>4</v>
      </c>
      <c r="I4" s="5" t="s">
        <v>5</v>
      </c>
      <c r="J4" s="5" t="s">
        <v>68</v>
      </c>
      <c r="K4" s="5" t="s">
        <v>68</v>
      </c>
      <c r="L4" s="5" t="s">
        <v>68</v>
      </c>
      <c r="M4" s="5" t="s">
        <v>69</v>
      </c>
      <c r="N4" s="5" t="s">
        <v>69</v>
      </c>
      <c r="O4" s="5" t="s">
        <v>69</v>
      </c>
      <c r="P4" s="6" t="s">
        <v>83</v>
      </c>
      <c r="Q4" s="6" t="s">
        <v>82</v>
      </c>
      <c r="R4" s="6" t="s">
        <v>81</v>
      </c>
      <c r="S4" s="6" t="s">
        <v>80</v>
      </c>
      <c r="T4" s="6" t="s">
        <v>79</v>
      </c>
      <c r="U4" s="6" t="s">
        <v>78</v>
      </c>
      <c r="V4" s="6" t="s">
        <v>77</v>
      </c>
      <c r="W4" s="6" t="s">
        <v>5</v>
      </c>
      <c r="X4" s="6" t="s">
        <v>102</v>
      </c>
      <c r="Y4" s="6" t="s">
        <v>103</v>
      </c>
      <c r="Z4" s="38" t="s">
        <v>104</v>
      </c>
    </row>
    <row r="5" spans="1:26" ht="33.75" customHeight="1" x14ac:dyDescent="0.25">
      <c r="A5" s="48" t="s">
        <v>6</v>
      </c>
      <c r="B5" s="5" t="s">
        <v>160</v>
      </c>
      <c r="C5" s="5">
        <v>1</v>
      </c>
      <c r="D5" s="5">
        <v>2</v>
      </c>
      <c r="E5" s="81">
        <v>3</v>
      </c>
      <c r="F5" s="81">
        <v>4</v>
      </c>
      <c r="G5" s="81">
        <v>5</v>
      </c>
      <c r="H5" s="81">
        <v>6</v>
      </c>
      <c r="I5" s="81">
        <v>7</v>
      </c>
      <c r="J5" s="81">
        <v>8</v>
      </c>
      <c r="K5" s="81">
        <v>9</v>
      </c>
      <c r="L5" s="81">
        <v>10</v>
      </c>
      <c r="M5" s="81">
        <v>11</v>
      </c>
      <c r="N5" s="81">
        <v>12</v>
      </c>
      <c r="O5" s="81">
        <v>13</v>
      </c>
      <c r="P5" s="81">
        <v>14</v>
      </c>
      <c r="Q5" s="81">
        <v>15</v>
      </c>
      <c r="R5" s="81">
        <v>16</v>
      </c>
      <c r="S5" s="81">
        <v>17</v>
      </c>
      <c r="T5" s="81">
        <v>18</v>
      </c>
      <c r="U5" s="81">
        <v>19</v>
      </c>
      <c r="V5" s="81">
        <v>20</v>
      </c>
      <c r="W5" s="81">
        <v>21</v>
      </c>
      <c r="X5" s="81">
        <v>22</v>
      </c>
      <c r="Y5" s="81">
        <v>23</v>
      </c>
      <c r="Z5" s="81">
        <v>24</v>
      </c>
    </row>
    <row r="6" spans="1:26" s="63" customFormat="1" x14ac:dyDescent="0.25">
      <c r="A6" s="49" t="s">
        <v>142</v>
      </c>
      <c r="B6" s="7" t="s">
        <v>7</v>
      </c>
      <c r="C6" s="9">
        <v>12</v>
      </c>
      <c r="D6" s="8">
        <v>6</v>
      </c>
      <c r="E6" s="8">
        <v>4.4000000000000004</v>
      </c>
      <c r="F6" s="10">
        <v>-2.7</v>
      </c>
      <c r="G6" s="7">
        <v>1.4</v>
      </c>
      <c r="H6" s="7">
        <v>-4.2</v>
      </c>
      <c r="I6" s="7">
        <v>0.6</v>
      </c>
      <c r="J6" s="11">
        <v>1.5</v>
      </c>
      <c r="K6" s="11">
        <v>4.7</v>
      </c>
      <c r="L6" s="11">
        <v>6</v>
      </c>
      <c r="M6" s="11">
        <v>0</v>
      </c>
      <c r="N6" s="11">
        <v>1.5</v>
      </c>
      <c r="O6" s="11">
        <v>6</v>
      </c>
      <c r="P6" s="62" t="s">
        <v>8</v>
      </c>
      <c r="Q6" s="62" t="s">
        <v>8</v>
      </c>
      <c r="R6" s="62">
        <v>1.55</v>
      </c>
      <c r="S6" s="62">
        <v>-1.34</v>
      </c>
      <c r="T6" s="62">
        <v>-0.41</v>
      </c>
      <c r="U6" s="62">
        <v>0.52</v>
      </c>
      <c r="V6" s="62">
        <v>4.9000000000000004</v>
      </c>
      <c r="W6" s="8">
        <v>12</v>
      </c>
      <c r="X6" s="12">
        <v>7</v>
      </c>
      <c r="Y6" s="12">
        <v>7</v>
      </c>
      <c r="Z6" s="39">
        <v>7</v>
      </c>
    </row>
    <row r="7" spans="1:26" x14ac:dyDescent="0.2">
      <c r="A7" s="50" t="s">
        <v>143</v>
      </c>
      <c r="B7" s="13"/>
      <c r="C7" s="14">
        <v>99.97</v>
      </c>
      <c r="D7" s="14">
        <v>99.97</v>
      </c>
      <c r="E7" s="14">
        <v>99.93</v>
      </c>
      <c r="F7" s="15">
        <v>0.996</v>
      </c>
      <c r="G7" s="15">
        <v>0.996</v>
      </c>
      <c r="H7" s="16">
        <v>0.996</v>
      </c>
      <c r="I7" s="16">
        <v>0.996</v>
      </c>
      <c r="J7" s="54">
        <v>99.9</v>
      </c>
      <c r="K7" s="54">
        <v>98.5</v>
      </c>
      <c r="L7" s="54">
        <v>99.9</v>
      </c>
      <c r="M7" s="54">
        <v>99.9</v>
      </c>
      <c r="N7" s="54">
        <v>98.5</v>
      </c>
      <c r="O7" s="54">
        <v>99.9</v>
      </c>
      <c r="P7" s="35">
        <v>99.5</v>
      </c>
      <c r="Q7" s="62">
        <v>99.5</v>
      </c>
      <c r="R7" s="35">
        <v>99.5</v>
      </c>
      <c r="S7" s="35">
        <v>99.5</v>
      </c>
      <c r="T7" s="35">
        <v>99.5</v>
      </c>
      <c r="U7" s="35">
        <v>99.5</v>
      </c>
      <c r="V7" s="35">
        <v>99.5</v>
      </c>
      <c r="W7" s="8">
        <v>99.7</v>
      </c>
      <c r="X7" s="17">
        <v>99.7</v>
      </c>
      <c r="Y7" s="17">
        <v>99.9</v>
      </c>
      <c r="Z7" s="40">
        <v>99.9</v>
      </c>
    </row>
    <row r="8" spans="1:26" s="63" customFormat="1" x14ac:dyDescent="0.2">
      <c r="A8" s="49" t="s">
        <v>144</v>
      </c>
      <c r="B8" s="7" t="s">
        <v>7</v>
      </c>
      <c r="C8" s="13" t="s">
        <v>8</v>
      </c>
      <c r="D8" s="13" t="s">
        <v>8</v>
      </c>
      <c r="E8" s="13" t="s">
        <v>8</v>
      </c>
      <c r="F8" s="10">
        <v>14</v>
      </c>
      <c r="G8" s="7">
        <v>12</v>
      </c>
      <c r="H8" s="7">
        <v>13.3</v>
      </c>
      <c r="I8" s="7">
        <v>11.8</v>
      </c>
      <c r="J8" s="54">
        <v>9.6999999999999993</v>
      </c>
      <c r="K8" s="54">
        <v>6.8</v>
      </c>
      <c r="L8" s="54">
        <v>11.1</v>
      </c>
      <c r="M8" s="54">
        <v>8.4</v>
      </c>
      <c r="N8" s="54">
        <v>3.1</v>
      </c>
      <c r="O8" s="54">
        <v>11.1</v>
      </c>
      <c r="P8" s="64">
        <v>-1.34</v>
      </c>
      <c r="Q8" s="64">
        <v>-0.4</v>
      </c>
      <c r="R8" s="64">
        <v>5.23</v>
      </c>
      <c r="S8" s="64">
        <v>0.71</v>
      </c>
      <c r="T8" s="64">
        <v>1.83</v>
      </c>
      <c r="U8" s="64">
        <v>3.92</v>
      </c>
      <c r="V8" s="64">
        <v>8</v>
      </c>
      <c r="W8" s="8" t="s">
        <v>8</v>
      </c>
      <c r="X8" s="17">
        <v>12.5</v>
      </c>
      <c r="Y8" s="17">
        <v>12.5</v>
      </c>
      <c r="Z8" s="40">
        <v>12.5</v>
      </c>
    </row>
    <row r="9" spans="1:26" x14ac:dyDescent="0.2">
      <c r="A9" s="50" t="s">
        <v>145</v>
      </c>
      <c r="B9" s="13"/>
      <c r="C9" s="13"/>
      <c r="D9" s="13"/>
      <c r="E9" s="13"/>
      <c r="F9" s="18">
        <v>0.96</v>
      </c>
      <c r="G9" s="18">
        <v>0.96</v>
      </c>
      <c r="H9" s="19">
        <v>0.96</v>
      </c>
      <c r="I9" s="19">
        <v>0.96</v>
      </c>
      <c r="J9" s="54">
        <v>99.5</v>
      </c>
      <c r="K9" s="54">
        <v>98.2</v>
      </c>
      <c r="L9" s="54">
        <v>99.5</v>
      </c>
      <c r="M9" s="54">
        <v>99.5</v>
      </c>
      <c r="N9" s="54">
        <v>98.2</v>
      </c>
      <c r="O9" s="54">
        <v>99.5</v>
      </c>
      <c r="P9" s="17">
        <v>99</v>
      </c>
      <c r="Q9" s="17">
        <v>99</v>
      </c>
      <c r="R9" s="17">
        <v>99</v>
      </c>
      <c r="S9" s="17">
        <v>99</v>
      </c>
      <c r="T9" s="17">
        <v>99</v>
      </c>
      <c r="U9" s="17">
        <v>99</v>
      </c>
      <c r="V9" s="17">
        <v>99</v>
      </c>
      <c r="W9" s="11" t="s">
        <v>99</v>
      </c>
      <c r="X9" s="17">
        <v>99</v>
      </c>
      <c r="Y9" s="17">
        <v>99.7</v>
      </c>
      <c r="Z9" s="40">
        <v>99.7</v>
      </c>
    </row>
    <row r="10" spans="1:26" s="63" customFormat="1" x14ac:dyDescent="0.25">
      <c r="A10" s="49" t="s">
        <v>146</v>
      </c>
      <c r="B10" s="7" t="s">
        <v>7</v>
      </c>
      <c r="C10" s="13" t="s">
        <v>8</v>
      </c>
      <c r="D10" s="13" t="s">
        <v>8</v>
      </c>
      <c r="E10" s="13" t="s">
        <v>8</v>
      </c>
      <c r="F10" s="10" t="s">
        <v>8</v>
      </c>
      <c r="G10" s="7" t="s">
        <v>8</v>
      </c>
      <c r="H10" s="7" t="s">
        <v>8</v>
      </c>
      <c r="I10" s="7" t="s">
        <v>8</v>
      </c>
      <c r="J10" s="8">
        <v>16</v>
      </c>
      <c r="K10" s="8">
        <v>16.600000000000001</v>
      </c>
      <c r="L10" s="8">
        <v>15.9</v>
      </c>
      <c r="M10" s="8">
        <v>14</v>
      </c>
      <c r="N10" s="8">
        <v>14</v>
      </c>
      <c r="O10" s="8">
        <v>14</v>
      </c>
      <c r="P10" s="21"/>
      <c r="Q10" s="65">
        <f>78.9-10*LOG10(Q17*1000)</f>
        <v>7.1390874094431922</v>
      </c>
      <c r="R10" s="65">
        <f>94.7-10*LOG10(R17*1000)</f>
        <v>14.700000000000003</v>
      </c>
      <c r="S10" s="65">
        <f>92.5-10*LOG10(S17*1000)</f>
        <v>12.957574905606748</v>
      </c>
      <c r="T10" s="65">
        <f>78.1-10*LOG10(T17*1000)</f>
        <v>9.3493873660829934</v>
      </c>
      <c r="U10" s="65">
        <f>83.7-10*LOG10(U17*1000)</f>
        <v>10.958421507363212</v>
      </c>
      <c r="V10" s="65">
        <f>93.3-10*LOG10(V17*1000)</f>
        <v>12.965762445130494</v>
      </c>
      <c r="W10" s="8" t="s">
        <v>8</v>
      </c>
      <c r="X10" s="20">
        <v>18</v>
      </c>
      <c r="Y10" s="21"/>
      <c r="Z10" s="41">
        <v>18</v>
      </c>
    </row>
    <row r="11" spans="1:26" x14ac:dyDescent="0.2">
      <c r="A11" s="50" t="s">
        <v>145</v>
      </c>
      <c r="B11" s="13"/>
      <c r="C11" s="13"/>
      <c r="D11" s="13"/>
      <c r="E11" s="13"/>
      <c r="F11" s="21"/>
      <c r="G11" s="8"/>
      <c r="H11" s="8"/>
      <c r="I11" s="8"/>
      <c r="J11" s="55">
        <v>80</v>
      </c>
      <c r="K11" s="55">
        <v>80</v>
      </c>
      <c r="L11" s="55">
        <v>80</v>
      </c>
      <c r="M11" s="55">
        <v>80</v>
      </c>
      <c r="N11" s="55">
        <v>80</v>
      </c>
      <c r="O11" s="55">
        <v>80</v>
      </c>
      <c r="P11" s="21"/>
      <c r="Q11" s="21" t="s">
        <v>98</v>
      </c>
      <c r="R11" s="21" t="s">
        <v>98</v>
      </c>
      <c r="S11" s="21" t="s">
        <v>98</v>
      </c>
      <c r="T11" s="21" t="s">
        <v>98</v>
      </c>
      <c r="U11" s="21" t="s">
        <v>98</v>
      </c>
      <c r="V11" s="21" t="s">
        <v>98</v>
      </c>
      <c r="W11" s="11" t="s">
        <v>99</v>
      </c>
      <c r="X11" s="21">
        <v>97</v>
      </c>
      <c r="Y11" s="21"/>
      <c r="Z11" s="42">
        <v>99</v>
      </c>
    </row>
    <row r="12" spans="1:26" x14ac:dyDescent="0.25">
      <c r="A12" s="48" t="s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7"/>
    </row>
    <row r="13" spans="1:26" ht="38.25" x14ac:dyDescent="0.25">
      <c r="A13" s="83" t="s">
        <v>10</v>
      </c>
      <c r="B13" s="84"/>
      <c r="C13" s="13" t="s">
        <v>138</v>
      </c>
      <c r="D13" s="13" t="s">
        <v>127</v>
      </c>
      <c r="E13" s="13" t="s">
        <v>16</v>
      </c>
      <c r="F13" s="8" t="s">
        <v>14</v>
      </c>
      <c r="G13" s="8" t="s">
        <v>16</v>
      </c>
      <c r="H13" s="8" t="s">
        <v>14</v>
      </c>
      <c r="I13" s="8" t="s">
        <v>16</v>
      </c>
      <c r="J13" s="8" t="s">
        <v>16</v>
      </c>
      <c r="K13" s="8" t="s">
        <v>127</v>
      </c>
      <c r="L13" s="8" t="s">
        <v>15</v>
      </c>
      <c r="M13" s="8" t="s">
        <v>16</v>
      </c>
      <c r="N13" s="8" t="s">
        <v>16</v>
      </c>
      <c r="O13" s="8" t="s">
        <v>15</v>
      </c>
      <c r="P13" s="8" t="s">
        <v>8</v>
      </c>
      <c r="Q13" s="8" t="s">
        <v>8</v>
      </c>
      <c r="R13" s="8" t="s">
        <v>96</v>
      </c>
      <c r="S13" s="8" t="s">
        <v>16</v>
      </c>
      <c r="T13" s="8" t="s">
        <v>16</v>
      </c>
      <c r="U13" s="8" t="s">
        <v>16</v>
      </c>
      <c r="V13" s="8" t="s">
        <v>16</v>
      </c>
      <c r="W13" s="8" t="s">
        <v>11</v>
      </c>
      <c r="X13" s="8" t="s">
        <v>96</v>
      </c>
      <c r="Y13" s="8" t="s">
        <v>96</v>
      </c>
      <c r="Z13" s="43" t="s">
        <v>96</v>
      </c>
    </row>
    <row r="14" spans="1:26" x14ac:dyDescent="0.2">
      <c r="A14" s="83"/>
      <c r="B14" s="84"/>
      <c r="C14" s="8"/>
      <c r="D14" s="8"/>
      <c r="E14" s="8"/>
      <c r="F14" s="8" t="s">
        <v>15</v>
      </c>
      <c r="G14" s="8" t="s">
        <v>15</v>
      </c>
      <c r="H14" s="8" t="s">
        <v>15</v>
      </c>
      <c r="I14" s="8" t="s">
        <v>15</v>
      </c>
      <c r="J14" s="54" t="s">
        <v>15</v>
      </c>
      <c r="K14" s="54" t="s">
        <v>15</v>
      </c>
      <c r="L14" s="54" t="s">
        <v>70</v>
      </c>
      <c r="M14" s="54" t="s">
        <v>15</v>
      </c>
      <c r="N14" s="54" t="s">
        <v>16</v>
      </c>
      <c r="O14" s="54" t="s">
        <v>70</v>
      </c>
      <c r="P14" s="21" t="s">
        <v>16</v>
      </c>
      <c r="Q14" s="21" t="s">
        <v>16</v>
      </c>
      <c r="R14" s="21" t="s">
        <v>96</v>
      </c>
      <c r="S14" s="21" t="s">
        <v>16</v>
      </c>
      <c r="T14" s="21" t="s">
        <v>16</v>
      </c>
      <c r="U14" s="21" t="s">
        <v>16</v>
      </c>
      <c r="V14" s="21" t="s">
        <v>16</v>
      </c>
      <c r="W14" s="8" t="s">
        <v>12</v>
      </c>
      <c r="X14" s="21" t="s">
        <v>15</v>
      </c>
      <c r="Y14" s="21" t="s">
        <v>15</v>
      </c>
      <c r="Z14" s="42" t="s">
        <v>15</v>
      </c>
    </row>
    <row r="15" spans="1:26" x14ac:dyDescent="0.2">
      <c r="A15" s="83"/>
      <c r="B15" s="84"/>
      <c r="C15" s="8"/>
      <c r="D15" s="8"/>
      <c r="E15" s="8"/>
      <c r="F15" s="8"/>
      <c r="G15" s="8"/>
      <c r="H15" s="8"/>
      <c r="I15" s="8"/>
      <c r="J15" s="54" t="s">
        <v>71</v>
      </c>
      <c r="K15" s="54" t="s">
        <v>71</v>
      </c>
      <c r="L15" s="54" t="s">
        <v>71</v>
      </c>
      <c r="M15" s="54" t="s">
        <v>71</v>
      </c>
      <c r="N15" s="54" t="s">
        <v>71</v>
      </c>
      <c r="O15" s="54" t="s">
        <v>71</v>
      </c>
      <c r="P15" s="21" t="s">
        <v>96</v>
      </c>
      <c r="Q15" s="21" t="s">
        <v>16</v>
      </c>
      <c r="R15" s="21" t="s">
        <v>97</v>
      </c>
      <c r="S15" s="21" t="s">
        <v>97</v>
      </c>
      <c r="T15" s="21" t="s">
        <v>96</v>
      </c>
      <c r="U15" s="21" t="s">
        <v>97</v>
      </c>
      <c r="V15" s="21" t="s">
        <v>97</v>
      </c>
      <c r="W15" s="8" t="s">
        <v>13</v>
      </c>
      <c r="X15" s="21" t="s">
        <v>70</v>
      </c>
      <c r="Y15" s="21" t="s">
        <v>70</v>
      </c>
      <c r="Z15" s="42" t="s">
        <v>70</v>
      </c>
    </row>
    <row r="16" spans="1:26" ht="51" x14ac:dyDescent="0.25">
      <c r="A16" s="50" t="s">
        <v>134</v>
      </c>
      <c r="B16" s="13"/>
      <c r="C16" s="14" t="s">
        <v>139</v>
      </c>
      <c r="D16" s="14" t="s">
        <v>140</v>
      </c>
      <c r="E16" s="14">
        <v>0.66666666666666663</v>
      </c>
      <c r="F16" s="8"/>
      <c r="G16" s="8"/>
      <c r="H16" s="8"/>
      <c r="I16" s="8"/>
      <c r="J16" s="56" t="s">
        <v>128</v>
      </c>
      <c r="K16" s="56" t="s">
        <v>129</v>
      </c>
      <c r="L16" s="56" t="s">
        <v>130</v>
      </c>
      <c r="M16" s="56" t="s">
        <v>131</v>
      </c>
      <c r="N16" s="56" t="s">
        <v>132</v>
      </c>
      <c r="O16" s="56" t="s">
        <v>133</v>
      </c>
      <c r="P16" s="21"/>
      <c r="Q16" s="21"/>
      <c r="R16" s="21"/>
      <c r="S16" s="21"/>
      <c r="T16" s="21"/>
      <c r="U16" s="21"/>
      <c r="V16" s="21"/>
      <c r="W16" s="8"/>
      <c r="X16" s="21"/>
      <c r="Y16" s="21"/>
      <c r="Z16" s="42"/>
    </row>
    <row r="17" spans="1:28" x14ac:dyDescent="0.2">
      <c r="A17" s="50" t="s">
        <v>17</v>
      </c>
      <c r="B17" s="13" t="s">
        <v>18</v>
      </c>
      <c r="C17" s="22">
        <v>110000</v>
      </c>
      <c r="D17" s="22">
        <v>11000</v>
      </c>
      <c r="E17" s="22">
        <v>11000</v>
      </c>
      <c r="F17" s="22">
        <v>600000</v>
      </c>
      <c r="G17" s="22">
        <v>62500</v>
      </c>
      <c r="H17" s="22">
        <v>600000</v>
      </c>
      <c r="I17" s="22">
        <v>62500</v>
      </c>
      <c r="J17" s="57">
        <v>500000</v>
      </c>
      <c r="K17" s="57">
        <v>500000</v>
      </c>
      <c r="L17" s="57">
        <v>500000</v>
      </c>
      <c r="M17" s="57">
        <v>2000</v>
      </c>
      <c r="N17" s="57">
        <v>2000</v>
      </c>
      <c r="O17" s="57">
        <v>2000</v>
      </c>
      <c r="P17" s="23">
        <v>90000</v>
      </c>
      <c r="Q17" s="23">
        <v>15000</v>
      </c>
      <c r="R17" s="23">
        <v>100000</v>
      </c>
      <c r="S17" s="23">
        <v>90000</v>
      </c>
      <c r="T17" s="23">
        <v>7500</v>
      </c>
      <c r="U17" s="23">
        <v>18800</v>
      </c>
      <c r="V17" s="23">
        <v>108000</v>
      </c>
      <c r="W17" s="22">
        <v>10000</v>
      </c>
      <c r="X17" s="23">
        <v>30000</v>
      </c>
      <c r="Y17" s="23">
        <v>600000</v>
      </c>
      <c r="Z17" s="44">
        <v>30000</v>
      </c>
    </row>
    <row r="18" spans="1:28" x14ac:dyDescent="0.2">
      <c r="A18" s="48" t="s">
        <v>19</v>
      </c>
      <c r="B18" s="5"/>
      <c r="C18" s="5"/>
      <c r="D18" s="5"/>
      <c r="E18" s="5"/>
      <c r="F18" s="5"/>
      <c r="G18" s="5"/>
      <c r="H18" s="5"/>
      <c r="I18" s="5"/>
      <c r="J18" s="58"/>
      <c r="K18" s="58"/>
      <c r="L18" s="58"/>
      <c r="M18" s="58"/>
      <c r="N18" s="5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7"/>
    </row>
    <row r="19" spans="1:28" x14ac:dyDescent="0.25">
      <c r="A19" s="50" t="s">
        <v>20</v>
      </c>
      <c r="B19" s="13" t="s">
        <v>21</v>
      </c>
      <c r="C19" s="13">
        <v>0</v>
      </c>
      <c r="D19" s="13">
        <v>0</v>
      </c>
      <c r="E19" s="13">
        <v>0</v>
      </c>
      <c r="F19" s="8">
        <v>0.01</v>
      </c>
      <c r="G19" s="8">
        <v>0.01</v>
      </c>
      <c r="H19" s="8">
        <v>0.01</v>
      </c>
      <c r="I19" s="8">
        <v>0.01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/>
      <c r="Q19" s="8"/>
      <c r="R19" s="8"/>
      <c r="S19" s="8"/>
      <c r="T19" s="8"/>
      <c r="U19" s="8"/>
      <c r="V19" s="8"/>
      <c r="W19" s="8">
        <v>0</v>
      </c>
      <c r="X19" s="8">
        <v>1.623</v>
      </c>
      <c r="Y19" s="8">
        <v>1.623</v>
      </c>
      <c r="Z19" s="43">
        <v>1.623</v>
      </c>
    </row>
    <row r="20" spans="1:28" x14ac:dyDescent="0.25">
      <c r="A20" s="50" t="s">
        <v>22</v>
      </c>
      <c r="B20" s="13" t="s">
        <v>23</v>
      </c>
      <c r="C20" s="14">
        <v>24.438613</v>
      </c>
      <c r="D20" s="14">
        <v>24.438613</v>
      </c>
      <c r="E20" s="14">
        <v>24.438613</v>
      </c>
      <c r="F20" s="8">
        <v>41.98</v>
      </c>
      <c r="G20" s="8">
        <v>41.98</v>
      </c>
      <c r="H20" s="8">
        <v>41.98</v>
      </c>
      <c r="I20" s="8">
        <v>41.98</v>
      </c>
      <c r="J20" s="8">
        <v>49.69</v>
      </c>
      <c r="K20" s="8">
        <v>3.13</v>
      </c>
      <c r="L20" s="8">
        <v>-12.1</v>
      </c>
      <c r="M20" s="8">
        <v>49.69</v>
      </c>
      <c r="N20" s="8">
        <v>3.13</v>
      </c>
      <c r="O20" s="8">
        <v>-12.1</v>
      </c>
      <c r="P20" s="8">
        <v>52.1</v>
      </c>
      <c r="Q20" s="8">
        <v>46.1</v>
      </c>
      <c r="R20" s="8">
        <v>43.6</v>
      </c>
      <c r="S20" s="8">
        <v>52.1</v>
      </c>
      <c r="T20" s="8">
        <v>62.5</v>
      </c>
      <c r="U20" s="8">
        <v>73.8</v>
      </c>
      <c r="V20" s="8">
        <v>53.3</v>
      </c>
      <c r="W20" s="8">
        <v>36</v>
      </c>
      <c r="X20" s="8">
        <v>33.322800000000001</v>
      </c>
      <c r="Y20" s="8">
        <v>33.322800000000001</v>
      </c>
      <c r="Z20" s="43">
        <v>33.322800000000001</v>
      </c>
    </row>
    <row r="21" spans="1:28" s="66" customFormat="1" x14ac:dyDescent="0.25">
      <c r="A21" s="52" t="s">
        <v>107</v>
      </c>
      <c r="B21" s="8"/>
      <c r="C21" s="33">
        <v>54.827030999999998</v>
      </c>
      <c r="D21" s="33">
        <v>54.827030999999998</v>
      </c>
      <c r="E21" s="33">
        <v>54.827030999999998</v>
      </c>
      <c r="F21" s="8"/>
      <c r="G21" s="8"/>
      <c r="H21" s="8"/>
      <c r="I21" s="8"/>
      <c r="J21" s="8">
        <v>6.35</v>
      </c>
      <c r="K21" s="8">
        <v>101.6</v>
      </c>
      <c r="L21" s="8">
        <v>-77</v>
      </c>
      <c r="M21" s="8">
        <v>6.35</v>
      </c>
      <c r="N21" s="8">
        <v>101.6</v>
      </c>
      <c r="O21" s="8">
        <v>-77</v>
      </c>
      <c r="P21" s="8"/>
      <c r="Q21" s="8"/>
      <c r="R21" s="8"/>
      <c r="S21" s="8"/>
      <c r="T21" s="8"/>
      <c r="U21" s="8"/>
      <c r="V21" s="8"/>
      <c r="W21" s="8"/>
      <c r="X21" s="11">
        <v>-116.8356</v>
      </c>
      <c r="Y21" s="8">
        <v>-116.8356</v>
      </c>
      <c r="Z21" s="45">
        <v>-116.8356</v>
      </c>
    </row>
    <row r="22" spans="1:28" x14ac:dyDescent="0.25">
      <c r="A22" s="50" t="s">
        <v>108</v>
      </c>
      <c r="B22" s="13" t="s">
        <v>23</v>
      </c>
      <c r="C22" s="14">
        <v>27.385094134840429</v>
      </c>
      <c r="D22" s="14">
        <v>27.385094134840429</v>
      </c>
      <c r="E22" s="14">
        <v>27.385094134840429</v>
      </c>
      <c r="F22" s="8">
        <v>40.1</v>
      </c>
      <c r="G22" s="8">
        <v>40.1</v>
      </c>
      <c r="H22" s="8">
        <v>40.1</v>
      </c>
      <c r="I22" s="8">
        <v>40.1</v>
      </c>
      <c r="J22" s="8">
        <v>32</v>
      </c>
      <c r="K22" s="8">
        <v>86</v>
      </c>
      <c r="L22" s="8">
        <v>74</v>
      </c>
      <c r="M22" s="8">
        <v>32</v>
      </c>
      <c r="N22" s="8">
        <v>86</v>
      </c>
      <c r="O22" s="8">
        <v>74</v>
      </c>
      <c r="P22" s="8">
        <v>30.3</v>
      </c>
      <c r="Q22" s="8">
        <v>20.5</v>
      </c>
      <c r="R22" s="8">
        <v>39.5</v>
      </c>
      <c r="S22" s="8">
        <v>30.3</v>
      </c>
      <c r="T22" s="8">
        <v>19.2</v>
      </c>
      <c r="U22" s="8">
        <v>7.6</v>
      </c>
      <c r="V22" s="8">
        <v>13.8</v>
      </c>
      <c r="W22" s="8">
        <v>30</v>
      </c>
      <c r="X22" s="8">
        <v>50</v>
      </c>
      <c r="Y22" s="8">
        <v>50</v>
      </c>
      <c r="Z22" s="43">
        <v>50</v>
      </c>
    </row>
    <row r="23" spans="1:28" ht="25.5" x14ac:dyDescent="0.25">
      <c r="A23" s="50" t="s">
        <v>109</v>
      </c>
      <c r="B23" s="13" t="s">
        <v>24</v>
      </c>
      <c r="C23" s="13">
        <v>25</v>
      </c>
      <c r="D23" s="13">
        <v>25</v>
      </c>
      <c r="E23" s="13">
        <v>25</v>
      </c>
      <c r="F23" s="8">
        <v>10.5</v>
      </c>
      <c r="G23" s="8">
        <v>10.5</v>
      </c>
      <c r="H23" s="8">
        <v>10.5</v>
      </c>
      <c r="I23" s="8">
        <v>10.5</v>
      </c>
      <c r="J23" s="8">
        <v>25</v>
      </c>
      <c r="K23" s="8">
        <v>25</v>
      </c>
      <c r="L23" s="8">
        <v>25</v>
      </c>
      <c r="M23" s="8">
        <v>25</v>
      </c>
      <c r="N23" s="8">
        <v>25</v>
      </c>
      <c r="O23" s="8">
        <v>25</v>
      </c>
      <c r="P23" s="8"/>
      <c r="Q23" s="8"/>
      <c r="R23" s="8"/>
      <c r="S23" s="8"/>
      <c r="T23" s="8"/>
      <c r="U23" s="8"/>
      <c r="V23" s="8"/>
      <c r="W23" s="8">
        <v>25</v>
      </c>
      <c r="X23" s="8" t="s">
        <v>105</v>
      </c>
      <c r="Y23" s="8" t="s">
        <v>105</v>
      </c>
      <c r="Z23" s="43" t="s">
        <v>105</v>
      </c>
    </row>
    <row r="24" spans="1:28" ht="25.5" x14ac:dyDescent="0.25">
      <c r="A24" s="50" t="s">
        <v>110</v>
      </c>
      <c r="B24" s="13" t="s">
        <v>25</v>
      </c>
      <c r="C24" s="13">
        <v>30</v>
      </c>
      <c r="D24" s="13">
        <v>30</v>
      </c>
      <c r="E24" s="13">
        <v>30</v>
      </c>
      <c r="F24" s="8">
        <v>50</v>
      </c>
      <c r="G24" s="8">
        <v>50</v>
      </c>
      <c r="H24" s="8">
        <v>50</v>
      </c>
      <c r="I24" s="8">
        <v>50</v>
      </c>
      <c r="J24" s="8" t="s">
        <v>30</v>
      </c>
      <c r="K24" s="8" t="s">
        <v>30</v>
      </c>
      <c r="L24" s="8" t="s">
        <v>30</v>
      </c>
      <c r="M24" s="8" t="s">
        <v>30</v>
      </c>
      <c r="N24" s="8" t="s">
        <v>30</v>
      </c>
      <c r="O24" s="8" t="s">
        <v>30</v>
      </c>
      <c r="P24" s="8"/>
      <c r="Q24" s="8"/>
      <c r="R24" s="8"/>
      <c r="S24" s="8"/>
      <c r="T24" s="8"/>
      <c r="U24" s="8"/>
      <c r="V24" s="8"/>
      <c r="W24" s="8">
        <v>30</v>
      </c>
      <c r="X24" s="8" t="s">
        <v>105</v>
      </c>
      <c r="Y24" s="8" t="s">
        <v>105</v>
      </c>
      <c r="Z24" s="43" t="s">
        <v>105</v>
      </c>
    </row>
    <row r="25" spans="1:28" ht="25.5" x14ac:dyDescent="0.25">
      <c r="A25" s="50" t="s">
        <v>111</v>
      </c>
      <c r="B25" s="13" t="s">
        <v>26</v>
      </c>
      <c r="C25" s="13" t="s">
        <v>141</v>
      </c>
      <c r="D25" s="13" t="s">
        <v>141</v>
      </c>
      <c r="E25" s="13" t="s">
        <v>141</v>
      </c>
      <c r="F25" s="8" t="s">
        <v>27</v>
      </c>
      <c r="G25" s="8" t="s">
        <v>27</v>
      </c>
      <c r="H25" s="8" t="s">
        <v>27</v>
      </c>
      <c r="I25" s="8" t="s">
        <v>27</v>
      </c>
      <c r="J25" s="8" t="s">
        <v>27</v>
      </c>
      <c r="K25" s="8" t="s">
        <v>27</v>
      </c>
      <c r="L25" s="8" t="s">
        <v>27</v>
      </c>
      <c r="M25" s="8" t="s">
        <v>27</v>
      </c>
      <c r="N25" s="8" t="s">
        <v>27</v>
      </c>
      <c r="O25" s="8" t="s">
        <v>27</v>
      </c>
      <c r="P25" s="8" t="s">
        <v>27</v>
      </c>
      <c r="Q25" s="8" t="s">
        <v>27</v>
      </c>
      <c r="R25" s="8" t="s">
        <v>27</v>
      </c>
      <c r="S25" s="8" t="s">
        <v>27</v>
      </c>
      <c r="T25" s="8" t="s">
        <v>27</v>
      </c>
      <c r="U25" s="8" t="s">
        <v>27</v>
      </c>
      <c r="V25" s="8" t="s">
        <v>27</v>
      </c>
      <c r="W25" s="8" t="s">
        <v>27</v>
      </c>
      <c r="X25" s="8" t="s">
        <v>27</v>
      </c>
      <c r="Y25" s="8" t="s">
        <v>27</v>
      </c>
      <c r="Z25" s="43" t="s">
        <v>27</v>
      </c>
    </row>
    <row r="26" spans="1:28" x14ac:dyDescent="0.25">
      <c r="A26" s="51" t="s">
        <v>112</v>
      </c>
      <c r="B26" s="24" t="s">
        <v>28</v>
      </c>
      <c r="C26" s="13" t="s">
        <v>29</v>
      </c>
      <c r="D26" s="13" t="s">
        <v>29</v>
      </c>
      <c r="E26" s="13" t="s">
        <v>29</v>
      </c>
      <c r="F26" s="25" t="s">
        <v>30</v>
      </c>
      <c r="G26" s="25" t="s">
        <v>30</v>
      </c>
      <c r="H26" s="25" t="s">
        <v>31</v>
      </c>
      <c r="I26" s="25" t="s">
        <v>31</v>
      </c>
      <c r="J26" s="26" t="s">
        <v>30</v>
      </c>
      <c r="K26" s="26" t="s">
        <v>30</v>
      </c>
      <c r="L26" s="26" t="s">
        <v>30</v>
      </c>
      <c r="M26" s="26" t="s">
        <v>30</v>
      </c>
      <c r="N26" s="26" t="s">
        <v>30</v>
      </c>
      <c r="O26" s="26" t="s">
        <v>30</v>
      </c>
      <c r="P26" s="26" t="s">
        <v>86</v>
      </c>
      <c r="Q26" s="26" t="s">
        <v>87</v>
      </c>
      <c r="R26" s="26" t="s">
        <v>88</v>
      </c>
      <c r="S26" s="26" t="s">
        <v>86</v>
      </c>
      <c r="T26" s="26" t="s">
        <v>89</v>
      </c>
      <c r="U26" s="26" t="s">
        <v>89</v>
      </c>
      <c r="V26" s="26" t="s">
        <v>29</v>
      </c>
      <c r="W26" s="25" t="s">
        <v>86</v>
      </c>
      <c r="X26" s="26" t="s">
        <v>30</v>
      </c>
      <c r="Y26" s="26" t="s">
        <v>30</v>
      </c>
      <c r="Z26" s="46" t="s">
        <v>30</v>
      </c>
      <c r="AA26" s="67"/>
      <c r="AB26" s="67"/>
    </row>
    <row r="27" spans="1:28" ht="25.5" x14ac:dyDescent="0.25">
      <c r="A27" s="50" t="s">
        <v>113</v>
      </c>
      <c r="B27" s="13"/>
      <c r="C27" s="13">
        <v>15</v>
      </c>
      <c r="D27" s="13">
        <v>15</v>
      </c>
      <c r="E27" s="13">
        <v>15</v>
      </c>
      <c r="F27" s="8">
        <v>50.1</v>
      </c>
      <c r="G27" s="8">
        <v>50.1</v>
      </c>
      <c r="H27" s="8">
        <v>50.1</v>
      </c>
      <c r="I27" s="8">
        <v>50.1</v>
      </c>
      <c r="J27" s="8">
        <v>28.23</v>
      </c>
      <c r="K27" s="8">
        <v>100.1</v>
      </c>
      <c r="L27" s="8">
        <v>7.2</v>
      </c>
      <c r="M27" s="8">
        <v>28.23</v>
      </c>
      <c r="N27" s="8">
        <v>100.1</v>
      </c>
      <c r="O27" s="8">
        <v>7.2</v>
      </c>
      <c r="P27" s="8">
        <v>22</v>
      </c>
      <c r="Q27" s="8">
        <v>28</v>
      </c>
      <c r="R27" s="8">
        <v>12</v>
      </c>
      <c r="S27" s="8">
        <v>22</v>
      </c>
      <c r="T27" s="8">
        <v>8</v>
      </c>
      <c r="U27" s="8">
        <v>8</v>
      </c>
      <c r="V27" s="8">
        <v>15</v>
      </c>
      <c r="W27" s="11" t="s">
        <v>30</v>
      </c>
      <c r="X27" s="8" t="s">
        <v>106</v>
      </c>
      <c r="Y27" s="8" t="s">
        <v>106</v>
      </c>
      <c r="Z27" s="43" t="s">
        <v>106</v>
      </c>
    </row>
    <row r="28" spans="1:28" x14ac:dyDescent="0.25">
      <c r="A28" s="50" t="s">
        <v>114</v>
      </c>
      <c r="B28" s="13" t="s">
        <v>32</v>
      </c>
      <c r="C28" s="27">
        <v>83.46</v>
      </c>
      <c r="D28" s="27">
        <v>56.89</v>
      </c>
      <c r="E28" s="27">
        <v>51.9</v>
      </c>
      <c r="F28" s="8">
        <v>87.6</v>
      </c>
      <c r="G28" s="8">
        <v>58.9</v>
      </c>
      <c r="H28" s="8">
        <v>88</v>
      </c>
      <c r="I28" s="8">
        <v>60.2</v>
      </c>
      <c r="J28" s="8">
        <v>84</v>
      </c>
      <c r="K28" s="8">
        <v>85</v>
      </c>
      <c r="L28" s="8">
        <v>83.5</v>
      </c>
      <c r="M28" s="8">
        <v>50.8</v>
      </c>
      <c r="N28" s="8">
        <v>53.5</v>
      </c>
      <c r="O28" s="8">
        <v>50.3</v>
      </c>
      <c r="P28" s="8">
        <v>72.3</v>
      </c>
      <c r="Q28" s="8">
        <v>53.6</v>
      </c>
      <c r="R28" s="8">
        <v>73</v>
      </c>
      <c r="S28" s="8">
        <v>87.1</v>
      </c>
      <c r="T28" s="8">
        <v>58.7</v>
      </c>
      <c r="U28" s="8">
        <v>62.2</v>
      </c>
      <c r="V28" s="8">
        <v>70.8</v>
      </c>
      <c r="W28" s="8">
        <v>47</v>
      </c>
      <c r="X28" s="8">
        <v>49.981825181113621</v>
      </c>
      <c r="Y28" s="8">
        <v>99.122873390841946</v>
      </c>
      <c r="Z28" s="43">
        <v>60.439400086720376</v>
      </c>
    </row>
    <row r="29" spans="1:28" x14ac:dyDescent="0.25">
      <c r="A29" s="50" t="s">
        <v>115</v>
      </c>
      <c r="B29" s="13" t="s">
        <v>7</v>
      </c>
      <c r="C29" s="13">
        <v>0.5</v>
      </c>
      <c r="D29" s="13">
        <v>0.5</v>
      </c>
      <c r="E29" s="13">
        <v>0.5</v>
      </c>
      <c r="F29" s="8">
        <v>0</v>
      </c>
      <c r="G29" s="8">
        <v>0.9</v>
      </c>
      <c r="H29" s="8">
        <v>0</v>
      </c>
      <c r="I29" s="8">
        <v>0.9</v>
      </c>
      <c r="J29" s="8">
        <v>0.5</v>
      </c>
      <c r="K29" s="8">
        <v>0.5</v>
      </c>
      <c r="L29" s="8">
        <v>0.5</v>
      </c>
      <c r="M29" s="8">
        <v>0.5</v>
      </c>
      <c r="N29" s="8">
        <v>0.5</v>
      </c>
      <c r="O29" s="8">
        <v>0.5</v>
      </c>
      <c r="P29" s="20">
        <v>0</v>
      </c>
      <c r="Q29" s="20">
        <v>1</v>
      </c>
      <c r="R29" s="20">
        <v>0</v>
      </c>
      <c r="S29" s="20">
        <v>0</v>
      </c>
      <c r="T29" s="20">
        <v>1</v>
      </c>
      <c r="U29" s="20">
        <v>1</v>
      </c>
      <c r="V29" s="20">
        <v>0</v>
      </c>
      <c r="W29" s="8">
        <v>0.5</v>
      </c>
      <c r="X29" s="20">
        <v>0</v>
      </c>
      <c r="Y29" s="20">
        <v>0</v>
      </c>
      <c r="Z29" s="41">
        <v>0</v>
      </c>
    </row>
    <row r="30" spans="1:28" x14ac:dyDescent="0.25">
      <c r="A30" s="50" t="s">
        <v>147</v>
      </c>
      <c r="B30" s="13" t="s">
        <v>7</v>
      </c>
      <c r="C30" s="13">
        <v>20</v>
      </c>
      <c r="D30" s="13">
        <v>20</v>
      </c>
      <c r="E30" s="13">
        <v>20</v>
      </c>
      <c r="F30" s="8">
        <v>40</v>
      </c>
      <c r="G30" s="8">
        <v>100</v>
      </c>
      <c r="H30" s="8">
        <v>40</v>
      </c>
      <c r="I30" s="8">
        <v>100</v>
      </c>
      <c r="J30" s="8">
        <v>35</v>
      </c>
      <c r="K30" s="8">
        <v>35</v>
      </c>
      <c r="L30" s="8">
        <v>35</v>
      </c>
      <c r="M30" s="8">
        <v>35</v>
      </c>
      <c r="N30" s="8">
        <v>35</v>
      </c>
      <c r="O30" s="8">
        <v>35</v>
      </c>
      <c r="P30" s="20">
        <f>110.2-10*LOG10(P17*1000)</f>
        <v>30.657574905606751</v>
      </c>
      <c r="Q30" s="20">
        <v>1000</v>
      </c>
      <c r="R30" s="20">
        <v>1000</v>
      </c>
      <c r="S30" s="20">
        <v>1000</v>
      </c>
      <c r="T30" s="20">
        <v>1000</v>
      </c>
      <c r="U30" s="20">
        <v>1000</v>
      </c>
      <c r="V30" s="20">
        <f>120-10*LOG10(V17*1000)</f>
        <v>39.665762445130497</v>
      </c>
      <c r="W30" s="8">
        <v>25</v>
      </c>
      <c r="X30" s="20">
        <v>100</v>
      </c>
      <c r="Y30" s="20">
        <v>100</v>
      </c>
      <c r="Z30" s="41">
        <v>100</v>
      </c>
    </row>
    <row r="31" spans="1:28" x14ac:dyDescent="0.25">
      <c r="A31" s="50" t="s">
        <v>116</v>
      </c>
      <c r="B31" s="13" t="s">
        <v>7</v>
      </c>
      <c r="C31" s="13">
        <v>0</v>
      </c>
      <c r="D31" s="13">
        <v>0</v>
      </c>
      <c r="E31" s="13">
        <v>0</v>
      </c>
      <c r="F31" s="8">
        <v>7</v>
      </c>
      <c r="G31" s="8">
        <v>0</v>
      </c>
      <c r="H31" s="8">
        <v>7</v>
      </c>
      <c r="I31" s="8">
        <v>0</v>
      </c>
      <c r="J31" s="8">
        <v>10</v>
      </c>
      <c r="K31" s="8">
        <v>10</v>
      </c>
      <c r="L31" s="8">
        <v>10</v>
      </c>
      <c r="M31" s="8">
        <v>0</v>
      </c>
      <c r="N31" s="8">
        <v>0</v>
      </c>
      <c r="O31" s="8">
        <v>0</v>
      </c>
      <c r="P31" s="20">
        <v>4.8</v>
      </c>
      <c r="Q31" s="20">
        <v>0</v>
      </c>
      <c r="R31" s="20">
        <v>7.1</v>
      </c>
      <c r="S31" s="20">
        <v>0</v>
      </c>
      <c r="T31" s="20">
        <v>0</v>
      </c>
      <c r="U31" s="20">
        <v>0</v>
      </c>
      <c r="V31" s="20">
        <v>9.3000000000000007</v>
      </c>
      <c r="W31" s="8">
        <v>5</v>
      </c>
      <c r="X31" s="20"/>
      <c r="Y31" s="20"/>
      <c r="Z31" s="41"/>
    </row>
    <row r="32" spans="1:28" x14ac:dyDescent="0.25">
      <c r="A32" s="50" t="s">
        <v>117</v>
      </c>
      <c r="B32" s="13" t="s">
        <v>7</v>
      </c>
      <c r="C32" s="13" t="s">
        <v>30</v>
      </c>
      <c r="D32" s="13" t="s">
        <v>30</v>
      </c>
      <c r="E32" s="13" t="s">
        <v>30</v>
      </c>
      <c r="F32" s="8">
        <v>0.5</v>
      </c>
      <c r="G32" s="8" t="s">
        <v>33</v>
      </c>
      <c r="H32" s="8">
        <v>0.5</v>
      </c>
      <c r="I32" s="8" t="s">
        <v>33</v>
      </c>
      <c r="J32" s="8">
        <v>0.25</v>
      </c>
      <c r="K32" s="8">
        <v>0.25</v>
      </c>
      <c r="L32" s="8">
        <v>0.25</v>
      </c>
      <c r="M32" s="8">
        <v>0</v>
      </c>
      <c r="N32" s="8">
        <v>0</v>
      </c>
      <c r="O32" s="8">
        <v>0</v>
      </c>
      <c r="P32" s="8"/>
      <c r="Q32" s="8" t="s">
        <v>8</v>
      </c>
      <c r="R32" s="8"/>
      <c r="S32" s="8" t="s">
        <v>8</v>
      </c>
      <c r="T32" s="8" t="s">
        <v>8</v>
      </c>
      <c r="U32" s="8" t="s">
        <v>8</v>
      </c>
      <c r="V32" s="8"/>
      <c r="W32" s="8">
        <v>0.5</v>
      </c>
      <c r="X32" s="8"/>
      <c r="Y32" s="8"/>
      <c r="Z32" s="43"/>
    </row>
    <row r="33" spans="1:26" x14ac:dyDescent="0.25">
      <c r="A33" s="50" t="s">
        <v>148</v>
      </c>
      <c r="B33" s="13" t="s">
        <v>7</v>
      </c>
      <c r="C33" s="13">
        <v>28</v>
      </c>
      <c r="D33" s="13">
        <v>28</v>
      </c>
      <c r="E33" s="13">
        <v>28</v>
      </c>
      <c r="F33" s="8">
        <v>27</v>
      </c>
      <c r="G33" s="8">
        <v>100</v>
      </c>
      <c r="H33" s="8">
        <v>27</v>
      </c>
      <c r="I33" s="8">
        <v>100</v>
      </c>
      <c r="J33" s="8">
        <v>30</v>
      </c>
      <c r="K33" s="8">
        <v>30</v>
      </c>
      <c r="L33" s="8">
        <v>30</v>
      </c>
      <c r="M33" s="8">
        <v>25</v>
      </c>
      <c r="N33" s="8">
        <v>25</v>
      </c>
      <c r="O33" s="8">
        <v>25</v>
      </c>
      <c r="P33" s="8">
        <v>30</v>
      </c>
      <c r="Q33" s="8">
        <v>30</v>
      </c>
      <c r="R33" s="8">
        <v>30</v>
      </c>
      <c r="S33" s="8">
        <v>30</v>
      </c>
      <c r="T33" s="8">
        <v>30</v>
      </c>
      <c r="U33" s="8">
        <v>30</v>
      </c>
      <c r="V33" s="8">
        <v>30</v>
      </c>
      <c r="W33" s="8">
        <v>25</v>
      </c>
      <c r="X33" s="8">
        <v>30</v>
      </c>
      <c r="Y33" s="8">
        <v>30</v>
      </c>
      <c r="Z33" s="43">
        <v>30</v>
      </c>
    </row>
    <row r="34" spans="1:26" s="66" customFormat="1" x14ac:dyDescent="0.25">
      <c r="A34" s="52" t="s">
        <v>76</v>
      </c>
      <c r="B34" s="8" t="s">
        <v>41</v>
      </c>
      <c r="C34" s="28">
        <v>2.2000000000000002</v>
      </c>
      <c r="D34" s="28">
        <v>0.8</v>
      </c>
      <c r="E34" s="28">
        <v>0.45</v>
      </c>
      <c r="F34" s="8"/>
      <c r="G34" s="8"/>
      <c r="H34" s="8"/>
      <c r="I34" s="8"/>
      <c r="J34" s="8">
        <v>2.4</v>
      </c>
      <c r="K34" s="8">
        <v>2.4</v>
      </c>
      <c r="L34" s="8">
        <v>2.4</v>
      </c>
      <c r="M34" s="8">
        <v>0.75</v>
      </c>
      <c r="N34" s="8">
        <v>0.75</v>
      </c>
      <c r="O34" s="8">
        <v>0.75</v>
      </c>
      <c r="P34" s="20">
        <v>9</v>
      </c>
      <c r="Q34" s="8">
        <v>0.67</v>
      </c>
      <c r="R34" s="20">
        <v>9</v>
      </c>
      <c r="S34" s="20">
        <v>9</v>
      </c>
      <c r="T34" s="8">
        <v>1.2</v>
      </c>
      <c r="U34" s="8">
        <v>1.8</v>
      </c>
      <c r="V34" s="20">
        <v>9</v>
      </c>
      <c r="W34" s="21"/>
      <c r="X34" s="8">
        <v>0.3</v>
      </c>
      <c r="Y34" s="8">
        <v>7</v>
      </c>
      <c r="Z34" s="43">
        <v>1</v>
      </c>
    </row>
    <row r="35" spans="1:26" s="66" customFormat="1" x14ac:dyDescent="0.25">
      <c r="A35" s="52" t="s">
        <v>91</v>
      </c>
      <c r="B35" s="8" t="s">
        <v>40</v>
      </c>
      <c r="C35" s="28">
        <v>58.691479244546983</v>
      </c>
      <c r="D35" s="28">
        <v>49.904825367941726</v>
      </c>
      <c r="E35" s="28">
        <v>44.90727590360973</v>
      </c>
      <c r="F35" s="8"/>
      <c r="G35" s="8"/>
      <c r="H35" s="8"/>
      <c r="I35" s="8"/>
      <c r="J35" s="8">
        <v>59.8</v>
      </c>
      <c r="K35" s="8">
        <v>59.8</v>
      </c>
      <c r="L35" s="8">
        <v>59.8</v>
      </c>
      <c r="M35" s="8">
        <v>49.7</v>
      </c>
      <c r="N35" s="8">
        <v>49.7</v>
      </c>
      <c r="O35" s="8">
        <v>49.7</v>
      </c>
      <c r="P35" s="20">
        <v>71.099999999999994</v>
      </c>
      <c r="Q35" s="8">
        <v>48.9</v>
      </c>
      <c r="R35" s="20">
        <v>71.7</v>
      </c>
      <c r="S35" s="20">
        <v>71.7</v>
      </c>
      <c r="T35" s="8">
        <v>53.9</v>
      </c>
      <c r="U35" s="8">
        <v>57.4</v>
      </c>
      <c r="V35" s="20">
        <v>71.099999999999994</v>
      </c>
      <c r="W35" s="8"/>
      <c r="X35" s="8">
        <v>43.981825181113621</v>
      </c>
      <c r="Y35" s="8">
        <v>71.341360887005507</v>
      </c>
      <c r="Z35" s="43">
        <v>54.439400086720376</v>
      </c>
    </row>
    <row r="36" spans="1:26" s="66" customFormat="1" x14ac:dyDescent="0.25">
      <c r="A36" s="52" t="s">
        <v>92</v>
      </c>
      <c r="B36" s="20" t="s">
        <v>85</v>
      </c>
      <c r="C36" s="28">
        <v>3.0487649401613481</v>
      </c>
      <c r="D36" s="28">
        <v>-13.519401440280348</v>
      </c>
      <c r="E36" s="28">
        <v>-18.516950904612344</v>
      </c>
      <c r="F36" s="20">
        <f t="shared" ref="F36:V36" si="0">F28-10*LOG10(F17*1000)</f>
        <v>-0.18151250383644424</v>
      </c>
      <c r="G36" s="20">
        <f t="shared" si="0"/>
        <v>-19.058800173440751</v>
      </c>
      <c r="H36" s="20">
        <f t="shared" si="0"/>
        <v>0.21848749616356145</v>
      </c>
      <c r="I36" s="20">
        <f t="shared" si="0"/>
        <v>-17.758800173440747</v>
      </c>
      <c r="J36" s="20">
        <v>-3.4897000433601875</v>
      </c>
      <c r="K36" s="20">
        <v>-2.4897000433601875</v>
      </c>
      <c r="L36" s="20">
        <v>-3.9897000433601875</v>
      </c>
      <c r="M36" s="20">
        <v>-12.710299956639815</v>
      </c>
      <c r="N36" s="20">
        <v>-10.010299956639813</v>
      </c>
      <c r="O36" s="20">
        <v>-13.210299956639815</v>
      </c>
      <c r="P36" s="20">
        <f t="shared" si="0"/>
        <v>-7.2424250943932549</v>
      </c>
      <c r="Q36" s="20">
        <f t="shared" si="0"/>
        <v>-18.160912590556812</v>
      </c>
      <c r="R36" s="20">
        <f t="shared" si="0"/>
        <v>-7</v>
      </c>
      <c r="S36" s="20">
        <f t="shared" si="0"/>
        <v>7.5575749056067423</v>
      </c>
      <c r="T36" s="20">
        <f t="shared" si="0"/>
        <v>-10.050612633916998</v>
      </c>
      <c r="U36" s="20">
        <f t="shared" si="0"/>
        <v>-10.541578492636788</v>
      </c>
      <c r="V36" s="20">
        <f t="shared" si="0"/>
        <v>-9.534237554869506</v>
      </c>
      <c r="W36" s="20">
        <v>-23</v>
      </c>
      <c r="X36" s="20">
        <v>-24.789387366083005</v>
      </c>
      <c r="Y36" s="20">
        <v>11.341360887005507</v>
      </c>
      <c r="Z36" s="41">
        <v>-14.33181246047625</v>
      </c>
    </row>
    <row r="37" spans="1:26" s="66" customFormat="1" x14ac:dyDescent="0.25">
      <c r="A37" s="52" t="s">
        <v>93</v>
      </c>
      <c r="B37" s="20" t="s">
        <v>85</v>
      </c>
      <c r="C37" s="29">
        <f t="shared" ref="C37:E37" si="1">C36-C35</f>
        <v>-55.642714304385635</v>
      </c>
      <c r="D37" s="29">
        <f t="shared" si="1"/>
        <v>-63.424226808222073</v>
      </c>
      <c r="E37" s="29">
        <f t="shared" si="1"/>
        <v>-63.424226808222073</v>
      </c>
      <c r="F37" s="20"/>
      <c r="G37" s="20"/>
      <c r="H37" s="20"/>
      <c r="I37" s="20"/>
      <c r="J37" s="20">
        <v>-63.289700043360185</v>
      </c>
      <c r="K37" s="20">
        <v>-62.289700043360185</v>
      </c>
      <c r="L37" s="20">
        <v>-63.789700043360185</v>
      </c>
      <c r="M37" s="20">
        <v>-62.410299956639818</v>
      </c>
      <c r="N37" s="20">
        <v>-59.710299956639815</v>
      </c>
      <c r="O37" s="20">
        <v>-62.910299956639818</v>
      </c>
      <c r="P37" s="20">
        <f t="shared" ref="P37:V37" si="2">P36-P35</f>
        <v>-78.342425094393249</v>
      </c>
      <c r="Q37" s="20">
        <f t="shared" si="2"/>
        <v>-67.060912590556811</v>
      </c>
      <c r="R37" s="20">
        <f t="shared" si="2"/>
        <v>-78.7</v>
      </c>
      <c r="S37" s="20">
        <f t="shared" si="2"/>
        <v>-64.142425094393261</v>
      </c>
      <c r="T37" s="20">
        <f t="shared" si="2"/>
        <v>-63.950612633916997</v>
      </c>
      <c r="U37" s="20">
        <f t="shared" si="2"/>
        <v>-67.941578492636779</v>
      </c>
      <c r="V37" s="20">
        <f t="shared" si="2"/>
        <v>-80.6342375548695</v>
      </c>
      <c r="W37" s="21"/>
      <c r="X37" s="20">
        <v>-68.771212547196626</v>
      </c>
      <c r="Y37" s="20">
        <v>-60</v>
      </c>
      <c r="Z37" s="41">
        <v>-68.771212547196626</v>
      </c>
    </row>
    <row r="38" spans="1:26" x14ac:dyDescent="0.25">
      <c r="A38" s="48" t="s">
        <v>34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37"/>
    </row>
    <row r="39" spans="1:26" x14ac:dyDescent="0.2">
      <c r="A39" s="50" t="s">
        <v>35</v>
      </c>
      <c r="B39" s="13" t="s">
        <v>21</v>
      </c>
      <c r="C39" s="13">
        <v>0</v>
      </c>
      <c r="D39" s="13">
        <v>0</v>
      </c>
      <c r="E39" s="13">
        <v>0</v>
      </c>
      <c r="F39" s="8">
        <v>0.01</v>
      </c>
      <c r="G39" s="8">
        <v>0.01</v>
      </c>
      <c r="H39" s="8">
        <v>0.01</v>
      </c>
      <c r="I39" s="8">
        <v>0.01</v>
      </c>
      <c r="J39" s="8">
        <v>0</v>
      </c>
      <c r="K39" s="8">
        <v>0</v>
      </c>
      <c r="L39" s="8">
        <v>0</v>
      </c>
      <c r="M39" s="59">
        <v>0</v>
      </c>
      <c r="N39" s="59">
        <v>0</v>
      </c>
      <c r="O39" s="59">
        <v>0</v>
      </c>
      <c r="P39" s="21"/>
      <c r="Q39" s="21"/>
      <c r="R39" s="21"/>
      <c r="S39" s="21"/>
      <c r="T39" s="21"/>
      <c r="U39" s="21"/>
      <c r="V39" s="21"/>
      <c r="W39" s="8">
        <v>0</v>
      </c>
      <c r="X39" s="21">
        <v>1.623</v>
      </c>
      <c r="Y39" s="21">
        <v>1.623</v>
      </c>
      <c r="Z39" s="42">
        <v>1.623</v>
      </c>
    </row>
    <row r="40" spans="1:26" x14ac:dyDescent="0.25">
      <c r="A40" s="50" t="s">
        <v>36</v>
      </c>
      <c r="B40" s="13" t="s">
        <v>23</v>
      </c>
      <c r="C40" s="14">
        <v>-22.896100000000001</v>
      </c>
      <c r="D40" s="14">
        <v>-22.896100000000001</v>
      </c>
      <c r="E40" s="14">
        <v>-22.896100000000001</v>
      </c>
      <c r="F40" s="8">
        <v>41.98</v>
      </c>
      <c r="G40" s="8">
        <v>41.98</v>
      </c>
      <c r="H40" s="8">
        <v>41.98</v>
      </c>
      <c r="I40" s="8">
        <v>41.98</v>
      </c>
      <c r="J40" s="8">
        <v>49.69</v>
      </c>
      <c r="K40" s="8">
        <v>3.13</v>
      </c>
      <c r="L40" s="8">
        <v>-12.1</v>
      </c>
      <c r="M40" s="8">
        <v>49.69</v>
      </c>
      <c r="N40" s="8">
        <v>3.13</v>
      </c>
      <c r="O40" s="8">
        <v>-12.1</v>
      </c>
      <c r="P40" s="21">
        <v>48.4</v>
      </c>
      <c r="Q40" s="21">
        <v>43.6</v>
      </c>
      <c r="R40" s="21">
        <v>46.1</v>
      </c>
      <c r="S40" s="21">
        <v>62.5</v>
      </c>
      <c r="T40" s="21">
        <v>52.1</v>
      </c>
      <c r="U40" s="21">
        <v>52.1</v>
      </c>
      <c r="V40" s="21">
        <v>52.1</v>
      </c>
      <c r="W40" s="8">
        <v>36</v>
      </c>
      <c r="X40" s="21">
        <v>33.322800000000001</v>
      </c>
      <c r="Y40" s="21">
        <v>33.322800000000001</v>
      </c>
      <c r="Z40" s="42">
        <v>33.322800000000001</v>
      </c>
    </row>
    <row r="41" spans="1:26" x14ac:dyDescent="0.25">
      <c r="A41" s="50" t="s">
        <v>118</v>
      </c>
      <c r="B41" s="13" t="s">
        <v>23</v>
      </c>
      <c r="C41" s="14">
        <v>-47.204300000000003</v>
      </c>
      <c r="D41" s="14">
        <v>-47.204300000000003</v>
      </c>
      <c r="E41" s="14">
        <v>-47.204300000000003</v>
      </c>
      <c r="F41" s="36">
        <v>-44</v>
      </c>
      <c r="G41" s="36">
        <v>-44</v>
      </c>
      <c r="H41" s="36">
        <v>-44</v>
      </c>
      <c r="I41" s="36">
        <v>-44</v>
      </c>
      <c r="J41" s="8">
        <v>6.35</v>
      </c>
      <c r="K41" s="8">
        <v>101.6</v>
      </c>
      <c r="L41" s="8">
        <v>-77</v>
      </c>
      <c r="M41" s="8">
        <v>6.35</v>
      </c>
      <c r="N41" s="8">
        <v>101.6</v>
      </c>
      <c r="O41" s="8">
        <v>-77</v>
      </c>
      <c r="P41" s="68">
        <v>81</v>
      </c>
      <c r="Q41" s="68">
        <v>64.75</v>
      </c>
      <c r="R41" s="68">
        <v>-84.25</v>
      </c>
      <c r="S41" s="68">
        <v>-46.25</v>
      </c>
      <c r="T41" s="68">
        <v>176.5</v>
      </c>
      <c r="U41" s="68">
        <v>176.5</v>
      </c>
      <c r="V41" s="68">
        <v>176.5</v>
      </c>
      <c r="W41" s="36">
        <v>41.5</v>
      </c>
      <c r="X41" s="21">
        <v>-116.8356</v>
      </c>
      <c r="Y41" s="21">
        <v>-116.8356</v>
      </c>
      <c r="Z41" s="42">
        <v>-116.8356</v>
      </c>
    </row>
    <row r="42" spans="1:26" ht="25.5" x14ac:dyDescent="0.25">
      <c r="A42" s="50" t="s">
        <v>119</v>
      </c>
      <c r="B42" s="13" t="s">
        <v>24</v>
      </c>
      <c r="C42" s="13">
        <v>25</v>
      </c>
      <c r="D42" s="13">
        <v>25</v>
      </c>
      <c r="E42" s="13">
        <v>25</v>
      </c>
      <c r="F42" s="8">
        <v>10.5</v>
      </c>
      <c r="G42" s="8">
        <v>10.5</v>
      </c>
      <c r="H42" s="8">
        <v>10.5</v>
      </c>
      <c r="I42" s="8">
        <v>10.5</v>
      </c>
      <c r="J42" s="8">
        <v>25</v>
      </c>
      <c r="K42" s="8">
        <v>25</v>
      </c>
      <c r="L42" s="8">
        <v>25</v>
      </c>
      <c r="M42" s="8">
        <v>25</v>
      </c>
      <c r="N42" s="8">
        <v>25</v>
      </c>
      <c r="O42" s="8">
        <v>25</v>
      </c>
      <c r="P42" s="8"/>
      <c r="Q42" s="8"/>
      <c r="R42" s="8"/>
      <c r="S42" s="8"/>
      <c r="T42" s="8"/>
      <c r="U42" s="8"/>
      <c r="V42" s="8"/>
      <c r="W42" s="8">
        <v>25</v>
      </c>
      <c r="X42" s="8" t="s">
        <v>105</v>
      </c>
      <c r="Y42" s="8" t="s">
        <v>105</v>
      </c>
      <c r="Z42" s="43" t="s">
        <v>105</v>
      </c>
    </row>
    <row r="43" spans="1:26" ht="25.5" x14ac:dyDescent="0.25">
      <c r="A43" s="50" t="s">
        <v>120</v>
      </c>
      <c r="B43" s="13" t="s">
        <v>25</v>
      </c>
      <c r="C43" s="13">
        <v>30</v>
      </c>
      <c r="D43" s="13">
        <v>30</v>
      </c>
      <c r="E43" s="13">
        <v>30</v>
      </c>
      <c r="F43" s="8">
        <v>50</v>
      </c>
      <c r="G43" s="8">
        <v>50</v>
      </c>
      <c r="H43" s="8">
        <v>50</v>
      </c>
      <c r="I43" s="8">
        <v>50</v>
      </c>
      <c r="J43" s="21" t="s">
        <v>30</v>
      </c>
      <c r="K43" s="21" t="s">
        <v>30</v>
      </c>
      <c r="L43" s="21" t="s">
        <v>30</v>
      </c>
      <c r="M43" s="21" t="s">
        <v>30</v>
      </c>
      <c r="N43" s="21" t="s">
        <v>30</v>
      </c>
      <c r="O43" s="21" t="s">
        <v>30</v>
      </c>
      <c r="P43" s="21"/>
      <c r="Q43" s="21"/>
      <c r="R43" s="21"/>
      <c r="S43" s="21"/>
      <c r="T43" s="21"/>
      <c r="U43" s="21"/>
      <c r="V43" s="21"/>
      <c r="W43" s="8">
        <v>30</v>
      </c>
      <c r="X43" s="8" t="s">
        <v>105</v>
      </c>
      <c r="Y43" s="8" t="s">
        <v>105</v>
      </c>
      <c r="Z43" s="43" t="s">
        <v>105</v>
      </c>
    </row>
    <row r="44" spans="1:26" x14ac:dyDescent="0.25">
      <c r="A44" s="50" t="s">
        <v>121</v>
      </c>
      <c r="B44" s="13" t="s">
        <v>23</v>
      </c>
      <c r="C44" s="27">
        <v>27.544753115833913</v>
      </c>
      <c r="D44" s="27">
        <v>27.544753115833913</v>
      </c>
      <c r="E44" s="27">
        <v>27.544753115833913</v>
      </c>
      <c r="F44" s="8">
        <v>40.1</v>
      </c>
      <c r="G44" s="8">
        <v>40.1</v>
      </c>
      <c r="H44" s="8">
        <v>40.1</v>
      </c>
      <c r="I44" s="8">
        <v>40.1</v>
      </c>
      <c r="J44" s="8">
        <v>32</v>
      </c>
      <c r="K44" s="8">
        <v>86</v>
      </c>
      <c r="L44" s="8">
        <v>74</v>
      </c>
      <c r="M44" s="8">
        <v>32</v>
      </c>
      <c r="N44" s="8">
        <v>86</v>
      </c>
      <c r="O44" s="8">
        <v>74</v>
      </c>
      <c r="P44" s="8">
        <v>33.1</v>
      </c>
      <c r="Q44" s="8">
        <v>39.5</v>
      </c>
      <c r="R44" s="8">
        <v>20.5</v>
      </c>
      <c r="S44" s="8">
        <v>11.7</v>
      </c>
      <c r="T44" s="8">
        <v>30.3</v>
      </c>
      <c r="U44" s="8">
        <v>30.3</v>
      </c>
      <c r="V44" s="36">
        <v>30.3</v>
      </c>
      <c r="W44" s="8">
        <v>30</v>
      </c>
      <c r="X44" s="8">
        <v>50</v>
      </c>
      <c r="Y44" s="8">
        <v>50</v>
      </c>
      <c r="Z44" s="43">
        <v>50</v>
      </c>
    </row>
    <row r="45" spans="1:26" x14ac:dyDescent="0.2">
      <c r="A45" s="50" t="s">
        <v>122</v>
      </c>
      <c r="B45" s="13" t="s">
        <v>37</v>
      </c>
      <c r="C45" s="13" t="s">
        <v>38</v>
      </c>
      <c r="D45" s="13" t="s">
        <v>38</v>
      </c>
      <c r="E45" s="13" t="s">
        <v>38</v>
      </c>
      <c r="F45" s="8" t="s">
        <v>30</v>
      </c>
      <c r="G45" s="8" t="s">
        <v>30</v>
      </c>
      <c r="H45" s="8" t="s">
        <v>31</v>
      </c>
      <c r="I45" s="8" t="s">
        <v>31</v>
      </c>
      <c r="J45" s="54">
        <v>28.23</v>
      </c>
      <c r="K45" s="8">
        <v>100.1</v>
      </c>
      <c r="L45" s="8">
        <v>7.2</v>
      </c>
      <c r="M45" s="54">
        <v>28.23</v>
      </c>
      <c r="N45" s="8">
        <v>100.1</v>
      </c>
      <c r="O45" s="8">
        <v>7.2</v>
      </c>
      <c r="P45" s="21" t="s">
        <v>72</v>
      </c>
      <c r="Q45" s="21" t="s">
        <v>88</v>
      </c>
      <c r="R45" s="21" t="s">
        <v>87</v>
      </c>
      <c r="S45" s="21" t="s">
        <v>89</v>
      </c>
      <c r="T45" s="21" t="s">
        <v>86</v>
      </c>
      <c r="U45" s="21" t="s">
        <v>86</v>
      </c>
      <c r="V45" s="21" t="s">
        <v>86</v>
      </c>
      <c r="W45" s="8" t="s">
        <v>86</v>
      </c>
      <c r="X45" s="30" t="s">
        <v>30</v>
      </c>
      <c r="Y45" s="30" t="s">
        <v>30</v>
      </c>
      <c r="Z45" s="47" t="s">
        <v>30</v>
      </c>
    </row>
    <row r="46" spans="1:26" x14ac:dyDescent="0.2">
      <c r="A46" s="50" t="s">
        <v>123</v>
      </c>
      <c r="B46" s="13" t="s">
        <v>158</v>
      </c>
      <c r="C46" s="13">
        <v>61.5</v>
      </c>
      <c r="D46" s="13">
        <v>61.5</v>
      </c>
      <c r="E46" s="13">
        <v>61.5</v>
      </c>
      <c r="F46" s="8">
        <v>50.1</v>
      </c>
      <c r="G46" s="8">
        <v>50.1</v>
      </c>
      <c r="H46" s="8">
        <v>50.1</v>
      </c>
      <c r="I46" s="8">
        <v>50.1</v>
      </c>
      <c r="J46" s="54" t="s">
        <v>135</v>
      </c>
      <c r="K46" s="54" t="s">
        <v>136</v>
      </c>
      <c r="L46" s="54" t="s">
        <v>137</v>
      </c>
      <c r="M46" s="54" t="s">
        <v>135</v>
      </c>
      <c r="N46" s="54" t="s">
        <v>136</v>
      </c>
      <c r="O46" s="54" t="s">
        <v>137</v>
      </c>
      <c r="P46" s="21">
        <v>19</v>
      </c>
      <c r="Q46" s="21">
        <v>12</v>
      </c>
      <c r="R46" s="21">
        <v>28</v>
      </c>
      <c r="S46" s="21">
        <v>8</v>
      </c>
      <c r="T46" s="21">
        <v>22</v>
      </c>
      <c r="U46" s="21">
        <v>22</v>
      </c>
      <c r="V46" s="21">
        <v>22</v>
      </c>
      <c r="W46" s="21">
        <v>22</v>
      </c>
      <c r="X46" s="21" t="s">
        <v>106</v>
      </c>
      <c r="Y46" s="21" t="s">
        <v>106</v>
      </c>
      <c r="Z46" s="42" t="s">
        <v>106</v>
      </c>
    </row>
    <row r="47" spans="1:26" x14ac:dyDescent="0.2">
      <c r="A47" s="50" t="s">
        <v>149</v>
      </c>
      <c r="B47" s="13" t="s">
        <v>39</v>
      </c>
      <c r="C47" s="13">
        <v>500</v>
      </c>
      <c r="D47" s="13">
        <v>500</v>
      </c>
      <c r="E47" s="13">
        <v>500</v>
      </c>
      <c r="F47" s="36">
        <v>250</v>
      </c>
      <c r="G47" s="36">
        <v>200</v>
      </c>
      <c r="H47" s="36">
        <v>250</v>
      </c>
      <c r="I47" s="36">
        <v>200</v>
      </c>
      <c r="J47" s="54">
        <v>47.5</v>
      </c>
      <c r="K47" s="54">
        <v>47.5</v>
      </c>
      <c r="L47" s="54">
        <v>47.5</v>
      </c>
      <c r="M47" s="54">
        <v>57.6</v>
      </c>
      <c r="N47" s="54">
        <v>57.6</v>
      </c>
      <c r="O47" s="54">
        <v>57.6</v>
      </c>
      <c r="P47" s="21">
        <v>249.6</v>
      </c>
      <c r="Q47" s="21">
        <v>327.10000000000002</v>
      </c>
      <c r="R47" s="21">
        <v>249.6</v>
      </c>
      <c r="S47" s="21">
        <v>249.6</v>
      </c>
      <c r="T47" s="21">
        <v>327.10000000000002</v>
      </c>
      <c r="U47" s="21">
        <v>327.10000000000002</v>
      </c>
      <c r="V47" s="21">
        <v>327.10000000000002</v>
      </c>
      <c r="W47" s="36">
        <v>250</v>
      </c>
      <c r="X47" s="21">
        <v>250</v>
      </c>
      <c r="Y47" s="21">
        <v>250</v>
      </c>
      <c r="Z47" s="42">
        <v>250</v>
      </c>
    </row>
    <row r="48" spans="1:26" x14ac:dyDescent="0.2">
      <c r="A48" s="50" t="s">
        <v>124</v>
      </c>
      <c r="B48" s="13" t="s">
        <v>40</v>
      </c>
      <c r="C48" s="27">
        <v>56.57</v>
      </c>
      <c r="D48" s="27">
        <v>56.57</v>
      </c>
      <c r="E48" s="27">
        <v>56.57</v>
      </c>
      <c r="F48" s="8">
        <v>43.4</v>
      </c>
      <c r="G48" s="8">
        <v>67</v>
      </c>
      <c r="H48" s="8">
        <v>43.4</v>
      </c>
      <c r="I48" s="8">
        <v>67</v>
      </c>
      <c r="J48" s="54">
        <v>0.75</v>
      </c>
      <c r="K48" s="54">
        <v>0.75</v>
      </c>
      <c r="L48" s="54">
        <v>0.75</v>
      </c>
      <c r="M48" s="54">
        <v>2.4</v>
      </c>
      <c r="N48" s="54">
        <v>2.4</v>
      </c>
      <c r="O48" s="54">
        <v>2.4</v>
      </c>
      <c r="P48" s="21">
        <v>47.3</v>
      </c>
      <c r="Q48" s="21">
        <v>69.5</v>
      </c>
      <c r="R48" s="21">
        <v>47.3</v>
      </c>
      <c r="S48" s="21">
        <v>52.4</v>
      </c>
      <c r="T48" s="21">
        <v>69.5</v>
      </c>
      <c r="U48" s="21">
        <v>69.5</v>
      </c>
      <c r="V48" s="21">
        <v>69.5</v>
      </c>
      <c r="W48" s="8">
        <v>66</v>
      </c>
      <c r="X48" s="21">
        <v>54.084824747511739</v>
      </c>
      <c r="Y48" s="21">
        <v>52.501199826559244</v>
      </c>
      <c r="Z48" s="42">
        <v>71.586050015345734</v>
      </c>
    </row>
    <row r="49" spans="1:26" x14ac:dyDescent="0.2">
      <c r="A49" s="49" t="s">
        <v>125</v>
      </c>
      <c r="B49" s="7" t="s">
        <v>41</v>
      </c>
      <c r="C49" s="13">
        <v>2.2000000000000002</v>
      </c>
      <c r="D49" s="13">
        <v>2.2000000000000002</v>
      </c>
      <c r="E49" s="13">
        <v>2.2000000000000002</v>
      </c>
      <c r="F49" s="7">
        <v>0.45</v>
      </c>
      <c r="G49" s="7">
        <v>6.8</v>
      </c>
      <c r="H49" s="7">
        <v>0.45</v>
      </c>
      <c r="I49" s="7">
        <v>6.8</v>
      </c>
      <c r="J49" s="54">
        <v>0.5</v>
      </c>
      <c r="K49" s="54">
        <v>0.5</v>
      </c>
      <c r="L49" s="54">
        <v>0.5</v>
      </c>
      <c r="M49" s="54">
        <v>0.5</v>
      </c>
      <c r="N49" s="54">
        <v>0.5</v>
      </c>
      <c r="O49" s="54">
        <v>0.5</v>
      </c>
      <c r="P49" s="7">
        <v>0.67</v>
      </c>
      <c r="Q49" s="65">
        <v>9</v>
      </c>
      <c r="R49" s="7">
        <v>0.67</v>
      </c>
      <c r="S49" s="7">
        <v>1.2</v>
      </c>
      <c r="T49" s="65">
        <v>9</v>
      </c>
      <c r="U49" s="65">
        <v>9</v>
      </c>
      <c r="V49" s="64">
        <v>9</v>
      </c>
      <c r="W49" s="8">
        <v>5.6</v>
      </c>
      <c r="X49" s="20">
        <v>1.2</v>
      </c>
      <c r="Y49" s="20">
        <v>1</v>
      </c>
      <c r="Z49" s="41">
        <v>9</v>
      </c>
    </row>
    <row r="50" spans="1:26" x14ac:dyDescent="0.25">
      <c r="A50" s="50" t="s">
        <v>126</v>
      </c>
      <c r="B50" s="13" t="s">
        <v>7</v>
      </c>
      <c r="C50" s="13">
        <v>0.5</v>
      </c>
      <c r="D50" s="13">
        <v>0.5</v>
      </c>
      <c r="E50" s="13">
        <v>0.5</v>
      </c>
      <c r="F50" s="8">
        <v>0.9</v>
      </c>
      <c r="G50" s="8">
        <v>0</v>
      </c>
      <c r="H50" s="8">
        <v>0.9</v>
      </c>
      <c r="I50" s="8">
        <v>0</v>
      </c>
      <c r="J50" s="8">
        <v>30</v>
      </c>
      <c r="K50" s="8">
        <v>30</v>
      </c>
      <c r="L50" s="8">
        <v>30</v>
      </c>
      <c r="M50" s="8">
        <v>25</v>
      </c>
      <c r="N50" s="8">
        <v>25</v>
      </c>
      <c r="O50" s="8">
        <v>25</v>
      </c>
      <c r="P50" s="17">
        <v>1</v>
      </c>
      <c r="Q50" s="17">
        <v>0</v>
      </c>
      <c r="R50" s="17">
        <v>1</v>
      </c>
      <c r="S50" s="17">
        <v>1</v>
      </c>
      <c r="T50" s="17">
        <v>0</v>
      </c>
      <c r="U50" s="17">
        <v>0</v>
      </c>
      <c r="V50" s="17">
        <v>0</v>
      </c>
      <c r="W50" s="8">
        <v>0.5</v>
      </c>
      <c r="X50" s="17">
        <v>0</v>
      </c>
      <c r="Y50" s="17">
        <v>0</v>
      </c>
      <c r="Z50" s="40">
        <v>0</v>
      </c>
    </row>
    <row r="51" spans="1:26" x14ac:dyDescent="0.25">
      <c r="A51" s="50" t="s">
        <v>150</v>
      </c>
      <c r="B51" s="13" t="s">
        <v>7</v>
      </c>
      <c r="C51" s="13">
        <v>28</v>
      </c>
      <c r="D51" s="13">
        <v>28</v>
      </c>
      <c r="E51" s="13">
        <v>28</v>
      </c>
      <c r="F51" s="8">
        <v>25</v>
      </c>
      <c r="G51" s="8">
        <v>25</v>
      </c>
      <c r="H51" s="8">
        <v>25</v>
      </c>
      <c r="I51" s="8">
        <v>25</v>
      </c>
      <c r="J51" s="8">
        <v>30</v>
      </c>
      <c r="K51" s="8">
        <v>30</v>
      </c>
      <c r="L51" s="8">
        <v>30</v>
      </c>
      <c r="M51" s="8">
        <v>25</v>
      </c>
      <c r="N51" s="8">
        <v>25</v>
      </c>
      <c r="O51" s="8">
        <v>25</v>
      </c>
      <c r="P51" s="8">
        <v>30</v>
      </c>
      <c r="Q51" s="8">
        <v>30</v>
      </c>
      <c r="R51" s="8">
        <v>30</v>
      </c>
      <c r="S51" s="8">
        <v>30</v>
      </c>
      <c r="T51" s="8">
        <v>30</v>
      </c>
      <c r="U51" s="8">
        <v>30</v>
      </c>
      <c r="V51" s="8">
        <v>30</v>
      </c>
      <c r="W51" s="8">
        <v>30</v>
      </c>
      <c r="X51" s="8">
        <v>30</v>
      </c>
      <c r="Y51" s="8">
        <v>30</v>
      </c>
      <c r="Z51" s="43">
        <v>30</v>
      </c>
    </row>
    <row r="52" spans="1:26" x14ac:dyDescent="0.25">
      <c r="A52" s="48" t="s">
        <v>42</v>
      </c>
      <c r="B52" s="5"/>
      <c r="C52" s="31"/>
      <c r="D52" s="31"/>
      <c r="E52" s="31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37"/>
    </row>
    <row r="53" spans="1:26" x14ac:dyDescent="0.2">
      <c r="A53" s="50" t="s">
        <v>43</v>
      </c>
      <c r="B53" s="13" t="s">
        <v>44</v>
      </c>
      <c r="C53" s="13">
        <v>110</v>
      </c>
      <c r="D53" s="13">
        <v>11</v>
      </c>
      <c r="E53" s="13">
        <v>11</v>
      </c>
      <c r="F53" s="8">
        <v>600</v>
      </c>
      <c r="G53" s="8">
        <v>62.5</v>
      </c>
      <c r="H53" s="8">
        <v>600</v>
      </c>
      <c r="I53" s="8">
        <v>62.5</v>
      </c>
      <c r="J53" s="54" t="s">
        <v>67</v>
      </c>
      <c r="K53" s="54" t="s">
        <v>67</v>
      </c>
      <c r="L53" s="54" t="s">
        <v>67</v>
      </c>
      <c r="M53" s="54" t="s">
        <v>67</v>
      </c>
      <c r="N53" s="54" t="s">
        <v>67</v>
      </c>
      <c r="O53" s="54" t="s">
        <v>67</v>
      </c>
      <c r="P53" s="21">
        <v>800</v>
      </c>
      <c r="Q53" s="21">
        <v>1800</v>
      </c>
      <c r="R53" s="21">
        <v>200</v>
      </c>
      <c r="S53" s="21">
        <v>200</v>
      </c>
      <c r="T53" s="21">
        <v>200</v>
      </c>
      <c r="U53" s="21">
        <v>200</v>
      </c>
      <c r="V53" s="21">
        <v>600</v>
      </c>
      <c r="W53" s="8">
        <v>500</v>
      </c>
      <c r="X53" s="21">
        <v>250</v>
      </c>
      <c r="Y53" s="21">
        <v>600</v>
      </c>
      <c r="Z53" s="42">
        <v>600</v>
      </c>
    </row>
    <row r="54" spans="1:26" ht="25.5" x14ac:dyDescent="0.2">
      <c r="A54" s="50" t="s">
        <v>45</v>
      </c>
      <c r="B54" s="13" t="s">
        <v>46</v>
      </c>
      <c r="C54" s="13" t="s">
        <v>47</v>
      </c>
      <c r="D54" s="13" t="s">
        <v>47</v>
      </c>
      <c r="E54" s="13" t="s">
        <v>47</v>
      </c>
      <c r="F54" s="8">
        <v>48</v>
      </c>
      <c r="G54" s="8">
        <v>48</v>
      </c>
      <c r="H54" s="8">
        <v>50.5</v>
      </c>
      <c r="I54" s="8">
        <v>50.5</v>
      </c>
      <c r="J54" s="54">
        <v>48</v>
      </c>
      <c r="K54" s="54">
        <v>48</v>
      </c>
      <c r="L54" s="54">
        <v>48</v>
      </c>
      <c r="M54" s="54">
        <v>48</v>
      </c>
      <c r="N54" s="54">
        <v>48</v>
      </c>
      <c r="O54" s="54">
        <v>48</v>
      </c>
      <c r="P54" s="21" t="s">
        <v>74</v>
      </c>
      <c r="Q54" s="21" t="s">
        <v>74</v>
      </c>
      <c r="R54" s="21" t="s">
        <v>74</v>
      </c>
      <c r="S54" s="21" t="s">
        <v>74</v>
      </c>
      <c r="T54" s="21" t="s">
        <v>74</v>
      </c>
      <c r="U54" s="21" t="s">
        <v>74</v>
      </c>
      <c r="V54" s="21" t="s">
        <v>74</v>
      </c>
      <c r="W54" s="8" t="s">
        <v>100</v>
      </c>
      <c r="X54" s="21" t="s">
        <v>74</v>
      </c>
      <c r="Y54" s="21" t="s">
        <v>74</v>
      </c>
      <c r="Z54" s="42" t="s">
        <v>74</v>
      </c>
    </row>
    <row r="55" spans="1:26" x14ac:dyDescent="0.25">
      <c r="A55" s="50" t="s">
        <v>48</v>
      </c>
      <c r="B55" s="13"/>
      <c r="C55" s="13" t="s">
        <v>29</v>
      </c>
      <c r="D55" s="13" t="s">
        <v>29</v>
      </c>
      <c r="E55" s="13" t="s">
        <v>29</v>
      </c>
      <c r="F55" s="8" t="s">
        <v>29</v>
      </c>
      <c r="G55" s="8" t="s">
        <v>29</v>
      </c>
      <c r="H55" s="8" t="s">
        <v>29</v>
      </c>
      <c r="I55" s="8" t="s">
        <v>29</v>
      </c>
      <c r="J55" s="8" t="s">
        <v>29</v>
      </c>
      <c r="K55" s="8" t="s">
        <v>29</v>
      </c>
      <c r="L55" s="8" t="s">
        <v>29</v>
      </c>
      <c r="M55" s="8" t="s">
        <v>29</v>
      </c>
      <c r="N55" s="8" t="s">
        <v>29</v>
      </c>
      <c r="O55" s="8" t="s">
        <v>29</v>
      </c>
      <c r="P55" s="8" t="s">
        <v>75</v>
      </c>
      <c r="Q55" s="8" t="s">
        <v>75</v>
      </c>
      <c r="R55" s="8" t="s">
        <v>75</v>
      </c>
      <c r="S55" s="8" t="s">
        <v>75</v>
      </c>
      <c r="T55" s="8" t="s">
        <v>75</v>
      </c>
      <c r="U55" s="8" t="s">
        <v>75</v>
      </c>
      <c r="V55" s="8" t="s">
        <v>75</v>
      </c>
      <c r="W55" s="8" t="s">
        <v>29</v>
      </c>
      <c r="X55" s="8" t="s">
        <v>29</v>
      </c>
      <c r="Y55" s="8" t="s">
        <v>29</v>
      </c>
      <c r="Z55" s="43" t="s">
        <v>29</v>
      </c>
    </row>
    <row r="56" spans="1:26" x14ac:dyDescent="0.2">
      <c r="A56" s="50" t="s">
        <v>49</v>
      </c>
      <c r="B56" s="13"/>
      <c r="C56" s="13"/>
      <c r="D56" s="13"/>
      <c r="E56" s="13"/>
      <c r="F56" s="8"/>
      <c r="G56" s="8"/>
      <c r="H56" s="8"/>
      <c r="I56" s="8"/>
      <c r="J56" s="59"/>
      <c r="K56" s="59"/>
      <c r="L56" s="59"/>
      <c r="M56" s="59"/>
      <c r="N56" s="59"/>
      <c r="O56" s="59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42"/>
    </row>
    <row r="57" spans="1:26" x14ac:dyDescent="0.2">
      <c r="A57" s="50" t="s">
        <v>50</v>
      </c>
      <c r="B57" s="13" t="s">
        <v>7</v>
      </c>
      <c r="C57" s="13">
        <v>0</v>
      </c>
      <c r="D57" s="13">
        <v>0</v>
      </c>
      <c r="E57" s="13">
        <v>0</v>
      </c>
      <c r="F57" s="8">
        <v>0</v>
      </c>
      <c r="G57" s="8">
        <v>0</v>
      </c>
      <c r="H57" s="8">
        <v>0</v>
      </c>
      <c r="I57" s="8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21">
        <v>17</v>
      </c>
      <c r="Q57" s="21">
        <v>0</v>
      </c>
      <c r="R57" s="21">
        <v>2.4</v>
      </c>
      <c r="S57" s="21">
        <v>15.8</v>
      </c>
      <c r="T57" s="21">
        <v>0</v>
      </c>
      <c r="U57" s="21">
        <v>0</v>
      </c>
      <c r="V57" s="21">
        <v>5</v>
      </c>
      <c r="W57" s="8">
        <v>0</v>
      </c>
      <c r="X57" s="21">
        <v>0</v>
      </c>
      <c r="Y57" s="21">
        <v>0</v>
      </c>
      <c r="Z57" s="42">
        <v>0</v>
      </c>
    </row>
    <row r="58" spans="1:26" x14ac:dyDescent="0.2">
      <c r="A58" s="50" t="s">
        <v>51</v>
      </c>
      <c r="B58" s="13"/>
      <c r="C58" s="13"/>
      <c r="D58" s="13"/>
      <c r="E58" s="13"/>
      <c r="F58" s="8"/>
      <c r="G58" s="8"/>
      <c r="H58" s="8"/>
      <c r="I58" s="8"/>
      <c r="J58" s="54"/>
      <c r="K58" s="54"/>
      <c r="L58" s="54"/>
      <c r="M58" s="54"/>
      <c r="N58" s="54"/>
      <c r="O58" s="54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42"/>
    </row>
    <row r="59" spans="1:26" x14ac:dyDescent="0.2">
      <c r="A59" s="50" t="s">
        <v>52</v>
      </c>
      <c r="B59" s="13" t="s">
        <v>40</v>
      </c>
      <c r="C59" s="27">
        <v>51.84</v>
      </c>
      <c r="D59" s="27">
        <v>51.84</v>
      </c>
      <c r="E59" s="27">
        <v>51.84</v>
      </c>
      <c r="F59" s="8">
        <v>51.4</v>
      </c>
      <c r="G59" s="8">
        <v>59.8</v>
      </c>
      <c r="H59" s="8">
        <v>51.9</v>
      </c>
      <c r="I59" s="8">
        <v>60.2</v>
      </c>
      <c r="J59" s="54">
        <v>51.8</v>
      </c>
      <c r="K59" s="54">
        <v>51.8</v>
      </c>
      <c r="L59" s="54">
        <v>51.8</v>
      </c>
      <c r="M59" s="55">
        <v>57.23</v>
      </c>
      <c r="N59" s="55">
        <v>57.23</v>
      </c>
      <c r="O59" s="55">
        <v>57.23</v>
      </c>
      <c r="P59" s="21">
        <v>54</v>
      </c>
      <c r="Q59" s="21">
        <v>54</v>
      </c>
      <c r="R59" s="21">
        <v>54</v>
      </c>
      <c r="S59" s="21">
        <v>54</v>
      </c>
      <c r="T59" s="21">
        <v>48</v>
      </c>
      <c r="U59" s="21">
        <v>54</v>
      </c>
      <c r="V59" s="21">
        <v>54</v>
      </c>
      <c r="W59" s="8">
        <v>62.75</v>
      </c>
      <c r="X59" s="21">
        <v>60</v>
      </c>
      <c r="Y59" s="21">
        <v>50</v>
      </c>
      <c r="Z59" s="42">
        <v>60</v>
      </c>
    </row>
    <row r="60" spans="1:26" x14ac:dyDescent="0.2">
      <c r="A60" s="50" t="s">
        <v>53</v>
      </c>
      <c r="B60" s="13" t="s">
        <v>40</v>
      </c>
      <c r="C60" s="27">
        <v>48.84</v>
      </c>
      <c r="D60" s="27">
        <v>48.84</v>
      </c>
      <c r="E60" s="27">
        <v>48.84</v>
      </c>
      <c r="F60" s="8">
        <v>51.4</v>
      </c>
      <c r="G60" s="8">
        <v>56.8</v>
      </c>
      <c r="H60" s="8">
        <v>51.9</v>
      </c>
      <c r="I60" s="8">
        <v>57.2</v>
      </c>
      <c r="J60" s="54">
        <v>51.8</v>
      </c>
      <c r="K60" s="54">
        <v>51.8</v>
      </c>
      <c r="L60" s="54">
        <v>51.8</v>
      </c>
      <c r="M60" s="55">
        <v>54.23</v>
      </c>
      <c r="N60" s="55">
        <v>54.23</v>
      </c>
      <c r="O60" s="55">
        <v>54.23</v>
      </c>
      <c r="P60" s="21">
        <v>54</v>
      </c>
      <c r="Q60" s="21">
        <v>51</v>
      </c>
      <c r="R60" s="21">
        <v>54</v>
      </c>
      <c r="S60" s="21">
        <v>54</v>
      </c>
      <c r="T60" s="21">
        <v>45</v>
      </c>
      <c r="U60" s="21">
        <v>54</v>
      </c>
      <c r="V60" s="21">
        <v>51</v>
      </c>
      <c r="W60" s="8">
        <v>56</v>
      </c>
      <c r="X60" s="21">
        <v>60</v>
      </c>
      <c r="Y60" s="21">
        <v>50</v>
      </c>
      <c r="Z60" s="42">
        <v>60</v>
      </c>
    </row>
    <row r="61" spans="1:26" x14ac:dyDescent="0.2">
      <c r="A61" s="50" t="s">
        <v>54</v>
      </c>
      <c r="B61" s="13" t="s">
        <v>39</v>
      </c>
      <c r="C61" s="32">
        <v>523</v>
      </c>
      <c r="D61" s="32">
        <v>523</v>
      </c>
      <c r="E61" s="32">
        <v>523</v>
      </c>
      <c r="F61" s="8">
        <v>600</v>
      </c>
      <c r="G61" s="8">
        <v>600</v>
      </c>
      <c r="H61" s="8">
        <v>600</v>
      </c>
      <c r="I61" s="8">
        <v>600</v>
      </c>
      <c r="J61" s="54">
        <v>600</v>
      </c>
      <c r="K61" s="54">
        <v>600</v>
      </c>
      <c r="L61" s="54">
        <v>600</v>
      </c>
      <c r="M61" s="54">
        <v>600</v>
      </c>
      <c r="N61" s="54">
        <v>600</v>
      </c>
      <c r="O61" s="54">
        <v>600</v>
      </c>
      <c r="P61" s="21">
        <v>1000</v>
      </c>
      <c r="Q61" s="21">
        <v>1000</v>
      </c>
      <c r="R61" s="21">
        <v>1000</v>
      </c>
      <c r="S61" s="21">
        <v>1000</v>
      </c>
      <c r="T61" s="21">
        <v>1000</v>
      </c>
      <c r="U61" s="21">
        <v>1000</v>
      </c>
      <c r="V61" s="21">
        <v>1000</v>
      </c>
      <c r="W61" s="8">
        <v>600</v>
      </c>
      <c r="X61" s="21">
        <v>760</v>
      </c>
      <c r="Y61" s="21">
        <v>760</v>
      </c>
      <c r="Z61" s="42">
        <v>760</v>
      </c>
    </row>
    <row r="62" spans="1:26" x14ac:dyDescent="0.2">
      <c r="A62" s="50" t="s">
        <v>151</v>
      </c>
      <c r="B62" s="13" t="s">
        <v>7</v>
      </c>
      <c r="C62" s="13">
        <v>25</v>
      </c>
      <c r="D62" s="13">
        <v>25</v>
      </c>
      <c r="E62" s="13">
        <v>25</v>
      </c>
      <c r="F62" s="8">
        <v>27</v>
      </c>
      <c r="G62" s="8">
        <v>27</v>
      </c>
      <c r="H62" s="8">
        <v>27</v>
      </c>
      <c r="I62" s="8">
        <v>27</v>
      </c>
      <c r="J62" s="54">
        <v>30</v>
      </c>
      <c r="K62" s="54">
        <v>30</v>
      </c>
      <c r="L62" s="54">
        <v>30</v>
      </c>
      <c r="M62" s="54">
        <v>30</v>
      </c>
      <c r="N62" s="54">
        <v>30</v>
      </c>
      <c r="O62" s="54">
        <v>30</v>
      </c>
      <c r="P62" s="17">
        <f>106.5-10*LOG10(P17*1000)</f>
        <v>26.957574905606748</v>
      </c>
      <c r="Q62" s="17">
        <f>98.8-10*LOG10(Q17*1000)</f>
        <v>27.039087409443184</v>
      </c>
      <c r="R62" s="17">
        <f>107-10*LOG10(R17*1000)</f>
        <v>27</v>
      </c>
      <c r="S62" s="17">
        <f>106.5-10*LOG10(S17*1000)</f>
        <v>26.957574905606748</v>
      </c>
      <c r="T62" s="17">
        <f>95.8-10*LOG10(T17*1000)</f>
        <v>27.049387366082996</v>
      </c>
      <c r="U62" s="17">
        <f>99.7-10*LOG10(U17*1000)</f>
        <v>26.958421507363212</v>
      </c>
      <c r="V62" s="17">
        <f>107.3-10*LOG10(V17*1000)</f>
        <v>26.965762445130494</v>
      </c>
      <c r="W62" s="8">
        <v>30</v>
      </c>
      <c r="X62" s="17">
        <v>30</v>
      </c>
      <c r="Y62" s="17">
        <v>30</v>
      </c>
      <c r="Z62" s="40">
        <v>30</v>
      </c>
    </row>
    <row r="63" spans="1:26" x14ac:dyDescent="0.25">
      <c r="A63" s="50" t="s">
        <v>152</v>
      </c>
      <c r="B63" s="13" t="s">
        <v>7</v>
      </c>
      <c r="C63" s="13">
        <v>25</v>
      </c>
      <c r="D63" s="13">
        <v>25</v>
      </c>
      <c r="E63" s="13">
        <v>25</v>
      </c>
      <c r="F63" s="8">
        <v>100</v>
      </c>
      <c r="G63" s="8">
        <v>25</v>
      </c>
      <c r="H63" s="8">
        <v>100</v>
      </c>
      <c r="I63" s="8">
        <v>25</v>
      </c>
      <c r="J63" s="8">
        <v>30</v>
      </c>
      <c r="K63" s="8">
        <v>30</v>
      </c>
      <c r="L63" s="8">
        <v>30</v>
      </c>
      <c r="M63" s="8">
        <v>25</v>
      </c>
      <c r="N63" s="8">
        <v>25</v>
      </c>
      <c r="O63" s="8">
        <v>25</v>
      </c>
      <c r="P63" s="17">
        <f>104.5-10*LOG10(P17*1000)</f>
        <v>24.957574905606748</v>
      </c>
      <c r="Q63" s="17">
        <f>96.8-10*LOG10(Q17*1000)</f>
        <v>25.039087409443184</v>
      </c>
      <c r="R63" s="17">
        <f>105-10*LOG10(R17*1000)</f>
        <v>25</v>
      </c>
      <c r="S63" s="17">
        <v>1000</v>
      </c>
      <c r="T63" s="17">
        <v>1000</v>
      </c>
      <c r="U63" s="17">
        <v>1000</v>
      </c>
      <c r="V63" s="17">
        <f>105.3-10*LOG10(V17*1000)</f>
        <v>24.965762445130494</v>
      </c>
      <c r="W63" s="8">
        <v>30</v>
      </c>
      <c r="X63" s="17">
        <v>30</v>
      </c>
      <c r="Y63" s="17">
        <v>30</v>
      </c>
      <c r="Z63" s="40">
        <v>30</v>
      </c>
    </row>
    <row r="64" spans="1:26" x14ac:dyDescent="0.25">
      <c r="A64" s="50" t="s">
        <v>55</v>
      </c>
      <c r="B64" s="13" t="s">
        <v>7</v>
      </c>
      <c r="C64" s="13">
        <v>2.5</v>
      </c>
      <c r="D64" s="13">
        <v>2.5</v>
      </c>
      <c r="E64" s="13">
        <v>2.5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f>P69+2</f>
        <v>4.5</v>
      </c>
      <c r="Q64" s="8">
        <f t="shared" ref="Q64:V64" si="3">Q69+2</f>
        <v>16.3</v>
      </c>
      <c r="R64" s="8">
        <f t="shared" si="3"/>
        <v>4.5</v>
      </c>
      <c r="S64" s="8">
        <f t="shared" si="3"/>
        <v>4.5</v>
      </c>
      <c r="T64" s="8">
        <f t="shared" si="3"/>
        <v>19.899999999999999</v>
      </c>
      <c r="U64" s="8">
        <f t="shared" si="3"/>
        <v>19.899999999999999</v>
      </c>
      <c r="V64" s="8">
        <f t="shared" si="3"/>
        <v>4.5</v>
      </c>
      <c r="W64" s="8">
        <v>7</v>
      </c>
      <c r="X64" s="8"/>
      <c r="Y64" s="8"/>
      <c r="Z64" s="43"/>
    </row>
    <row r="65" spans="1:26" s="69" customFormat="1" x14ac:dyDescent="0.25">
      <c r="A65" s="53" t="s">
        <v>94</v>
      </c>
      <c r="B65" s="20" t="s">
        <v>7</v>
      </c>
      <c r="C65" s="33">
        <v>31.6822356768361</v>
      </c>
      <c r="D65" s="33">
        <v>15.114069296394376</v>
      </c>
      <c r="E65" s="33">
        <v>10.11651983206238</v>
      </c>
      <c r="F65" s="20"/>
      <c r="G65" s="20"/>
      <c r="H65" s="20"/>
      <c r="I65" s="20"/>
      <c r="J65" s="8">
        <v>29.9</v>
      </c>
      <c r="K65" s="8">
        <v>31</v>
      </c>
      <c r="L65" s="8">
        <v>30</v>
      </c>
      <c r="M65" s="8">
        <v>23.1</v>
      </c>
      <c r="N65" s="8">
        <v>25.9</v>
      </c>
      <c r="O65" s="8">
        <v>23.2</v>
      </c>
      <c r="P65" s="20">
        <f>104.3-10*LOG10(P17*1000)</f>
        <v>24.757574905606745</v>
      </c>
      <c r="Q65" s="20">
        <f>79.8-10*LOG10(Q17*1000)</f>
        <v>8.0390874094431837</v>
      </c>
      <c r="R65" s="20">
        <f>105.8-10*LOG10(R17*1000)</f>
        <v>25.799999999999997</v>
      </c>
      <c r="S65" s="20">
        <f>119.1-10*LOG10(S17*1000)</f>
        <v>39.557574905606742</v>
      </c>
      <c r="T65" s="20">
        <f>78.5-10*LOG10(T17*1000)</f>
        <v>9.7493873660829991</v>
      </c>
      <c r="U65" s="20">
        <f>84.2-10*LOG10(U17*1000)</f>
        <v>11.458421507363212</v>
      </c>
      <c r="V65" s="20">
        <f>96.4-10*LOG10(V17*1000)</f>
        <v>16.065762445130503</v>
      </c>
      <c r="W65" s="20">
        <v>20</v>
      </c>
      <c r="X65" s="20"/>
      <c r="Y65" s="20"/>
      <c r="Z65" s="41"/>
    </row>
    <row r="66" spans="1:26" x14ac:dyDescent="0.25">
      <c r="A66" s="48" t="s">
        <v>56</v>
      </c>
      <c r="B66" s="5"/>
      <c r="C66" s="31"/>
      <c r="D66" s="31"/>
      <c r="E66" s="31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37"/>
    </row>
    <row r="67" spans="1:26" x14ac:dyDescent="0.2">
      <c r="A67" s="50" t="s">
        <v>57</v>
      </c>
      <c r="B67" s="13" t="s">
        <v>46</v>
      </c>
      <c r="C67" s="27" t="s">
        <v>58</v>
      </c>
      <c r="D67" s="27" t="s">
        <v>58</v>
      </c>
      <c r="E67" s="27" t="s">
        <v>58</v>
      </c>
      <c r="F67" s="21">
        <v>40.5</v>
      </c>
      <c r="G67" s="21">
        <v>40.5</v>
      </c>
      <c r="H67" s="21">
        <v>40.5</v>
      </c>
      <c r="I67" s="21">
        <v>40.5</v>
      </c>
      <c r="J67" s="54">
        <v>38</v>
      </c>
      <c r="K67" s="54">
        <v>38</v>
      </c>
      <c r="L67" s="54">
        <v>38</v>
      </c>
      <c r="M67" s="54">
        <v>38</v>
      </c>
      <c r="N67" s="54">
        <v>38</v>
      </c>
      <c r="O67" s="54">
        <v>38</v>
      </c>
      <c r="P67" s="8" t="s">
        <v>73</v>
      </c>
      <c r="Q67" s="8" t="s">
        <v>73</v>
      </c>
      <c r="R67" s="8" t="s">
        <v>73</v>
      </c>
      <c r="S67" s="8" t="s">
        <v>73</v>
      </c>
      <c r="T67" s="8" t="s">
        <v>73</v>
      </c>
      <c r="U67" s="8" t="s">
        <v>73</v>
      </c>
      <c r="V67" s="8" t="s">
        <v>73</v>
      </c>
      <c r="W67" s="8" t="s">
        <v>101</v>
      </c>
      <c r="X67" s="8" t="s">
        <v>73</v>
      </c>
      <c r="Y67" s="8" t="s">
        <v>73</v>
      </c>
      <c r="Z67" s="43" t="s">
        <v>73</v>
      </c>
    </row>
    <row r="68" spans="1:26" x14ac:dyDescent="0.25">
      <c r="A68" s="50" t="s">
        <v>59</v>
      </c>
      <c r="B68" s="13" t="s">
        <v>159</v>
      </c>
      <c r="C68" s="27" t="s">
        <v>29</v>
      </c>
      <c r="D68" s="27" t="s">
        <v>29</v>
      </c>
      <c r="E68" s="27" t="s">
        <v>29</v>
      </c>
      <c r="F68" s="21" t="s">
        <v>29</v>
      </c>
      <c r="G68" s="21" t="s">
        <v>29</v>
      </c>
      <c r="H68" s="21" t="s">
        <v>29</v>
      </c>
      <c r="I68" s="21" t="s">
        <v>29</v>
      </c>
      <c r="J68" s="8" t="s">
        <v>29</v>
      </c>
      <c r="K68" s="8" t="s">
        <v>29</v>
      </c>
      <c r="L68" s="8" t="s">
        <v>29</v>
      </c>
      <c r="M68" s="8" t="s">
        <v>29</v>
      </c>
      <c r="N68" s="8" t="s">
        <v>29</v>
      </c>
      <c r="O68" s="8" t="s">
        <v>29</v>
      </c>
      <c r="P68" s="8" t="s">
        <v>75</v>
      </c>
      <c r="Q68" s="8" t="s">
        <v>75</v>
      </c>
      <c r="R68" s="8" t="s">
        <v>75</v>
      </c>
      <c r="S68" s="8" t="s">
        <v>75</v>
      </c>
      <c r="T68" s="8" t="s">
        <v>75</v>
      </c>
      <c r="U68" s="8" t="s">
        <v>75</v>
      </c>
      <c r="V68" s="8" t="s">
        <v>75</v>
      </c>
      <c r="W68" s="8" t="s">
        <v>29</v>
      </c>
      <c r="X68" s="8" t="s">
        <v>29</v>
      </c>
      <c r="Y68" s="8" t="s">
        <v>29</v>
      </c>
      <c r="Z68" s="43" t="s">
        <v>29</v>
      </c>
    </row>
    <row r="69" spans="1:26" x14ac:dyDescent="0.25">
      <c r="A69" s="50" t="s">
        <v>60</v>
      </c>
      <c r="B69" s="13" t="s">
        <v>7</v>
      </c>
      <c r="C69" s="27">
        <v>0</v>
      </c>
      <c r="D69" s="27">
        <v>0</v>
      </c>
      <c r="E69" s="27">
        <v>0</v>
      </c>
      <c r="F69" s="21">
        <v>0</v>
      </c>
      <c r="G69" s="21">
        <v>0</v>
      </c>
      <c r="H69" s="21">
        <v>0</v>
      </c>
      <c r="I69" s="21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2.5</v>
      </c>
      <c r="Q69" s="8">
        <v>14.3</v>
      </c>
      <c r="R69" s="8">
        <v>2.5</v>
      </c>
      <c r="S69" s="8">
        <v>2.5</v>
      </c>
      <c r="T69" s="8">
        <v>17.899999999999999</v>
      </c>
      <c r="U69" s="8">
        <v>17.899999999999999</v>
      </c>
      <c r="V69" s="8">
        <v>2.5</v>
      </c>
      <c r="W69" s="8">
        <v>5</v>
      </c>
      <c r="X69" s="8">
        <v>1</v>
      </c>
      <c r="Y69" s="8">
        <v>1</v>
      </c>
      <c r="Z69" s="43">
        <v>1</v>
      </c>
    </row>
    <row r="70" spans="1:26" x14ac:dyDescent="0.2">
      <c r="A70" s="50" t="s">
        <v>61</v>
      </c>
      <c r="B70" s="13" t="s">
        <v>32</v>
      </c>
      <c r="C70" s="27">
        <v>61.79</v>
      </c>
      <c r="D70" s="27">
        <v>51.49</v>
      </c>
      <c r="E70" s="27">
        <v>51.49</v>
      </c>
      <c r="F70" s="21">
        <v>77.3</v>
      </c>
      <c r="G70" s="21">
        <v>57.2</v>
      </c>
      <c r="H70" s="21">
        <v>77.8</v>
      </c>
      <c r="I70" s="21">
        <v>58</v>
      </c>
      <c r="J70" s="54">
        <f>76-3</f>
        <v>73</v>
      </c>
      <c r="K70" s="54">
        <f>80-3</f>
        <v>77</v>
      </c>
      <c r="L70" s="54">
        <f>74.5-3</f>
        <v>71.5</v>
      </c>
      <c r="M70" s="54">
        <v>51.3</v>
      </c>
      <c r="N70" s="54">
        <v>51.3</v>
      </c>
      <c r="O70" s="54">
        <v>51.3</v>
      </c>
      <c r="P70" s="21">
        <v>69</v>
      </c>
      <c r="Q70" s="21">
        <v>73</v>
      </c>
      <c r="R70" s="21">
        <v>72</v>
      </c>
      <c r="S70" s="21">
        <v>65</v>
      </c>
      <c r="T70" s="21">
        <v>73</v>
      </c>
      <c r="U70" s="21">
        <v>73</v>
      </c>
      <c r="V70" s="21">
        <v>73</v>
      </c>
      <c r="W70" s="8">
        <v>55</v>
      </c>
      <c r="X70" s="21">
        <v>66</v>
      </c>
      <c r="Y70" s="21">
        <v>70</v>
      </c>
      <c r="Z70" s="42">
        <v>70</v>
      </c>
    </row>
    <row r="71" spans="1:26" x14ac:dyDescent="0.25">
      <c r="A71" s="50" t="s">
        <v>62</v>
      </c>
      <c r="B71" s="13" t="s">
        <v>7</v>
      </c>
      <c r="C71" s="13">
        <v>25</v>
      </c>
      <c r="D71" s="13">
        <v>25</v>
      </c>
      <c r="E71" s="13">
        <v>25</v>
      </c>
      <c r="F71" s="21">
        <v>25</v>
      </c>
      <c r="G71" s="21">
        <v>25</v>
      </c>
      <c r="H71" s="21">
        <v>25</v>
      </c>
      <c r="I71" s="21">
        <v>25</v>
      </c>
      <c r="J71" s="8">
        <v>30</v>
      </c>
      <c r="K71" s="8">
        <v>30</v>
      </c>
      <c r="L71" s="8">
        <v>30</v>
      </c>
      <c r="M71" s="8">
        <v>25</v>
      </c>
      <c r="N71" s="8">
        <v>25</v>
      </c>
      <c r="O71" s="8">
        <v>25</v>
      </c>
      <c r="P71" s="20">
        <f>106.5-10*LOG10(P17*1000)</f>
        <v>26.957574905606748</v>
      </c>
      <c r="Q71" s="20">
        <f>98.8-10*LOG10(Q17*1000)</f>
        <v>27.039087409443184</v>
      </c>
      <c r="R71" s="20">
        <f>107-10*LOG10(R17*1000)</f>
        <v>27</v>
      </c>
      <c r="S71" s="20">
        <f>106.5-10*LOG10(S17*1000)</f>
        <v>26.957574905606748</v>
      </c>
      <c r="T71" s="20">
        <f>95.8-10*LOG10(T17*1000)</f>
        <v>27.049387366082996</v>
      </c>
      <c r="U71" s="20">
        <f>99.7-10*LOG10(U17*1000)</f>
        <v>26.958421507363212</v>
      </c>
      <c r="V71" s="20">
        <f>107.3-10*LOG10(V17*1000)</f>
        <v>26.965762445130494</v>
      </c>
      <c r="W71" s="8">
        <v>30</v>
      </c>
      <c r="X71" s="20">
        <v>30</v>
      </c>
      <c r="Y71" s="20">
        <v>30</v>
      </c>
      <c r="Z71" s="41">
        <v>30</v>
      </c>
    </row>
    <row r="72" spans="1:26" x14ac:dyDescent="0.25">
      <c r="A72" s="50" t="s">
        <v>63</v>
      </c>
      <c r="B72" s="13" t="s">
        <v>7</v>
      </c>
      <c r="C72" s="13">
        <v>25</v>
      </c>
      <c r="D72" s="13">
        <v>25</v>
      </c>
      <c r="E72" s="13">
        <v>25</v>
      </c>
      <c r="F72" s="21">
        <v>23</v>
      </c>
      <c r="G72" s="21">
        <v>100</v>
      </c>
      <c r="H72" s="21">
        <v>23</v>
      </c>
      <c r="I72" s="21">
        <v>100</v>
      </c>
      <c r="J72" s="8">
        <v>35</v>
      </c>
      <c r="K72" s="8">
        <v>35</v>
      </c>
      <c r="L72" s="8">
        <v>35</v>
      </c>
      <c r="M72" s="8">
        <v>35</v>
      </c>
      <c r="N72" s="8">
        <v>35</v>
      </c>
      <c r="O72" s="8">
        <v>35</v>
      </c>
      <c r="P72" s="20">
        <f>104.5-10*LOG10(P17*1000)</f>
        <v>24.957574905606748</v>
      </c>
      <c r="Q72" s="20">
        <f>96.8-10*LOG10(Q17*1000)</f>
        <v>25.039087409443184</v>
      </c>
      <c r="R72" s="20">
        <f>105-10*LOG10(R17*1000)</f>
        <v>25</v>
      </c>
      <c r="S72" s="20">
        <v>1000</v>
      </c>
      <c r="T72" s="20">
        <v>1000</v>
      </c>
      <c r="U72" s="20">
        <v>1000</v>
      </c>
      <c r="V72" s="20">
        <f>105.3-10*LOG10(V17*1000)</f>
        <v>24.965762445130494</v>
      </c>
      <c r="W72" s="8">
        <v>30</v>
      </c>
      <c r="X72" s="20">
        <v>30</v>
      </c>
      <c r="Y72" s="20">
        <v>30</v>
      </c>
      <c r="Z72" s="41">
        <v>30</v>
      </c>
    </row>
    <row r="73" spans="1:26" x14ac:dyDescent="0.25">
      <c r="A73" s="50" t="s">
        <v>64</v>
      </c>
      <c r="B73" s="13" t="s">
        <v>7</v>
      </c>
      <c r="C73" s="13">
        <v>25</v>
      </c>
      <c r="D73" s="13">
        <v>25</v>
      </c>
      <c r="E73" s="13">
        <v>25</v>
      </c>
      <c r="F73" s="21">
        <v>100</v>
      </c>
      <c r="G73" s="21">
        <v>100</v>
      </c>
      <c r="H73" s="21">
        <v>100</v>
      </c>
      <c r="I73" s="21">
        <v>100</v>
      </c>
      <c r="J73" s="8">
        <v>100</v>
      </c>
      <c r="K73" s="8">
        <v>100</v>
      </c>
      <c r="L73" s="8">
        <v>100</v>
      </c>
      <c r="M73" s="8">
        <v>100</v>
      </c>
      <c r="N73" s="8">
        <v>100</v>
      </c>
      <c r="O73" s="8">
        <v>100</v>
      </c>
      <c r="P73" s="20">
        <v>1000</v>
      </c>
      <c r="Q73" s="20">
        <v>1000</v>
      </c>
      <c r="R73" s="20">
        <v>1000</v>
      </c>
      <c r="S73" s="20">
        <v>1000</v>
      </c>
      <c r="T73" s="20">
        <v>1000</v>
      </c>
      <c r="U73" s="20">
        <v>1000</v>
      </c>
      <c r="V73" s="20">
        <v>1000</v>
      </c>
      <c r="W73" s="8">
        <v>30</v>
      </c>
      <c r="X73" s="20">
        <v>30</v>
      </c>
      <c r="Y73" s="20">
        <v>30</v>
      </c>
      <c r="Z73" s="41">
        <v>30</v>
      </c>
    </row>
    <row r="74" spans="1:26" x14ac:dyDescent="0.25">
      <c r="A74" s="50" t="s">
        <v>153</v>
      </c>
      <c r="B74" s="13" t="s">
        <v>7</v>
      </c>
      <c r="C74" s="13">
        <v>20</v>
      </c>
      <c r="D74" s="13">
        <v>20</v>
      </c>
      <c r="E74" s="13">
        <v>20</v>
      </c>
      <c r="F74" s="21">
        <v>100</v>
      </c>
      <c r="G74" s="21">
        <v>18</v>
      </c>
      <c r="H74" s="21">
        <v>100</v>
      </c>
      <c r="I74" s="21">
        <v>18</v>
      </c>
      <c r="J74" s="8">
        <v>100</v>
      </c>
      <c r="K74" s="8">
        <v>100</v>
      </c>
      <c r="L74" s="8">
        <v>100</v>
      </c>
      <c r="M74" s="8">
        <v>25</v>
      </c>
      <c r="N74" s="8">
        <v>25</v>
      </c>
      <c r="O74" s="8">
        <v>25</v>
      </c>
      <c r="P74" s="20">
        <f>97.5-10*LOG10(P17*1000)</f>
        <v>17.957574905606748</v>
      </c>
      <c r="Q74" s="20">
        <v>1000</v>
      </c>
      <c r="R74" s="20">
        <v>1000</v>
      </c>
      <c r="S74" s="20">
        <v>1000</v>
      </c>
      <c r="T74" s="20">
        <v>1000</v>
      </c>
      <c r="U74" s="20">
        <v>1000</v>
      </c>
      <c r="V74" s="20">
        <f>99.5-10*LOG10(V17*1000)</f>
        <v>19.165762445130497</v>
      </c>
      <c r="W74" s="8">
        <v>30</v>
      </c>
      <c r="X74" s="20">
        <v>30</v>
      </c>
      <c r="Y74" s="20">
        <v>30</v>
      </c>
      <c r="Z74" s="41">
        <v>30</v>
      </c>
    </row>
    <row r="75" spans="1:26" s="69" customFormat="1" x14ac:dyDescent="0.25">
      <c r="A75" s="53" t="s">
        <v>84</v>
      </c>
      <c r="B75" s="20" t="s">
        <v>85</v>
      </c>
      <c r="C75" s="20">
        <v>-18.628452544903539</v>
      </c>
      <c r="D75" s="20">
        <v>-18.922290321755632</v>
      </c>
      <c r="E75" s="20">
        <v>-18.922290321755632</v>
      </c>
      <c r="F75" s="17">
        <f t="shared" ref="F75:I75" si="4">F70-10*LOG10(F53*1000000)</f>
        <v>-10.481512503836441</v>
      </c>
      <c r="G75" s="17">
        <f t="shared" si="4"/>
        <v>-20.758800173440747</v>
      </c>
      <c r="H75" s="17">
        <f t="shared" si="4"/>
        <v>-9.9815125038364414</v>
      </c>
      <c r="I75" s="17">
        <f t="shared" si="4"/>
        <v>-19.95880017344075</v>
      </c>
      <c r="J75" s="17">
        <v>-14.489700043360187</v>
      </c>
      <c r="K75" s="17">
        <v>-10.489700043360187</v>
      </c>
      <c r="L75" s="17">
        <v>-15.989700043360187</v>
      </c>
      <c r="M75" s="17">
        <v>-12.210299956639815</v>
      </c>
      <c r="N75" s="17">
        <v>-12.210299956639815</v>
      </c>
      <c r="O75" s="17">
        <v>-12.210299956639815</v>
      </c>
      <c r="P75" s="20">
        <f t="shared" ref="P75:V75" si="5">P70-10*LOG10(P53*1000000)</f>
        <v>-20.030899869919438</v>
      </c>
      <c r="Q75" s="20">
        <f t="shared" si="5"/>
        <v>-19.552725051033065</v>
      </c>
      <c r="R75" s="20">
        <f t="shared" si="5"/>
        <v>-11.010299956639813</v>
      </c>
      <c r="S75" s="20">
        <f t="shared" si="5"/>
        <v>-18.010299956639813</v>
      </c>
      <c r="T75" s="20">
        <f t="shared" si="5"/>
        <v>-10.010299956639813</v>
      </c>
      <c r="U75" s="20">
        <f t="shared" si="5"/>
        <v>-10.010299956639813</v>
      </c>
      <c r="V75" s="20">
        <f t="shared" si="5"/>
        <v>-14.781512503836439</v>
      </c>
      <c r="W75" s="20">
        <v>-25</v>
      </c>
      <c r="X75" s="20">
        <v>-17.979400086720375</v>
      </c>
      <c r="Y75" s="20">
        <v>-17.781512503836439</v>
      </c>
      <c r="Z75" s="41">
        <v>-17.781512503836439</v>
      </c>
    </row>
    <row r="76" spans="1:26" s="69" customFormat="1" x14ac:dyDescent="0.25">
      <c r="A76" s="53" t="s">
        <v>90</v>
      </c>
      <c r="B76" s="20" t="s">
        <v>85</v>
      </c>
      <c r="C76" s="20">
        <v>-18.628452544903539</v>
      </c>
      <c r="D76" s="20">
        <v>-18.922290321755632</v>
      </c>
      <c r="E76" s="20">
        <v>-18.922290321755632</v>
      </c>
      <c r="F76" s="17">
        <f t="shared" ref="F76:V76" si="6">F75-F64</f>
        <v>-10.481512503836441</v>
      </c>
      <c r="G76" s="17">
        <f t="shared" si="6"/>
        <v>-20.758800173440747</v>
      </c>
      <c r="H76" s="17">
        <f t="shared" si="6"/>
        <v>-9.9815125038364414</v>
      </c>
      <c r="I76" s="17">
        <f t="shared" si="6"/>
        <v>-19.95880017344075</v>
      </c>
      <c r="J76" s="17">
        <v>-14.489700043360187</v>
      </c>
      <c r="K76" s="17">
        <v>-10.489700043360187</v>
      </c>
      <c r="L76" s="17">
        <v>-15.989700043360187</v>
      </c>
      <c r="M76" s="17">
        <v>-12.210299956639815</v>
      </c>
      <c r="N76" s="17">
        <v>-12.210299956639815</v>
      </c>
      <c r="O76" s="17">
        <v>-12.210299956639815</v>
      </c>
      <c r="P76" s="20">
        <f t="shared" si="6"/>
        <v>-24.530899869919438</v>
      </c>
      <c r="Q76" s="20">
        <f t="shared" si="6"/>
        <v>-35.852725051033062</v>
      </c>
      <c r="R76" s="20">
        <f t="shared" si="6"/>
        <v>-15.510299956639813</v>
      </c>
      <c r="S76" s="20">
        <f t="shared" si="6"/>
        <v>-22.510299956639813</v>
      </c>
      <c r="T76" s="20">
        <f t="shared" si="6"/>
        <v>-29.910299956639811</v>
      </c>
      <c r="U76" s="20">
        <f t="shared" si="6"/>
        <v>-29.910299956639811</v>
      </c>
      <c r="V76" s="20">
        <f t="shared" si="6"/>
        <v>-19.281512503836439</v>
      </c>
      <c r="W76" s="20">
        <v>-30</v>
      </c>
      <c r="X76" s="20">
        <v>-18.979400086720375</v>
      </c>
      <c r="Y76" s="20">
        <v>-18.781512503836439</v>
      </c>
      <c r="Z76" s="41">
        <v>-18.781512503836439</v>
      </c>
    </row>
    <row r="77" spans="1:26" s="69" customFormat="1" x14ac:dyDescent="0.25">
      <c r="A77" s="53" t="s">
        <v>95</v>
      </c>
      <c r="B77" s="20" t="s">
        <v>7</v>
      </c>
      <c r="C77" s="34">
        <v>23.808377255333369</v>
      </c>
      <c r="D77" s="34">
        <v>23.514539478481282</v>
      </c>
      <c r="E77" s="34">
        <v>23.514539478481282</v>
      </c>
      <c r="F77" s="17"/>
      <c r="G77" s="17"/>
      <c r="H77" s="17"/>
      <c r="I77" s="17"/>
      <c r="J77" s="17">
        <v>22.8</v>
      </c>
      <c r="K77" s="17">
        <v>26.2</v>
      </c>
      <c r="L77" s="17">
        <v>21.5</v>
      </c>
      <c r="M77" s="17">
        <v>35.200000000000003</v>
      </c>
      <c r="N77" s="17">
        <v>34.5</v>
      </c>
      <c r="O77" s="17">
        <v>35.4</v>
      </c>
      <c r="P77" s="20">
        <f>90.4-10*LOG10(P17*1000)</f>
        <v>10.857574905606754</v>
      </c>
      <c r="Q77" s="20">
        <f>87.7-10*LOG10(Q17*1000)</f>
        <v>15.939087409443189</v>
      </c>
      <c r="R77" s="20">
        <f>97.8-10*LOG10(R17*1000)</f>
        <v>17.799999999999997</v>
      </c>
      <c r="S77" s="20">
        <f>93-10*LOG10(S17*1000)</f>
        <v>13.457574905606748</v>
      </c>
      <c r="T77" s="20">
        <f>90.2-10*LOG10(T17*1000)</f>
        <v>21.449387366083002</v>
      </c>
      <c r="U77" s="20">
        <f>96.1-10*LOG10(U17*1000)</f>
        <v>23.358421507363204</v>
      </c>
      <c r="V77" s="20">
        <f>115.2-10*LOG10(V17*1000)</f>
        <v>34.8657624451305</v>
      </c>
      <c r="W77" s="17">
        <v>22.7</v>
      </c>
      <c r="X77" s="20"/>
      <c r="Y77" s="20"/>
      <c r="Z77" s="41"/>
    </row>
    <row r="78" spans="1:26" x14ac:dyDescent="0.25">
      <c r="A78" s="48" t="s">
        <v>65</v>
      </c>
      <c r="B78" s="5"/>
      <c r="C78" s="31"/>
      <c r="D78" s="31"/>
      <c r="E78" s="31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37"/>
    </row>
    <row r="79" spans="1:26" x14ac:dyDescent="0.25">
      <c r="A79" s="50" t="s">
        <v>154</v>
      </c>
      <c r="B79" s="13" t="s">
        <v>7</v>
      </c>
      <c r="C79" s="13">
        <v>24</v>
      </c>
      <c r="D79" s="13">
        <v>24</v>
      </c>
      <c r="E79" s="13">
        <v>24</v>
      </c>
      <c r="F79" s="8">
        <v>42.6</v>
      </c>
      <c r="G79" s="8">
        <v>27.9</v>
      </c>
      <c r="H79" s="8">
        <v>37.200000000000003</v>
      </c>
      <c r="I79" s="8">
        <v>23.3</v>
      </c>
      <c r="J79" s="8">
        <v>40</v>
      </c>
      <c r="K79" s="8">
        <v>40</v>
      </c>
      <c r="L79" s="8">
        <v>40</v>
      </c>
      <c r="M79" s="8">
        <v>27</v>
      </c>
      <c r="N79" s="8">
        <v>27</v>
      </c>
      <c r="O79" s="8">
        <v>27</v>
      </c>
      <c r="P79" s="20">
        <f>104.5-10*LOG10(P17*1000)</f>
        <v>24.957574905606748</v>
      </c>
      <c r="Q79" s="20">
        <f>98.1-10*LOG10(Q17*1000)</f>
        <v>26.339087409443181</v>
      </c>
      <c r="R79" s="20">
        <f>123.6-10*LOG10(R17*1000)</f>
        <v>43.599999999999994</v>
      </c>
      <c r="S79" s="20">
        <f>123.1-10*LOG10(S17*1000)</f>
        <v>43.557574905606742</v>
      </c>
      <c r="T79" s="20">
        <f>100.2-10*LOG10(T17*1000)</f>
        <v>31.449387366083002</v>
      </c>
      <c r="U79" s="20">
        <f>107.7-10*LOG10(U17*1000)</f>
        <v>34.958421507363212</v>
      </c>
      <c r="V79" s="20">
        <f>105.8-10*LOG10(V17*1000)</f>
        <v>25.465762445130494</v>
      </c>
      <c r="W79" s="8">
        <v>30</v>
      </c>
      <c r="X79" s="20">
        <v>30</v>
      </c>
      <c r="Y79" s="20">
        <v>30</v>
      </c>
      <c r="Z79" s="41">
        <v>30</v>
      </c>
    </row>
    <row r="80" spans="1:26" x14ac:dyDescent="0.2">
      <c r="A80" s="50" t="s">
        <v>155</v>
      </c>
      <c r="B80" s="13" t="s">
        <v>7</v>
      </c>
      <c r="C80" s="13">
        <v>100</v>
      </c>
      <c r="D80" s="13">
        <v>100</v>
      </c>
      <c r="E80" s="13">
        <v>100</v>
      </c>
      <c r="F80" s="8">
        <v>48.8</v>
      </c>
      <c r="G80" s="8">
        <v>34.1</v>
      </c>
      <c r="H80" s="8">
        <v>43.4</v>
      </c>
      <c r="I80" s="8">
        <v>29.5</v>
      </c>
      <c r="J80" s="54">
        <v>40</v>
      </c>
      <c r="K80" s="54">
        <v>40</v>
      </c>
      <c r="L80" s="54">
        <v>40</v>
      </c>
      <c r="M80" s="54">
        <v>33</v>
      </c>
      <c r="N80" s="54">
        <v>33</v>
      </c>
      <c r="O80" s="54">
        <v>33</v>
      </c>
      <c r="P80" s="21">
        <v>100</v>
      </c>
      <c r="Q80" s="21">
        <v>100</v>
      </c>
      <c r="R80" s="21">
        <v>100</v>
      </c>
      <c r="S80" s="21">
        <v>100</v>
      </c>
      <c r="T80" s="21">
        <v>100</v>
      </c>
      <c r="U80" s="21">
        <v>100</v>
      </c>
      <c r="V80" s="21">
        <v>100</v>
      </c>
      <c r="W80" s="8">
        <v>100</v>
      </c>
      <c r="X80" s="21">
        <v>100</v>
      </c>
      <c r="Y80" s="21">
        <v>100</v>
      </c>
      <c r="Z80" s="42">
        <v>100</v>
      </c>
    </row>
    <row r="81" spans="1:26" x14ac:dyDescent="0.2">
      <c r="A81" s="50" t="s">
        <v>156</v>
      </c>
      <c r="B81" s="13" t="s">
        <v>7</v>
      </c>
      <c r="C81" s="13">
        <v>23</v>
      </c>
      <c r="D81" s="13">
        <v>23</v>
      </c>
      <c r="E81" s="13">
        <v>23</v>
      </c>
      <c r="F81" s="8">
        <v>27.5</v>
      </c>
      <c r="G81" s="8">
        <v>44.5</v>
      </c>
      <c r="H81" s="8">
        <v>27.8</v>
      </c>
      <c r="I81" s="8">
        <v>45.3</v>
      </c>
      <c r="J81" s="54">
        <v>27</v>
      </c>
      <c r="K81" s="54">
        <v>27</v>
      </c>
      <c r="L81" s="54">
        <v>27</v>
      </c>
      <c r="M81" s="54">
        <v>40</v>
      </c>
      <c r="N81" s="54">
        <v>40</v>
      </c>
      <c r="O81" s="54">
        <v>40</v>
      </c>
      <c r="P81" s="17">
        <f>102.8-10*LOG10(P17*1000)</f>
        <v>23.257574905606745</v>
      </c>
      <c r="Q81" s="17">
        <f>117.9-10*LOG10(Q17*1000)</f>
        <v>46.139087409443192</v>
      </c>
      <c r="R81" s="17">
        <f>103.9-10*LOG10(R17*1000)</f>
        <v>23.900000000000006</v>
      </c>
      <c r="S81" s="17">
        <f>115.1-10*LOG10(S17*1000)</f>
        <v>35.557574905606742</v>
      </c>
      <c r="T81" s="17">
        <f>102.8-10*LOG10(T17*1000)</f>
        <v>34.049387366082996</v>
      </c>
      <c r="U81" s="17">
        <f>119.1-10*LOG10(U17*1000)</f>
        <v>46.358421507363204</v>
      </c>
      <c r="V81" s="17">
        <f>131.1-10*LOG10(V17*1000)</f>
        <v>50.765762445130491</v>
      </c>
      <c r="W81" s="8">
        <v>30</v>
      </c>
      <c r="X81" s="17">
        <v>30</v>
      </c>
      <c r="Y81" s="17">
        <v>30</v>
      </c>
      <c r="Z81" s="40">
        <v>30</v>
      </c>
    </row>
    <row r="82" spans="1:26" x14ac:dyDescent="0.25">
      <c r="A82" s="50" t="s">
        <v>157</v>
      </c>
      <c r="B82" s="13" t="s">
        <v>7</v>
      </c>
      <c r="C82" s="13">
        <v>100</v>
      </c>
      <c r="D82" s="13">
        <v>100</v>
      </c>
      <c r="E82" s="13">
        <v>100</v>
      </c>
      <c r="F82" s="8">
        <v>33.700000000000003</v>
      </c>
      <c r="G82" s="8">
        <v>50.7</v>
      </c>
      <c r="H82" s="8">
        <v>34</v>
      </c>
      <c r="I82" s="8">
        <v>51.5</v>
      </c>
      <c r="J82" s="8">
        <v>33</v>
      </c>
      <c r="K82" s="8">
        <v>33</v>
      </c>
      <c r="L82" s="8">
        <v>33</v>
      </c>
      <c r="M82" s="8">
        <v>40</v>
      </c>
      <c r="N82" s="8">
        <v>40</v>
      </c>
      <c r="O82" s="8">
        <v>40</v>
      </c>
      <c r="P82" s="8">
        <v>100</v>
      </c>
      <c r="Q82" s="8">
        <v>100</v>
      </c>
      <c r="R82" s="8">
        <v>100</v>
      </c>
      <c r="S82" s="8">
        <v>100</v>
      </c>
      <c r="T82" s="8">
        <v>100</v>
      </c>
      <c r="U82" s="21">
        <v>100</v>
      </c>
      <c r="V82" s="21">
        <v>100</v>
      </c>
      <c r="W82" s="8">
        <v>100</v>
      </c>
      <c r="X82" s="21">
        <v>100</v>
      </c>
      <c r="Y82" s="21">
        <v>100</v>
      </c>
      <c r="Z82" s="42">
        <v>100</v>
      </c>
    </row>
    <row r="83" spans="1:26" x14ac:dyDescent="0.2">
      <c r="A83" s="71" t="s">
        <v>66</v>
      </c>
      <c r="B83" s="72"/>
      <c r="C83" s="73"/>
      <c r="D83" s="73"/>
      <c r="E83" s="73"/>
      <c r="F83" s="73"/>
      <c r="G83" s="73"/>
      <c r="H83" s="73"/>
      <c r="I83" s="73"/>
      <c r="J83" s="74"/>
      <c r="K83" s="74"/>
      <c r="L83" s="74"/>
      <c r="M83" s="74"/>
      <c r="N83" s="74"/>
      <c r="O83" s="74"/>
      <c r="P83" s="75"/>
      <c r="Q83" s="75"/>
      <c r="R83" s="75"/>
      <c r="S83" s="75"/>
      <c r="T83" s="75"/>
      <c r="U83" s="75"/>
      <c r="V83" s="75"/>
      <c r="W83" s="76"/>
      <c r="X83" s="75"/>
      <c r="Y83" s="75"/>
      <c r="Z83" s="77"/>
    </row>
    <row r="84" spans="1:26" x14ac:dyDescent="0.25">
      <c r="W84" s="1"/>
    </row>
    <row r="85" spans="1:26" s="69" customFormat="1" x14ac:dyDescent="0.25">
      <c r="A85" s="7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s="70" customFormat="1" x14ac:dyDescent="0.25">
      <c r="A86" s="8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</sheetData>
  <mergeCells count="13">
    <mergeCell ref="J1:M1"/>
    <mergeCell ref="C4:E4"/>
    <mergeCell ref="A13:A15"/>
    <mergeCell ref="B13:B15"/>
    <mergeCell ref="C1:I1"/>
    <mergeCell ref="A2:A3"/>
    <mergeCell ref="B2:B3"/>
    <mergeCell ref="C2:E2"/>
    <mergeCell ref="C3:E3"/>
    <mergeCell ref="F2:G2"/>
    <mergeCell ref="F3:G3"/>
    <mergeCell ref="H2:I2"/>
    <mergeCell ref="H3:I3"/>
  </mergeCells>
  <pageMargins left="0.7" right="0.7" top="0.75" bottom="0.75" header="0.3" footer="0.3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Annex6rev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Grotz</dc:creator>
  <cp:lastModifiedBy>MJD (ITU-R)</cp:lastModifiedBy>
  <cp:lastPrinted>2017-09-22T11:34:54Z</cp:lastPrinted>
  <dcterms:created xsi:type="dcterms:W3CDTF">2017-08-26T20:45:24Z</dcterms:created>
  <dcterms:modified xsi:type="dcterms:W3CDTF">2019-10-11T16:20:07Z</dcterms:modified>
</cp:coreProperties>
</file>