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120" yWindow="-120" windowWidth="19416" windowHeight="10416" firstSheet="9" activeTab="11"/>
  </bookViews>
  <sheets>
    <sheet name="General Notes" sheetId="15" r:id="rId1"/>
    <sheet name="InH-eMBB (4GHz, NR DDDSU)" sheetId="1" r:id="rId2"/>
    <sheet name="InH-eMBB (4GHz, NR DSUUD)" sheetId="12" r:id="rId3"/>
    <sheet name="DU-eMBB (4GHz, NR DDDSU)" sheetId="2" r:id="rId4"/>
    <sheet name="DU-eMBB (4GHz, NR DSUUD)" sheetId="13" r:id="rId5"/>
    <sheet name="Rural-eMBB (700MHz, NR FDD)" sheetId="6" r:id="rId6"/>
    <sheet name="Rural-eMBB (700MHz, NR DSUUD)" sheetId="14" r:id="rId7"/>
    <sheet name="Rural-eMBB-LMLC (0.7 GHz DSUUD)" sheetId="18" r:id="rId8"/>
    <sheet name="Rural-eMBB-LMLC (2.3 GHz DSUUD)" sheetId="19" r:id="rId9"/>
    <sheet name="Rural-eMBB-LMLC (3.5 GHz DSUUD)" sheetId="17" r:id="rId10"/>
    <sheet name="Rural-eMBB (700MHz, LTE FDD)" sheetId="16" r:id="rId11"/>
    <sheet name="UMa-mMTC (NB-IoT)" sheetId="7" r:id="rId12"/>
    <sheet name="UMa-URLLC (700MHz NR TDD)" sheetId="3" r:id="rId13"/>
    <sheet name="MaxN_RB" sheetId="10" r:id="rId14"/>
  </sheets>
  <definedNames>
    <definedName name="OLE_LINK1" localSheetId="1">'InH-eMBB (4GHz, NR DDDSU)'!$A$61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0" i="3" l="1"/>
  <c r="H60" i="3"/>
  <c r="G60" i="3"/>
  <c r="F60" i="3"/>
  <c r="B45" i="3"/>
  <c r="B52" i="3" s="1"/>
  <c r="B54" i="3" s="1"/>
  <c r="B63" i="3" s="1"/>
  <c r="B66" i="3" s="1"/>
  <c r="B68" i="3" s="1"/>
  <c r="H43" i="3"/>
  <c r="F43" i="3"/>
  <c r="D43" i="3"/>
  <c r="B43" i="3"/>
  <c r="B14" i="3" s="1"/>
  <c r="I42" i="3"/>
  <c r="G42" i="3"/>
  <c r="E42" i="3"/>
  <c r="C42" i="3"/>
  <c r="H41" i="3"/>
  <c r="H45" i="3" s="1"/>
  <c r="H52" i="3" s="1"/>
  <c r="F41" i="3"/>
  <c r="F45" i="3" s="1"/>
  <c r="F52" i="3" s="1"/>
  <c r="D41" i="3"/>
  <c r="D45" i="3" s="1"/>
  <c r="D52" i="3" s="1"/>
  <c r="B41" i="3"/>
  <c r="I40" i="3"/>
  <c r="I44" i="3" s="1"/>
  <c r="I51" i="3" s="1"/>
  <c r="G40" i="3"/>
  <c r="G44" i="3" s="1"/>
  <c r="G51" i="3" s="1"/>
  <c r="E40" i="3"/>
  <c r="E44" i="3" s="1"/>
  <c r="E51" i="3" s="1"/>
  <c r="C40" i="3"/>
  <c r="C44" i="3" s="1"/>
  <c r="C51" i="3" s="1"/>
  <c r="I34" i="3"/>
  <c r="H34" i="3"/>
  <c r="G34" i="3"/>
  <c r="F34" i="3"/>
  <c r="E34" i="3"/>
  <c r="D34" i="3"/>
  <c r="C34" i="3"/>
  <c r="B34" i="3"/>
  <c r="F29" i="3"/>
  <c r="F54" i="3" s="1"/>
  <c r="F63" i="3" s="1"/>
  <c r="F66" i="3" s="1"/>
  <c r="F68" i="3" s="1"/>
  <c r="I24" i="3"/>
  <c r="H24" i="3"/>
  <c r="G24" i="3"/>
  <c r="F24" i="3"/>
  <c r="F28" i="3" s="1"/>
  <c r="E24" i="3"/>
  <c r="D24" i="3"/>
  <c r="C24" i="3"/>
  <c r="B24" i="3"/>
  <c r="B29" i="3" s="1"/>
  <c r="I22" i="3"/>
  <c r="I29" i="3" s="1"/>
  <c r="H22" i="3"/>
  <c r="H29" i="3" s="1"/>
  <c r="G22" i="3"/>
  <c r="G29" i="3" s="1"/>
  <c r="E22" i="3"/>
  <c r="D22" i="3"/>
  <c r="D29" i="3" s="1"/>
  <c r="D54" i="3" s="1"/>
  <c r="D63" i="3" s="1"/>
  <c r="D66" i="3" s="1"/>
  <c r="D68" i="3" s="1"/>
  <c r="C22" i="3"/>
  <c r="C29" i="3" s="1"/>
  <c r="H11" i="3"/>
  <c r="H14" i="3" s="1"/>
  <c r="F11" i="3"/>
  <c r="F14" i="3" s="1"/>
  <c r="D11" i="3"/>
  <c r="D14" i="3" s="1"/>
  <c r="B11" i="3"/>
  <c r="M59" i="7"/>
  <c r="L59" i="7"/>
  <c r="G59" i="7"/>
  <c r="F59" i="7"/>
  <c r="G50" i="7"/>
  <c r="B44" i="7"/>
  <c r="B51" i="7" s="1"/>
  <c r="G43" i="7"/>
  <c r="L42" i="7"/>
  <c r="J42" i="7"/>
  <c r="H42" i="7"/>
  <c r="H13" i="7" s="1"/>
  <c r="F42" i="7"/>
  <c r="D42" i="7"/>
  <c r="M41" i="7"/>
  <c r="M43" i="7" s="1"/>
  <c r="M50" i="7" s="1"/>
  <c r="K41" i="7"/>
  <c r="I41" i="7"/>
  <c r="G41" i="7"/>
  <c r="E41" i="7"/>
  <c r="L40" i="7"/>
  <c r="L44" i="7" s="1"/>
  <c r="L51" i="7" s="1"/>
  <c r="J40" i="7"/>
  <c r="H40" i="7"/>
  <c r="H44" i="7" s="1"/>
  <c r="H51" i="7" s="1"/>
  <c r="F40" i="7"/>
  <c r="F44" i="7" s="1"/>
  <c r="F51" i="7" s="1"/>
  <c r="D40" i="7"/>
  <c r="D44" i="7" s="1"/>
  <c r="D51" i="7" s="1"/>
  <c r="B40" i="7"/>
  <c r="M39" i="7"/>
  <c r="K39" i="7"/>
  <c r="K43" i="7" s="1"/>
  <c r="K50" i="7" s="1"/>
  <c r="I39" i="7"/>
  <c r="I43" i="7" s="1"/>
  <c r="I50" i="7" s="1"/>
  <c r="G39" i="7"/>
  <c r="E39" i="7"/>
  <c r="E43" i="7" s="1"/>
  <c r="E50" i="7" s="1"/>
  <c r="C39" i="7"/>
  <c r="C43" i="7" s="1"/>
  <c r="C50" i="7" s="1"/>
  <c r="M33" i="7"/>
  <c r="L33" i="7"/>
  <c r="K33" i="7"/>
  <c r="J33" i="7"/>
  <c r="I33" i="7"/>
  <c r="H33" i="7"/>
  <c r="G33" i="7"/>
  <c r="F33" i="7"/>
  <c r="E33" i="7"/>
  <c r="D33" i="7"/>
  <c r="C33" i="7"/>
  <c r="B33" i="7"/>
  <c r="J27" i="7"/>
  <c r="I27" i="7"/>
  <c r="I52" i="7" s="1"/>
  <c r="I61" i="7" s="1"/>
  <c r="I65" i="7" s="1"/>
  <c r="I67" i="7" s="1"/>
  <c r="B27" i="7"/>
  <c r="M23" i="7"/>
  <c r="L23" i="7"/>
  <c r="K23" i="7"/>
  <c r="J23" i="7"/>
  <c r="I23" i="7"/>
  <c r="H23" i="7"/>
  <c r="G23" i="7"/>
  <c r="F23" i="7"/>
  <c r="F27" i="7" s="1"/>
  <c r="E23" i="7"/>
  <c r="E28" i="7" s="1"/>
  <c r="D23" i="7"/>
  <c r="C23" i="7"/>
  <c r="B23" i="7"/>
  <c r="B28" i="7" s="1"/>
  <c r="B53" i="7" s="1"/>
  <c r="B62" i="7" s="1"/>
  <c r="B66" i="7" s="1"/>
  <c r="B68" i="7" s="1"/>
  <c r="C22" i="7"/>
  <c r="B22" i="7"/>
  <c r="L21" i="7"/>
  <c r="K21" i="7"/>
  <c r="K28" i="7" s="1"/>
  <c r="I21" i="7"/>
  <c r="I28" i="7" s="1"/>
  <c r="G21" i="7"/>
  <c r="G27" i="7" s="1"/>
  <c r="G52" i="7" s="1"/>
  <c r="G61" i="7" s="1"/>
  <c r="G65" i="7" s="1"/>
  <c r="G67" i="7" s="1"/>
  <c r="F21" i="7"/>
  <c r="E21" i="7"/>
  <c r="D21" i="7"/>
  <c r="C21" i="7"/>
  <c r="C28" i="7" s="1"/>
  <c r="B21" i="7"/>
  <c r="M20" i="7"/>
  <c r="M21" i="7" s="1"/>
  <c r="L20" i="7"/>
  <c r="K20" i="7"/>
  <c r="J20" i="7"/>
  <c r="J21" i="7" s="1"/>
  <c r="J28" i="7" s="1"/>
  <c r="I20" i="7"/>
  <c r="H20" i="7"/>
  <c r="H21" i="7" s="1"/>
  <c r="L13" i="7"/>
  <c r="F13" i="7"/>
  <c r="D13" i="7"/>
  <c r="B13" i="7"/>
  <c r="I59" i="16"/>
  <c r="H59" i="16"/>
  <c r="G59" i="16"/>
  <c r="F59" i="16"/>
  <c r="E59" i="16"/>
  <c r="D59" i="16"/>
  <c r="C59" i="16"/>
  <c r="B59" i="16"/>
  <c r="H42" i="16"/>
  <c r="F42" i="16"/>
  <c r="D42" i="16"/>
  <c r="B42" i="16"/>
  <c r="I41" i="16"/>
  <c r="G41" i="16"/>
  <c r="E41" i="16"/>
  <c r="C41" i="16"/>
  <c r="H40" i="16"/>
  <c r="H44" i="16" s="1"/>
  <c r="H51" i="16" s="1"/>
  <c r="F40" i="16"/>
  <c r="F44" i="16" s="1"/>
  <c r="F51" i="16" s="1"/>
  <c r="D40" i="16"/>
  <c r="D44" i="16" s="1"/>
  <c r="D51" i="16" s="1"/>
  <c r="B40" i="16"/>
  <c r="B44" i="16" s="1"/>
  <c r="B51" i="16" s="1"/>
  <c r="I39" i="16"/>
  <c r="I43" i="16" s="1"/>
  <c r="I50" i="16" s="1"/>
  <c r="G39" i="16"/>
  <c r="G43" i="16" s="1"/>
  <c r="G50" i="16" s="1"/>
  <c r="E39" i="16"/>
  <c r="E43" i="16" s="1"/>
  <c r="E50" i="16" s="1"/>
  <c r="C39" i="16"/>
  <c r="C43" i="16" s="1"/>
  <c r="C50" i="16" s="1"/>
  <c r="I33" i="16"/>
  <c r="H33" i="16"/>
  <c r="G33" i="16"/>
  <c r="F33" i="16"/>
  <c r="E33" i="16"/>
  <c r="D33" i="16"/>
  <c r="C33" i="16"/>
  <c r="B33" i="16"/>
  <c r="H28" i="16"/>
  <c r="H27" i="16"/>
  <c r="I23" i="16"/>
  <c r="H23" i="16"/>
  <c r="G23" i="16"/>
  <c r="F23" i="16"/>
  <c r="E23" i="16"/>
  <c r="D23" i="16"/>
  <c r="C23" i="16"/>
  <c r="B23" i="16"/>
  <c r="I21" i="16"/>
  <c r="I28" i="16" s="1"/>
  <c r="H21" i="16"/>
  <c r="G21" i="16"/>
  <c r="G28" i="16" s="1"/>
  <c r="F21" i="16"/>
  <c r="F28" i="16" s="1"/>
  <c r="E21" i="16"/>
  <c r="E28" i="16" s="1"/>
  <c r="D21" i="16"/>
  <c r="D28" i="16" s="1"/>
  <c r="C21" i="16"/>
  <c r="C28" i="16" s="1"/>
  <c r="B21" i="16"/>
  <c r="B28" i="16" s="1"/>
  <c r="B53" i="16" s="1"/>
  <c r="B62" i="16" s="1"/>
  <c r="B65" i="16" s="1"/>
  <c r="B67" i="16" s="1"/>
  <c r="F13" i="16"/>
  <c r="D13" i="16"/>
  <c r="H10" i="16"/>
  <c r="H13" i="16" s="1"/>
  <c r="F10" i="16"/>
  <c r="D10" i="16"/>
  <c r="B10" i="16"/>
  <c r="B13" i="16" s="1"/>
  <c r="I9" i="16"/>
  <c r="G9" i="16"/>
  <c r="E9" i="16"/>
  <c r="C9" i="16"/>
  <c r="G43" i="17"/>
  <c r="G50" i="17" s="1"/>
  <c r="H42" i="17"/>
  <c r="F42" i="17"/>
  <c r="D42" i="17"/>
  <c r="B42" i="17"/>
  <c r="I41" i="17"/>
  <c r="G41" i="17"/>
  <c r="E41" i="17"/>
  <c r="C41" i="17"/>
  <c r="H40" i="17"/>
  <c r="H44" i="17" s="1"/>
  <c r="H51" i="17" s="1"/>
  <c r="F40" i="17"/>
  <c r="F44" i="17" s="1"/>
  <c r="F51" i="17" s="1"/>
  <c r="D40" i="17"/>
  <c r="D44" i="17" s="1"/>
  <c r="D51" i="17" s="1"/>
  <c r="B40" i="17"/>
  <c r="B44" i="17" s="1"/>
  <c r="B51" i="17" s="1"/>
  <c r="I39" i="17"/>
  <c r="I43" i="17" s="1"/>
  <c r="I50" i="17" s="1"/>
  <c r="G39" i="17"/>
  <c r="E39" i="17"/>
  <c r="E43" i="17" s="1"/>
  <c r="E50" i="17" s="1"/>
  <c r="C39" i="17"/>
  <c r="C43" i="17" s="1"/>
  <c r="C50" i="17" s="1"/>
  <c r="I33" i="17"/>
  <c r="H33" i="17"/>
  <c r="G33" i="17"/>
  <c r="F33" i="17"/>
  <c r="E33" i="17"/>
  <c r="D33" i="17"/>
  <c r="C33" i="17"/>
  <c r="B33" i="17"/>
  <c r="I23" i="17"/>
  <c r="H23" i="17"/>
  <c r="H28" i="17" s="1"/>
  <c r="G23" i="17"/>
  <c r="F23" i="17"/>
  <c r="F28" i="17" s="1"/>
  <c r="F53" i="17" s="1"/>
  <c r="F63" i="17" s="1"/>
  <c r="F66" i="17" s="1"/>
  <c r="F68" i="17" s="1"/>
  <c r="E23" i="17"/>
  <c r="D23" i="17"/>
  <c r="D28" i="17" s="1"/>
  <c r="D53" i="17" s="1"/>
  <c r="D63" i="17" s="1"/>
  <c r="D66" i="17" s="1"/>
  <c r="D68" i="17" s="1"/>
  <c r="C23" i="17"/>
  <c r="B23" i="17"/>
  <c r="I21" i="17"/>
  <c r="I28" i="17" s="1"/>
  <c r="G21" i="17"/>
  <c r="G28" i="17" s="1"/>
  <c r="E21" i="17"/>
  <c r="E28" i="17" s="1"/>
  <c r="D21" i="17"/>
  <c r="C21" i="17"/>
  <c r="C28" i="17" s="1"/>
  <c r="B21" i="17"/>
  <c r="D13" i="17"/>
  <c r="H10" i="17"/>
  <c r="H13" i="17" s="1"/>
  <c r="F10" i="17"/>
  <c r="F13" i="17" s="1"/>
  <c r="D10" i="17"/>
  <c r="B10" i="17"/>
  <c r="B13" i="17" s="1"/>
  <c r="I9" i="17"/>
  <c r="G9" i="17"/>
  <c r="E9" i="17"/>
  <c r="C9" i="17"/>
  <c r="B51" i="19"/>
  <c r="B44" i="19"/>
  <c r="H42" i="19"/>
  <c r="F42" i="19"/>
  <c r="D42" i="19"/>
  <c r="B42" i="19"/>
  <c r="B13" i="19" s="1"/>
  <c r="I41" i="19"/>
  <c r="G41" i="19"/>
  <c r="E41" i="19"/>
  <c r="C41" i="19"/>
  <c r="H40" i="19"/>
  <c r="H44" i="19" s="1"/>
  <c r="H51" i="19" s="1"/>
  <c r="F40" i="19"/>
  <c r="F44" i="19" s="1"/>
  <c r="F51" i="19" s="1"/>
  <c r="D40" i="19"/>
  <c r="D44" i="19" s="1"/>
  <c r="D51" i="19" s="1"/>
  <c r="B40" i="19"/>
  <c r="I39" i="19"/>
  <c r="I43" i="19" s="1"/>
  <c r="I50" i="19" s="1"/>
  <c r="G39" i="19"/>
  <c r="G43" i="19" s="1"/>
  <c r="G50" i="19" s="1"/>
  <c r="E39" i="19"/>
  <c r="E43" i="19" s="1"/>
  <c r="E50" i="19" s="1"/>
  <c r="C39" i="19"/>
  <c r="C43" i="19" s="1"/>
  <c r="C50" i="19" s="1"/>
  <c r="I33" i="19"/>
  <c r="H33" i="19"/>
  <c r="G33" i="19"/>
  <c r="F33" i="19"/>
  <c r="E33" i="19"/>
  <c r="D33" i="19"/>
  <c r="C33" i="19"/>
  <c r="B33" i="19"/>
  <c r="F28" i="19"/>
  <c r="F53" i="19" s="1"/>
  <c r="F63" i="19" s="1"/>
  <c r="F66" i="19" s="1"/>
  <c r="F68" i="19" s="1"/>
  <c r="F27" i="19"/>
  <c r="I23" i="19"/>
  <c r="H23" i="19"/>
  <c r="H28" i="19" s="1"/>
  <c r="G23" i="19"/>
  <c r="F23" i="19"/>
  <c r="E23" i="19"/>
  <c r="D23" i="19"/>
  <c r="C23" i="19"/>
  <c r="B23" i="19"/>
  <c r="B28" i="19" s="1"/>
  <c r="B53" i="19" s="1"/>
  <c r="B63" i="19" s="1"/>
  <c r="B66" i="19" s="1"/>
  <c r="B68" i="19" s="1"/>
  <c r="I21" i="19"/>
  <c r="I28" i="19" s="1"/>
  <c r="G21" i="19"/>
  <c r="G28" i="19" s="1"/>
  <c r="E21" i="19"/>
  <c r="E28" i="19" s="1"/>
  <c r="D21" i="19"/>
  <c r="C21" i="19"/>
  <c r="C28" i="19" s="1"/>
  <c r="B21" i="19"/>
  <c r="H13" i="19"/>
  <c r="D13" i="19"/>
  <c r="H10" i="19"/>
  <c r="F10" i="19"/>
  <c r="F13" i="19" s="1"/>
  <c r="D10" i="19"/>
  <c r="B10" i="19"/>
  <c r="I9" i="19"/>
  <c r="G9" i="19"/>
  <c r="E9" i="19"/>
  <c r="C9" i="19"/>
  <c r="H42" i="18"/>
  <c r="F42" i="18"/>
  <c r="D42" i="18"/>
  <c r="B42" i="18"/>
  <c r="I41" i="18"/>
  <c r="G41" i="18"/>
  <c r="E41" i="18"/>
  <c r="C41" i="18"/>
  <c r="H40" i="18"/>
  <c r="H44" i="18" s="1"/>
  <c r="H51" i="18" s="1"/>
  <c r="F40" i="18"/>
  <c r="F44" i="18" s="1"/>
  <c r="F51" i="18" s="1"/>
  <c r="D40" i="18"/>
  <c r="D44" i="18" s="1"/>
  <c r="D51" i="18" s="1"/>
  <c r="B40" i="18"/>
  <c r="B44" i="18" s="1"/>
  <c r="B51" i="18" s="1"/>
  <c r="I39" i="18"/>
  <c r="I43" i="18" s="1"/>
  <c r="I50" i="18" s="1"/>
  <c r="G39" i="18"/>
  <c r="G43" i="18" s="1"/>
  <c r="G50" i="18" s="1"/>
  <c r="E39" i="18"/>
  <c r="E43" i="18" s="1"/>
  <c r="E50" i="18" s="1"/>
  <c r="C39" i="18"/>
  <c r="C43" i="18" s="1"/>
  <c r="C50" i="18" s="1"/>
  <c r="I33" i="18"/>
  <c r="H33" i="18"/>
  <c r="G33" i="18"/>
  <c r="F33" i="18"/>
  <c r="E33" i="18"/>
  <c r="D33" i="18"/>
  <c r="C33" i="18"/>
  <c r="B33" i="18"/>
  <c r="H28" i="18"/>
  <c r="H53" i="18" s="1"/>
  <c r="H63" i="18" s="1"/>
  <c r="H66" i="18" s="1"/>
  <c r="H68" i="18" s="1"/>
  <c r="H27" i="18"/>
  <c r="I23" i="18"/>
  <c r="H23" i="18"/>
  <c r="G23" i="18"/>
  <c r="F23" i="18"/>
  <c r="F28" i="18" s="1"/>
  <c r="E23" i="18"/>
  <c r="D23" i="18"/>
  <c r="D28" i="18" s="1"/>
  <c r="D53" i="18" s="1"/>
  <c r="D63" i="18" s="1"/>
  <c r="D66" i="18" s="1"/>
  <c r="D68" i="18" s="1"/>
  <c r="C23" i="18"/>
  <c r="B23" i="18"/>
  <c r="I21" i="18"/>
  <c r="I28" i="18" s="1"/>
  <c r="G21" i="18"/>
  <c r="E21" i="18"/>
  <c r="E28" i="18" s="1"/>
  <c r="D21" i="18"/>
  <c r="C21" i="18"/>
  <c r="C28" i="18" s="1"/>
  <c r="B21" i="18"/>
  <c r="B28" i="18" s="1"/>
  <c r="B53" i="18" s="1"/>
  <c r="B63" i="18" s="1"/>
  <c r="B66" i="18" s="1"/>
  <c r="B68" i="18" s="1"/>
  <c r="B13" i="18"/>
  <c r="H10" i="18"/>
  <c r="H13" i="18" s="1"/>
  <c r="F10" i="18"/>
  <c r="D10" i="18"/>
  <c r="D13" i="18" s="1"/>
  <c r="B10" i="18"/>
  <c r="I9" i="18"/>
  <c r="G9" i="18"/>
  <c r="E9" i="18"/>
  <c r="C9" i="18"/>
  <c r="H42" i="14"/>
  <c r="F42" i="14"/>
  <c r="D42" i="14"/>
  <c r="B42" i="14"/>
  <c r="I41" i="14"/>
  <c r="G41" i="14"/>
  <c r="E41" i="14"/>
  <c r="C41" i="14"/>
  <c r="H40" i="14"/>
  <c r="H44" i="14" s="1"/>
  <c r="H51" i="14" s="1"/>
  <c r="F40" i="14"/>
  <c r="F44" i="14" s="1"/>
  <c r="F51" i="14" s="1"/>
  <c r="D40" i="14"/>
  <c r="D44" i="14" s="1"/>
  <c r="D51" i="14" s="1"/>
  <c r="B40" i="14"/>
  <c r="B44" i="14" s="1"/>
  <c r="B51" i="14" s="1"/>
  <c r="I39" i="14"/>
  <c r="I43" i="14" s="1"/>
  <c r="I50" i="14" s="1"/>
  <c r="G39" i="14"/>
  <c r="G43" i="14" s="1"/>
  <c r="G50" i="14" s="1"/>
  <c r="E39" i="14"/>
  <c r="E43" i="14" s="1"/>
  <c r="E50" i="14" s="1"/>
  <c r="C39" i="14"/>
  <c r="C43" i="14" s="1"/>
  <c r="C50" i="14" s="1"/>
  <c r="I33" i="14"/>
  <c r="H33" i="14"/>
  <c r="G33" i="14"/>
  <c r="F33" i="14"/>
  <c r="E33" i="14"/>
  <c r="D33" i="14"/>
  <c r="C33" i="14"/>
  <c r="B33" i="14"/>
  <c r="I23" i="14"/>
  <c r="H23" i="14"/>
  <c r="H28" i="14" s="1"/>
  <c r="G23" i="14"/>
  <c r="F23" i="14"/>
  <c r="F28" i="14" s="1"/>
  <c r="E23" i="14"/>
  <c r="D23" i="14"/>
  <c r="C23" i="14"/>
  <c r="B23" i="14"/>
  <c r="B28" i="14" s="1"/>
  <c r="B53" i="14" s="1"/>
  <c r="B63" i="14" s="1"/>
  <c r="B66" i="14" s="1"/>
  <c r="B68" i="14" s="1"/>
  <c r="I21" i="14"/>
  <c r="I28" i="14" s="1"/>
  <c r="G21" i="14"/>
  <c r="G28" i="14" s="1"/>
  <c r="E21" i="14"/>
  <c r="E28" i="14" s="1"/>
  <c r="D21" i="14"/>
  <c r="D28" i="14" s="1"/>
  <c r="C21" i="14"/>
  <c r="C28" i="14" s="1"/>
  <c r="B21" i="14"/>
  <c r="F13" i="14"/>
  <c r="B13" i="14"/>
  <c r="H10" i="14"/>
  <c r="H13" i="14" s="1"/>
  <c r="F10" i="14"/>
  <c r="D10" i="14"/>
  <c r="D13" i="14" s="1"/>
  <c r="B10" i="14"/>
  <c r="I9" i="14"/>
  <c r="G9" i="14"/>
  <c r="E9" i="14"/>
  <c r="C9" i="14"/>
  <c r="I59" i="6"/>
  <c r="H59" i="6"/>
  <c r="G59" i="6"/>
  <c r="F59" i="6"/>
  <c r="E59" i="6"/>
  <c r="D59" i="6"/>
  <c r="C59" i="6"/>
  <c r="B59" i="6"/>
  <c r="G43" i="6"/>
  <c r="G50" i="6" s="1"/>
  <c r="H42" i="6"/>
  <c r="F42" i="6"/>
  <c r="D42" i="6"/>
  <c r="B42" i="6"/>
  <c r="I41" i="6"/>
  <c r="G41" i="6"/>
  <c r="E41" i="6"/>
  <c r="C41" i="6"/>
  <c r="H40" i="6"/>
  <c r="H44" i="6" s="1"/>
  <c r="H51" i="6" s="1"/>
  <c r="F40" i="6"/>
  <c r="F44" i="6" s="1"/>
  <c r="F51" i="6" s="1"/>
  <c r="D40" i="6"/>
  <c r="D44" i="6" s="1"/>
  <c r="D51" i="6" s="1"/>
  <c r="B40" i="6"/>
  <c r="B44" i="6" s="1"/>
  <c r="B51" i="6" s="1"/>
  <c r="I39" i="6"/>
  <c r="I43" i="6" s="1"/>
  <c r="I50" i="6" s="1"/>
  <c r="G39" i="6"/>
  <c r="E39" i="6"/>
  <c r="E43" i="6" s="1"/>
  <c r="E50" i="6" s="1"/>
  <c r="C39" i="6"/>
  <c r="C43" i="6" s="1"/>
  <c r="C50" i="6" s="1"/>
  <c r="I33" i="6"/>
  <c r="H33" i="6"/>
  <c r="G33" i="6"/>
  <c r="F33" i="6"/>
  <c r="E33" i="6"/>
  <c r="D33" i="6"/>
  <c r="C33" i="6"/>
  <c r="B33" i="6"/>
  <c r="D28" i="6"/>
  <c r="D27" i="6"/>
  <c r="I23" i="6"/>
  <c r="H23" i="6"/>
  <c r="G23" i="6"/>
  <c r="F23" i="6"/>
  <c r="E23" i="6"/>
  <c r="D23" i="6"/>
  <c r="C23" i="6"/>
  <c r="B23" i="6"/>
  <c r="I21" i="6"/>
  <c r="I28" i="6" s="1"/>
  <c r="H21" i="6"/>
  <c r="H28" i="6" s="1"/>
  <c r="G21" i="6"/>
  <c r="G28" i="6" s="1"/>
  <c r="F21" i="6"/>
  <c r="F28" i="6" s="1"/>
  <c r="E21" i="6"/>
  <c r="E28" i="6" s="1"/>
  <c r="D21" i="6"/>
  <c r="C21" i="6"/>
  <c r="C28" i="6" s="1"/>
  <c r="B21" i="6"/>
  <c r="B28" i="6" s="1"/>
  <c r="B53" i="6" s="1"/>
  <c r="B62" i="6" s="1"/>
  <c r="B65" i="6" s="1"/>
  <c r="B67" i="6" s="1"/>
  <c r="H13" i="6"/>
  <c r="D13" i="6"/>
  <c r="B13" i="6"/>
  <c r="H10" i="6"/>
  <c r="F10" i="6"/>
  <c r="F13" i="6" s="1"/>
  <c r="D10" i="6"/>
  <c r="B10" i="6"/>
  <c r="I9" i="6"/>
  <c r="G9" i="6"/>
  <c r="E9" i="6"/>
  <c r="C9" i="6"/>
  <c r="F51" i="13"/>
  <c r="F44" i="13"/>
  <c r="H42" i="13"/>
  <c r="F42" i="13"/>
  <c r="D42" i="13"/>
  <c r="B42" i="13"/>
  <c r="I41" i="13"/>
  <c r="G41" i="13"/>
  <c r="E41" i="13"/>
  <c r="C41" i="13"/>
  <c r="H40" i="13"/>
  <c r="H44" i="13" s="1"/>
  <c r="H51" i="13" s="1"/>
  <c r="F40" i="13"/>
  <c r="D40" i="13"/>
  <c r="D44" i="13" s="1"/>
  <c r="D51" i="13" s="1"/>
  <c r="B40" i="13"/>
  <c r="B44" i="13" s="1"/>
  <c r="B51" i="13" s="1"/>
  <c r="I39" i="13"/>
  <c r="I43" i="13" s="1"/>
  <c r="I50" i="13" s="1"/>
  <c r="G39" i="13"/>
  <c r="G43" i="13" s="1"/>
  <c r="G50" i="13" s="1"/>
  <c r="E39" i="13"/>
  <c r="E43" i="13" s="1"/>
  <c r="E50" i="13" s="1"/>
  <c r="C39" i="13"/>
  <c r="C43" i="13" s="1"/>
  <c r="C50" i="13" s="1"/>
  <c r="I33" i="13"/>
  <c r="H33" i="13"/>
  <c r="G33" i="13"/>
  <c r="F33" i="13"/>
  <c r="E33" i="13"/>
  <c r="D33" i="13"/>
  <c r="C33" i="13"/>
  <c r="B33" i="13"/>
  <c r="H27" i="13"/>
  <c r="I23" i="13"/>
  <c r="H23" i="13"/>
  <c r="H28" i="13" s="1"/>
  <c r="H53" i="13" s="1"/>
  <c r="H62" i="13" s="1"/>
  <c r="H65" i="13" s="1"/>
  <c r="H67" i="13" s="1"/>
  <c r="G23" i="13"/>
  <c r="F23" i="13"/>
  <c r="F28" i="13" s="1"/>
  <c r="F53" i="13" s="1"/>
  <c r="F62" i="13" s="1"/>
  <c r="F65" i="13" s="1"/>
  <c r="F67" i="13" s="1"/>
  <c r="E23" i="13"/>
  <c r="D23" i="13"/>
  <c r="C23" i="13"/>
  <c r="B23" i="13"/>
  <c r="I21" i="13"/>
  <c r="I28" i="13" s="1"/>
  <c r="G21" i="13"/>
  <c r="E21" i="13"/>
  <c r="E28" i="13" s="1"/>
  <c r="D21" i="13"/>
  <c r="D28" i="13" s="1"/>
  <c r="D53" i="13" s="1"/>
  <c r="D62" i="13" s="1"/>
  <c r="D65" i="13" s="1"/>
  <c r="D67" i="13" s="1"/>
  <c r="C21" i="13"/>
  <c r="C28" i="13" s="1"/>
  <c r="B21" i="13"/>
  <c r="B28" i="13" s="1"/>
  <c r="B53" i="13" s="1"/>
  <c r="B62" i="13" s="1"/>
  <c r="B65" i="13" s="1"/>
  <c r="B67" i="13" s="1"/>
  <c r="B13" i="13"/>
  <c r="H10" i="13"/>
  <c r="H13" i="13" s="1"/>
  <c r="F10" i="13"/>
  <c r="D10" i="13"/>
  <c r="D13" i="13" s="1"/>
  <c r="B10" i="13"/>
  <c r="I9" i="13"/>
  <c r="G9" i="13"/>
  <c r="E9" i="13"/>
  <c r="C9" i="13"/>
  <c r="G59" i="2"/>
  <c r="F59" i="2"/>
  <c r="C59" i="2"/>
  <c r="B59" i="2"/>
  <c r="H42" i="2"/>
  <c r="H13" i="2" s="1"/>
  <c r="F42" i="2"/>
  <c r="D42" i="2"/>
  <c r="B42" i="2"/>
  <c r="I41" i="2"/>
  <c r="G41" i="2"/>
  <c r="E41" i="2"/>
  <c r="C41" i="2"/>
  <c r="H40" i="2"/>
  <c r="H44" i="2" s="1"/>
  <c r="H51" i="2" s="1"/>
  <c r="F40" i="2"/>
  <c r="F44" i="2" s="1"/>
  <c r="F51" i="2" s="1"/>
  <c r="D40" i="2"/>
  <c r="D44" i="2" s="1"/>
  <c r="D51" i="2" s="1"/>
  <c r="B40" i="2"/>
  <c r="B44" i="2" s="1"/>
  <c r="B51" i="2" s="1"/>
  <c r="I39" i="2"/>
  <c r="I43" i="2" s="1"/>
  <c r="I50" i="2" s="1"/>
  <c r="G39" i="2"/>
  <c r="G43" i="2" s="1"/>
  <c r="G50" i="2" s="1"/>
  <c r="E39" i="2"/>
  <c r="E43" i="2" s="1"/>
  <c r="E50" i="2" s="1"/>
  <c r="C39" i="2"/>
  <c r="C43" i="2" s="1"/>
  <c r="C50" i="2" s="1"/>
  <c r="I33" i="2"/>
  <c r="H33" i="2"/>
  <c r="G33" i="2"/>
  <c r="F33" i="2"/>
  <c r="E33" i="2"/>
  <c r="D33" i="2"/>
  <c r="C33" i="2"/>
  <c r="B33" i="2"/>
  <c r="I23" i="2"/>
  <c r="H23" i="2"/>
  <c r="H28" i="2" s="1"/>
  <c r="H53" i="2" s="1"/>
  <c r="H62" i="2" s="1"/>
  <c r="H65" i="2" s="1"/>
  <c r="H67" i="2" s="1"/>
  <c r="G23" i="2"/>
  <c r="G27" i="2" s="1"/>
  <c r="G52" i="2" s="1"/>
  <c r="G61" i="2" s="1"/>
  <c r="G64" i="2" s="1"/>
  <c r="G66" i="2" s="1"/>
  <c r="F23" i="2"/>
  <c r="F28" i="2" s="1"/>
  <c r="F53" i="2" s="1"/>
  <c r="F62" i="2" s="1"/>
  <c r="F65" i="2" s="1"/>
  <c r="F67" i="2" s="1"/>
  <c r="E23" i="2"/>
  <c r="D23" i="2"/>
  <c r="D28" i="2" s="1"/>
  <c r="C23" i="2"/>
  <c r="C28" i="2" s="1"/>
  <c r="B23" i="2"/>
  <c r="B28" i="2" s="1"/>
  <c r="B53" i="2" s="1"/>
  <c r="B62" i="2" s="1"/>
  <c r="B65" i="2" s="1"/>
  <c r="B67" i="2" s="1"/>
  <c r="I21" i="2"/>
  <c r="I28" i="2" s="1"/>
  <c r="G21" i="2"/>
  <c r="E21" i="2"/>
  <c r="E28" i="2" s="1"/>
  <c r="D21" i="2"/>
  <c r="C21" i="2"/>
  <c r="B21" i="2"/>
  <c r="F13" i="2"/>
  <c r="D13" i="2"/>
  <c r="H10" i="2"/>
  <c r="F10" i="2"/>
  <c r="D10" i="2"/>
  <c r="B10" i="2"/>
  <c r="B13" i="2" s="1"/>
  <c r="I9" i="2"/>
  <c r="G9" i="2"/>
  <c r="E9" i="2"/>
  <c r="C9" i="2"/>
  <c r="D42" i="12"/>
  <c r="B42" i="12"/>
  <c r="E41" i="12"/>
  <c r="C41" i="12"/>
  <c r="D40" i="12"/>
  <c r="D44" i="12" s="1"/>
  <c r="D51" i="12" s="1"/>
  <c r="B40" i="12"/>
  <c r="B44" i="12" s="1"/>
  <c r="B51" i="12" s="1"/>
  <c r="E39" i="12"/>
  <c r="E43" i="12" s="1"/>
  <c r="E50" i="12" s="1"/>
  <c r="C39" i="12"/>
  <c r="C43" i="12" s="1"/>
  <c r="C50" i="12" s="1"/>
  <c r="E33" i="12"/>
  <c r="D33" i="12"/>
  <c r="C33" i="12"/>
  <c r="B33" i="12"/>
  <c r="E23" i="12"/>
  <c r="E28" i="12" s="1"/>
  <c r="D23" i="12"/>
  <c r="D28" i="12" s="1"/>
  <c r="D53" i="12" s="1"/>
  <c r="D63" i="12" s="1"/>
  <c r="D66" i="12" s="1"/>
  <c r="D68" i="12" s="1"/>
  <c r="C23" i="12"/>
  <c r="C28" i="12" s="1"/>
  <c r="B23" i="12"/>
  <c r="E21" i="12"/>
  <c r="E27" i="12" s="1"/>
  <c r="D21" i="12"/>
  <c r="D27" i="12" s="1"/>
  <c r="C21" i="12"/>
  <c r="C27" i="12" s="1"/>
  <c r="B21" i="12"/>
  <c r="B28" i="12" s="1"/>
  <c r="B53" i="12" s="1"/>
  <c r="B63" i="12" s="1"/>
  <c r="B66" i="12" s="1"/>
  <c r="B68" i="12" s="1"/>
  <c r="B13" i="12"/>
  <c r="D10" i="12"/>
  <c r="D13" i="12" s="1"/>
  <c r="B10" i="12"/>
  <c r="E9" i="12"/>
  <c r="C9" i="12"/>
  <c r="D42" i="1"/>
  <c r="B42" i="1"/>
  <c r="E41" i="1"/>
  <c r="C41" i="1"/>
  <c r="D40" i="1"/>
  <c r="D44" i="1" s="1"/>
  <c r="D51" i="1" s="1"/>
  <c r="B40" i="1"/>
  <c r="B44" i="1" s="1"/>
  <c r="B51" i="1" s="1"/>
  <c r="E39" i="1"/>
  <c r="E43" i="1" s="1"/>
  <c r="E50" i="1" s="1"/>
  <c r="C39" i="1"/>
  <c r="C43" i="1" s="1"/>
  <c r="C50" i="1" s="1"/>
  <c r="E33" i="1"/>
  <c r="D33" i="1"/>
  <c r="C33" i="1"/>
  <c r="B33" i="1"/>
  <c r="E23" i="1"/>
  <c r="E28" i="1" s="1"/>
  <c r="D23" i="1"/>
  <c r="C23" i="1"/>
  <c r="B23" i="1"/>
  <c r="E21" i="1"/>
  <c r="E27" i="1" s="1"/>
  <c r="D21" i="1"/>
  <c r="D28" i="1" s="1"/>
  <c r="D53" i="1" s="1"/>
  <c r="D62" i="1" s="1"/>
  <c r="D65" i="1" s="1"/>
  <c r="D67" i="1" s="1"/>
  <c r="C21" i="1"/>
  <c r="C27" i="1" s="1"/>
  <c r="C52" i="1" s="1"/>
  <c r="C61" i="1" s="1"/>
  <c r="C64" i="1" s="1"/>
  <c r="C66" i="1" s="1"/>
  <c r="B21" i="1"/>
  <c r="B28" i="1" s="1"/>
  <c r="D13" i="1"/>
  <c r="D10" i="1"/>
  <c r="B10" i="1"/>
  <c r="B13" i="1" s="1"/>
  <c r="E9" i="1"/>
  <c r="C9" i="1"/>
  <c r="D53" i="2" l="1"/>
  <c r="D62" i="2" s="1"/>
  <c r="D65" i="2" s="1"/>
  <c r="D67" i="2" s="1"/>
  <c r="B53" i="1"/>
  <c r="B62" i="1" s="1"/>
  <c r="B65" i="1" s="1"/>
  <c r="B67" i="1" s="1"/>
  <c r="C52" i="12"/>
  <c r="C62" i="12" s="1"/>
  <c r="C65" i="12" s="1"/>
  <c r="C67" i="12" s="1"/>
  <c r="E52" i="1"/>
  <c r="E61" i="1" s="1"/>
  <c r="E64" i="1" s="1"/>
  <c r="E66" i="1" s="1"/>
  <c r="E52" i="12"/>
  <c r="E62" i="12" s="1"/>
  <c r="E65" i="12" s="1"/>
  <c r="E67" i="12" s="1"/>
  <c r="F53" i="18"/>
  <c r="F63" i="18" s="1"/>
  <c r="F66" i="18" s="1"/>
  <c r="F68" i="18" s="1"/>
  <c r="F53" i="16"/>
  <c r="F62" i="16" s="1"/>
  <c r="F65" i="16" s="1"/>
  <c r="F67" i="16" s="1"/>
  <c r="B27" i="1"/>
  <c r="B27" i="2"/>
  <c r="D53" i="16"/>
  <c r="D62" i="16" s="1"/>
  <c r="D65" i="16" s="1"/>
  <c r="D67" i="16" s="1"/>
  <c r="L28" i="7"/>
  <c r="L53" i="7" s="1"/>
  <c r="L62" i="7" s="1"/>
  <c r="L66" i="7" s="1"/>
  <c r="L68" i="7" s="1"/>
  <c r="L27" i="7"/>
  <c r="E29" i="3"/>
  <c r="E28" i="3"/>
  <c r="E53" i="3" s="1"/>
  <c r="E62" i="3" s="1"/>
  <c r="E65" i="3" s="1"/>
  <c r="E67" i="3" s="1"/>
  <c r="E27" i="2"/>
  <c r="E52" i="2" s="1"/>
  <c r="E61" i="2" s="1"/>
  <c r="E64" i="2" s="1"/>
  <c r="E66" i="2" s="1"/>
  <c r="G28" i="13"/>
  <c r="G27" i="13"/>
  <c r="G52" i="13" s="1"/>
  <c r="G61" i="13" s="1"/>
  <c r="G64" i="13" s="1"/>
  <c r="G66" i="13" s="1"/>
  <c r="D28" i="19"/>
  <c r="D53" i="19" s="1"/>
  <c r="D63" i="19" s="1"/>
  <c r="D66" i="19" s="1"/>
  <c r="D68" i="19" s="1"/>
  <c r="D27" i="19"/>
  <c r="C27" i="2"/>
  <c r="C52" i="2" s="1"/>
  <c r="C61" i="2" s="1"/>
  <c r="C64" i="2" s="1"/>
  <c r="C66" i="2" s="1"/>
  <c r="F27" i="2"/>
  <c r="F13" i="13"/>
  <c r="F53" i="6"/>
  <c r="F62" i="6" s="1"/>
  <c r="F65" i="6" s="1"/>
  <c r="F67" i="6" s="1"/>
  <c r="D53" i="14"/>
  <c r="D63" i="14" s="1"/>
  <c r="D66" i="14" s="1"/>
  <c r="D68" i="14" s="1"/>
  <c r="F53" i="14"/>
  <c r="F63" i="14" s="1"/>
  <c r="F66" i="14" s="1"/>
  <c r="F68" i="14" s="1"/>
  <c r="H53" i="17"/>
  <c r="H63" i="17" s="1"/>
  <c r="H66" i="17" s="1"/>
  <c r="H68" i="17" s="1"/>
  <c r="H27" i="7"/>
  <c r="H28" i="7"/>
  <c r="H53" i="7" s="1"/>
  <c r="H62" i="7" s="1"/>
  <c r="H66" i="7" s="1"/>
  <c r="H68" i="7" s="1"/>
  <c r="D28" i="7"/>
  <c r="D53" i="7" s="1"/>
  <c r="D62" i="7" s="1"/>
  <c r="D66" i="7" s="1"/>
  <c r="D68" i="7" s="1"/>
  <c r="D27" i="7"/>
  <c r="F28" i="7"/>
  <c r="F53" i="7" s="1"/>
  <c r="F62" i="7" s="1"/>
  <c r="F66" i="7" s="1"/>
  <c r="F68" i="7" s="1"/>
  <c r="H54" i="3"/>
  <c r="H63" i="3" s="1"/>
  <c r="H66" i="3" s="1"/>
  <c r="H68" i="3" s="1"/>
  <c r="B27" i="14"/>
  <c r="B27" i="12"/>
  <c r="D27" i="2"/>
  <c r="C28" i="1"/>
  <c r="G28" i="2"/>
  <c r="G28" i="18"/>
  <c r="G27" i="18"/>
  <c r="G52" i="18" s="1"/>
  <c r="G62" i="18" s="1"/>
  <c r="G65" i="18" s="1"/>
  <c r="G67" i="18" s="1"/>
  <c r="H53" i="19"/>
  <c r="H63" i="19" s="1"/>
  <c r="H66" i="19" s="1"/>
  <c r="H68" i="19" s="1"/>
  <c r="J13" i="7"/>
  <c r="J44" i="7"/>
  <c r="J51" i="7" s="1"/>
  <c r="J53" i="7" s="1"/>
  <c r="J62" i="7" s="1"/>
  <c r="J66" i="7" s="1"/>
  <c r="J68" i="7" s="1"/>
  <c r="D27" i="1"/>
  <c r="H27" i="2"/>
  <c r="H53" i="6"/>
  <c r="H62" i="6" s="1"/>
  <c r="H65" i="6" s="1"/>
  <c r="H67" i="6" s="1"/>
  <c r="H53" i="14"/>
  <c r="H63" i="14" s="1"/>
  <c r="H66" i="14" s="1"/>
  <c r="H68" i="14" s="1"/>
  <c r="F13" i="18"/>
  <c r="D27" i="17"/>
  <c r="I27" i="2"/>
  <c r="I52" i="2" s="1"/>
  <c r="I61" i="2" s="1"/>
  <c r="I64" i="2" s="1"/>
  <c r="I66" i="2" s="1"/>
  <c r="B28" i="17"/>
  <c r="B53" i="17" s="1"/>
  <c r="B63" i="17" s="1"/>
  <c r="B66" i="17" s="1"/>
  <c r="B68" i="17" s="1"/>
  <c r="B27" i="17"/>
  <c r="D53" i="6"/>
  <c r="D62" i="6" s="1"/>
  <c r="D65" i="6" s="1"/>
  <c r="D67" i="6" s="1"/>
  <c r="H53" i="16"/>
  <c r="H62" i="16" s="1"/>
  <c r="H65" i="16" s="1"/>
  <c r="H67" i="16" s="1"/>
  <c r="M28" i="7"/>
  <c r="M27" i="7"/>
  <c r="M52" i="7" s="1"/>
  <c r="M61" i="7" s="1"/>
  <c r="M65" i="7" s="1"/>
  <c r="M67" i="7" s="1"/>
  <c r="I27" i="13"/>
  <c r="I52" i="13" s="1"/>
  <c r="I61" i="13" s="1"/>
  <c r="I64" i="13" s="1"/>
  <c r="I66" i="13" s="1"/>
  <c r="E27" i="6"/>
  <c r="E52" i="6" s="1"/>
  <c r="E61" i="6" s="1"/>
  <c r="E64" i="6" s="1"/>
  <c r="E66" i="6" s="1"/>
  <c r="C27" i="14"/>
  <c r="C52" i="14" s="1"/>
  <c r="C62" i="14" s="1"/>
  <c r="C65" i="14" s="1"/>
  <c r="C67" i="14" s="1"/>
  <c r="I27" i="18"/>
  <c r="I52" i="18" s="1"/>
  <c r="I62" i="18" s="1"/>
  <c r="I65" i="18" s="1"/>
  <c r="I67" i="18" s="1"/>
  <c r="G27" i="19"/>
  <c r="G52" i="19" s="1"/>
  <c r="G62" i="19" s="1"/>
  <c r="G65" i="19" s="1"/>
  <c r="G67" i="19" s="1"/>
  <c r="E27" i="17"/>
  <c r="E52" i="17" s="1"/>
  <c r="E62" i="17" s="1"/>
  <c r="E65" i="17" s="1"/>
  <c r="E67" i="17" s="1"/>
  <c r="I27" i="16"/>
  <c r="I52" i="16" s="1"/>
  <c r="I61" i="16" s="1"/>
  <c r="I64" i="16" s="1"/>
  <c r="I66" i="16" s="1"/>
  <c r="C27" i="7"/>
  <c r="C52" i="7" s="1"/>
  <c r="C61" i="7" s="1"/>
  <c r="C65" i="7" s="1"/>
  <c r="C67" i="7" s="1"/>
  <c r="K27" i="7"/>
  <c r="K52" i="7" s="1"/>
  <c r="K61" i="7" s="1"/>
  <c r="K65" i="7" s="1"/>
  <c r="K67" i="7" s="1"/>
  <c r="G28" i="7"/>
  <c r="G28" i="3"/>
  <c r="G53" i="3" s="1"/>
  <c r="G62" i="3" s="1"/>
  <c r="G65" i="3" s="1"/>
  <c r="G67" i="3" s="1"/>
  <c r="B27" i="13"/>
  <c r="F27" i="6"/>
  <c r="D27" i="14"/>
  <c r="B27" i="18"/>
  <c r="H27" i="19"/>
  <c r="F27" i="17"/>
  <c r="B27" i="16"/>
  <c r="H28" i="3"/>
  <c r="C27" i="13"/>
  <c r="C52" i="13" s="1"/>
  <c r="C61" i="13" s="1"/>
  <c r="C64" i="13" s="1"/>
  <c r="C66" i="13" s="1"/>
  <c r="G27" i="6"/>
  <c r="G52" i="6" s="1"/>
  <c r="G61" i="6" s="1"/>
  <c r="G64" i="6" s="1"/>
  <c r="G66" i="6" s="1"/>
  <c r="E27" i="14"/>
  <c r="E52" i="14" s="1"/>
  <c r="E62" i="14" s="1"/>
  <c r="E65" i="14" s="1"/>
  <c r="E67" i="14" s="1"/>
  <c r="C27" i="18"/>
  <c r="C52" i="18" s="1"/>
  <c r="C62" i="18" s="1"/>
  <c r="C65" i="18" s="1"/>
  <c r="C67" i="18" s="1"/>
  <c r="I27" i="19"/>
  <c r="I52" i="19" s="1"/>
  <c r="I62" i="19" s="1"/>
  <c r="I65" i="19" s="1"/>
  <c r="I67" i="19" s="1"/>
  <c r="G27" i="17"/>
  <c r="G52" i="17" s="1"/>
  <c r="G62" i="17" s="1"/>
  <c r="G65" i="17" s="1"/>
  <c r="G67" i="17" s="1"/>
  <c r="C27" i="16"/>
  <c r="C52" i="16" s="1"/>
  <c r="C61" i="16" s="1"/>
  <c r="C64" i="16" s="1"/>
  <c r="C66" i="16" s="1"/>
  <c r="E27" i="7"/>
  <c r="E52" i="7" s="1"/>
  <c r="E61" i="7" s="1"/>
  <c r="E65" i="7" s="1"/>
  <c r="E67" i="7" s="1"/>
  <c r="I28" i="3"/>
  <c r="I53" i="3" s="1"/>
  <c r="I62" i="3" s="1"/>
  <c r="I65" i="3" s="1"/>
  <c r="I67" i="3" s="1"/>
  <c r="D27" i="13"/>
  <c r="H27" i="6"/>
  <c r="F27" i="14"/>
  <c r="D27" i="18"/>
  <c r="B27" i="19"/>
  <c r="H27" i="17"/>
  <c r="D27" i="16"/>
  <c r="B28" i="3"/>
  <c r="E27" i="13"/>
  <c r="E52" i="13" s="1"/>
  <c r="E61" i="13" s="1"/>
  <c r="E64" i="13" s="1"/>
  <c r="E66" i="13" s="1"/>
  <c r="I27" i="6"/>
  <c r="I52" i="6" s="1"/>
  <c r="I61" i="6" s="1"/>
  <c r="I64" i="6" s="1"/>
  <c r="I66" i="6" s="1"/>
  <c r="G27" i="14"/>
  <c r="G52" i="14" s="1"/>
  <c r="G62" i="14" s="1"/>
  <c r="G65" i="14" s="1"/>
  <c r="G67" i="14" s="1"/>
  <c r="E27" i="18"/>
  <c r="E52" i="18" s="1"/>
  <c r="E62" i="18" s="1"/>
  <c r="E65" i="18" s="1"/>
  <c r="E67" i="18" s="1"/>
  <c r="C27" i="19"/>
  <c r="C52" i="19" s="1"/>
  <c r="C62" i="19" s="1"/>
  <c r="C65" i="19" s="1"/>
  <c r="C67" i="19" s="1"/>
  <c r="I27" i="17"/>
  <c r="I52" i="17" s="1"/>
  <c r="I62" i="17" s="1"/>
  <c r="I65" i="17" s="1"/>
  <c r="I67" i="17" s="1"/>
  <c r="E27" i="16"/>
  <c r="E52" i="16" s="1"/>
  <c r="E61" i="16" s="1"/>
  <c r="E64" i="16" s="1"/>
  <c r="E66" i="16" s="1"/>
  <c r="C28" i="3"/>
  <c r="C53" i="3" s="1"/>
  <c r="C62" i="3" s="1"/>
  <c r="C65" i="3" s="1"/>
  <c r="C67" i="3" s="1"/>
  <c r="F27" i="13"/>
  <c r="B27" i="6"/>
  <c r="H27" i="14"/>
  <c r="F27" i="18"/>
  <c r="F27" i="16"/>
  <c r="D28" i="3"/>
  <c r="C27" i="6"/>
  <c r="C52" i="6" s="1"/>
  <c r="C61" i="6" s="1"/>
  <c r="C64" i="6" s="1"/>
  <c r="C66" i="6" s="1"/>
  <c r="I27" i="14"/>
  <c r="I52" i="14" s="1"/>
  <c r="I62" i="14" s="1"/>
  <c r="I65" i="14" s="1"/>
  <c r="I67" i="14" s="1"/>
  <c r="E27" i="19"/>
  <c r="E52" i="19" s="1"/>
  <c r="E62" i="19" s="1"/>
  <c r="E65" i="19" s="1"/>
  <c r="E67" i="19" s="1"/>
  <c r="C27" i="17"/>
  <c r="C52" i="17" s="1"/>
  <c r="C62" i="17" s="1"/>
  <c r="C65" i="17" s="1"/>
  <c r="C67" i="17" s="1"/>
  <c r="G27" i="16"/>
  <c r="G52" i="16" s="1"/>
  <c r="G61" i="16" s="1"/>
  <c r="G64" i="16" s="1"/>
  <c r="G66" i="16" s="1"/>
</calcChain>
</file>

<file path=xl/sharedStrings.xml><?xml version="1.0" encoding="utf-8"?>
<sst xmlns="http://schemas.openxmlformats.org/spreadsheetml/2006/main" count="2481" uniqueCount="155">
  <si>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</si>
  <si>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</si>
  <si>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</si>
  <si>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</si>
  <si>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</si>
  <si>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</si>
  <si>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</si>
  <si>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</si>
  <si>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</si>
  <si>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</si>
  <si>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</si>
  <si>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</si>
  <si>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</si>
  <si>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</si>
  <si>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</si>
  <si>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</si>
  <si>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</si>
  <si>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</si>
  <si>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</si>
  <si>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</si>
  <si>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</si>
  <si>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</si>
  <si>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</si>
  <si>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</si>
  <si>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</si>
  <si>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</si>
  <si>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</si>
  <si>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</si>
  <si>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</si>
  <si>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</si>
  <si>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</si>
  <si>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</si>
  <si>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</si>
  <si>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</si>
  <si>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</si>
  <si>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</si>
  <si>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</si>
  <si>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</si>
  <si>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</si>
  <si>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</si>
  <si>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</si>
  <si>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</si>
  <si>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</si>
  <si>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</si>
  <si>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</si>
  <si>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</si>
  <si>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</si>
  <si>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</si>
  <si>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NR PDSCH (NLOS)</t>
    <phoneticPr fontId="1" type="noConversion"/>
  </si>
  <si>
    <t>UL</t>
    <phoneticPr fontId="1" type="noConversion"/>
  </si>
  <si>
    <t>NR PUSCH (NLOS)</t>
    <phoneticPr fontId="1" type="noConversion"/>
  </si>
  <si>
    <t>(29a) Available path loss for control channel          = (23a) – (25a) + (26) – (27) + (28) – (12)   dB</t>
    <phoneticPr fontId="1" type="noConversion"/>
  </si>
  <si>
    <t>NR PDSCH (NLOS O-to-I)</t>
    <phoneticPr fontId="1" type="noConversion"/>
  </si>
  <si>
    <t>NR PDCCH (NLOS O-to-I)</t>
    <phoneticPr fontId="1" type="noConversion"/>
  </si>
  <si>
    <t>NR PDCCH (NLOS)</t>
    <phoneticPr fontId="1" type="noConversion"/>
  </si>
  <si>
    <t>NR PUCCH (NLOS)</t>
    <phoneticPr fontId="1" type="noConversion"/>
  </si>
  <si>
    <t>NR PUSCH (NLOS O-to-I)</t>
    <phoneticPr fontId="1" type="noConversion"/>
  </si>
  <si>
    <t>NR PUCCH (NLOS O-to-I)</t>
    <phoneticPr fontId="1" type="noConversion"/>
  </si>
  <si>
    <t>-</t>
    <phoneticPr fontId="1" type="noConversion"/>
  </si>
  <si>
    <r>
      <t>Transmission bandwidth configuration N</t>
    </r>
    <r>
      <rPr>
        <b/>
        <vertAlign val="subscript"/>
        <sz val="10"/>
        <color theme="1"/>
        <rFont val="Arial"/>
        <family val="2"/>
      </rPr>
      <t>RB</t>
    </r>
    <r>
      <rPr>
        <b/>
        <sz val="10"/>
        <color theme="1"/>
        <rFont val="Arial"/>
        <family val="2"/>
      </rPr>
      <t xml:space="preserve"> in NR</t>
    </r>
  </si>
  <si>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</si>
  <si>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</si>
  <si>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</si>
  <si>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</si>
  <si>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</si>
  <si>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</si>
  <si>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</si>
  <si>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</si>
  <si>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</si>
  <si>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</si>
  <si>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</si>
  <si>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</si>
  <si>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</si>
  <si>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</si>
  <si>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</si>
  <si>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</si>
  <si>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</si>
  <si>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</si>
  <si>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</si>
  <si>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</si>
  <si>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</si>
  <si>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</si>
  <si>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</si>
  <si>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</si>
  <si>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</si>
  <si>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</si>
  <si>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</si>
  <si>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UE speed (km/h)</t>
    <phoneticPr fontId="1" type="noConversion"/>
  </si>
  <si>
    <t>(11bis) Receiver array gain (depends on transmitter array configurations and technologies such as adaptive beam forming, etc.) (dB)</t>
    <phoneticPr fontId="1" type="noConversion"/>
  </si>
  <si>
    <t>Break point</t>
    <phoneticPr fontId="1" type="noConversion"/>
  </si>
  <si>
    <t>-</t>
  </si>
  <si>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</si>
  <si>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</si>
  <si>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t>(23a) Hardware link budget for control channel          = (9a) + (11) + (11bis) − (22a)   dB</t>
  </si>
  <si>
    <t>(23b) Hardware link budget for data channel           = (9b) + (11) + (11bis) − (22b)  dB</t>
  </si>
  <si>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</si>
  <si>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</si>
  <si>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</si>
  <si>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</si>
  <si>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</si>
  <si>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</si>
  <si>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(23a) Hardware link budget for control channel          = (9a) + (11) + (11bis)  − (22a)   dB</t>
  </si>
  <si>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</si>
  <si>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</si>
  <si>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DL</t>
  </si>
  <si>
    <t>UL</t>
  </si>
  <si>
    <t>NLOS</t>
    <phoneticPr fontId="1" type="noConversion"/>
  </si>
  <si>
    <t>NLOS O-to-I</t>
    <phoneticPr fontId="1" type="noConversion"/>
  </si>
  <si>
    <t>(1bis) Number of transmit antenna ports</t>
    <phoneticPr fontId="1" type="noConversion"/>
  </si>
  <si>
    <t>NPDSCH (LOS)</t>
    <phoneticPr fontId="1" type="noConversion"/>
  </si>
  <si>
    <t>NPDCCH (LOS)</t>
    <phoneticPr fontId="1" type="noConversion"/>
  </si>
  <si>
    <t>NPDSCH (NLOS)</t>
    <phoneticPr fontId="1" type="noConversion"/>
  </si>
  <si>
    <t>NPDCCH (NLOS)</t>
    <phoneticPr fontId="1" type="noConversion"/>
  </si>
  <si>
    <t>NPDSCH (NLOS O-to-I)</t>
    <phoneticPr fontId="1" type="noConversion"/>
  </si>
  <si>
    <t>NPDCCH (NLOS O-to-I)</t>
    <phoneticPr fontId="1" type="noConversion"/>
  </si>
  <si>
    <t>NPUSCH format 1 (LOS)</t>
    <phoneticPr fontId="1" type="noConversion"/>
  </si>
  <si>
    <t>PUSCH format2  (LOS)</t>
    <phoneticPr fontId="1" type="noConversion"/>
  </si>
  <si>
    <t>NPUSCH (NLOS)</t>
    <phoneticPr fontId="1" type="noConversion"/>
  </si>
  <si>
    <t>NPUSCH Format 2  (NLOS)</t>
    <phoneticPr fontId="1" type="noConversion"/>
  </si>
  <si>
    <t>NPUSCH (NLOS O-to-I)</t>
    <phoneticPr fontId="1" type="noConversion"/>
  </si>
  <si>
    <t>NPUSCH Format 2 (NLOS O-to-I)</t>
    <phoneticPr fontId="1" type="noConversion"/>
  </si>
  <si>
    <t>LOS</t>
    <phoneticPr fontId="1" type="noConversion"/>
  </si>
  <si>
    <t>(10bis) Number of receive antenna ports</t>
    <phoneticPr fontId="1" type="noConversion"/>
  </si>
  <si>
    <t xml:space="preserve">NR PDCCH (NLOS O-to-I) </t>
    <phoneticPr fontId="1" type="noConversion"/>
  </si>
  <si>
    <t xml:space="preserve">NR PDCCH (NLOS) </t>
    <phoneticPr fontId="1" type="noConversion"/>
  </si>
  <si>
    <t>(10bis) Number of receive ports</t>
    <phoneticPr fontId="1" type="noConversion"/>
  </si>
  <si>
    <t>(1bis) Number of transmit antennas</t>
    <phoneticPr fontId="1" type="noConversion"/>
  </si>
  <si>
    <t>(10bis) Number of receive antennas</t>
    <phoneticPr fontId="1" type="noConversion"/>
  </si>
  <si>
    <t>s</t>
    <phoneticPr fontId="1" type="noConversion"/>
  </si>
  <si>
    <t>(5) Transmitter array gain (depends on transmitter array configurations and technologies such as adaptive beam forming, CDD (cyclic delay diversity), etc.) (dB)</t>
    <phoneticPr fontId="1" type="noConversion"/>
  </si>
  <si>
    <t>(10bis) Number of  receive antenna ports</t>
    <phoneticPr fontId="1" type="noConversion"/>
  </si>
  <si>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phoneticPr fontId="1" type="noConversion"/>
  </si>
  <si>
    <r>
      <t>Transmission bandwidth configuration N</t>
    </r>
    <r>
      <rPr>
        <b/>
        <vertAlign val="subscript"/>
        <sz val="10"/>
        <color theme="1"/>
        <rFont val="Arial"/>
        <family val="2"/>
      </rPr>
      <t>RB</t>
    </r>
    <r>
      <rPr>
        <b/>
        <sz val="10"/>
        <color theme="1"/>
        <rFont val="Arial"/>
        <family val="2"/>
      </rPr>
      <t xml:space="preserve">  in LTE </t>
    </r>
    <phoneticPr fontId="1" type="noConversion"/>
  </si>
  <si>
    <t>c</t>
    <phoneticPr fontId="1" type="noConversion"/>
  </si>
  <si>
    <t>LTE PDSCH (NLOS)</t>
    <phoneticPr fontId="1" type="noConversion"/>
  </si>
  <si>
    <t>LTE PDCCH (NLOS)</t>
    <phoneticPr fontId="1" type="noConversion"/>
  </si>
  <si>
    <t>LTE PDSCH (NLOS O-to-I)</t>
    <phoneticPr fontId="1" type="noConversion"/>
  </si>
  <si>
    <t>LTE PDCCH (NLOS O-to-I)</t>
    <phoneticPr fontId="1" type="noConversion"/>
  </si>
  <si>
    <t>LTE PUSCH (NLOS)</t>
    <phoneticPr fontId="1" type="noConversion"/>
  </si>
  <si>
    <t>LTE PUCCH (NLOS)</t>
    <phoneticPr fontId="1" type="noConversion"/>
  </si>
  <si>
    <t>LTE PUSCH (NLOS O-to-I)</t>
    <phoneticPr fontId="1" type="noConversion"/>
  </si>
  <si>
    <t>LTE PUCCH (NLOS O-to-I)</t>
    <phoneticPr fontId="1" type="noConversion"/>
  </si>
  <si>
    <r>
      <t xml:space="preserve">(3) Total transmit power = function of (1) and (2) (dBm) (The value shall not exceed the indicated value in § 8.4 of Report ITU-R M.2412-0) </t>
    </r>
    <r>
      <rPr>
        <vertAlign val="superscript"/>
        <sz val="11"/>
        <color theme="1"/>
        <rFont val="Times New Roman"/>
        <family val="1"/>
      </rPr>
      <t>(12)</t>
    </r>
  </si>
  <si>
    <r>
      <t xml:space="preserve">(30b) Maximum range for data channel (based on (29b) and according to the system configuration section of the link budget) (m) </t>
    </r>
    <r>
      <rPr>
        <vertAlign val="superscript"/>
        <sz val="11"/>
        <color theme="1"/>
        <rFont val="Times New Roman"/>
        <family val="1"/>
      </rPr>
      <t>(13)</t>
    </r>
  </si>
  <si>
    <t>General notes:
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Dense Urban - eMBB test environment, the penentration margin is calculated based on the assumption of 80% low loss and 20% high loss.
6. For Rural - eMBB and Urban Macro - URLLC test environment,penentration margin is calculated based on the assumption of 100% low loss.
7. For Urban Macro - mMTC test environment, the penentration margin is calculated based on the assumption of 100% high loss, which is motivated by the coverage demand for mMTC scenarios.
8. For Urban Macro - mMTC test environment, item "(15a/b) Receiver interference density" is assumed to be -177dB due to the assumption of low cell load when the large coverage area of  mMTC is considered.
9.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10. For LTE PDCCH, the broad beam is assumed to be applied to the horizontal array, which results in approximately 1.25dB loss compared to horizontal beamforming.
11.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
12. The transmit power for NR PUSCH is taken to be 26 dBm. The instantaneous power is 26 dBm for a pi/2 BPSK transmission. However, for the considered configurations in TDD, the number of time slots is less than 40%. Hence the average power is still limited by 23 dBm as per the specification limitations. For PUCCH link budget, PUCCH format 1 is used. pi/2 BPSK is supported for NR PUCCH format 3 and 4.
13. A sheet for Rural LMLC link budget evaluation is added. In here, the LMLC Pathloss model is used from Report ITU-R M.2412.</t>
  </si>
  <si>
    <t xml:space="preserve">Cell area reliability(1) for control channel  (%) (Please specify how it is calculated.)  </t>
  </si>
  <si>
    <t xml:space="preserve">Cell area reliability(1) for data channel (%) (Please specify how it is calculated.)  </t>
  </si>
  <si>
    <t xml:space="preserve">(15a) Receiver interference density for control channel (dBm/Hz)  </t>
  </si>
  <si>
    <t xml:space="preserve">(16a) Total noise plus interference density for control channel        = 10 log (10^(((13) + (14))/10) + 10^((15a)/10))  dBm/Hz   </t>
  </si>
  <si>
    <t xml:space="preserve">(16b) Total noise plus interference density for data channel        = 10 log (10^(((13) + (14))/10) + 10^((15b)/10))  dBm/Hz   </t>
  </si>
  <si>
    <r>
      <t>Cell area reliability</t>
    </r>
    <r>
      <rPr>
        <vertAlign val="superscript"/>
        <sz val="10"/>
        <color theme="1"/>
        <rFont val="Times New Roman"/>
        <family val="1"/>
      </rPr>
      <t>(1)</t>
    </r>
    <r>
      <rPr>
        <sz val="11"/>
        <color theme="1"/>
        <rFont val="Times New Roman"/>
        <family val="1"/>
      </rPr>
      <t xml:space="preserve"> for control channel  (%) (Please specify how it is calculated.)</t>
    </r>
  </si>
  <si>
    <r>
      <t>Cell area reliability</t>
    </r>
    <r>
      <rPr>
        <vertAlign val="superscript"/>
        <sz val="10"/>
        <color theme="1"/>
        <rFont val="Times New Roman"/>
        <family val="1"/>
      </rPr>
      <t>(1)</t>
    </r>
    <r>
      <rPr>
        <sz val="11"/>
        <color theme="1"/>
        <rFont val="Times New Roman"/>
        <family val="1"/>
      </rPr>
      <t xml:space="preserve"> for data channel (%) (Please specify how it is calculated.)</t>
    </r>
  </si>
  <si>
    <t>(15a) Receiver interference density for control channel (dBm/Hz)</t>
  </si>
  <si>
    <t xml:space="preserve">(16a) Total noise plus interference density for control channel        = 10 log (10^(((13) + (14))/10) + 10^((15a)/10))  dBm/Hz </t>
  </si>
  <si>
    <t xml:space="preserve">(16b) Total noise plus interference density for data channel        = 10 log (10^(((13) + (14))/10) + 10^((15b)/10))  dBm/Hz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</si>
</sst>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00000000_ "/>
    <numFmt numFmtId="165" formatCode="0.00_ "/>
    <numFmt numFmtId="166" formatCode="0.000_ "/>
    <numFmt numFmtId="167" formatCode="0.000E+00"/>
    <numFmt numFmtId="168" formatCode="0.0"/>
    <numFmt numFmtId="169" formatCode="0.00_);[Red]\(0.00\)"/>
  </numFmts>
  <fonts count="23">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3F3F76"/>
      <name val="Calibri"/>
      <family val="2"/>
      <charset val="134"/>
      <scheme val="minor"/>
    </font>
    <font>
      <b/>
      <sz val="11"/>
      <name val="Times New Roman"/>
      <family val="1"/>
    </font>
    <font>
      <sz val="12"/>
      <name val="Times New Roman"/>
      <family val="1"/>
    </font>
    <font>
      <sz val="12"/>
      <color rgb="FFFF0000"/>
      <name val="宋体"/>
      <family val="3"/>
      <charset val="134"/>
    </font>
    <font>
      <sz val="11"/>
      <name val="Arial"/>
      <family val="2"/>
    </font>
    <font>
      <sz val="10"/>
      <name val="Arial"/>
      <family val="2"/>
    </font>
  </fonts>
  <fills count="10">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center"/>
    </xf>
    <xf numFmtId="0" fontId="3" fillId="0" borderId="0">
      <alignment vertical="center"/>
    </xf>
    <xf numFmtId="0" fontId="17" fillId="9" borderId="16" applyNumberFormat="0" applyAlignment="0" applyProtection="0">
      <alignment vertical="center"/>
    </xf>
  </cellStyleXfs>
  <cellXfs count="132">
    <xf numFmtId="0" fontId="0" fillId="0" borderId="0" xfId="0">
      <alignment vertical="center"/>
    </xf>
    <xf numFmtId="0" fontId="0" fillId="0" borderId="0" xfId="0" applyAlignment="1">
      <alignment vertical="center" wrapText="1"/>
    </xf>
    <xf numFmtId="0" fontId="3" fillId="0" borderId="0" xfId="1">
      <alignment vertical="center"/>
    </xf>
    <xf numFmtId="0" fontId="4" fillId="0" borderId="0" xfId="0" applyFont="1">
      <alignment vertical="center"/>
    </xf>
    <xf numFmtId="0" fontId="6" fillId="0" borderId="0" xfId="0" applyFont="1">
      <alignment vertical="center"/>
    </xf>
    <xf numFmtId="0" fontId="9" fillId="6"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164" fontId="0" fillId="0" borderId="0" xfId="0" applyNumberFormat="1">
      <alignment vertical="center"/>
    </xf>
    <xf numFmtId="0" fontId="3" fillId="0" borderId="0" xfId="0" applyFont="1" applyAlignment="1">
      <alignment vertical="center" wrapText="1"/>
    </xf>
    <xf numFmtId="0" fontId="2" fillId="0" borderId="0" xfId="0" applyFont="1">
      <alignment vertical="center"/>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lignment vertical="center"/>
    </xf>
    <xf numFmtId="0" fontId="13" fillId="0" borderId="1" xfId="0" applyFont="1" applyBorder="1" applyAlignment="1">
      <alignment horizontal="justify" vertical="center" wrapText="1"/>
    </xf>
    <xf numFmtId="0" fontId="16" fillId="0" borderId="0" xfId="0" applyFont="1">
      <alignment vertical="center"/>
    </xf>
    <xf numFmtId="165" fontId="12" fillId="2" borderId="1" xfId="0" applyNumberFormat="1" applyFont="1" applyFill="1" applyBorder="1" applyAlignment="1">
      <alignment horizontal="center" vertical="center" wrapText="1"/>
    </xf>
    <xf numFmtId="165" fontId="12" fillId="2" borderId="1" xfId="0" applyNumberFormat="1" applyFont="1" applyFill="1" applyBorder="1" applyAlignment="1">
      <alignment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xf>
    <xf numFmtId="165" fontId="13" fillId="7"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xf>
    <xf numFmtId="165" fontId="13" fillId="8" borderId="1" xfId="0" applyNumberFormat="1" applyFont="1" applyFill="1" applyBorder="1" applyAlignment="1">
      <alignment horizontal="center" vertical="center" wrapText="1"/>
    </xf>
    <xf numFmtId="165" fontId="16" fillId="0" borderId="0" xfId="0" applyNumberFormat="1" applyFont="1" applyAlignment="1">
      <alignment horizontal="center" vertical="center"/>
    </xf>
    <xf numFmtId="165" fontId="16" fillId="0" borderId="0" xfId="0" applyNumberFormat="1" applyFont="1">
      <alignment vertical="center"/>
    </xf>
    <xf numFmtId="0" fontId="13" fillId="8" borderId="2" xfId="0" applyFont="1" applyFill="1" applyBorder="1" applyAlignment="1">
      <alignment vertical="center" wrapText="1"/>
    </xf>
    <xf numFmtId="0" fontId="13" fillId="8" borderId="1" xfId="0" applyFont="1" applyFill="1" applyBorder="1" applyAlignment="1">
      <alignment horizontal="justify" vertical="center" wrapText="1"/>
    </xf>
    <xf numFmtId="0" fontId="13" fillId="0" borderId="0" xfId="0" applyFont="1">
      <alignment vertical="center"/>
    </xf>
    <xf numFmtId="165" fontId="13" fillId="0" borderId="0" xfId="0" applyNumberFormat="1" applyFont="1" applyAlignment="1">
      <alignment horizontal="center" vertical="center"/>
    </xf>
    <xf numFmtId="165" fontId="13" fillId="0" borderId="0" xfId="0" applyNumberFormat="1" applyFont="1">
      <alignment vertical="center"/>
    </xf>
    <xf numFmtId="0" fontId="12" fillId="2" borderId="1" xfId="0" applyFont="1" applyFill="1" applyBorder="1" applyAlignment="1">
      <alignment horizontal="justify" vertical="center"/>
    </xf>
    <xf numFmtId="9" fontId="13" fillId="0" borderId="1" xfId="0" applyNumberFormat="1" applyFont="1" applyBorder="1" applyAlignment="1">
      <alignment horizontal="center" vertical="center"/>
    </xf>
    <xf numFmtId="0" fontId="16" fillId="0" borderId="0" xfId="0" applyFont="1" applyAlignment="1">
      <alignment vertical="center"/>
    </xf>
    <xf numFmtId="165" fontId="12" fillId="2" borderId="1" xfId="0" applyNumberFormat="1" applyFont="1" applyFill="1" applyBorder="1" applyAlignment="1">
      <alignment vertical="center"/>
    </xf>
    <xf numFmtId="165" fontId="13" fillId="0" borderId="1" xfId="0" applyNumberFormat="1" applyFont="1" applyBorder="1" applyAlignment="1">
      <alignment horizontal="center" vertical="center"/>
    </xf>
    <xf numFmtId="165" fontId="13" fillId="0" borderId="1" xfId="0" applyNumberFormat="1" applyFont="1" applyBorder="1" applyAlignment="1" applyProtection="1">
      <alignment horizontal="center" vertical="center"/>
      <protection locked="0"/>
    </xf>
    <xf numFmtId="0" fontId="16" fillId="0" borderId="0" xfId="0" applyFont="1" applyAlignment="1">
      <alignment vertical="center" wrapText="1"/>
    </xf>
    <xf numFmtId="165" fontId="16" fillId="0" borderId="0" xfId="0" applyNumberFormat="1" applyFont="1" applyAlignment="1">
      <alignment horizontal="center" vertical="center" wrapText="1"/>
    </xf>
    <xf numFmtId="165" fontId="16" fillId="0" borderId="0" xfId="0" applyNumberFormat="1" applyFont="1" applyAlignment="1">
      <alignment vertical="center" wrapText="1"/>
    </xf>
    <xf numFmtId="165" fontId="12" fillId="2" borderId="5" xfId="0" applyNumberFormat="1" applyFont="1" applyFill="1" applyBorder="1" applyAlignment="1">
      <alignment horizontal="center" vertical="center"/>
    </xf>
    <xf numFmtId="165"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18" fillId="2" borderId="1" xfId="0" applyNumberFormat="1" applyFont="1" applyFill="1" applyBorder="1" applyAlignment="1">
      <alignment horizontal="center" vertical="center"/>
    </xf>
    <xf numFmtId="0" fontId="19" fillId="0" borderId="1" xfId="0" applyFont="1" applyBorder="1" applyAlignment="1">
      <alignment horizontal="center" vertical="center"/>
    </xf>
    <xf numFmtId="9" fontId="19" fillId="0" borderId="1" xfId="0" applyNumberFormat="1" applyFont="1" applyBorder="1" applyAlignment="1">
      <alignment horizontal="center" vertical="center"/>
    </xf>
    <xf numFmtId="9" fontId="2" fillId="0" borderId="1" xfId="0" applyNumberFormat="1" applyFont="1" applyFill="1" applyBorder="1" applyAlignment="1">
      <alignment horizontal="center" vertical="center" wrapText="1"/>
    </xf>
    <xf numFmtId="1" fontId="2" fillId="0" borderId="1" xfId="2"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167" fontId="19"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5" fontId="2" fillId="0" borderId="1" xfId="0" applyNumberFormat="1" applyFont="1" applyBorder="1" applyAlignment="1">
      <alignment horizontal="center" vertical="center"/>
    </xf>
    <xf numFmtId="168" fontId="19" fillId="0" borderId="1" xfId="0" applyNumberFormat="1" applyFont="1" applyBorder="1" applyAlignment="1">
      <alignment horizontal="center" vertical="center"/>
    </xf>
    <xf numFmtId="165" fontId="2" fillId="8" borderId="1" xfId="0" applyNumberFormat="1" applyFont="1" applyFill="1" applyBorder="1" applyAlignment="1">
      <alignment horizontal="center" vertical="center" wrapText="1"/>
    </xf>
    <xf numFmtId="168" fontId="19" fillId="4" borderId="1"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3" fontId="2" fillId="0" borderId="1" xfId="2" applyNumberFormat="1" applyFont="1" applyFill="1" applyBorder="1" applyAlignment="1">
      <alignment horizontal="center" vertical="center"/>
    </xf>
    <xf numFmtId="0" fontId="2" fillId="0" borderId="1" xfId="2" applyFont="1" applyFill="1" applyBorder="1" applyAlignment="1">
      <alignment horizontal="center" vertical="center"/>
    </xf>
    <xf numFmtId="0" fontId="12" fillId="2" borderId="5" xfId="0" applyFont="1" applyFill="1" applyBorder="1" applyAlignment="1">
      <alignment horizontal="center" vertical="center"/>
    </xf>
    <xf numFmtId="165" fontId="12" fillId="2" borderId="1" xfId="0" applyNumberFormat="1" applyFont="1" applyFill="1" applyBorder="1" applyAlignment="1">
      <alignment horizontal="center" vertical="center"/>
    </xf>
    <xf numFmtId="165" fontId="19" fillId="0" borderId="1" xfId="0" applyNumberFormat="1" applyFont="1" applyFill="1" applyBorder="1" applyAlignment="1">
      <alignment horizontal="center" vertical="center"/>
    </xf>
    <xf numFmtId="166" fontId="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165" fontId="12" fillId="0" borderId="1" xfId="0" applyNumberFormat="1" applyFont="1" applyFill="1" applyBorder="1" applyAlignment="1">
      <alignment horizontal="center" vertical="center"/>
    </xf>
    <xf numFmtId="0" fontId="0" fillId="0" borderId="0" xfId="0" applyFill="1">
      <alignment vertical="center"/>
    </xf>
    <xf numFmtId="0" fontId="13" fillId="0" borderId="1" xfId="0" applyFont="1" applyBorder="1" applyAlignment="1">
      <alignment horizontal="center" vertical="center" wrapText="1"/>
    </xf>
    <xf numFmtId="0" fontId="16" fillId="0" borderId="0" xfId="0" applyFont="1" applyAlignment="1">
      <alignment horizontal="center" vertical="center"/>
    </xf>
    <xf numFmtId="0" fontId="13" fillId="0" borderId="0" xfId="0" applyFont="1" applyAlignment="1">
      <alignment horizontal="center" vertical="center"/>
    </xf>
    <xf numFmtId="0" fontId="20" fillId="0" borderId="0" xfId="0" applyFont="1">
      <alignment vertical="center"/>
    </xf>
    <xf numFmtId="169" fontId="12" fillId="2" borderId="1" xfId="0" applyNumberFormat="1" applyFont="1" applyFill="1" applyBorder="1" applyAlignment="1">
      <alignment vertical="center" wrapText="1"/>
    </xf>
    <xf numFmtId="169" fontId="13" fillId="0" borderId="1" xfId="0" applyNumberFormat="1" applyFont="1" applyFill="1" applyBorder="1" applyAlignment="1">
      <alignment horizontal="center" vertical="center" wrapText="1"/>
    </xf>
    <xf numFmtId="169" fontId="13" fillId="0" borderId="1" xfId="0" applyNumberFormat="1" applyFont="1" applyBorder="1" applyAlignment="1">
      <alignment horizontal="center" vertical="center" wrapText="1"/>
    </xf>
    <xf numFmtId="169" fontId="13" fillId="8" borderId="1" xfId="0" applyNumberFormat="1" applyFont="1" applyFill="1" applyBorder="1" applyAlignment="1">
      <alignment horizontal="center" vertical="center" wrapText="1"/>
    </xf>
    <xf numFmtId="169" fontId="13" fillId="4" borderId="1" xfId="0" applyNumberFormat="1" applyFont="1" applyFill="1" applyBorder="1" applyAlignment="1">
      <alignment horizontal="center" vertical="center" wrapText="1"/>
    </xf>
    <xf numFmtId="169" fontId="13" fillId="0" borderId="1" xfId="0" applyNumberFormat="1" applyFont="1" applyBorder="1" applyAlignment="1">
      <alignment horizontal="center" vertical="center"/>
    </xf>
    <xf numFmtId="0" fontId="13" fillId="3" borderId="1" xfId="0" applyFont="1" applyFill="1" applyBorder="1" applyAlignment="1">
      <alignment vertical="center" wrapText="1"/>
    </xf>
    <xf numFmtId="0" fontId="13" fillId="7" borderId="1" xfId="0" applyFont="1" applyFill="1" applyBorder="1" applyAlignment="1">
      <alignment vertical="center" wrapText="1"/>
    </xf>
    <xf numFmtId="0" fontId="13" fillId="4" borderId="1" xfId="0" applyFont="1" applyFill="1" applyBorder="1" applyAlignment="1">
      <alignment vertical="center" wrapText="1"/>
    </xf>
    <xf numFmtId="0" fontId="12" fillId="8" borderId="1" xfId="0" applyFont="1" applyFill="1" applyBorder="1" applyAlignment="1">
      <alignment vertical="center" wrapText="1"/>
    </xf>
    <xf numFmtId="0" fontId="13" fillId="4" borderId="1" xfId="0" applyFont="1" applyFill="1" applyBorder="1" applyAlignment="1">
      <alignment vertical="center"/>
    </xf>
    <xf numFmtId="0" fontId="13" fillId="0" borderId="1" xfId="0" applyFont="1" applyBorder="1" applyAlignment="1">
      <alignment vertical="center"/>
    </xf>
    <xf numFmtId="0" fontId="13" fillId="0" borderId="1" xfId="0" applyFont="1" applyBorder="1" applyAlignment="1">
      <alignment vertical="center" wrapText="1"/>
    </xf>
    <xf numFmtId="165" fontId="13" fillId="4" borderId="1" xfId="0" applyNumberFormat="1" applyFont="1" applyFill="1" applyBorder="1" applyAlignment="1">
      <alignment horizontal="center" vertical="center" wrapText="1"/>
    </xf>
    <xf numFmtId="0" fontId="21" fillId="0" borderId="0" xfId="0" applyFont="1">
      <alignment vertical="center"/>
    </xf>
    <xf numFmtId="0" fontId="22" fillId="0" borderId="0" xfId="0" applyFont="1">
      <alignment vertical="center"/>
    </xf>
    <xf numFmtId="0" fontId="22" fillId="0" borderId="0" xfId="0" applyFont="1" applyAlignment="1">
      <alignment vertical="top" wrapText="1"/>
    </xf>
    <xf numFmtId="0" fontId="4" fillId="0" borderId="0" xfId="1" applyFont="1">
      <alignment vertical="center"/>
    </xf>
    <xf numFmtId="0" fontId="6" fillId="0" borderId="0" xfId="1" applyFont="1">
      <alignment vertical="center"/>
    </xf>
    <xf numFmtId="0" fontId="8" fillId="6" borderId="11" xfId="1" applyFont="1" applyFill="1" applyBorder="1" applyAlignment="1">
      <alignment horizontal="center" vertical="center" wrapText="1"/>
    </xf>
    <xf numFmtId="0" fontId="11" fillId="0" borderId="3" xfId="1" applyFont="1" applyBorder="1" applyAlignment="1">
      <alignment horizontal="center" vertical="center" wrapText="1"/>
    </xf>
    <xf numFmtId="0" fontId="11" fillId="0" borderId="11" xfId="1" applyFont="1" applyBorder="1" applyAlignment="1">
      <alignment horizontal="center" vertical="center" wrapText="1"/>
    </xf>
    <xf numFmtId="0" fontId="13" fillId="0" borderId="1" xfId="0" applyFont="1" applyFill="1" applyBorder="1" applyAlignment="1">
      <alignment horizontal="justify" vertical="center" wrapText="1"/>
    </xf>
    <xf numFmtId="165" fontId="12" fillId="2" borderId="5"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165" fontId="12" fillId="2" borderId="4"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xf>
    <xf numFmtId="165" fontId="12" fillId="2" borderId="6" xfId="0" applyNumberFormat="1" applyFont="1" applyFill="1" applyBorder="1" applyAlignment="1">
      <alignment horizontal="center" vertical="center"/>
    </xf>
    <xf numFmtId="165" fontId="12" fillId="5" borderId="4" xfId="0" applyNumberFormat="1" applyFont="1" applyFill="1" applyBorder="1" applyAlignment="1">
      <alignment horizontal="center" vertical="center" wrapText="1"/>
    </xf>
    <xf numFmtId="165" fontId="12" fillId="5" borderId="5" xfId="0" applyNumberFormat="1" applyFont="1" applyFill="1" applyBorder="1" applyAlignment="1">
      <alignment horizontal="center" vertical="center" wrapText="1"/>
    </xf>
    <xf numFmtId="165" fontId="12" fillId="5" borderId="6"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3" xfId="1" applyFont="1" applyFill="1" applyBorder="1" applyAlignment="1">
      <alignment horizontal="center" vertical="center" wrapText="1"/>
    </xf>
  </cellXfs>
  <cellStyles count="3">
    <cellStyle name="Input" xfId="2" builtinId="20"/>
    <cellStyle name="Normal"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defaultColWidth="9" defaultRowHeight="13.8"/>
  <cols>
    <col min="1" max="1" width="110.796875" style="106" customWidth="1"/>
    <col min="2" max="16384" width="9" style="106"/>
  </cols>
  <sheetData>
    <row r="1" spans="1:2" ht="384" customHeight="1">
      <c r="A1" s="108" t="s">
        <v>144</v>
      </c>
      <c r="B1" s="107"/>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zoomScale="70" zoomScaleNormal="70" workbookViewId="0">
      <selection activeCell="A7" sqref="A7"/>
    </sheetView>
  </sheetViews>
  <sheetFormatPr defaultColWidth="8.796875" defaultRowHeight="15.6"/>
  <cols>
    <col min="1" max="1" width="69" style="30" customWidth="1"/>
    <col min="2" max="2" width="22.69921875" style="39" bestFit="1" customWidth="1"/>
    <col min="3" max="3" width="18.296875" style="39" bestFit="1" customWidth="1"/>
    <col min="4" max="4" width="18.19921875" style="39" customWidth="1"/>
    <col min="5" max="5" width="18.69921875" style="39" customWidth="1"/>
    <col min="6" max="6" width="18.19921875" style="40" customWidth="1"/>
    <col min="7" max="7" width="18.5" style="40" customWidth="1"/>
    <col min="8" max="8" width="20" style="40" customWidth="1"/>
    <col min="9" max="9" width="18.296875" style="40" customWidth="1"/>
  </cols>
  <sheetData>
    <row r="1" spans="1:9">
      <c r="A1" s="46" t="s">
        <v>0</v>
      </c>
      <c r="B1" s="115" t="s">
        <v>47</v>
      </c>
      <c r="C1" s="115"/>
      <c r="D1" s="115"/>
      <c r="E1" s="116"/>
      <c r="F1" s="118" t="s">
        <v>49</v>
      </c>
      <c r="G1" s="118"/>
      <c r="H1" s="118"/>
      <c r="I1" s="118"/>
    </row>
    <row r="2" spans="1:9" ht="27.6">
      <c r="A2" s="17"/>
      <c r="B2" s="31" t="s">
        <v>48</v>
      </c>
      <c r="C2" s="31" t="s">
        <v>54</v>
      </c>
      <c r="D2" s="31" t="s">
        <v>52</v>
      </c>
      <c r="E2" s="31" t="s">
        <v>123</v>
      </c>
      <c r="F2" s="31" t="s">
        <v>50</v>
      </c>
      <c r="G2" s="31" t="s">
        <v>55</v>
      </c>
      <c r="H2" s="31" t="s">
        <v>56</v>
      </c>
      <c r="I2" s="31" t="s">
        <v>57</v>
      </c>
    </row>
    <row r="3" spans="1:9">
      <c r="A3" s="19" t="s">
        <v>1</v>
      </c>
      <c r="B3" s="49"/>
      <c r="C3" s="49"/>
      <c r="D3" s="49"/>
      <c r="E3" s="49"/>
      <c r="F3" s="49"/>
      <c r="G3" s="49"/>
      <c r="H3" s="49"/>
      <c r="I3" s="49"/>
    </row>
    <row r="4" spans="1:9">
      <c r="A4" s="20" t="s">
        <v>2</v>
      </c>
      <c r="B4" s="35">
        <v>3.5</v>
      </c>
      <c r="C4" s="35">
        <v>3.5</v>
      </c>
      <c r="D4" s="35">
        <v>3.5</v>
      </c>
      <c r="E4" s="35">
        <v>3.5</v>
      </c>
      <c r="F4" s="35">
        <v>3.5</v>
      </c>
      <c r="G4" s="35">
        <v>3.5</v>
      </c>
      <c r="H4" s="35">
        <v>3.5</v>
      </c>
      <c r="I4" s="35">
        <v>3.5</v>
      </c>
    </row>
    <row r="5" spans="1:9">
      <c r="A5" s="20" t="s">
        <v>3</v>
      </c>
      <c r="B5" s="50">
        <v>35</v>
      </c>
      <c r="C5" s="50">
        <v>35</v>
      </c>
      <c r="D5" s="50">
        <v>35</v>
      </c>
      <c r="E5" s="50">
        <v>35</v>
      </c>
      <c r="F5" s="50">
        <v>35</v>
      </c>
      <c r="G5" s="50">
        <v>35</v>
      </c>
      <c r="H5" s="50">
        <v>35</v>
      </c>
      <c r="I5" s="50">
        <v>35</v>
      </c>
    </row>
    <row r="6" spans="1:9">
      <c r="A6" s="20" t="s">
        <v>4</v>
      </c>
      <c r="B6" s="35">
        <v>1.5</v>
      </c>
      <c r="C6" s="50">
        <v>1.5</v>
      </c>
      <c r="D6" s="35">
        <v>1.5</v>
      </c>
      <c r="E6" s="50">
        <v>1.5</v>
      </c>
      <c r="F6" s="35">
        <v>1.5</v>
      </c>
      <c r="G6" s="50">
        <v>1.5</v>
      </c>
      <c r="H6" s="35">
        <v>1.5</v>
      </c>
      <c r="I6" s="50">
        <v>1.5</v>
      </c>
    </row>
    <row r="7" spans="1:9">
      <c r="A7" s="20" t="s">
        <v>145</v>
      </c>
      <c r="B7" s="21" t="s">
        <v>58</v>
      </c>
      <c r="C7" s="47">
        <v>0.95</v>
      </c>
      <c r="D7" s="21" t="s">
        <v>58</v>
      </c>
      <c r="E7" s="47">
        <v>0.95</v>
      </c>
      <c r="F7" s="47" t="s">
        <v>58</v>
      </c>
      <c r="G7" s="22">
        <v>0.95</v>
      </c>
      <c r="H7" s="47" t="s">
        <v>58</v>
      </c>
      <c r="I7" s="22">
        <v>0.95</v>
      </c>
    </row>
    <row r="8" spans="1:9">
      <c r="A8" s="20" t="s">
        <v>146</v>
      </c>
      <c r="B8" s="21">
        <v>0.9</v>
      </c>
      <c r="C8" s="47" t="s">
        <v>58</v>
      </c>
      <c r="D8" s="21">
        <v>0.9</v>
      </c>
      <c r="E8" s="47" t="s">
        <v>58</v>
      </c>
      <c r="F8" s="47">
        <v>0.9</v>
      </c>
      <c r="G8" s="22" t="s">
        <v>58</v>
      </c>
      <c r="H8" s="47">
        <v>0.9</v>
      </c>
      <c r="I8" s="22" t="s">
        <v>58</v>
      </c>
    </row>
    <row r="9" spans="1:9">
      <c r="A9" s="20" t="s">
        <v>5</v>
      </c>
      <c r="B9" s="33" t="s">
        <v>58</v>
      </c>
      <c r="C9" s="34">
        <f>64/(0.001)</f>
        <v>64000</v>
      </c>
      <c r="D9" s="33" t="s">
        <v>58</v>
      </c>
      <c r="E9" s="34">
        <f>64/(0.001)</f>
        <v>64000</v>
      </c>
      <c r="F9" s="50" t="s">
        <v>58</v>
      </c>
      <c r="G9" s="34">
        <f>2/(0.5*0.001)</f>
        <v>4000</v>
      </c>
      <c r="H9" s="50" t="s">
        <v>58</v>
      </c>
      <c r="I9" s="34">
        <f>2/(0.5*0.001)</f>
        <v>4000</v>
      </c>
    </row>
    <row r="10" spans="1:9">
      <c r="A10" s="20" t="s">
        <v>6</v>
      </c>
      <c r="B10" s="33">
        <f>2248233*3</f>
        <v>6744699</v>
      </c>
      <c r="C10" s="50" t="s">
        <v>58</v>
      </c>
      <c r="D10" s="33">
        <f>2248233*3</f>
        <v>6744699</v>
      </c>
      <c r="E10" s="50" t="s">
        <v>58</v>
      </c>
      <c r="F10" s="50">
        <f>74880*3</f>
        <v>224640</v>
      </c>
      <c r="G10" s="34" t="s">
        <v>58</v>
      </c>
      <c r="H10" s="50">
        <f>74880*3</f>
        <v>224640</v>
      </c>
      <c r="I10" s="34" t="s">
        <v>58</v>
      </c>
    </row>
    <row r="11" spans="1:9">
      <c r="A11" s="20" t="s">
        <v>7</v>
      </c>
      <c r="B11" s="21" t="s">
        <v>58</v>
      </c>
      <c r="C11" s="47">
        <v>0.01</v>
      </c>
      <c r="D11" s="21" t="s">
        <v>58</v>
      </c>
      <c r="E11" s="47">
        <v>0.01</v>
      </c>
      <c r="F11" s="47" t="s">
        <v>58</v>
      </c>
      <c r="G11" s="22">
        <v>0.01</v>
      </c>
      <c r="H11" s="47" t="s">
        <v>58</v>
      </c>
      <c r="I11" s="22">
        <v>0.01</v>
      </c>
    </row>
    <row r="12" spans="1:9">
      <c r="A12" s="20" t="s">
        <v>8</v>
      </c>
      <c r="B12" s="21">
        <v>0.1</v>
      </c>
      <c r="C12" s="47" t="s">
        <v>58</v>
      </c>
      <c r="D12" s="21">
        <v>0.1</v>
      </c>
      <c r="E12" s="47" t="s">
        <v>58</v>
      </c>
      <c r="F12" s="47">
        <v>0.1</v>
      </c>
      <c r="G12" s="22" t="s">
        <v>58</v>
      </c>
      <c r="H12" s="47">
        <v>0.1</v>
      </c>
      <c r="I12" s="22" t="s">
        <v>58</v>
      </c>
    </row>
    <row r="13" spans="1:9">
      <c r="A13" s="20" t="s">
        <v>91</v>
      </c>
      <c r="B13" s="33">
        <f>B10/(B42*(4+2*11/14+1/14)/10)</f>
        <v>0.65101476793248958</v>
      </c>
      <c r="C13" s="50" t="s">
        <v>58</v>
      </c>
      <c r="D13" s="33">
        <f>D10/(D42*(4+2*11/14+1/14)/10)</f>
        <v>0.65101476793248958</v>
      </c>
      <c r="E13" s="50" t="s">
        <v>58</v>
      </c>
      <c r="F13" s="33">
        <f>F10/(F42*(4+2*2/14+1/14)/10)</f>
        <v>0.35803278688524592</v>
      </c>
      <c r="G13" s="34" t="s">
        <v>58</v>
      </c>
      <c r="H13" s="33">
        <f>H10/(H42*(4+2*2/14+1/14)/10)</f>
        <v>0.35803278688524592</v>
      </c>
      <c r="I13" s="34" t="s">
        <v>58</v>
      </c>
    </row>
    <row r="14" spans="1:9">
      <c r="A14" s="20" t="s">
        <v>92</v>
      </c>
      <c r="B14" s="50" t="s">
        <v>106</v>
      </c>
      <c r="C14" s="50" t="s">
        <v>106</v>
      </c>
      <c r="D14" s="50" t="s">
        <v>107</v>
      </c>
      <c r="E14" s="50" t="s">
        <v>107</v>
      </c>
      <c r="F14" s="50" t="s">
        <v>106</v>
      </c>
      <c r="G14" s="50" t="s">
        <v>106</v>
      </c>
      <c r="H14" s="50" t="s">
        <v>107</v>
      </c>
      <c r="I14" s="50" t="s">
        <v>107</v>
      </c>
    </row>
    <row r="15" spans="1:9">
      <c r="A15" s="20" t="s">
        <v>87</v>
      </c>
      <c r="B15" s="33">
        <v>120</v>
      </c>
      <c r="C15" s="34">
        <v>120</v>
      </c>
      <c r="D15" s="33">
        <v>3</v>
      </c>
      <c r="E15" s="34">
        <v>3</v>
      </c>
      <c r="F15" s="33">
        <v>120</v>
      </c>
      <c r="G15" s="34">
        <v>120</v>
      </c>
      <c r="H15" s="34">
        <v>3</v>
      </c>
      <c r="I15" s="34">
        <v>3</v>
      </c>
    </row>
    <row r="16" spans="1:9">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27.6">
      <c r="A18" s="20" t="s">
        <v>85</v>
      </c>
      <c r="B18" s="33">
        <v>64</v>
      </c>
      <c r="C18" s="50">
        <v>64</v>
      </c>
      <c r="D18" s="33">
        <v>64</v>
      </c>
      <c r="E18" s="50">
        <v>64</v>
      </c>
      <c r="F18" s="34">
        <v>1</v>
      </c>
      <c r="G18" s="50">
        <v>1</v>
      </c>
      <c r="H18" s="34">
        <v>1</v>
      </c>
      <c r="I18" s="50">
        <v>1</v>
      </c>
    </row>
    <row r="19" spans="1:9">
      <c r="A19" s="20" t="s">
        <v>108</v>
      </c>
      <c r="B19" s="33">
        <v>2</v>
      </c>
      <c r="C19" s="50">
        <v>2</v>
      </c>
      <c r="D19" s="33">
        <v>2</v>
      </c>
      <c r="E19" s="50">
        <v>2</v>
      </c>
      <c r="F19" s="34">
        <v>1</v>
      </c>
      <c r="G19" s="50">
        <v>1</v>
      </c>
      <c r="H19" s="34">
        <v>1</v>
      </c>
      <c r="I19" s="50">
        <v>1</v>
      </c>
    </row>
    <row r="20" spans="1:9">
      <c r="A20" s="20" t="s">
        <v>11</v>
      </c>
      <c r="B20" s="33">
        <v>31</v>
      </c>
      <c r="C20" s="50">
        <v>31</v>
      </c>
      <c r="D20" s="33">
        <v>31</v>
      </c>
      <c r="E20" s="50">
        <v>31</v>
      </c>
      <c r="F20" s="34">
        <v>23</v>
      </c>
      <c r="G20" s="50">
        <v>23</v>
      </c>
      <c r="H20" s="34">
        <v>23</v>
      </c>
      <c r="I20" s="50">
        <v>23</v>
      </c>
    </row>
    <row r="21" spans="1:9" ht="30.6">
      <c r="A21" s="41" t="s">
        <v>142</v>
      </c>
      <c r="B21" s="38">
        <f t="shared" ref="B21:I21" si="0">B20+10*LOG10(B18)</f>
        <v>49.061799739838875</v>
      </c>
      <c r="C21" s="38">
        <f t="shared" si="0"/>
        <v>49.061799739838875</v>
      </c>
      <c r="D21" s="38">
        <f t="shared" si="0"/>
        <v>49.061799739838875</v>
      </c>
      <c r="E21" s="38">
        <f t="shared" si="0"/>
        <v>49.061799739838875</v>
      </c>
      <c r="F21" s="38">
        <v>26</v>
      </c>
      <c r="G21" s="38">
        <f t="shared" si="0"/>
        <v>23</v>
      </c>
      <c r="H21" s="38">
        <v>26</v>
      </c>
      <c r="I21" s="38">
        <f t="shared" si="0"/>
        <v>23</v>
      </c>
    </row>
    <row r="22" spans="1:9">
      <c r="A22" s="20" t="s">
        <v>12</v>
      </c>
      <c r="B22" s="33">
        <v>8</v>
      </c>
      <c r="C22" s="50">
        <v>8</v>
      </c>
      <c r="D22" s="33">
        <v>8</v>
      </c>
      <c r="E22" s="50">
        <v>8</v>
      </c>
      <c r="F22" s="34">
        <v>0</v>
      </c>
      <c r="G22" s="50">
        <v>0</v>
      </c>
      <c r="H22" s="34">
        <v>0</v>
      </c>
      <c r="I22" s="50">
        <v>0</v>
      </c>
    </row>
    <row r="23" spans="1:9" ht="27.6">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3">
        <v>3</v>
      </c>
      <c r="D26" s="33">
        <v>3</v>
      </c>
      <c r="E26" s="33">
        <v>3</v>
      </c>
      <c r="F26" s="33">
        <v>1</v>
      </c>
      <c r="G26" s="33">
        <v>1</v>
      </c>
      <c r="H26" s="33">
        <v>1</v>
      </c>
      <c r="I26" s="33">
        <v>1</v>
      </c>
    </row>
    <row r="27" spans="1:9">
      <c r="A27" s="25" t="s">
        <v>17</v>
      </c>
      <c r="B27" s="37">
        <f t="shared" ref="B27:I27" si="2">B21+B22+B23+B24-B26</f>
        <v>69.113299523037938</v>
      </c>
      <c r="C27" s="37">
        <f t="shared" si="2"/>
        <v>69.113299523037938</v>
      </c>
      <c r="D27" s="37">
        <f t="shared" si="2"/>
        <v>69.113299523037938</v>
      </c>
      <c r="E27" s="37">
        <f t="shared" si="2"/>
        <v>69.113299523037938</v>
      </c>
      <c r="F27" s="37">
        <f t="shared" si="2"/>
        <v>25</v>
      </c>
      <c r="G27" s="37">
        <f t="shared" si="2"/>
        <v>22</v>
      </c>
      <c r="H27" s="37">
        <f t="shared" si="2"/>
        <v>25</v>
      </c>
      <c r="I27" s="37">
        <f t="shared" si="2"/>
        <v>22</v>
      </c>
    </row>
    <row r="28" spans="1:9">
      <c r="A28" s="25" t="s">
        <v>18</v>
      </c>
      <c r="B28" s="37">
        <f t="shared" ref="B28:I28" si="3">B21+B22+B23-B25-B26</f>
        <v>69.113299523037938</v>
      </c>
      <c r="C28" s="37">
        <f t="shared" si="3"/>
        <v>69.113299523037938</v>
      </c>
      <c r="D28" s="37">
        <f t="shared" si="3"/>
        <v>69.113299523037938</v>
      </c>
      <c r="E28" s="37">
        <f t="shared" si="3"/>
        <v>69.113299523037938</v>
      </c>
      <c r="F28" s="37">
        <f t="shared" si="3"/>
        <v>25</v>
      </c>
      <c r="G28" s="37">
        <f t="shared" si="3"/>
        <v>22</v>
      </c>
      <c r="H28" s="37">
        <f t="shared" si="3"/>
        <v>25</v>
      </c>
      <c r="I28" s="37">
        <f t="shared" si="3"/>
        <v>22</v>
      </c>
    </row>
    <row r="29" spans="1:9">
      <c r="A29" s="19" t="s">
        <v>19</v>
      </c>
      <c r="B29" s="49"/>
      <c r="C29" s="49"/>
      <c r="D29" s="49"/>
      <c r="E29" s="49"/>
      <c r="F29" s="49"/>
      <c r="G29" s="49"/>
      <c r="H29" s="49"/>
      <c r="I29" s="49"/>
    </row>
    <row r="30" spans="1:9" ht="27.6">
      <c r="A30" s="20" t="s">
        <v>84</v>
      </c>
      <c r="B30" s="33">
        <v>2</v>
      </c>
      <c r="C30" s="50">
        <v>2</v>
      </c>
      <c r="D30" s="33">
        <v>2</v>
      </c>
      <c r="E30" s="50">
        <v>2</v>
      </c>
      <c r="F30" s="50">
        <v>64</v>
      </c>
      <c r="G30" s="50">
        <v>64</v>
      </c>
      <c r="H30" s="50">
        <v>64</v>
      </c>
      <c r="I30" s="50">
        <v>64</v>
      </c>
    </row>
    <row r="31" spans="1:9">
      <c r="A31" s="20" t="s">
        <v>127</v>
      </c>
      <c r="B31" s="33">
        <v>2</v>
      </c>
      <c r="C31" s="50">
        <v>2</v>
      </c>
      <c r="D31" s="33">
        <v>2</v>
      </c>
      <c r="E31" s="50">
        <v>2</v>
      </c>
      <c r="F31" s="50">
        <v>2</v>
      </c>
      <c r="G31" s="50">
        <v>2</v>
      </c>
      <c r="H31" s="50">
        <v>2</v>
      </c>
      <c r="I31" s="50">
        <v>2</v>
      </c>
    </row>
    <row r="32" spans="1:9">
      <c r="A32" s="20" t="s">
        <v>20</v>
      </c>
      <c r="B32" s="33">
        <v>0</v>
      </c>
      <c r="C32" s="50">
        <v>0</v>
      </c>
      <c r="D32" s="33">
        <v>0</v>
      </c>
      <c r="E32" s="50">
        <v>0</v>
      </c>
      <c r="F32" s="50">
        <v>8</v>
      </c>
      <c r="G32" s="50">
        <v>8</v>
      </c>
      <c r="H32" s="50">
        <v>8</v>
      </c>
      <c r="I32" s="50">
        <v>8</v>
      </c>
    </row>
    <row r="33" spans="1:9" ht="27.6">
      <c r="A33" s="26" t="s">
        <v>88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27.6">
      <c r="A34" s="20" t="s">
        <v>21</v>
      </c>
      <c r="B34" s="33">
        <v>1</v>
      </c>
      <c r="C34" s="35">
        <v>1</v>
      </c>
      <c r="D34" s="33">
        <v>1</v>
      </c>
      <c r="E34" s="35">
        <v>1</v>
      </c>
      <c r="F34" s="33">
        <v>3</v>
      </c>
      <c r="G34" s="33">
        <v>3</v>
      </c>
      <c r="H34" s="33">
        <v>3</v>
      </c>
      <c r="I34" s="33">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c r="A37" s="20" t="s">
        <v>147</v>
      </c>
      <c r="B37" s="33" t="s">
        <v>58</v>
      </c>
      <c r="C37" s="34">
        <v>-169.3</v>
      </c>
      <c r="D37" s="33" t="s">
        <v>58</v>
      </c>
      <c r="E37" s="34">
        <v>-169.3</v>
      </c>
      <c r="F37" s="34" t="s">
        <v>58</v>
      </c>
      <c r="G37" s="34">
        <v>-161.69999999999999</v>
      </c>
      <c r="H37" s="34" t="s">
        <v>58</v>
      </c>
      <c r="I37" s="34">
        <v>-161.69999999999999</v>
      </c>
    </row>
    <row r="38" spans="1:9">
      <c r="A38" s="20" t="s">
        <v>24</v>
      </c>
      <c r="B38" s="33">
        <v>-169.3</v>
      </c>
      <c r="C38" s="34" t="s">
        <v>58</v>
      </c>
      <c r="D38" s="33">
        <v>-169.3</v>
      </c>
      <c r="E38" s="34" t="s">
        <v>58</v>
      </c>
      <c r="F38" s="34">
        <v>-165.7</v>
      </c>
      <c r="G38" s="34" t="s">
        <v>58</v>
      </c>
      <c r="H38" s="34">
        <v>-165.7</v>
      </c>
      <c r="I38" s="34" t="s">
        <v>58</v>
      </c>
    </row>
    <row r="39" spans="1:9" ht="27.6">
      <c r="A39" s="27" t="s">
        <v>148</v>
      </c>
      <c r="B39" s="37" t="s">
        <v>58</v>
      </c>
      <c r="C39" s="37">
        <f t="shared" ref="C39:I39" si="5">10*LOG10(10^((C35+C36)/10)+10^(C37/10))</f>
        <v>-164.98918835931039</v>
      </c>
      <c r="D39" s="37" t="s">
        <v>58</v>
      </c>
      <c r="E39" s="37">
        <f t="shared" si="5"/>
        <v>-164.98918835931039</v>
      </c>
      <c r="F39" s="37" t="s">
        <v>58</v>
      </c>
      <c r="G39" s="37">
        <f t="shared" si="5"/>
        <v>-160.9583889004532</v>
      </c>
      <c r="H39" s="37" t="s">
        <v>58</v>
      </c>
      <c r="I39" s="37">
        <f t="shared" si="5"/>
        <v>-160.9583889004532</v>
      </c>
    </row>
    <row r="40" spans="1:9" ht="27.6">
      <c r="A40" s="27" t="s">
        <v>149</v>
      </c>
      <c r="B40" s="37">
        <f t="shared" ref="B40:H40" si="6">10*LOG10(10^((B35+B36)/10)+10^(B38/10))</f>
        <v>-164.98918835931039</v>
      </c>
      <c r="C40" s="37" t="s">
        <v>58</v>
      </c>
      <c r="D40" s="37">
        <f t="shared" si="6"/>
        <v>-164.98918835931039</v>
      </c>
      <c r="E40" s="37" t="s">
        <v>58</v>
      </c>
      <c r="F40" s="37">
        <f t="shared" si="6"/>
        <v>-164.03352307536667</v>
      </c>
      <c r="G40" s="37" t="s">
        <v>58</v>
      </c>
      <c r="H40" s="37">
        <f t="shared" si="6"/>
        <v>-164.03352307536667</v>
      </c>
      <c r="I40" s="37" t="s">
        <v>58</v>
      </c>
    </row>
    <row r="41" spans="1:9" ht="27.6">
      <c r="A41" s="20" t="s">
        <v>25</v>
      </c>
      <c r="B41" s="33" t="s">
        <v>58</v>
      </c>
      <c r="C41" s="33">
        <f>MaxN_RB!F6*12*15*1000</f>
        <v>19080000</v>
      </c>
      <c r="D41" s="33" t="s">
        <v>58</v>
      </c>
      <c r="E41" s="33">
        <f>MaxN_RB!F6*12*15*1000</f>
        <v>19080000</v>
      </c>
      <c r="F41" s="50" t="s">
        <v>58</v>
      </c>
      <c r="G41" s="34">
        <f>1*12*30*1000</f>
        <v>360000</v>
      </c>
      <c r="H41" s="50" t="s">
        <v>58</v>
      </c>
      <c r="I41" s="34">
        <f>1*12*30*1000</f>
        <v>360000</v>
      </c>
    </row>
    <row r="42" spans="1:9" ht="27.6">
      <c r="A42" s="20" t="s">
        <v>26</v>
      </c>
      <c r="B42" s="33">
        <f>MaxN_RB!F7*12*30*1000</f>
        <v>18360000</v>
      </c>
      <c r="C42" s="50" t="s">
        <v>58</v>
      </c>
      <c r="D42" s="33">
        <f>MaxN_RB!F7*12*30*1000</f>
        <v>18360000</v>
      </c>
      <c r="E42" s="50" t="s">
        <v>58</v>
      </c>
      <c r="F42" s="33">
        <f>4*12*30*1000</f>
        <v>1440000</v>
      </c>
      <c r="G42" s="34" t="s">
        <v>58</v>
      </c>
      <c r="H42" s="33">
        <f>4*12*30*1000</f>
        <v>1440000</v>
      </c>
      <c r="I42" s="34" t="s">
        <v>58</v>
      </c>
    </row>
    <row r="43" spans="1:9">
      <c r="A43" s="25" t="s">
        <v>27</v>
      </c>
      <c r="B43" s="37" t="s">
        <v>58</v>
      </c>
      <c r="C43" s="37">
        <f t="shared" ref="B43:I44" si="7">C39+10*LOG10(C41)</f>
        <v>-92.18340465562963</v>
      </c>
      <c r="D43" s="37" t="s">
        <v>58</v>
      </c>
      <c r="E43" s="37">
        <f t="shared" si="7"/>
        <v>-92.18340465562963</v>
      </c>
      <c r="F43" s="37" t="s">
        <v>58</v>
      </c>
      <c r="G43" s="37">
        <f t="shared" si="7"/>
        <v>-105.39536389278032</v>
      </c>
      <c r="H43" s="37" t="s">
        <v>58</v>
      </c>
      <c r="I43" s="37">
        <f t="shared" si="7"/>
        <v>-105.39536389278032</v>
      </c>
    </row>
    <row r="44" spans="1:9">
      <c r="A44" s="25" t="s">
        <v>28</v>
      </c>
      <c r="B44" s="37">
        <f t="shared" si="7"/>
        <v>-92.350461590658156</v>
      </c>
      <c r="C44" s="37" t="s">
        <v>58</v>
      </c>
      <c r="D44" s="37">
        <f t="shared" si="7"/>
        <v>-92.350461590658156</v>
      </c>
      <c r="E44" s="37" t="s">
        <v>58</v>
      </c>
      <c r="F44" s="37">
        <f t="shared" si="7"/>
        <v>-102.44989815441417</v>
      </c>
      <c r="G44" s="37" t="s">
        <v>58</v>
      </c>
      <c r="H44" s="37">
        <f t="shared" si="7"/>
        <v>-102.44989815441417</v>
      </c>
      <c r="I44" s="37" t="s">
        <v>58</v>
      </c>
    </row>
    <row r="45" spans="1:9">
      <c r="A45" s="20" t="s">
        <v>29</v>
      </c>
      <c r="B45" s="33" t="s">
        <v>58</v>
      </c>
      <c r="C45" s="75">
        <v>-4.5999999999999996</v>
      </c>
      <c r="D45" s="75" t="s">
        <v>58</v>
      </c>
      <c r="E45" s="75">
        <v>-4.5</v>
      </c>
      <c r="F45" s="33" t="s">
        <v>58</v>
      </c>
      <c r="G45" s="75">
        <v>-5</v>
      </c>
      <c r="H45" s="75" t="s">
        <v>58</v>
      </c>
      <c r="I45" s="75">
        <v>-7.5</v>
      </c>
    </row>
    <row r="46" spans="1:9">
      <c r="A46" s="20" t="s">
        <v>30</v>
      </c>
      <c r="B46" s="33">
        <v>2.8</v>
      </c>
      <c r="C46" s="33" t="s">
        <v>58</v>
      </c>
      <c r="D46" s="33">
        <v>-0.5</v>
      </c>
      <c r="E46" s="33" t="s">
        <v>58</v>
      </c>
      <c r="F46" s="75">
        <v>1.28</v>
      </c>
      <c r="G46" s="33" t="s">
        <v>58</v>
      </c>
      <c r="H46" s="75">
        <v>0.45</v>
      </c>
      <c r="I46" s="33" t="s">
        <v>58</v>
      </c>
    </row>
    <row r="47" spans="1:9">
      <c r="A47" s="20" t="s">
        <v>31</v>
      </c>
      <c r="B47" s="33">
        <v>2</v>
      </c>
      <c r="C47" s="34">
        <v>2</v>
      </c>
      <c r="D47" s="33">
        <v>2</v>
      </c>
      <c r="E47" s="34">
        <v>2</v>
      </c>
      <c r="F47" s="50">
        <v>2</v>
      </c>
      <c r="G47" s="34">
        <v>2</v>
      </c>
      <c r="H47" s="50">
        <v>2</v>
      </c>
      <c r="I47" s="34">
        <v>2</v>
      </c>
    </row>
    <row r="48" spans="1:9">
      <c r="A48" s="20" t="s">
        <v>32</v>
      </c>
      <c r="B48" s="33" t="s">
        <v>58</v>
      </c>
      <c r="C48" s="34">
        <v>0</v>
      </c>
      <c r="D48" s="33" t="s">
        <v>58</v>
      </c>
      <c r="E48" s="34">
        <v>0</v>
      </c>
      <c r="F48" s="50" t="s">
        <v>58</v>
      </c>
      <c r="G48" s="34">
        <v>0</v>
      </c>
      <c r="H48" s="50" t="s">
        <v>58</v>
      </c>
      <c r="I48" s="34">
        <v>0</v>
      </c>
    </row>
    <row r="49" spans="1:9">
      <c r="A49" s="20" t="s">
        <v>33</v>
      </c>
      <c r="B49" s="33">
        <v>0.5</v>
      </c>
      <c r="C49" s="34" t="s">
        <v>58</v>
      </c>
      <c r="D49" s="33">
        <v>0.5</v>
      </c>
      <c r="E49" s="34" t="s">
        <v>58</v>
      </c>
      <c r="F49" s="50">
        <v>0.5</v>
      </c>
      <c r="G49" s="34" t="s">
        <v>58</v>
      </c>
      <c r="H49" s="50">
        <v>0.5</v>
      </c>
      <c r="I49" s="34" t="s">
        <v>58</v>
      </c>
    </row>
    <row r="50" spans="1:9">
      <c r="A50" s="27" t="s">
        <v>44</v>
      </c>
      <c r="B50" s="37" t="s">
        <v>58</v>
      </c>
      <c r="C50" s="37">
        <f t="shared" ref="C50:I50" si="8">C43+C45+C47-C48</f>
        <v>-94.783404655629624</v>
      </c>
      <c r="D50" s="37" t="s">
        <v>58</v>
      </c>
      <c r="E50" s="37">
        <f t="shared" si="8"/>
        <v>-94.68340465562963</v>
      </c>
      <c r="F50" s="37" t="s">
        <v>58</v>
      </c>
      <c r="G50" s="37">
        <f t="shared" si="8"/>
        <v>-108.39536389278032</v>
      </c>
      <c r="H50" s="37" t="s">
        <v>58</v>
      </c>
      <c r="I50" s="37">
        <f t="shared" si="8"/>
        <v>-110.89536389278032</v>
      </c>
    </row>
    <row r="51" spans="1:9">
      <c r="A51" s="27" t="s">
        <v>45</v>
      </c>
      <c r="B51" s="37">
        <f>B44+B46+B47-B49</f>
        <v>-88.050461590658159</v>
      </c>
      <c r="C51" s="37" t="s">
        <v>58</v>
      </c>
      <c r="D51" s="37">
        <f t="shared" ref="D51:H51" si="9">D44+D46+D47-D49</f>
        <v>-91.350461590658156</v>
      </c>
      <c r="E51" s="37" t="s">
        <v>58</v>
      </c>
      <c r="F51" s="37">
        <f t="shared" si="9"/>
        <v>-99.66989815441417</v>
      </c>
      <c r="G51" s="37" t="s">
        <v>58</v>
      </c>
      <c r="H51" s="37">
        <f t="shared" si="9"/>
        <v>-100.49989815441417</v>
      </c>
      <c r="I51" s="37" t="s">
        <v>58</v>
      </c>
    </row>
    <row r="52" spans="1:9">
      <c r="A52" s="27" t="s">
        <v>101</v>
      </c>
      <c r="B52" s="37" t="s">
        <v>58</v>
      </c>
      <c r="C52" s="37">
        <f t="shared" ref="C52:I52" si="10">C27+C32+C33-C50</f>
        <v>163.89670417866756</v>
      </c>
      <c r="D52" s="37" t="s">
        <v>58</v>
      </c>
      <c r="E52" s="37">
        <f t="shared" si="10"/>
        <v>163.79670417866757</v>
      </c>
      <c r="F52" s="37" t="s">
        <v>58</v>
      </c>
      <c r="G52" s="37">
        <f t="shared" si="10"/>
        <v>153.44686367597939</v>
      </c>
      <c r="H52" s="37" t="s">
        <v>58</v>
      </c>
      <c r="I52" s="37">
        <f t="shared" si="10"/>
        <v>155.94686367597939</v>
      </c>
    </row>
    <row r="53" spans="1:9">
      <c r="A53" s="27" t="s">
        <v>94</v>
      </c>
      <c r="B53" s="37">
        <f t="shared" ref="B53:H53" si="11">B28+B32+B33-B51</f>
        <v>157.1637611136961</v>
      </c>
      <c r="C53" s="37" t="s">
        <v>58</v>
      </c>
      <c r="D53" s="37">
        <f t="shared" si="11"/>
        <v>160.46376111369608</v>
      </c>
      <c r="E53" s="37" t="s">
        <v>58</v>
      </c>
      <c r="F53" s="37">
        <f t="shared" si="11"/>
        <v>147.72139793761323</v>
      </c>
      <c r="G53" s="37" t="s">
        <v>58</v>
      </c>
      <c r="H53" s="37">
        <f t="shared" si="11"/>
        <v>148.55139793761322</v>
      </c>
      <c r="I53" s="37" t="s">
        <v>58</v>
      </c>
    </row>
    <row r="54" spans="1:9">
      <c r="A54" s="19" t="s">
        <v>34</v>
      </c>
      <c r="B54" s="49"/>
      <c r="C54" s="49"/>
      <c r="D54" s="49"/>
      <c r="E54" s="49"/>
      <c r="F54" s="49"/>
      <c r="G54" s="49"/>
      <c r="H54" s="49"/>
      <c r="I54" s="49"/>
    </row>
    <row r="55" spans="1:9">
      <c r="A55" s="20" t="s">
        <v>35</v>
      </c>
      <c r="B55" s="50">
        <v>8</v>
      </c>
      <c r="C55" s="50">
        <v>8</v>
      </c>
      <c r="D55" s="50">
        <v>8</v>
      </c>
      <c r="E55" s="50">
        <v>8</v>
      </c>
      <c r="F55" s="50">
        <v>8</v>
      </c>
      <c r="G55" s="50">
        <v>8</v>
      </c>
      <c r="H55" s="50">
        <v>8</v>
      </c>
      <c r="I55" s="50">
        <v>8</v>
      </c>
    </row>
    <row r="56" spans="1:9" ht="16.8">
      <c r="A56" s="28" t="s">
        <v>95</v>
      </c>
      <c r="B56" s="50"/>
      <c r="C56" s="50"/>
      <c r="D56" s="50"/>
      <c r="E56" s="50"/>
      <c r="F56" s="50"/>
      <c r="G56" s="50"/>
      <c r="H56" s="50"/>
      <c r="I56" s="50"/>
    </row>
    <row r="57" spans="1:9" ht="27.6">
      <c r="A57" s="20" t="s">
        <v>36</v>
      </c>
      <c r="B57" s="50" t="s">
        <v>58</v>
      </c>
      <c r="C57" s="50">
        <v>10.45</v>
      </c>
      <c r="D57" s="50" t="s">
        <v>58</v>
      </c>
      <c r="E57" s="50">
        <v>10</v>
      </c>
      <c r="F57" s="50" t="s">
        <v>58</v>
      </c>
      <c r="G57" s="50">
        <v>10.45</v>
      </c>
      <c r="H57" s="50" t="s">
        <v>58</v>
      </c>
      <c r="I57" s="50">
        <v>10</v>
      </c>
    </row>
    <row r="58" spans="1:9" ht="27.6">
      <c r="A58" s="20" t="s">
        <v>37</v>
      </c>
      <c r="B58" s="50">
        <v>6.61</v>
      </c>
      <c r="C58" s="50" t="s">
        <v>58</v>
      </c>
      <c r="D58" s="50">
        <v>6.3</v>
      </c>
      <c r="E58" s="50" t="s">
        <v>58</v>
      </c>
      <c r="F58" s="50">
        <v>6.61</v>
      </c>
      <c r="G58" s="50" t="s">
        <v>58</v>
      </c>
      <c r="H58" s="50">
        <v>6.3</v>
      </c>
      <c r="I58" s="50" t="s">
        <v>58</v>
      </c>
    </row>
    <row r="59" spans="1:9">
      <c r="A59" s="20" t="s">
        <v>38</v>
      </c>
      <c r="B59" s="50">
        <v>0</v>
      </c>
      <c r="C59" s="50">
        <v>0</v>
      </c>
      <c r="D59" s="50">
        <v>0</v>
      </c>
      <c r="E59" s="50">
        <v>0</v>
      </c>
      <c r="F59" s="50">
        <v>0</v>
      </c>
      <c r="G59" s="50">
        <v>0</v>
      </c>
      <c r="H59" s="50">
        <v>0</v>
      </c>
      <c r="I59" s="50">
        <v>0</v>
      </c>
    </row>
    <row r="60" spans="1:9">
      <c r="A60" s="20" t="s">
        <v>39</v>
      </c>
      <c r="B60" s="33">
        <v>9</v>
      </c>
      <c r="C60" s="33">
        <v>9</v>
      </c>
      <c r="D60" s="35">
        <v>11.9</v>
      </c>
      <c r="E60" s="35">
        <v>11.9</v>
      </c>
      <c r="F60" s="33">
        <v>9</v>
      </c>
      <c r="G60" s="33">
        <v>9</v>
      </c>
      <c r="H60" s="35">
        <v>11.9</v>
      </c>
      <c r="I60" s="35">
        <v>11.9</v>
      </c>
    </row>
    <row r="61" spans="1:9">
      <c r="A61" s="20" t="s">
        <v>40</v>
      </c>
      <c r="B61" s="50">
        <v>0</v>
      </c>
      <c r="C61" s="50">
        <v>0</v>
      </c>
      <c r="D61" s="50">
        <v>0</v>
      </c>
      <c r="E61" s="50">
        <v>0</v>
      </c>
      <c r="F61" s="50">
        <v>0</v>
      </c>
      <c r="G61" s="50">
        <v>0</v>
      </c>
      <c r="H61" s="50">
        <v>0</v>
      </c>
      <c r="I61" s="50">
        <v>0</v>
      </c>
    </row>
    <row r="62" spans="1:9" ht="27.6">
      <c r="A62" s="27" t="s">
        <v>51</v>
      </c>
      <c r="B62" s="37" t="s">
        <v>58</v>
      </c>
      <c r="C62" s="37">
        <f t="shared" ref="C62:I62" si="12">C52-C57+C59-C60+C61-C34</f>
        <v>143.44670417866757</v>
      </c>
      <c r="D62" s="37" t="s">
        <v>58</v>
      </c>
      <c r="E62" s="37">
        <f t="shared" si="12"/>
        <v>140.89670417866756</v>
      </c>
      <c r="F62" s="37" t="s">
        <v>58</v>
      </c>
      <c r="G62" s="37">
        <f t="shared" si="12"/>
        <v>130.9968636759794</v>
      </c>
      <c r="H62" s="37" t="s">
        <v>58</v>
      </c>
      <c r="I62" s="37">
        <f t="shared" si="12"/>
        <v>131.04686367597938</v>
      </c>
    </row>
    <row r="63" spans="1:9" ht="27.6">
      <c r="A63" s="27" t="s">
        <v>46</v>
      </c>
      <c r="B63" s="37">
        <f t="shared" ref="B63:H63" si="13">B53-B58+B59-B60+B61-B34</f>
        <v>140.55376111369608</v>
      </c>
      <c r="C63" s="37" t="s">
        <v>58</v>
      </c>
      <c r="D63" s="37">
        <f t="shared" si="13"/>
        <v>141.26376111369606</v>
      </c>
      <c r="E63" s="37" t="s">
        <v>58</v>
      </c>
      <c r="F63" s="37">
        <f t="shared" si="13"/>
        <v>129.11139793761322</v>
      </c>
      <c r="G63" s="37" t="s">
        <v>58</v>
      </c>
      <c r="H63" s="37">
        <f t="shared" si="13"/>
        <v>127.3513979376132</v>
      </c>
      <c r="I63" s="37" t="s">
        <v>58</v>
      </c>
    </row>
    <row r="64" spans="1:9">
      <c r="A64" s="19" t="s">
        <v>41</v>
      </c>
      <c r="B64" s="49"/>
      <c r="C64" s="49"/>
      <c r="D64" s="49"/>
      <c r="E64" s="49"/>
      <c r="F64" s="49"/>
      <c r="G64" s="49"/>
      <c r="H64" s="49"/>
      <c r="I64" s="49"/>
    </row>
    <row r="65" spans="1:9" ht="27.6">
      <c r="A65" s="29" t="s">
        <v>102</v>
      </c>
      <c r="B65" s="34" t="s">
        <v>90</v>
      </c>
      <c r="C65" s="50">
        <f>10^(3+(C62-161.04+7.1*LOG10(20)-7.5*LOG10(5)+(24.37-3.7*(5/C$5)^2)*LOG10(C$5)-20*LOG10(C$4)+(3.2*(LOG10(11.75*C$6))^2-4.97))/(43.42-3.1*LOG10(C$5)))</f>
        <v>2174.3017321381267</v>
      </c>
      <c r="D65" s="34" t="s">
        <v>90</v>
      </c>
      <c r="E65" s="50">
        <f>10^(3+(E62-161.04+7.1*LOG10(20)-7.5*LOG10(5)+(24.37-3.7*(5/E$5)^2)*LOG10(E$5)-20*LOG10(E$4)+(3.2*(LOG10(11.75*E$6))^2-4.97))/(43.42-3.1*LOG10(E$5)))</f>
        <v>1867.7327333414951</v>
      </c>
      <c r="F65" s="34" t="s">
        <v>90</v>
      </c>
      <c r="G65" s="50">
        <f>10^(3+(G62-161.04+7.1*LOG10(20)-7.5*LOG10(5)+(24.37-3.7*(5/G$5)^2)*LOG10(G$5)-20*LOG10(G$4)+(3.2*(LOG10(11.75*G$6))^2-4.97))/(43.42-3.1*LOG10(G$5)))</f>
        <v>1035.2943305021233</v>
      </c>
      <c r="H65" s="34" t="s">
        <v>90</v>
      </c>
      <c r="I65" s="50">
        <f>10^(3+(I62-161.04+7.1*LOG10(20)-7.5*LOG10(5)+(24.37-3.7*(5/I$5)^2)*LOG10(I$5)-20*LOG10(I$4)+(3.2*(LOG10(11.75*I$6))^2-4.97))/(43.42-3.1*LOG10(I$5)))</f>
        <v>1038.3841562678219</v>
      </c>
    </row>
    <row r="66" spans="1:9" ht="30.6">
      <c r="A66" s="29" t="s">
        <v>143</v>
      </c>
      <c r="B66" s="50">
        <f>10^(3+(B63-161.04+7.1*LOG10(20)-7.5*LOG10(5)+(24.37-3.7*(5/B$5)^2)*LOG10(B$5)-20*LOG10(B$4)+(3.2*(LOG10(11.75*B$6))^2-4.97))/(43.42-3.1*LOG10(B$5)))</f>
        <v>1829.9443103863441</v>
      </c>
      <c r="C66" s="34" t="s">
        <v>90</v>
      </c>
      <c r="D66" s="50">
        <f>10^(3+(D63-161.04+7.1*LOG10(20)-7.5*LOG10(5)+(24.37-3.7*(5/D$5)^2)*LOG10(D$5)-20*LOG10(D$4)+(3.2*(LOG10(11.75*D$6))^2-4.97))/(43.42-3.1*LOG10(D$5)))</f>
        <v>1909.0432113092913</v>
      </c>
      <c r="E66" s="34" t="s">
        <v>90</v>
      </c>
      <c r="F66" s="51">
        <f>10^(3+(F63-161.04+12+7.1*LOG10(20)-7.5*LOG10(5)+(24.37-3.7*(5/F$5)^2)*LOG10(F$5)-20*LOG10(F$4)+(3.2*(LOG10(11.75*F$6))^2-4.97))/(43.42-3.1*LOG10(F$5)))</f>
        <v>1891.7856971415338</v>
      </c>
      <c r="G66" s="34" t="s">
        <v>90</v>
      </c>
      <c r="H66" s="50">
        <f>10^(3+(H63-161.04+12+7.1*LOG10(20)-7.5*LOG10(5)+(24.37-3.7*(5/H$5)^2)*LOG10(H$5)-20*LOG10(H$4)+(3.2*(LOG10(11.75*H$6))^2-4.97))/(43.42-3.1*LOG10(H$5)))</f>
        <v>1703.3954746527866</v>
      </c>
      <c r="I66" s="34" t="s">
        <v>90</v>
      </c>
    </row>
    <row r="67" spans="1:9" ht="16.8">
      <c r="A67" s="29" t="s">
        <v>96</v>
      </c>
      <c r="B67" s="34" t="s">
        <v>58</v>
      </c>
      <c r="C67" s="34">
        <f>PI()*(C65)^2</f>
        <v>14852155.800304519</v>
      </c>
      <c r="D67" s="34" t="s">
        <v>58</v>
      </c>
      <c r="E67" s="34">
        <f>PI()*(E65)^2</f>
        <v>10959212.121929167</v>
      </c>
      <c r="F67" s="34" t="s">
        <v>58</v>
      </c>
      <c r="G67" s="34">
        <f>PI()*(G65)^2</f>
        <v>3367266.9222437139</v>
      </c>
      <c r="H67" s="34" t="s">
        <v>58</v>
      </c>
      <c r="I67" s="34">
        <f>PI()*(I65)^2</f>
        <v>3387396.065246508</v>
      </c>
    </row>
    <row r="68" spans="1:9" ht="16.8">
      <c r="A68" s="29" t="s">
        <v>97</v>
      </c>
      <c r="B68" s="34">
        <f>PI()*(B66)^2</f>
        <v>10520239.315413002</v>
      </c>
      <c r="C68" s="34" t="s">
        <v>58</v>
      </c>
      <c r="D68" s="34">
        <f>PI()*(D66)^2</f>
        <v>11449364.725485796</v>
      </c>
      <c r="E68" s="34" t="s">
        <v>58</v>
      </c>
      <c r="F68" s="34">
        <f>PI()*(F66)^2</f>
        <v>11243298.682350272</v>
      </c>
      <c r="G68" s="34" t="s">
        <v>58</v>
      </c>
      <c r="H68" s="34">
        <f>PI()*(H66)^2</f>
        <v>9115507.463039482</v>
      </c>
      <c r="I68" s="34" t="s">
        <v>58</v>
      </c>
    </row>
    <row r="70" spans="1:9">
      <c r="A70" s="48"/>
    </row>
  </sheetData>
  <mergeCells count="2">
    <mergeCell ref="B1:E1"/>
    <mergeCell ref="F1:I1"/>
  </mergeCells>
  <dataValidations disablePrompts="1" count="1">
    <dataValidation type="list" allowBlank="1" showInputMessage="1" showErrorMessage="1" sqref="F34:I34 B26:E26">
      <formula1>"0,3"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opLeftCell="B55" zoomScale="85" zoomScaleNormal="85" workbookViewId="0">
      <selection activeCell="G46" sqref="G46"/>
    </sheetView>
  </sheetViews>
  <sheetFormatPr defaultColWidth="8.796875" defaultRowHeight="15.6"/>
  <cols>
    <col min="1" max="1" width="69" style="30" customWidth="1"/>
    <col min="2" max="2" width="22.69921875" style="39" bestFit="1" customWidth="1"/>
    <col min="3" max="3" width="18.296875" style="39" bestFit="1" customWidth="1"/>
    <col min="4" max="4" width="18.19921875" style="39" customWidth="1"/>
    <col min="5" max="5" width="18.69921875" style="39" customWidth="1"/>
    <col min="6" max="6" width="18.19921875" style="40" customWidth="1"/>
    <col min="7" max="7" width="18.5" style="40" customWidth="1"/>
    <col min="8" max="8" width="20" style="40" customWidth="1"/>
    <col min="9" max="9" width="18.296875" style="40" customWidth="1"/>
  </cols>
  <sheetData>
    <row r="1" spans="1:9">
      <c r="A1" s="46" t="s">
        <v>133</v>
      </c>
      <c r="B1" s="115" t="s">
        <v>47</v>
      </c>
      <c r="C1" s="115"/>
      <c r="D1" s="115"/>
      <c r="E1" s="116"/>
      <c r="F1" s="118" t="s">
        <v>49</v>
      </c>
      <c r="G1" s="118"/>
      <c r="H1" s="118"/>
      <c r="I1" s="118"/>
    </row>
    <row r="2" spans="1:9" ht="27.6">
      <c r="A2" s="17"/>
      <c r="B2" s="31" t="s">
        <v>134</v>
      </c>
      <c r="C2" s="31" t="s">
        <v>135</v>
      </c>
      <c r="D2" s="31" t="s">
        <v>136</v>
      </c>
      <c r="E2" s="31" t="s">
        <v>137</v>
      </c>
      <c r="F2" s="31" t="s">
        <v>138</v>
      </c>
      <c r="G2" s="31" t="s">
        <v>139</v>
      </c>
      <c r="H2" s="31" t="s">
        <v>140</v>
      </c>
      <c r="I2" s="31" t="s">
        <v>141</v>
      </c>
    </row>
    <row r="3" spans="1:9">
      <c r="A3" s="19" t="s">
        <v>1</v>
      </c>
      <c r="B3" s="49"/>
      <c r="C3" s="49"/>
      <c r="D3" s="49"/>
      <c r="E3" s="49"/>
      <c r="F3" s="49"/>
      <c r="G3" s="49"/>
      <c r="H3" s="49"/>
      <c r="I3" s="49"/>
    </row>
    <row r="4" spans="1:9">
      <c r="A4" s="20" t="s">
        <v>2</v>
      </c>
      <c r="B4" s="35">
        <v>0.7</v>
      </c>
      <c r="C4" s="50">
        <v>0.7</v>
      </c>
      <c r="D4" s="35">
        <v>0.7</v>
      </c>
      <c r="E4" s="50">
        <v>0.7</v>
      </c>
      <c r="F4" s="35">
        <v>0.7</v>
      </c>
      <c r="G4" s="50">
        <v>0.7</v>
      </c>
      <c r="H4" s="35">
        <v>0.7</v>
      </c>
      <c r="I4" s="50">
        <v>0.7</v>
      </c>
    </row>
    <row r="5" spans="1:9">
      <c r="A5" s="20" t="s">
        <v>3</v>
      </c>
      <c r="B5" s="50">
        <v>35</v>
      </c>
      <c r="C5" s="50">
        <v>35</v>
      </c>
      <c r="D5" s="50">
        <v>35</v>
      </c>
      <c r="E5" s="50">
        <v>35</v>
      </c>
      <c r="F5" s="50">
        <v>35</v>
      </c>
      <c r="G5" s="50">
        <v>35</v>
      </c>
      <c r="H5" s="50">
        <v>35</v>
      </c>
      <c r="I5" s="50">
        <v>35</v>
      </c>
    </row>
    <row r="6" spans="1:9">
      <c r="A6" s="20" t="s">
        <v>4</v>
      </c>
      <c r="B6" s="35">
        <v>1.5</v>
      </c>
      <c r="C6" s="50">
        <v>1.5</v>
      </c>
      <c r="D6" s="35">
        <v>1.5</v>
      </c>
      <c r="E6" s="50">
        <v>1.5</v>
      </c>
      <c r="F6" s="35">
        <v>1.5</v>
      </c>
      <c r="G6" s="50">
        <v>1.5</v>
      </c>
      <c r="H6" s="35">
        <v>1.5</v>
      </c>
      <c r="I6" s="50">
        <v>1.5</v>
      </c>
    </row>
    <row r="7" spans="1:9">
      <c r="A7" s="20" t="s">
        <v>145</v>
      </c>
      <c r="B7" s="21" t="s">
        <v>58</v>
      </c>
      <c r="C7" s="47">
        <v>0.95</v>
      </c>
      <c r="D7" s="21" t="s">
        <v>58</v>
      </c>
      <c r="E7" s="47">
        <v>0.95</v>
      </c>
      <c r="F7" s="47" t="s">
        <v>58</v>
      </c>
      <c r="G7" s="22">
        <v>0.95</v>
      </c>
      <c r="H7" s="47" t="s">
        <v>58</v>
      </c>
      <c r="I7" s="22">
        <v>0.95</v>
      </c>
    </row>
    <row r="8" spans="1:9">
      <c r="A8" s="20" t="s">
        <v>146</v>
      </c>
      <c r="B8" s="21">
        <v>0.9</v>
      </c>
      <c r="C8" s="47" t="s">
        <v>58</v>
      </c>
      <c r="D8" s="21">
        <v>0.9</v>
      </c>
      <c r="E8" s="47" t="s">
        <v>58</v>
      </c>
      <c r="F8" s="47">
        <v>0.9</v>
      </c>
      <c r="G8" s="22" t="s">
        <v>58</v>
      </c>
      <c r="H8" s="47">
        <v>0.9</v>
      </c>
      <c r="I8" s="22" t="s">
        <v>58</v>
      </c>
    </row>
    <row r="9" spans="1:9" s="87" customFormat="1">
      <c r="A9" s="114" t="s">
        <v>5</v>
      </c>
      <c r="B9" s="33" t="s">
        <v>58</v>
      </c>
      <c r="C9" s="33">
        <f>43/(0.001)</f>
        <v>43000</v>
      </c>
      <c r="D9" s="33" t="s">
        <v>58</v>
      </c>
      <c r="E9" s="33">
        <f>43/(0.001)</f>
        <v>43000</v>
      </c>
      <c r="F9" s="35" t="s">
        <v>58</v>
      </c>
      <c r="G9" s="33">
        <f>2/(0.001)</f>
        <v>2000</v>
      </c>
      <c r="H9" s="35" t="s">
        <v>58</v>
      </c>
      <c r="I9" s="33">
        <f>2/(0.001)</f>
        <v>2000</v>
      </c>
    </row>
    <row r="10" spans="1:9">
      <c r="A10" s="20" t="s">
        <v>6</v>
      </c>
      <c r="B10" s="33">
        <f>1994400*3</f>
        <v>5983200</v>
      </c>
      <c r="C10" s="50" t="s">
        <v>58</v>
      </c>
      <c r="D10" s="33">
        <f>1994400*3</f>
        <v>5983200</v>
      </c>
      <c r="E10" s="50" t="s">
        <v>58</v>
      </c>
      <c r="F10" s="50">
        <f>187200*3</f>
        <v>561600</v>
      </c>
      <c r="G10" s="34" t="s">
        <v>58</v>
      </c>
      <c r="H10" s="50">
        <f>187200*3</f>
        <v>561600</v>
      </c>
      <c r="I10" s="34" t="s">
        <v>58</v>
      </c>
    </row>
    <row r="11" spans="1:9">
      <c r="A11" s="20" t="s">
        <v>7</v>
      </c>
      <c r="B11" s="21" t="s">
        <v>58</v>
      </c>
      <c r="C11" s="47">
        <v>0.01</v>
      </c>
      <c r="D11" s="21" t="s">
        <v>58</v>
      </c>
      <c r="E11" s="47">
        <v>0.01</v>
      </c>
      <c r="F11" s="47" t="s">
        <v>58</v>
      </c>
      <c r="G11" s="22">
        <v>0.01</v>
      </c>
      <c r="H11" s="47" t="s">
        <v>58</v>
      </c>
      <c r="I11" s="22">
        <v>0.01</v>
      </c>
    </row>
    <row r="12" spans="1:9">
      <c r="A12" s="20" t="s">
        <v>8</v>
      </c>
      <c r="B12" s="21">
        <v>0.1</v>
      </c>
      <c r="C12" s="47" t="s">
        <v>58</v>
      </c>
      <c r="D12" s="21">
        <v>0.1</v>
      </c>
      <c r="E12" s="47" t="s">
        <v>58</v>
      </c>
      <c r="F12" s="47">
        <v>0.1</v>
      </c>
      <c r="G12" s="22" t="s">
        <v>58</v>
      </c>
      <c r="H12" s="47">
        <v>0.1</v>
      </c>
      <c r="I12" s="22" t="s">
        <v>58</v>
      </c>
    </row>
    <row r="13" spans="1:9">
      <c r="A13" s="20" t="s">
        <v>91</v>
      </c>
      <c r="B13" s="33">
        <f>B10/B42</f>
        <v>0.66479999999999995</v>
      </c>
      <c r="C13" s="50" t="s">
        <v>58</v>
      </c>
      <c r="D13" s="33">
        <f>D10/D42</f>
        <v>0.66479999999999995</v>
      </c>
      <c r="E13" s="50" t="s">
        <v>58</v>
      </c>
      <c r="F13" s="33">
        <f>F10/F42</f>
        <v>0.78</v>
      </c>
      <c r="G13" s="34" t="s">
        <v>58</v>
      </c>
      <c r="H13" s="33">
        <f>H10/H42</f>
        <v>0.78</v>
      </c>
      <c r="I13" s="34" t="s">
        <v>58</v>
      </c>
    </row>
    <row r="14" spans="1:9">
      <c r="A14" s="20" t="s">
        <v>92</v>
      </c>
      <c r="B14" s="50" t="s">
        <v>106</v>
      </c>
      <c r="C14" s="50" t="s">
        <v>106</v>
      </c>
      <c r="D14" s="50" t="s">
        <v>107</v>
      </c>
      <c r="E14" s="50" t="s">
        <v>107</v>
      </c>
      <c r="F14" s="50" t="s">
        <v>106</v>
      </c>
      <c r="G14" s="50" t="s">
        <v>106</v>
      </c>
      <c r="H14" s="50" t="s">
        <v>107</v>
      </c>
      <c r="I14" s="50" t="s">
        <v>107</v>
      </c>
    </row>
    <row r="15" spans="1:9">
      <c r="A15" s="20" t="s">
        <v>87</v>
      </c>
      <c r="B15" s="33">
        <v>120</v>
      </c>
      <c r="C15" s="34">
        <v>120</v>
      </c>
      <c r="D15" s="33">
        <v>3</v>
      </c>
      <c r="E15" s="34">
        <v>3</v>
      </c>
      <c r="F15" s="33">
        <v>120</v>
      </c>
      <c r="G15" s="34">
        <v>120</v>
      </c>
      <c r="H15" s="34">
        <v>3</v>
      </c>
      <c r="I15" s="34">
        <v>3</v>
      </c>
    </row>
    <row r="16" spans="1:9">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27.6">
      <c r="A18" s="20" t="s">
        <v>85</v>
      </c>
      <c r="B18" s="33">
        <v>64</v>
      </c>
      <c r="C18" s="50">
        <v>64</v>
      </c>
      <c r="D18" s="33">
        <v>64</v>
      </c>
      <c r="E18" s="50">
        <v>64</v>
      </c>
      <c r="F18" s="34">
        <v>1</v>
      </c>
      <c r="G18" s="50">
        <v>1</v>
      </c>
      <c r="H18" s="34">
        <v>1</v>
      </c>
      <c r="I18" s="50">
        <v>1</v>
      </c>
    </row>
    <row r="19" spans="1:9">
      <c r="A19" s="20" t="s">
        <v>108</v>
      </c>
      <c r="B19" s="33">
        <v>2</v>
      </c>
      <c r="C19" s="50">
        <v>2</v>
      </c>
      <c r="D19" s="33">
        <v>2</v>
      </c>
      <c r="E19" s="50">
        <v>2</v>
      </c>
      <c r="F19" s="34">
        <v>1</v>
      </c>
      <c r="G19" s="50">
        <v>1</v>
      </c>
      <c r="H19" s="34">
        <v>1</v>
      </c>
      <c r="I19" s="50">
        <v>1</v>
      </c>
    </row>
    <row r="20" spans="1:9">
      <c r="A20" s="20" t="s">
        <v>11</v>
      </c>
      <c r="B20" s="33">
        <v>28</v>
      </c>
      <c r="C20" s="50">
        <v>28</v>
      </c>
      <c r="D20" s="33">
        <v>28</v>
      </c>
      <c r="E20" s="50">
        <v>28</v>
      </c>
      <c r="F20" s="34">
        <v>23</v>
      </c>
      <c r="G20" s="50">
        <v>23</v>
      </c>
      <c r="H20" s="34">
        <v>23</v>
      </c>
      <c r="I20" s="50">
        <v>23</v>
      </c>
    </row>
    <row r="21" spans="1:9" ht="27.6">
      <c r="A21" s="41" t="s">
        <v>86</v>
      </c>
      <c r="B21" s="38">
        <f t="shared" ref="B21:I21" si="0">B20+10*LOG10(B18)</f>
        <v>46.061799739838875</v>
      </c>
      <c r="C21" s="38">
        <f t="shared" si="0"/>
        <v>46.061799739838875</v>
      </c>
      <c r="D21" s="38">
        <f t="shared" si="0"/>
        <v>46.061799739838875</v>
      </c>
      <c r="E21" s="38">
        <f t="shared" si="0"/>
        <v>46.061799739838875</v>
      </c>
      <c r="F21" s="38">
        <f t="shared" si="0"/>
        <v>23</v>
      </c>
      <c r="G21" s="38">
        <f t="shared" si="0"/>
        <v>23</v>
      </c>
      <c r="H21" s="38">
        <f t="shared" si="0"/>
        <v>23</v>
      </c>
      <c r="I21" s="38">
        <f t="shared" si="0"/>
        <v>23</v>
      </c>
    </row>
    <row r="22" spans="1:9">
      <c r="A22" s="20" t="s">
        <v>12</v>
      </c>
      <c r="B22" s="33">
        <v>8</v>
      </c>
      <c r="C22" s="50">
        <v>8</v>
      </c>
      <c r="D22" s="33">
        <v>8</v>
      </c>
      <c r="E22" s="50">
        <v>8</v>
      </c>
      <c r="F22" s="34">
        <v>0</v>
      </c>
      <c r="G22" s="50">
        <v>0</v>
      </c>
      <c r="H22" s="34">
        <v>0</v>
      </c>
      <c r="I22" s="50">
        <v>0</v>
      </c>
    </row>
    <row r="23" spans="1:9" ht="27.6">
      <c r="A23" s="42" t="s">
        <v>13</v>
      </c>
      <c r="B23" s="38">
        <f t="shared" ref="B23:I23" si="1">IF(B18&gt;=2, 10*LOG10(B18/2), 0)</f>
        <v>15.051499783199061</v>
      </c>
      <c r="C23" s="38">
        <f>IF(C18&gt;=2, 10*LOG10(C18/2), 0)-1.25</f>
        <v>13.801499783199061</v>
      </c>
      <c r="D23" s="38">
        <f t="shared" si="1"/>
        <v>15.051499783199061</v>
      </c>
      <c r="E23" s="38">
        <f>IF(E18&gt;=2, 10*LOG10(E18/2), 0)-1.25</f>
        <v>13.801499783199061</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4">
        <v>3</v>
      </c>
      <c r="D26" s="33">
        <v>3</v>
      </c>
      <c r="E26" s="34">
        <v>3</v>
      </c>
      <c r="F26" s="34">
        <v>1</v>
      </c>
      <c r="G26" s="34">
        <v>1</v>
      </c>
      <c r="H26" s="34">
        <v>1</v>
      </c>
      <c r="I26" s="34">
        <v>1</v>
      </c>
    </row>
    <row r="27" spans="1:9">
      <c r="A27" s="25" t="s">
        <v>17</v>
      </c>
      <c r="B27" s="37">
        <f t="shared" ref="B27:I27" si="2">B21+B22+B23+B24-B26</f>
        <v>66.113299523037938</v>
      </c>
      <c r="C27" s="37">
        <f t="shared" si="2"/>
        <v>64.863299523037938</v>
      </c>
      <c r="D27" s="37">
        <f t="shared" si="2"/>
        <v>66.113299523037938</v>
      </c>
      <c r="E27" s="37">
        <f t="shared" si="2"/>
        <v>64.863299523037938</v>
      </c>
      <c r="F27" s="37">
        <f t="shared" si="2"/>
        <v>22</v>
      </c>
      <c r="G27" s="37">
        <f t="shared" si="2"/>
        <v>22</v>
      </c>
      <c r="H27" s="37">
        <f t="shared" si="2"/>
        <v>22</v>
      </c>
      <c r="I27" s="37">
        <f t="shared" si="2"/>
        <v>22</v>
      </c>
    </row>
    <row r="28" spans="1:9">
      <c r="A28" s="25" t="s">
        <v>18</v>
      </c>
      <c r="B28" s="37">
        <f t="shared" ref="B28:I28" si="3">B21+B22+B23-B25-B26</f>
        <v>66.113299523037938</v>
      </c>
      <c r="C28" s="37">
        <f t="shared" si="3"/>
        <v>64.863299523037938</v>
      </c>
      <c r="D28" s="37">
        <f t="shared" si="3"/>
        <v>66.113299523037938</v>
      </c>
      <c r="E28" s="37">
        <f t="shared" si="3"/>
        <v>64.863299523037938</v>
      </c>
      <c r="F28" s="37">
        <f t="shared" si="3"/>
        <v>22</v>
      </c>
      <c r="G28" s="37">
        <f t="shared" si="3"/>
        <v>22</v>
      </c>
      <c r="H28" s="37">
        <f t="shared" si="3"/>
        <v>22</v>
      </c>
      <c r="I28" s="37">
        <f t="shared" si="3"/>
        <v>22</v>
      </c>
    </row>
    <row r="29" spans="1:9">
      <c r="A29" s="19" t="s">
        <v>19</v>
      </c>
      <c r="B29" s="49"/>
      <c r="C29" s="49"/>
      <c r="D29" s="49"/>
      <c r="E29" s="49"/>
      <c r="F29" s="49"/>
      <c r="G29" s="49"/>
      <c r="H29" s="49"/>
      <c r="I29" s="49"/>
    </row>
    <row r="30" spans="1:9" ht="27.6">
      <c r="A30" s="20" t="s">
        <v>84</v>
      </c>
      <c r="B30" s="33">
        <v>2</v>
      </c>
      <c r="C30" s="50">
        <v>2</v>
      </c>
      <c r="D30" s="33">
        <v>2</v>
      </c>
      <c r="E30" s="50">
        <v>2</v>
      </c>
      <c r="F30" s="50">
        <v>64</v>
      </c>
      <c r="G30" s="50">
        <v>64</v>
      </c>
      <c r="H30" s="50">
        <v>64</v>
      </c>
      <c r="I30" s="50">
        <v>64</v>
      </c>
    </row>
    <row r="31" spans="1:9">
      <c r="A31" s="20" t="s">
        <v>122</v>
      </c>
      <c r="B31" s="33">
        <v>2</v>
      </c>
      <c r="C31" s="50">
        <v>2</v>
      </c>
      <c r="D31" s="33">
        <v>2</v>
      </c>
      <c r="E31" s="50">
        <v>2</v>
      </c>
      <c r="F31" s="50">
        <v>2</v>
      </c>
      <c r="G31" s="50">
        <v>2</v>
      </c>
      <c r="H31" s="50">
        <v>2</v>
      </c>
      <c r="I31" s="50">
        <v>2</v>
      </c>
    </row>
    <row r="32" spans="1:9">
      <c r="A32" s="20" t="s">
        <v>20</v>
      </c>
      <c r="B32" s="33">
        <v>0</v>
      </c>
      <c r="C32" s="50">
        <v>0</v>
      </c>
      <c r="D32" s="33">
        <v>0</v>
      </c>
      <c r="E32" s="50">
        <v>0</v>
      </c>
      <c r="F32" s="50">
        <v>8</v>
      </c>
      <c r="G32" s="50">
        <v>8</v>
      </c>
      <c r="H32" s="50">
        <v>8</v>
      </c>
      <c r="I32" s="50">
        <v>8</v>
      </c>
    </row>
    <row r="33" spans="1:9" ht="27.6">
      <c r="A33" s="26" t="s">
        <v>88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27.6">
      <c r="A34" s="20" t="s">
        <v>21</v>
      </c>
      <c r="B34" s="33">
        <v>1</v>
      </c>
      <c r="C34" s="50">
        <v>1</v>
      </c>
      <c r="D34" s="33">
        <v>1</v>
      </c>
      <c r="E34" s="50">
        <v>1</v>
      </c>
      <c r="F34" s="34">
        <v>3</v>
      </c>
      <c r="G34" s="50">
        <v>3</v>
      </c>
      <c r="H34" s="34">
        <v>3</v>
      </c>
      <c r="I34" s="50">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c r="A37" s="20" t="s">
        <v>147</v>
      </c>
      <c r="B37" s="33" t="s">
        <v>58</v>
      </c>
      <c r="C37" s="34">
        <v>-169.3</v>
      </c>
      <c r="D37" s="33" t="s">
        <v>58</v>
      </c>
      <c r="E37" s="34">
        <v>-169.3</v>
      </c>
      <c r="F37" s="34" t="s">
        <v>58</v>
      </c>
      <c r="G37" s="34">
        <v>-161.69999999999999</v>
      </c>
      <c r="H37" s="34" t="s">
        <v>58</v>
      </c>
      <c r="I37" s="34">
        <v>-161.69999999999999</v>
      </c>
    </row>
    <row r="38" spans="1:9">
      <c r="A38" s="20" t="s">
        <v>24</v>
      </c>
      <c r="B38" s="33">
        <v>-169.3</v>
      </c>
      <c r="C38" s="34" t="s">
        <v>58</v>
      </c>
      <c r="D38" s="33">
        <v>-169.3</v>
      </c>
      <c r="E38" s="34" t="s">
        <v>58</v>
      </c>
      <c r="F38" s="34">
        <v>-165.7</v>
      </c>
      <c r="G38" s="34" t="s">
        <v>58</v>
      </c>
      <c r="H38" s="34">
        <v>-165.7</v>
      </c>
      <c r="I38" s="34" t="s">
        <v>58</v>
      </c>
    </row>
    <row r="39" spans="1:9" ht="27.6">
      <c r="A39" s="27" t="s">
        <v>148</v>
      </c>
      <c r="B39" s="37" t="s">
        <v>58</v>
      </c>
      <c r="C39" s="37">
        <f t="shared" ref="C39:I39" si="5">10*LOG10(10^((C35+C36)/10)+10^(C37/10))</f>
        <v>-164.98918835931039</v>
      </c>
      <c r="D39" s="37" t="s">
        <v>58</v>
      </c>
      <c r="E39" s="37">
        <f t="shared" si="5"/>
        <v>-164.98918835931039</v>
      </c>
      <c r="F39" s="37" t="s">
        <v>58</v>
      </c>
      <c r="G39" s="37">
        <f t="shared" si="5"/>
        <v>-160.9583889004532</v>
      </c>
      <c r="H39" s="37" t="s">
        <v>58</v>
      </c>
      <c r="I39" s="37">
        <f t="shared" si="5"/>
        <v>-160.9583889004532</v>
      </c>
    </row>
    <row r="40" spans="1:9" ht="27.6">
      <c r="A40" s="27" t="s">
        <v>149</v>
      </c>
      <c r="B40" s="37">
        <f t="shared" ref="B40:H40" si="6">10*LOG10(10^((B35+B36)/10)+10^(B38/10))</f>
        <v>-164.98918835931039</v>
      </c>
      <c r="C40" s="37" t="s">
        <v>58</v>
      </c>
      <c r="D40" s="37">
        <f t="shared" si="6"/>
        <v>-164.98918835931039</v>
      </c>
      <c r="E40" s="37" t="s">
        <v>58</v>
      </c>
      <c r="F40" s="37">
        <f t="shared" si="6"/>
        <v>-164.03352307536667</v>
      </c>
      <c r="G40" s="37" t="s">
        <v>58</v>
      </c>
      <c r="H40" s="37">
        <f t="shared" si="6"/>
        <v>-164.03352307536667</v>
      </c>
      <c r="I40" s="37" t="s">
        <v>58</v>
      </c>
    </row>
    <row r="41" spans="1:9" ht="27.6">
      <c r="A41" s="20" t="s">
        <v>25</v>
      </c>
      <c r="B41" s="33" t="s">
        <v>58</v>
      </c>
      <c r="C41" s="33">
        <f>MaxN_RB!$D$22*12*15*1000</f>
        <v>9000000</v>
      </c>
      <c r="D41" s="33" t="s">
        <v>58</v>
      </c>
      <c r="E41" s="33">
        <f>MaxN_RB!$D$22*12*15*1000</f>
        <v>9000000</v>
      </c>
      <c r="F41" s="50" t="s">
        <v>58</v>
      </c>
      <c r="G41" s="34">
        <f>1*12*15*1000</f>
        <v>180000</v>
      </c>
      <c r="H41" s="50" t="s">
        <v>58</v>
      </c>
      <c r="I41" s="34">
        <f>1*12*15*1000</f>
        <v>180000</v>
      </c>
    </row>
    <row r="42" spans="1:9" ht="27.6">
      <c r="A42" s="20" t="s">
        <v>26</v>
      </c>
      <c r="B42" s="33">
        <f>MaxN_RB!$D$22*12*15*1000</f>
        <v>9000000</v>
      </c>
      <c r="C42" s="50" t="s">
        <v>58</v>
      </c>
      <c r="D42" s="33">
        <f>MaxN_RB!$D$22*12*15*1000</f>
        <v>9000000</v>
      </c>
      <c r="E42" s="50" t="s">
        <v>58</v>
      </c>
      <c r="F42" s="33">
        <f>4*12*15*1000</f>
        <v>720000</v>
      </c>
      <c r="G42" s="34" t="s">
        <v>58</v>
      </c>
      <c r="H42" s="33">
        <f>4*12*15*1000</f>
        <v>720000</v>
      </c>
      <c r="I42" s="34" t="s">
        <v>58</v>
      </c>
    </row>
    <row r="43" spans="1:9">
      <c r="A43" s="25" t="s">
        <v>27</v>
      </c>
      <c r="B43" s="37" t="s">
        <v>58</v>
      </c>
      <c r="C43" s="37">
        <f t="shared" ref="B43:I44" si="7">C39+10*LOG10(C41)</f>
        <v>-95.446763264917138</v>
      </c>
      <c r="D43" s="37" t="s">
        <v>58</v>
      </c>
      <c r="E43" s="37">
        <f t="shared" si="7"/>
        <v>-95.446763264917138</v>
      </c>
      <c r="F43" s="37" t="s">
        <v>58</v>
      </c>
      <c r="G43" s="37">
        <f t="shared" si="7"/>
        <v>-108.40566384942014</v>
      </c>
      <c r="H43" s="37" t="s">
        <v>58</v>
      </c>
      <c r="I43" s="37">
        <f t="shared" si="7"/>
        <v>-108.40566384942014</v>
      </c>
    </row>
    <row r="44" spans="1:9">
      <c r="A44" s="25" t="s">
        <v>28</v>
      </c>
      <c r="B44" s="37">
        <f t="shared" si="7"/>
        <v>-95.446763264917138</v>
      </c>
      <c r="C44" s="37" t="s">
        <v>58</v>
      </c>
      <c r="D44" s="37">
        <f t="shared" si="7"/>
        <v>-95.446763264917138</v>
      </c>
      <c r="E44" s="37" t="s">
        <v>58</v>
      </c>
      <c r="F44" s="37">
        <f t="shared" si="7"/>
        <v>-105.46019811105398</v>
      </c>
      <c r="G44" s="37" t="s">
        <v>58</v>
      </c>
      <c r="H44" s="37">
        <f t="shared" si="7"/>
        <v>-105.46019811105398</v>
      </c>
      <c r="I44" s="37" t="s">
        <v>58</v>
      </c>
    </row>
    <row r="45" spans="1:9">
      <c r="A45" s="20" t="s">
        <v>29</v>
      </c>
      <c r="B45" s="75" t="s">
        <v>58</v>
      </c>
      <c r="C45" s="76">
        <v>-4</v>
      </c>
      <c r="D45" s="75" t="s">
        <v>58</v>
      </c>
      <c r="E45" s="76">
        <v>-5.5</v>
      </c>
      <c r="F45" s="75" t="s">
        <v>58</v>
      </c>
      <c r="G45" s="76">
        <v>-6.2</v>
      </c>
      <c r="H45" s="75" t="s">
        <v>58</v>
      </c>
      <c r="I45" s="76">
        <v>-6.3</v>
      </c>
    </row>
    <row r="46" spans="1:9">
      <c r="A46" s="20" t="s">
        <v>30</v>
      </c>
      <c r="B46" s="76">
        <v>6.4</v>
      </c>
      <c r="C46" s="76" t="s">
        <v>58</v>
      </c>
      <c r="D46" s="76">
        <v>4.9000000000000004</v>
      </c>
      <c r="E46" s="76" t="s">
        <v>58</v>
      </c>
      <c r="F46" s="76">
        <v>8.1</v>
      </c>
      <c r="G46" s="76" t="s">
        <v>58</v>
      </c>
      <c r="H46" s="76">
        <v>6.6</v>
      </c>
      <c r="I46" s="76" t="s">
        <v>58</v>
      </c>
    </row>
    <row r="47" spans="1:9">
      <c r="A47" s="20" t="s">
        <v>31</v>
      </c>
      <c r="B47" s="33">
        <v>2</v>
      </c>
      <c r="C47" s="34">
        <v>2</v>
      </c>
      <c r="D47" s="33">
        <v>2</v>
      </c>
      <c r="E47" s="34">
        <v>2</v>
      </c>
      <c r="F47" s="50">
        <v>2</v>
      </c>
      <c r="G47" s="34">
        <v>2</v>
      </c>
      <c r="H47" s="50">
        <v>2</v>
      </c>
      <c r="I47" s="34">
        <v>2</v>
      </c>
    </row>
    <row r="48" spans="1:9">
      <c r="A48" s="20" t="s">
        <v>32</v>
      </c>
      <c r="B48" s="33" t="s">
        <v>58</v>
      </c>
      <c r="C48" s="34">
        <v>0</v>
      </c>
      <c r="D48" s="33" t="s">
        <v>58</v>
      </c>
      <c r="E48" s="34">
        <v>0</v>
      </c>
      <c r="F48" s="50" t="s">
        <v>58</v>
      </c>
      <c r="G48" s="34">
        <v>0</v>
      </c>
      <c r="H48" s="50" t="s">
        <v>58</v>
      </c>
      <c r="I48" s="34">
        <v>0</v>
      </c>
    </row>
    <row r="49" spans="1:9">
      <c r="A49" s="20" t="s">
        <v>33</v>
      </c>
      <c r="B49" s="33">
        <v>0.5</v>
      </c>
      <c r="C49" s="34" t="s">
        <v>58</v>
      </c>
      <c r="D49" s="33">
        <v>0.5</v>
      </c>
      <c r="E49" s="34" t="s">
        <v>58</v>
      </c>
      <c r="F49" s="50">
        <v>0.5</v>
      </c>
      <c r="G49" s="34" t="s">
        <v>58</v>
      </c>
      <c r="H49" s="50">
        <v>0.5</v>
      </c>
      <c r="I49" s="34" t="s">
        <v>58</v>
      </c>
    </row>
    <row r="50" spans="1:9">
      <c r="A50" s="27" t="s">
        <v>44</v>
      </c>
      <c r="B50" s="37" t="s">
        <v>58</v>
      </c>
      <c r="C50" s="37">
        <f t="shared" ref="C50:I50" si="8">C43+C45+C47-C48</f>
        <v>-97.446763264917138</v>
      </c>
      <c r="D50" s="37" t="s">
        <v>58</v>
      </c>
      <c r="E50" s="37">
        <f t="shared" si="8"/>
        <v>-98.946763264917138</v>
      </c>
      <c r="F50" s="37" t="s">
        <v>58</v>
      </c>
      <c r="G50" s="37">
        <f t="shared" si="8"/>
        <v>-112.60566384942014</v>
      </c>
      <c r="H50" s="37" t="s">
        <v>58</v>
      </c>
      <c r="I50" s="37">
        <f t="shared" si="8"/>
        <v>-112.70566384942013</v>
      </c>
    </row>
    <row r="51" spans="1:9">
      <c r="A51" s="27" t="s">
        <v>45</v>
      </c>
      <c r="B51" s="37">
        <f>B44+B46+B47-B49</f>
        <v>-87.546763264917132</v>
      </c>
      <c r="C51" s="37" t="s">
        <v>58</v>
      </c>
      <c r="D51" s="37">
        <f t="shared" ref="D51:H51" si="9">D44+D46+D47-D49</f>
        <v>-89.046763264917132</v>
      </c>
      <c r="E51" s="37" t="s">
        <v>58</v>
      </c>
      <c r="F51" s="37">
        <f t="shared" si="9"/>
        <v>-95.86019811105399</v>
      </c>
      <c r="G51" s="37" t="s">
        <v>58</v>
      </c>
      <c r="H51" s="37">
        <f t="shared" si="9"/>
        <v>-97.36019811105399</v>
      </c>
      <c r="I51" s="37" t="s">
        <v>58</v>
      </c>
    </row>
    <row r="52" spans="1:9">
      <c r="A52" s="27" t="s">
        <v>101</v>
      </c>
      <c r="B52" s="37" t="s">
        <v>58</v>
      </c>
      <c r="C52" s="37">
        <f t="shared" ref="C52:I52" si="10">C27+C32+C33-C50</f>
        <v>162.31006278795508</v>
      </c>
      <c r="D52" s="37" t="s">
        <v>58</v>
      </c>
      <c r="E52" s="37">
        <f t="shared" si="10"/>
        <v>163.81006278795508</v>
      </c>
      <c r="F52" s="37" t="s">
        <v>58</v>
      </c>
      <c r="G52" s="37">
        <f t="shared" si="10"/>
        <v>157.65716363261919</v>
      </c>
      <c r="H52" s="37" t="s">
        <v>58</v>
      </c>
      <c r="I52" s="37">
        <f t="shared" si="10"/>
        <v>157.75716363261921</v>
      </c>
    </row>
    <row r="53" spans="1:9">
      <c r="A53" s="27" t="s">
        <v>94</v>
      </c>
      <c r="B53" s="37">
        <f t="shared" ref="B53:H53" si="11">B28+B32+B33-B51</f>
        <v>153.66006278795507</v>
      </c>
      <c r="C53" s="37" t="s">
        <v>58</v>
      </c>
      <c r="D53" s="37">
        <f t="shared" si="11"/>
        <v>155.16006278795507</v>
      </c>
      <c r="E53" s="37" t="s">
        <v>58</v>
      </c>
      <c r="F53" s="37">
        <f t="shared" si="11"/>
        <v>140.91169789425305</v>
      </c>
      <c r="G53" s="37" t="s">
        <v>58</v>
      </c>
      <c r="H53" s="37">
        <f t="shared" si="11"/>
        <v>142.41169789425305</v>
      </c>
      <c r="I53" s="37" t="s">
        <v>58</v>
      </c>
    </row>
    <row r="54" spans="1:9">
      <c r="A54" s="19" t="s">
        <v>34</v>
      </c>
      <c r="B54" s="49"/>
      <c r="C54" s="49"/>
      <c r="D54" s="49"/>
      <c r="E54" s="49"/>
      <c r="F54" s="49"/>
      <c r="G54" s="49"/>
      <c r="H54" s="49"/>
      <c r="I54" s="49"/>
    </row>
    <row r="55" spans="1:9">
      <c r="A55" s="20" t="s">
        <v>35</v>
      </c>
      <c r="B55" s="50">
        <v>8</v>
      </c>
      <c r="C55" s="50">
        <v>8</v>
      </c>
      <c r="D55" s="50">
        <v>8</v>
      </c>
      <c r="E55" s="50">
        <v>8</v>
      </c>
      <c r="F55" s="50">
        <v>8</v>
      </c>
      <c r="G55" s="50">
        <v>8</v>
      </c>
      <c r="H55" s="50">
        <v>8</v>
      </c>
      <c r="I55" s="50">
        <v>8</v>
      </c>
    </row>
    <row r="56" spans="1:9" ht="27.6">
      <c r="A56" s="20" t="s">
        <v>36</v>
      </c>
      <c r="B56" s="50" t="s">
        <v>58</v>
      </c>
      <c r="C56" s="50">
        <v>10.45</v>
      </c>
      <c r="D56" s="50" t="s">
        <v>58</v>
      </c>
      <c r="E56" s="50">
        <v>10</v>
      </c>
      <c r="F56" s="50" t="s">
        <v>58</v>
      </c>
      <c r="G56" s="50">
        <v>10.45</v>
      </c>
      <c r="H56" s="50" t="s">
        <v>58</v>
      </c>
      <c r="I56" s="50">
        <v>10</v>
      </c>
    </row>
    <row r="57" spans="1:9" ht="27.6">
      <c r="A57" s="20" t="s">
        <v>37</v>
      </c>
      <c r="B57" s="50">
        <v>6.61</v>
      </c>
      <c r="C57" s="50" t="s">
        <v>58</v>
      </c>
      <c r="D57" s="50">
        <v>6.3</v>
      </c>
      <c r="E57" s="50" t="s">
        <v>58</v>
      </c>
      <c r="F57" s="50">
        <v>6.61</v>
      </c>
      <c r="G57" s="50" t="s">
        <v>58</v>
      </c>
      <c r="H57" s="50">
        <v>6.3</v>
      </c>
      <c r="I57" s="50" t="s">
        <v>58</v>
      </c>
    </row>
    <row r="58" spans="1:9">
      <c r="A58" s="20" t="s">
        <v>38</v>
      </c>
      <c r="B58" s="50">
        <v>0</v>
      </c>
      <c r="C58" s="50">
        <v>0</v>
      </c>
      <c r="D58" s="50">
        <v>0</v>
      </c>
      <c r="E58" s="50">
        <v>0</v>
      </c>
      <c r="F58" s="50">
        <v>0</v>
      </c>
      <c r="G58" s="50">
        <v>0</v>
      </c>
      <c r="H58" s="50">
        <v>0</v>
      </c>
      <c r="I58" s="50">
        <v>0</v>
      </c>
    </row>
    <row r="59" spans="1:9">
      <c r="A59" s="20" t="s">
        <v>39</v>
      </c>
      <c r="B59" s="33">
        <f>9</f>
        <v>9</v>
      </c>
      <c r="C59" s="33">
        <f>9</f>
        <v>9</v>
      </c>
      <c r="D59" s="35">
        <f>10.2367+0.5*10/3</f>
        <v>11.903366666666667</v>
      </c>
      <c r="E59" s="35">
        <f>10.2367+0.5*10/3</f>
        <v>11.903366666666667</v>
      </c>
      <c r="F59" s="33">
        <f>9</f>
        <v>9</v>
      </c>
      <c r="G59" s="33">
        <f>9</f>
        <v>9</v>
      </c>
      <c r="H59" s="35">
        <f>10.2367+0.5*10/3</f>
        <v>11.903366666666667</v>
      </c>
      <c r="I59" s="35">
        <f>10.2367+0.5*10/3</f>
        <v>11.903366666666667</v>
      </c>
    </row>
    <row r="60" spans="1:9">
      <c r="A60" s="20" t="s">
        <v>40</v>
      </c>
      <c r="B60" s="50">
        <v>0</v>
      </c>
      <c r="C60" s="50">
        <v>0</v>
      </c>
      <c r="D60" s="50">
        <v>0</v>
      </c>
      <c r="E60" s="50">
        <v>0</v>
      </c>
      <c r="F60" s="50">
        <v>0</v>
      </c>
      <c r="G60" s="50">
        <v>0</v>
      </c>
      <c r="H60" s="50">
        <v>0</v>
      </c>
      <c r="I60" s="50">
        <v>0</v>
      </c>
    </row>
    <row r="61" spans="1:9" ht="27.6">
      <c r="A61" s="27" t="s">
        <v>51</v>
      </c>
      <c r="B61" s="37" t="s">
        <v>58</v>
      </c>
      <c r="C61" s="37">
        <f t="shared" ref="C61:I61" si="12">C52-C56+C58-C59+C60-C34</f>
        <v>141.86006278795509</v>
      </c>
      <c r="D61" s="37" t="s">
        <v>58</v>
      </c>
      <c r="E61" s="37">
        <f t="shared" si="12"/>
        <v>140.90669612128841</v>
      </c>
      <c r="F61" s="37" t="s">
        <v>58</v>
      </c>
      <c r="G61" s="37">
        <f t="shared" si="12"/>
        <v>135.2071636326192</v>
      </c>
      <c r="H61" s="37" t="s">
        <v>58</v>
      </c>
      <c r="I61" s="37">
        <f t="shared" si="12"/>
        <v>132.85379696595254</v>
      </c>
    </row>
    <row r="62" spans="1:9" ht="27.6">
      <c r="A62" s="27" t="s">
        <v>46</v>
      </c>
      <c r="B62" s="37">
        <f t="shared" ref="B62:H62" si="13">B53-B57+B58-B59+B60-B34</f>
        <v>137.05006278795506</v>
      </c>
      <c r="C62" s="37" t="s">
        <v>58</v>
      </c>
      <c r="D62" s="37">
        <f t="shared" si="13"/>
        <v>135.95669612128839</v>
      </c>
      <c r="E62" s="37" t="s">
        <v>58</v>
      </c>
      <c r="F62" s="37">
        <f t="shared" si="13"/>
        <v>122.30169789425304</v>
      </c>
      <c r="G62" s="37" t="s">
        <v>58</v>
      </c>
      <c r="H62" s="37">
        <f t="shared" si="13"/>
        <v>121.20833122758637</v>
      </c>
      <c r="I62" s="37" t="s">
        <v>58</v>
      </c>
    </row>
    <row r="63" spans="1:9">
      <c r="A63" s="19" t="s">
        <v>41</v>
      </c>
      <c r="B63" s="49"/>
      <c r="C63" s="49"/>
      <c r="D63" s="49"/>
      <c r="E63" s="49"/>
      <c r="F63" s="49"/>
      <c r="G63" s="49"/>
      <c r="H63" s="49"/>
      <c r="I63" s="49"/>
    </row>
    <row r="64" spans="1:9" ht="27.6">
      <c r="A64" s="29" t="s">
        <v>102</v>
      </c>
      <c r="B64" s="34" t="s">
        <v>90</v>
      </c>
      <c r="C64" s="50">
        <f>10^(3+(C61-161.04+7.1*LOG10(20)-7.5*LOG10(5)+(24.37-3.7*(5/C$5)^2)*LOG10(C$5)-20*LOG10(C$4)+(3.2*(LOG10(11.75*C$6))^2-4.97))/(43.42-3.1*LOG10(C$5)))</f>
        <v>4550.910166117681</v>
      </c>
      <c r="D64" s="34" t="s">
        <v>90</v>
      </c>
      <c r="E64" s="50">
        <f>10^(3+(E61-161.04+7.1*LOG10(20)-7.5*LOG10(5)+(24.37-3.7*(5/E$5)^2)*LOG10(E$5)-20*LOG10(E$4)+(3.2*(LOG10(11.75*E$6))^2-4.97))/(43.42-3.1*LOG10(E$5)))</f>
        <v>4299.5300663928065</v>
      </c>
      <c r="F64" s="34" t="s">
        <v>90</v>
      </c>
      <c r="G64" s="50">
        <f>10^(3+(G61-161.04+7.1*LOG10(20)-7.5*LOG10(5)+(24.37-3.7*(5/G$5)^2)*LOG10(G$5)-20*LOG10(G$4)+(3.2*(LOG10(11.75*G$6))^2-4.97))/(43.42-3.1*LOG10(G$5)))</f>
        <v>3061.2043425879115</v>
      </c>
      <c r="H64" s="34" t="s">
        <v>90</v>
      </c>
      <c r="I64" s="50">
        <f>10^(3+(I61-161.04+7.1*LOG10(20)-7.5*LOG10(5)+(24.37-3.7*(5/I$5)^2)*LOG10(I$5)-20*LOG10(I$4)+(3.2*(LOG10(11.75*I$6))^2-4.97))/(43.42-3.1*LOG10(I$5)))</f>
        <v>2660.583934058317</v>
      </c>
    </row>
    <row r="65" spans="1:9" ht="27.6">
      <c r="A65" s="29" t="s">
        <v>103</v>
      </c>
      <c r="B65" s="50">
        <f>10^(3+(B62-161.04+7.1*LOG10(20)-7.5*LOG10(5)+(24.37-3.7*(5/B$5)^2)*LOG10(B$5)-20*LOG10(B$4)+(3.2*(LOG10(11.75*B$6))^2-4.97))/(43.42-3.1*LOG10(B$5)))</f>
        <v>3416.6033286265551</v>
      </c>
      <c r="C65" s="34" t="s">
        <v>90</v>
      </c>
      <c r="D65" s="50">
        <f>10^(3+(D62-161.04+7.1*LOG10(20)-7.5*LOG10(5)+(24.37-3.7*(5/D$5)^2)*LOG10(D$5)-20*LOG10(D$4)+(3.2*(LOG10(11.75*D$6))^2-4.97))/(43.42-3.1*LOG10(D$5)))</f>
        <v>3201.0575255430322</v>
      </c>
      <c r="E65" s="34" t="s">
        <v>90</v>
      </c>
      <c r="F65" s="51">
        <f>10^(3+(F62-161.04+7.1*LOG10(20)-7.5*LOG10(5)+(24.37-3.7*(5/F$5)^2)*LOG10(F$5)-20*LOG10(F$4)+(3.2*(LOG10(11.75*F$6))^2-4.97))/(43.42-3.1*LOG10(F$5)))</f>
        <v>1418.5439096439745</v>
      </c>
      <c r="G65" s="34" t="s">
        <v>90</v>
      </c>
      <c r="H65" s="50">
        <f>10^(3+(H62-161.04+7.1*LOG10(20)-7.5*LOG10(5)+(24.37-3.7*(5/H$5)^2)*LOG10(H$5)-20*LOG10(H$4)+(3.2*(LOG10(11.75*H$6))^2-4.97))/(43.42-3.1*LOG10(H$5)))</f>
        <v>1329.0511717391723</v>
      </c>
      <c r="I65" s="34" t="s">
        <v>90</v>
      </c>
    </row>
    <row r="66" spans="1:9" ht="16.8">
      <c r="A66" s="29" t="s">
        <v>96</v>
      </c>
      <c r="B66" s="34" t="s">
        <v>58</v>
      </c>
      <c r="C66" s="34">
        <f>PI()*(C64)^2</f>
        <v>65064844.791264027</v>
      </c>
      <c r="D66" s="34" t="s">
        <v>58</v>
      </c>
      <c r="E66" s="34">
        <f>PI()*(E64)^2</f>
        <v>58075352.334931947</v>
      </c>
      <c r="F66" s="34" t="s">
        <v>58</v>
      </c>
      <c r="G66" s="34">
        <f>PI()*(G64)^2</f>
        <v>29439776.877267111</v>
      </c>
      <c r="H66" s="34" t="s">
        <v>58</v>
      </c>
      <c r="I66" s="34">
        <f>PI()*(I64)^2</f>
        <v>22238413.500239253</v>
      </c>
    </row>
    <row r="67" spans="1:9" ht="16.8">
      <c r="A67" s="29" t="s">
        <v>97</v>
      </c>
      <c r="B67" s="34">
        <f>PI()*(B65)^2</f>
        <v>36672371.2076037</v>
      </c>
      <c r="C67" s="34" t="s">
        <v>58</v>
      </c>
      <c r="D67" s="34">
        <f>PI()*(D65)^2</f>
        <v>32191175.098844536</v>
      </c>
      <c r="E67" s="34" t="s">
        <v>58</v>
      </c>
      <c r="F67" s="34">
        <f>PI()*(F65)^2</f>
        <v>6321722.6700465679</v>
      </c>
      <c r="G67" s="34" t="s">
        <v>58</v>
      </c>
      <c r="H67" s="34">
        <f>PI()*(H65)^2</f>
        <v>5549237.0603951924</v>
      </c>
      <c r="I67" s="34" t="s">
        <v>58</v>
      </c>
    </row>
    <row r="69" spans="1:9">
      <c r="A69" s="48"/>
    </row>
    <row r="72" spans="1:9">
      <c r="A72" s="43" t="s">
        <v>89</v>
      </c>
      <c r="B72" s="44"/>
      <c r="C72" s="44"/>
      <c r="D72" s="44"/>
      <c r="E72" s="44"/>
    </row>
    <row r="73" spans="1:9">
      <c r="A73" s="43"/>
      <c r="B73" s="44"/>
      <c r="C73" s="44"/>
      <c r="D73" s="44"/>
      <c r="E73" s="44"/>
    </row>
    <row r="76" spans="1:9">
      <c r="F76" s="39"/>
    </row>
  </sheetData>
  <mergeCells count="2">
    <mergeCell ref="B1:E1"/>
    <mergeCell ref="F1:I1"/>
  </mergeCells>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zoomScale="70" zoomScaleNormal="70" workbookViewId="0">
      <pane xSplit="1" ySplit="2" topLeftCell="B42" activePane="bottomRight" state="frozen"/>
      <selection pane="topRight" activeCell="B1" sqref="B1"/>
      <selection pane="bottomLeft" activeCell="A3" sqref="A3"/>
      <selection pane="bottomRight" activeCell="B47" sqref="B47"/>
    </sheetView>
  </sheetViews>
  <sheetFormatPr defaultColWidth="8.796875" defaultRowHeight="15.6"/>
  <cols>
    <col min="1" max="1" width="69" style="30" customWidth="1"/>
    <col min="2" max="2" width="13.19921875" style="89" customWidth="1"/>
    <col min="3" max="3" width="12.69921875" style="89" customWidth="1"/>
    <col min="4" max="4" width="12.69921875" style="39" customWidth="1"/>
    <col min="5" max="5" width="14.19921875" style="39" customWidth="1"/>
    <col min="6" max="6" width="13.5" style="39" customWidth="1"/>
    <col min="7" max="7" width="14.5" style="39" bestFit="1" customWidth="1"/>
    <col min="8" max="9" width="14.5" style="39" customWidth="1"/>
    <col min="10" max="10" width="13" style="39" customWidth="1"/>
    <col min="11" max="11" width="13" style="39" bestFit="1" customWidth="1"/>
    <col min="12" max="12" width="12.296875" style="39" customWidth="1"/>
    <col min="13" max="13" width="12.19921875" style="39" bestFit="1" customWidth="1"/>
  </cols>
  <sheetData>
    <row r="1" spans="1:13">
      <c r="A1" s="46" t="s">
        <v>0</v>
      </c>
      <c r="B1" s="79"/>
      <c r="C1" s="79"/>
      <c r="D1" s="119" t="s">
        <v>104</v>
      </c>
      <c r="E1" s="119"/>
      <c r="F1" s="119"/>
      <c r="G1" s="120"/>
      <c r="H1" s="55"/>
      <c r="I1" s="55"/>
      <c r="J1" s="119" t="s">
        <v>105</v>
      </c>
      <c r="K1" s="119"/>
      <c r="L1" s="119"/>
      <c r="M1" s="120"/>
    </row>
    <row r="2" spans="1:13" ht="55.2">
      <c r="A2" s="46"/>
      <c r="B2" s="56" t="s">
        <v>109</v>
      </c>
      <c r="C2" s="56" t="s">
        <v>110</v>
      </c>
      <c r="D2" s="31" t="s">
        <v>111</v>
      </c>
      <c r="E2" s="31" t="s">
        <v>112</v>
      </c>
      <c r="F2" s="31" t="s">
        <v>113</v>
      </c>
      <c r="G2" s="31" t="s">
        <v>114</v>
      </c>
      <c r="H2" s="56" t="s">
        <v>115</v>
      </c>
      <c r="I2" s="56" t="s">
        <v>116</v>
      </c>
      <c r="J2" s="31" t="s">
        <v>117</v>
      </c>
      <c r="K2" s="31" t="s">
        <v>118</v>
      </c>
      <c r="L2" s="31" t="s">
        <v>119</v>
      </c>
      <c r="M2" s="31" t="s">
        <v>120</v>
      </c>
    </row>
    <row r="3" spans="1:13">
      <c r="A3" s="19" t="s">
        <v>1</v>
      </c>
      <c r="B3" s="18"/>
      <c r="C3" s="18"/>
      <c r="D3" s="80"/>
      <c r="E3" s="80"/>
      <c r="F3" s="80"/>
      <c r="G3" s="80"/>
      <c r="H3" s="80"/>
      <c r="I3" s="80"/>
      <c r="J3" s="80"/>
      <c r="K3" s="80"/>
      <c r="L3" s="80"/>
      <c r="M3" s="80"/>
    </row>
    <row r="4" spans="1:13">
      <c r="A4" s="20" t="s">
        <v>2</v>
      </c>
      <c r="B4" s="59">
        <v>0.7</v>
      </c>
      <c r="C4" s="59">
        <v>0.7</v>
      </c>
      <c r="D4" s="59">
        <v>0.7</v>
      </c>
      <c r="E4" s="70">
        <v>0.7</v>
      </c>
      <c r="F4" s="59">
        <v>0.7</v>
      </c>
      <c r="G4" s="70">
        <v>0.7</v>
      </c>
      <c r="H4" s="59">
        <v>0.7</v>
      </c>
      <c r="I4" s="59">
        <v>0.7</v>
      </c>
      <c r="J4" s="59">
        <v>0.7</v>
      </c>
      <c r="K4" s="59">
        <v>0.7</v>
      </c>
      <c r="L4" s="59">
        <v>0.7</v>
      </c>
      <c r="M4" s="59">
        <v>0.7</v>
      </c>
    </row>
    <row r="5" spans="1:13">
      <c r="A5" s="20" t="s">
        <v>3</v>
      </c>
      <c r="B5" s="59">
        <v>25</v>
      </c>
      <c r="C5" s="59">
        <v>25</v>
      </c>
      <c r="D5" s="59">
        <v>25</v>
      </c>
      <c r="E5" s="70">
        <v>25</v>
      </c>
      <c r="F5" s="59">
        <v>25</v>
      </c>
      <c r="G5" s="70">
        <v>25</v>
      </c>
      <c r="H5" s="59">
        <v>25</v>
      </c>
      <c r="I5" s="59">
        <v>25</v>
      </c>
      <c r="J5" s="59">
        <v>25</v>
      </c>
      <c r="K5" s="59">
        <v>25</v>
      </c>
      <c r="L5" s="59">
        <v>25</v>
      </c>
      <c r="M5" s="59">
        <v>25</v>
      </c>
    </row>
    <row r="6" spans="1:13">
      <c r="A6" s="20" t="s">
        <v>4</v>
      </c>
      <c r="B6" s="59">
        <v>1.5</v>
      </c>
      <c r="C6" s="59">
        <v>1.5</v>
      </c>
      <c r="D6" s="59">
        <v>1.5</v>
      </c>
      <c r="E6" s="70">
        <v>1.5</v>
      </c>
      <c r="F6" s="59">
        <v>1.5</v>
      </c>
      <c r="G6" s="70">
        <v>1.5</v>
      </c>
      <c r="H6" s="59">
        <v>1.5</v>
      </c>
      <c r="I6" s="59">
        <v>1.5</v>
      </c>
      <c r="J6" s="59">
        <v>1.5</v>
      </c>
      <c r="K6" s="59">
        <v>1.5</v>
      </c>
      <c r="L6" s="59">
        <v>1.5</v>
      </c>
      <c r="M6" s="59">
        <v>1.5</v>
      </c>
    </row>
    <row r="7" spans="1:13">
      <c r="A7" s="20" t="s">
        <v>150</v>
      </c>
      <c r="B7" s="60" t="s">
        <v>58</v>
      </c>
      <c r="C7" s="60">
        <v>0.99</v>
      </c>
      <c r="D7" s="60" t="s">
        <v>58</v>
      </c>
      <c r="E7" s="60">
        <v>0.99</v>
      </c>
      <c r="F7" s="60" t="s">
        <v>58</v>
      </c>
      <c r="G7" s="60">
        <v>0.99</v>
      </c>
      <c r="H7" s="60" t="s">
        <v>58</v>
      </c>
      <c r="I7" s="60">
        <v>0.99</v>
      </c>
      <c r="J7" s="60" t="s">
        <v>58</v>
      </c>
      <c r="K7" s="60">
        <v>0.99</v>
      </c>
      <c r="L7" s="60" t="s">
        <v>58</v>
      </c>
      <c r="M7" s="60">
        <v>0.99</v>
      </c>
    </row>
    <row r="8" spans="1:13">
      <c r="A8" s="20" t="s">
        <v>151</v>
      </c>
      <c r="B8" s="61">
        <v>0.99</v>
      </c>
      <c r="C8" s="61" t="s">
        <v>58</v>
      </c>
      <c r="D8" s="61">
        <v>0.99</v>
      </c>
      <c r="E8" s="61" t="s">
        <v>58</v>
      </c>
      <c r="F8" s="61">
        <v>0.99</v>
      </c>
      <c r="G8" s="61" t="s">
        <v>58</v>
      </c>
      <c r="H8" s="61">
        <v>0.99</v>
      </c>
      <c r="I8" s="61" t="s">
        <v>58</v>
      </c>
      <c r="J8" s="61">
        <v>0.99</v>
      </c>
      <c r="K8" s="61" t="s">
        <v>58</v>
      </c>
      <c r="L8" s="61">
        <v>0.99</v>
      </c>
      <c r="M8" s="61" t="s">
        <v>58</v>
      </c>
    </row>
    <row r="9" spans="1:13">
      <c r="A9" s="20" t="s">
        <v>5</v>
      </c>
      <c r="B9" s="62" t="s">
        <v>58</v>
      </c>
      <c r="C9" s="62">
        <v>89</v>
      </c>
      <c r="D9" s="81" t="s">
        <v>58</v>
      </c>
      <c r="E9" s="62">
        <v>44</v>
      </c>
      <c r="F9" s="81" t="s">
        <v>58</v>
      </c>
      <c r="G9" s="62">
        <v>44</v>
      </c>
      <c r="H9" s="62"/>
      <c r="I9" s="62">
        <v>15</v>
      </c>
      <c r="J9" s="62"/>
      <c r="K9" s="62">
        <v>15</v>
      </c>
      <c r="L9" s="62"/>
      <c r="M9" s="62">
        <v>15</v>
      </c>
    </row>
    <row r="10" spans="1:13">
      <c r="A10" s="20" t="s">
        <v>6</v>
      </c>
      <c r="B10" s="62">
        <v>360</v>
      </c>
      <c r="C10" s="62" t="s">
        <v>58</v>
      </c>
      <c r="D10" s="62">
        <v>180</v>
      </c>
      <c r="E10" s="63" t="s">
        <v>58</v>
      </c>
      <c r="F10" s="62">
        <v>180</v>
      </c>
      <c r="G10" s="63" t="s">
        <v>58</v>
      </c>
      <c r="H10" s="63">
        <v>180</v>
      </c>
      <c r="I10" s="63" t="s">
        <v>58</v>
      </c>
      <c r="J10" s="63">
        <v>180</v>
      </c>
      <c r="K10" s="63" t="s">
        <v>58</v>
      </c>
      <c r="L10" s="63">
        <v>180</v>
      </c>
      <c r="M10" s="63" t="s">
        <v>58</v>
      </c>
    </row>
    <row r="11" spans="1:13" ht="30" customHeight="1">
      <c r="A11" s="20" t="s">
        <v>7</v>
      </c>
      <c r="B11" s="59" t="s">
        <v>58</v>
      </c>
      <c r="C11" s="60">
        <v>0.01</v>
      </c>
      <c r="D11" s="64" t="s">
        <v>58</v>
      </c>
      <c r="E11" s="65">
        <v>0.01</v>
      </c>
      <c r="F11" s="64" t="s">
        <v>58</v>
      </c>
      <c r="G11" s="65">
        <v>0.01</v>
      </c>
      <c r="H11" s="64" t="s">
        <v>58</v>
      </c>
      <c r="I11" s="65">
        <v>0.01</v>
      </c>
      <c r="J11" s="64" t="s">
        <v>58</v>
      </c>
      <c r="K11" s="65">
        <v>0.01</v>
      </c>
      <c r="L11" s="64" t="s">
        <v>58</v>
      </c>
      <c r="M11" s="65">
        <v>0.01</v>
      </c>
    </row>
    <row r="12" spans="1:13">
      <c r="A12" s="20" t="s">
        <v>8</v>
      </c>
      <c r="B12" s="60">
        <v>0.1</v>
      </c>
      <c r="C12" s="66" t="s">
        <v>58</v>
      </c>
      <c r="D12" s="64">
        <v>0.1</v>
      </c>
      <c r="E12" s="65" t="s">
        <v>58</v>
      </c>
      <c r="F12" s="64">
        <v>0.1</v>
      </c>
      <c r="G12" s="65" t="s">
        <v>58</v>
      </c>
      <c r="H12" s="64">
        <v>0.1</v>
      </c>
      <c r="I12" s="65" t="s">
        <v>58</v>
      </c>
      <c r="J12" s="64">
        <v>0.1</v>
      </c>
      <c r="K12" s="65" t="s">
        <v>58</v>
      </c>
      <c r="L12" s="64">
        <v>0.1</v>
      </c>
      <c r="M12" s="65" t="s">
        <v>58</v>
      </c>
    </row>
    <row r="13" spans="1:13">
      <c r="A13" s="20" t="s">
        <v>91</v>
      </c>
      <c r="B13" s="67">
        <f>B10/B42</f>
        <v>2E-3</v>
      </c>
      <c r="C13" s="66" t="s">
        <v>58</v>
      </c>
      <c r="D13" s="82">
        <f>D10/D42</f>
        <v>1E-3</v>
      </c>
      <c r="E13" s="68" t="s">
        <v>58</v>
      </c>
      <c r="F13" s="82">
        <f>F10/F42</f>
        <v>1E-3</v>
      </c>
      <c r="G13" s="68" t="s">
        <v>58</v>
      </c>
      <c r="H13" s="82">
        <f>H10/H42</f>
        <v>1.2E-2</v>
      </c>
      <c r="I13" s="68" t="s">
        <v>58</v>
      </c>
      <c r="J13" s="82">
        <f>J10/J42</f>
        <v>1.2E-2</v>
      </c>
      <c r="K13" s="68" t="s">
        <v>58</v>
      </c>
      <c r="L13" s="82">
        <f>L10/L42</f>
        <v>1.2E-2</v>
      </c>
      <c r="M13" s="68" t="s">
        <v>58</v>
      </c>
    </row>
    <row r="14" spans="1:13">
      <c r="A14" s="20" t="s">
        <v>92</v>
      </c>
      <c r="B14" s="69" t="s">
        <v>121</v>
      </c>
      <c r="C14" s="69" t="s">
        <v>121</v>
      </c>
      <c r="D14" s="70" t="s">
        <v>106</v>
      </c>
      <c r="E14" s="70" t="s">
        <v>106</v>
      </c>
      <c r="F14" s="70" t="s">
        <v>107</v>
      </c>
      <c r="G14" s="70" t="s">
        <v>107</v>
      </c>
      <c r="H14" s="70" t="s">
        <v>121</v>
      </c>
      <c r="I14" s="70" t="s">
        <v>121</v>
      </c>
      <c r="J14" s="70" t="s">
        <v>121</v>
      </c>
      <c r="K14" s="70" t="s">
        <v>121</v>
      </c>
      <c r="L14" s="70" t="s">
        <v>121</v>
      </c>
      <c r="M14" s="70" t="s">
        <v>121</v>
      </c>
    </row>
    <row r="15" spans="1:13">
      <c r="A15" s="20" t="s">
        <v>87</v>
      </c>
      <c r="B15" s="59">
        <v>3</v>
      </c>
      <c r="C15" s="59">
        <v>3</v>
      </c>
      <c r="D15" s="70">
        <v>3</v>
      </c>
      <c r="E15" s="70">
        <v>3</v>
      </c>
      <c r="F15" s="70">
        <v>3</v>
      </c>
      <c r="G15" s="70">
        <v>3</v>
      </c>
      <c r="H15" s="59">
        <v>3</v>
      </c>
      <c r="I15" s="59">
        <v>3</v>
      </c>
      <c r="J15" s="59">
        <v>3</v>
      </c>
      <c r="K15" s="59">
        <v>3</v>
      </c>
      <c r="L15" s="59">
        <v>3</v>
      </c>
      <c r="M15" s="59">
        <v>3</v>
      </c>
    </row>
    <row r="16" spans="1:13">
      <c r="A16" s="20" t="s">
        <v>9</v>
      </c>
      <c r="B16" s="59">
        <v>3</v>
      </c>
      <c r="C16" s="59">
        <v>3</v>
      </c>
      <c r="D16" s="70">
        <v>3</v>
      </c>
      <c r="E16" s="70">
        <v>3</v>
      </c>
      <c r="F16" s="70">
        <v>3</v>
      </c>
      <c r="G16" s="70">
        <v>3</v>
      </c>
      <c r="H16" s="59">
        <v>3</v>
      </c>
      <c r="I16" s="59">
        <v>3</v>
      </c>
      <c r="J16" s="59">
        <v>3</v>
      </c>
      <c r="K16" s="59">
        <v>3</v>
      </c>
      <c r="L16" s="59">
        <v>3</v>
      </c>
      <c r="M16" s="59">
        <v>3</v>
      </c>
    </row>
    <row r="17" spans="1:13">
      <c r="A17" s="19" t="s">
        <v>10</v>
      </c>
      <c r="B17" s="57"/>
      <c r="C17" s="57"/>
      <c r="D17" s="58"/>
      <c r="E17" s="58"/>
      <c r="F17" s="58"/>
      <c r="G17" s="58"/>
      <c r="H17" s="58"/>
      <c r="I17" s="58"/>
      <c r="J17" s="58"/>
      <c r="K17" s="58"/>
      <c r="L17" s="58"/>
      <c r="M17" s="58"/>
    </row>
    <row r="18" spans="1:13" ht="27.6">
      <c r="A18" s="20" t="s">
        <v>85</v>
      </c>
      <c r="B18" s="59">
        <v>16</v>
      </c>
      <c r="C18" s="59">
        <v>16</v>
      </c>
      <c r="D18" s="59">
        <v>16</v>
      </c>
      <c r="E18" s="59">
        <v>16</v>
      </c>
      <c r="F18" s="63">
        <v>16</v>
      </c>
      <c r="G18" s="70">
        <v>16</v>
      </c>
      <c r="H18" s="59">
        <v>1</v>
      </c>
      <c r="I18" s="59">
        <v>1</v>
      </c>
      <c r="J18" s="59">
        <v>1</v>
      </c>
      <c r="K18" s="59">
        <v>1</v>
      </c>
      <c r="L18" s="59">
        <v>1</v>
      </c>
      <c r="M18" s="59">
        <v>1</v>
      </c>
    </row>
    <row r="19" spans="1:13">
      <c r="A19" s="20" t="s">
        <v>108</v>
      </c>
      <c r="B19" s="59">
        <v>2</v>
      </c>
      <c r="C19" s="59">
        <v>2</v>
      </c>
      <c r="D19" s="59">
        <v>2</v>
      </c>
      <c r="E19" s="59">
        <v>2</v>
      </c>
      <c r="F19" s="59">
        <v>2</v>
      </c>
      <c r="G19" s="59">
        <v>2</v>
      </c>
      <c r="H19" s="59">
        <v>23</v>
      </c>
      <c r="I19" s="59">
        <v>23</v>
      </c>
      <c r="J19" s="59">
        <v>23</v>
      </c>
      <c r="K19" s="59">
        <v>23</v>
      </c>
      <c r="L19" s="59">
        <v>23</v>
      </c>
      <c r="M19" s="59">
        <v>23</v>
      </c>
    </row>
    <row r="20" spans="1:13">
      <c r="A20" s="20" t="s">
        <v>11</v>
      </c>
      <c r="B20" s="71">
        <v>23</v>
      </c>
      <c r="C20" s="71">
        <v>23</v>
      </c>
      <c r="D20" s="71">
        <v>23</v>
      </c>
      <c r="E20" s="71">
        <v>23</v>
      </c>
      <c r="F20" s="71">
        <v>23</v>
      </c>
      <c r="G20" s="71">
        <v>23</v>
      </c>
      <c r="H20" s="71">
        <f t="shared" ref="H20:M20" si="0">H19+10*LOG10(H18)</f>
        <v>23</v>
      </c>
      <c r="I20" s="71">
        <f t="shared" si="0"/>
        <v>23</v>
      </c>
      <c r="J20" s="71">
        <f t="shared" si="0"/>
        <v>23</v>
      </c>
      <c r="K20" s="71">
        <f t="shared" si="0"/>
        <v>23</v>
      </c>
      <c r="L20" s="71">
        <f t="shared" si="0"/>
        <v>23</v>
      </c>
      <c r="M20" s="71">
        <f t="shared" si="0"/>
        <v>23</v>
      </c>
    </row>
    <row r="21" spans="1:13" ht="27.6">
      <c r="A21" s="41" t="s">
        <v>86</v>
      </c>
      <c r="B21" s="72">
        <f t="shared" ref="B21:M21" si="1">B20+10*LOG10(B18)</f>
        <v>35.04119982655925</v>
      </c>
      <c r="C21" s="72">
        <f t="shared" si="1"/>
        <v>35.04119982655925</v>
      </c>
      <c r="D21" s="72">
        <f t="shared" si="1"/>
        <v>35.04119982655925</v>
      </c>
      <c r="E21" s="72">
        <f t="shared" si="1"/>
        <v>35.04119982655925</v>
      </c>
      <c r="F21" s="72">
        <f t="shared" si="1"/>
        <v>35.04119982655925</v>
      </c>
      <c r="G21" s="72">
        <f t="shared" si="1"/>
        <v>35.04119982655925</v>
      </c>
      <c r="H21" s="72">
        <f t="shared" si="1"/>
        <v>23</v>
      </c>
      <c r="I21" s="72">
        <f t="shared" si="1"/>
        <v>23</v>
      </c>
      <c r="J21" s="72">
        <f t="shared" si="1"/>
        <v>23</v>
      </c>
      <c r="K21" s="72">
        <f t="shared" si="1"/>
        <v>23</v>
      </c>
      <c r="L21" s="72">
        <f t="shared" si="1"/>
        <v>23</v>
      </c>
      <c r="M21" s="72">
        <f t="shared" si="1"/>
        <v>23</v>
      </c>
    </row>
    <row r="22" spans="1:13">
      <c r="A22" s="20" t="s">
        <v>12</v>
      </c>
      <c r="B22" s="71">
        <f>8</f>
        <v>8</v>
      </c>
      <c r="C22" s="71">
        <f>8</f>
        <v>8</v>
      </c>
      <c r="D22" s="63">
        <v>8</v>
      </c>
      <c r="E22" s="70">
        <v>8</v>
      </c>
      <c r="F22" s="63">
        <v>8</v>
      </c>
      <c r="G22" s="70">
        <v>8</v>
      </c>
      <c r="H22" s="59">
        <v>0</v>
      </c>
      <c r="I22" s="70">
        <v>0</v>
      </c>
      <c r="J22" s="59">
        <v>0</v>
      </c>
      <c r="K22" s="70">
        <v>0</v>
      </c>
      <c r="L22" s="59">
        <v>0</v>
      </c>
      <c r="M22" s="70">
        <v>0</v>
      </c>
    </row>
    <row r="23" spans="1:13" ht="45" customHeight="1">
      <c r="A23" s="42" t="s">
        <v>13</v>
      </c>
      <c r="B23" s="72">
        <f>IF(B18&gt;=2, 10*LOG10(B18/B19), 0)</f>
        <v>9.0308998699194358</v>
      </c>
      <c r="C23" s="72">
        <f>IF(C18&gt;=2, 10*LOG10(C18/C19), 0)</f>
        <v>9.0308998699194358</v>
      </c>
      <c r="D23" s="72">
        <f t="shared" ref="D23:M23" si="2">IF(D18&gt;=2, 10*LOG10(D18/2), 0)</f>
        <v>9.0308998699194358</v>
      </c>
      <c r="E23" s="72">
        <f t="shared" si="2"/>
        <v>9.0308998699194358</v>
      </c>
      <c r="F23" s="72">
        <f t="shared" si="2"/>
        <v>9.0308998699194358</v>
      </c>
      <c r="G23" s="72">
        <f t="shared" si="2"/>
        <v>9.0308998699194358</v>
      </c>
      <c r="H23" s="72">
        <f t="shared" si="2"/>
        <v>0</v>
      </c>
      <c r="I23" s="72">
        <f t="shared" si="2"/>
        <v>0</v>
      </c>
      <c r="J23" s="72">
        <f t="shared" si="2"/>
        <v>0</v>
      </c>
      <c r="K23" s="72">
        <f t="shared" si="2"/>
        <v>0</v>
      </c>
      <c r="L23" s="72">
        <f t="shared" si="2"/>
        <v>0</v>
      </c>
      <c r="M23" s="72">
        <f t="shared" si="2"/>
        <v>0</v>
      </c>
    </row>
    <row r="24" spans="1:13">
      <c r="A24" s="20" t="s">
        <v>14</v>
      </c>
      <c r="B24" s="59">
        <v>0</v>
      </c>
      <c r="C24" s="59">
        <v>0</v>
      </c>
      <c r="D24" s="75">
        <v>0</v>
      </c>
      <c r="E24" s="70">
        <v>0</v>
      </c>
      <c r="F24" s="75">
        <v>0</v>
      </c>
      <c r="G24" s="70">
        <v>0</v>
      </c>
      <c r="H24" s="59">
        <v>0</v>
      </c>
      <c r="I24" s="59">
        <v>0</v>
      </c>
      <c r="J24" s="59">
        <v>0</v>
      </c>
      <c r="K24" s="59">
        <v>0</v>
      </c>
      <c r="L24" s="59">
        <v>0</v>
      </c>
      <c r="M24" s="59">
        <v>0</v>
      </c>
    </row>
    <row r="25" spans="1:13">
      <c r="A25" s="20" t="s">
        <v>15</v>
      </c>
      <c r="B25" s="59">
        <v>0</v>
      </c>
      <c r="C25" s="59">
        <v>0</v>
      </c>
      <c r="D25" s="75">
        <v>0</v>
      </c>
      <c r="E25" s="70">
        <v>0</v>
      </c>
      <c r="F25" s="75">
        <v>0</v>
      </c>
      <c r="G25" s="70">
        <v>0</v>
      </c>
      <c r="H25" s="59">
        <v>0</v>
      </c>
      <c r="I25" s="59">
        <v>0</v>
      </c>
      <c r="J25" s="59">
        <v>0</v>
      </c>
      <c r="K25" s="59">
        <v>0</v>
      </c>
      <c r="L25" s="59">
        <v>0</v>
      </c>
      <c r="M25" s="59">
        <v>0</v>
      </c>
    </row>
    <row r="26" spans="1:13" ht="27.6">
      <c r="A26" s="20" t="s">
        <v>16</v>
      </c>
      <c r="B26" s="69">
        <v>3</v>
      </c>
      <c r="C26" s="69">
        <v>3</v>
      </c>
      <c r="D26" s="69">
        <v>3</v>
      </c>
      <c r="E26" s="69">
        <v>3</v>
      </c>
      <c r="F26" s="69">
        <v>3</v>
      </c>
      <c r="G26" s="69">
        <v>3</v>
      </c>
      <c r="H26" s="69">
        <v>0</v>
      </c>
      <c r="I26" s="69">
        <v>0</v>
      </c>
      <c r="J26" s="69">
        <v>0</v>
      </c>
      <c r="K26" s="69">
        <v>0</v>
      </c>
      <c r="L26" s="69">
        <v>0</v>
      </c>
      <c r="M26" s="69">
        <v>0</v>
      </c>
    </row>
    <row r="27" spans="1:13">
      <c r="A27" s="25" t="s">
        <v>17</v>
      </c>
      <c r="B27" s="73">
        <f t="shared" ref="B27:M27" si="3">B21+B22+B23+B24-B26</f>
        <v>49.072099696478688</v>
      </c>
      <c r="C27" s="73">
        <f t="shared" si="3"/>
        <v>49.072099696478688</v>
      </c>
      <c r="D27" s="73">
        <f t="shared" si="3"/>
        <v>49.072099696478688</v>
      </c>
      <c r="E27" s="73">
        <f t="shared" si="3"/>
        <v>49.072099696478688</v>
      </c>
      <c r="F27" s="73">
        <f t="shared" si="3"/>
        <v>49.072099696478688</v>
      </c>
      <c r="G27" s="73">
        <f t="shared" si="3"/>
        <v>49.072099696478688</v>
      </c>
      <c r="H27" s="74">
        <f t="shared" si="3"/>
        <v>23</v>
      </c>
      <c r="I27" s="74">
        <f t="shared" si="3"/>
        <v>23</v>
      </c>
      <c r="J27" s="74">
        <f t="shared" si="3"/>
        <v>23</v>
      </c>
      <c r="K27" s="74">
        <f t="shared" si="3"/>
        <v>23</v>
      </c>
      <c r="L27" s="74">
        <f t="shared" si="3"/>
        <v>23</v>
      </c>
      <c r="M27" s="74">
        <f t="shared" si="3"/>
        <v>23</v>
      </c>
    </row>
    <row r="28" spans="1:13">
      <c r="A28" s="25" t="s">
        <v>18</v>
      </c>
      <c r="B28" s="73">
        <f t="shared" ref="B28:M28" si="4">B21+B22+B23-B25-B26</f>
        <v>49.072099696478688</v>
      </c>
      <c r="C28" s="73">
        <f t="shared" si="4"/>
        <v>49.072099696478688</v>
      </c>
      <c r="D28" s="73">
        <f t="shared" si="4"/>
        <v>49.072099696478688</v>
      </c>
      <c r="E28" s="73">
        <f t="shared" si="4"/>
        <v>49.072099696478688</v>
      </c>
      <c r="F28" s="73">
        <f t="shared" si="4"/>
        <v>49.072099696478688</v>
      </c>
      <c r="G28" s="73">
        <f t="shared" si="4"/>
        <v>49.072099696478688</v>
      </c>
      <c r="H28" s="74">
        <f t="shared" si="4"/>
        <v>23</v>
      </c>
      <c r="I28" s="74">
        <f t="shared" si="4"/>
        <v>23</v>
      </c>
      <c r="J28" s="74">
        <f t="shared" si="4"/>
        <v>23</v>
      </c>
      <c r="K28" s="74">
        <f t="shared" si="4"/>
        <v>23</v>
      </c>
      <c r="L28" s="74">
        <f t="shared" si="4"/>
        <v>23</v>
      </c>
      <c r="M28" s="74">
        <f t="shared" si="4"/>
        <v>23</v>
      </c>
    </row>
    <row r="29" spans="1:13">
      <c r="A29" s="19" t="s">
        <v>19</v>
      </c>
      <c r="B29" s="57"/>
      <c r="C29" s="57"/>
      <c r="D29" s="58"/>
      <c r="E29" s="58"/>
      <c r="F29" s="58"/>
      <c r="G29" s="58"/>
      <c r="H29" s="58"/>
      <c r="I29" s="58"/>
      <c r="J29" s="58"/>
      <c r="K29" s="58"/>
      <c r="L29" s="58"/>
      <c r="M29" s="58"/>
    </row>
    <row r="30" spans="1:13" ht="27.6">
      <c r="A30" s="20" t="s">
        <v>84</v>
      </c>
      <c r="B30" s="59">
        <v>1</v>
      </c>
      <c r="C30" s="59">
        <v>1</v>
      </c>
      <c r="D30" s="75">
        <v>1</v>
      </c>
      <c r="E30" s="70">
        <v>1</v>
      </c>
      <c r="F30" s="75">
        <v>1</v>
      </c>
      <c r="G30" s="70">
        <v>1</v>
      </c>
      <c r="H30" s="70">
        <v>32</v>
      </c>
      <c r="I30" s="70">
        <v>32</v>
      </c>
      <c r="J30" s="70">
        <v>32</v>
      </c>
      <c r="K30" s="70">
        <v>32</v>
      </c>
      <c r="L30" s="70">
        <v>32</v>
      </c>
      <c r="M30" s="70">
        <v>32</v>
      </c>
    </row>
    <row r="31" spans="1:13">
      <c r="A31" s="20" t="s">
        <v>122</v>
      </c>
      <c r="B31" s="59">
        <v>1</v>
      </c>
      <c r="C31" s="59">
        <v>1</v>
      </c>
      <c r="D31" s="75">
        <v>1</v>
      </c>
      <c r="E31" s="70">
        <v>1</v>
      </c>
      <c r="F31" s="75">
        <v>1</v>
      </c>
      <c r="G31" s="70">
        <v>1</v>
      </c>
      <c r="H31" s="70">
        <v>4</v>
      </c>
      <c r="I31" s="70">
        <v>4</v>
      </c>
      <c r="J31" s="70">
        <v>4</v>
      </c>
      <c r="K31" s="70">
        <v>4</v>
      </c>
      <c r="L31" s="70">
        <v>4</v>
      </c>
      <c r="M31" s="70">
        <v>4</v>
      </c>
    </row>
    <row r="32" spans="1:13">
      <c r="A32" s="20" t="s">
        <v>20</v>
      </c>
      <c r="B32" s="59">
        <v>0</v>
      </c>
      <c r="C32" s="59">
        <v>0</v>
      </c>
      <c r="D32" s="75">
        <v>0</v>
      </c>
      <c r="E32" s="70">
        <v>0</v>
      </c>
      <c r="F32" s="75">
        <v>0</v>
      </c>
      <c r="G32" s="70">
        <v>0</v>
      </c>
      <c r="H32" s="70">
        <v>8</v>
      </c>
      <c r="I32" s="70">
        <v>8</v>
      </c>
      <c r="J32" s="70">
        <v>8</v>
      </c>
      <c r="K32" s="70">
        <v>8</v>
      </c>
      <c r="L32" s="70">
        <v>8</v>
      </c>
      <c r="M32" s="70">
        <v>8</v>
      </c>
    </row>
    <row r="33" spans="1:13" ht="27.6">
      <c r="A33" s="26" t="s">
        <v>88</v>
      </c>
      <c r="B33" s="72">
        <f t="shared" ref="B33:G33" si="5">IF(B30&gt;=2, 10*LOG10(B30/2), 0)</f>
        <v>0</v>
      </c>
      <c r="C33" s="72">
        <f t="shared" si="5"/>
        <v>0</v>
      </c>
      <c r="D33" s="72">
        <f t="shared" si="5"/>
        <v>0</v>
      </c>
      <c r="E33" s="72">
        <f t="shared" si="5"/>
        <v>0</v>
      </c>
      <c r="F33" s="72">
        <f t="shared" si="5"/>
        <v>0</v>
      </c>
      <c r="G33" s="72">
        <f t="shared" si="5"/>
        <v>0</v>
      </c>
      <c r="H33" s="72">
        <f t="shared" ref="H33:M33" si="6">IF(H30/H31&gt;=2, 10*LOG10(H30/H31), 0)</f>
        <v>9.0308998699194358</v>
      </c>
      <c r="I33" s="72">
        <f t="shared" si="6"/>
        <v>9.0308998699194358</v>
      </c>
      <c r="J33" s="72">
        <f t="shared" si="6"/>
        <v>9.0308998699194358</v>
      </c>
      <c r="K33" s="72">
        <f t="shared" si="6"/>
        <v>9.0308998699194358</v>
      </c>
      <c r="L33" s="72">
        <f t="shared" si="6"/>
        <v>9.0308998699194358</v>
      </c>
      <c r="M33" s="72">
        <f t="shared" si="6"/>
        <v>9.0308998699194358</v>
      </c>
    </row>
    <row r="34" spans="1:13" ht="27.6">
      <c r="A34" s="20" t="s">
        <v>21</v>
      </c>
      <c r="B34" s="59">
        <v>0</v>
      </c>
      <c r="C34" s="59">
        <v>0</v>
      </c>
      <c r="D34" s="59">
        <v>0</v>
      </c>
      <c r="E34" s="59">
        <v>0</v>
      </c>
      <c r="F34" s="59">
        <v>0</v>
      </c>
      <c r="G34" s="59">
        <v>0</v>
      </c>
      <c r="H34" s="59">
        <v>3</v>
      </c>
      <c r="I34" s="59">
        <v>3</v>
      </c>
      <c r="J34" s="59">
        <v>3</v>
      </c>
      <c r="K34" s="59">
        <v>3</v>
      </c>
      <c r="L34" s="59">
        <v>3</v>
      </c>
      <c r="M34" s="59">
        <v>3</v>
      </c>
    </row>
    <row r="35" spans="1:13">
      <c r="A35" s="20" t="s">
        <v>22</v>
      </c>
      <c r="B35" s="59">
        <v>7</v>
      </c>
      <c r="C35" s="59">
        <v>7</v>
      </c>
      <c r="D35" s="70">
        <v>7</v>
      </c>
      <c r="E35" s="70">
        <v>7</v>
      </c>
      <c r="F35" s="70">
        <v>7</v>
      </c>
      <c r="G35" s="70">
        <v>7</v>
      </c>
      <c r="H35" s="59">
        <v>5</v>
      </c>
      <c r="I35" s="59">
        <v>5</v>
      </c>
      <c r="J35" s="59">
        <v>5</v>
      </c>
      <c r="K35" s="59">
        <v>5</v>
      </c>
      <c r="L35" s="59">
        <v>5</v>
      </c>
      <c r="M35" s="59">
        <v>5</v>
      </c>
    </row>
    <row r="36" spans="1:13">
      <c r="A36" s="20" t="s">
        <v>23</v>
      </c>
      <c r="B36" s="59">
        <v>-174</v>
      </c>
      <c r="C36" s="59">
        <v>-174</v>
      </c>
      <c r="D36" s="63">
        <v>-174</v>
      </c>
      <c r="E36" s="63">
        <v>-174</v>
      </c>
      <c r="F36" s="63">
        <v>-174</v>
      </c>
      <c r="G36" s="63">
        <v>-174</v>
      </c>
      <c r="H36" s="59">
        <v>-174</v>
      </c>
      <c r="I36" s="59">
        <v>-174</v>
      </c>
      <c r="J36" s="59">
        <v>-174</v>
      </c>
      <c r="K36" s="59">
        <v>-174</v>
      </c>
      <c r="L36" s="59">
        <v>-174</v>
      </c>
      <c r="M36" s="59">
        <v>-174</v>
      </c>
    </row>
    <row r="37" spans="1:13">
      <c r="A37" s="20" t="s">
        <v>152</v>
      </c>
      <c r="B37" s="59" t="s">
        <v>58</v>
      </c>
      <c r="C37" s="66">
        <v>-177</v>
      </c>
      <c r="D37" s="75" t="s">
        <v>58</v>
      </c>
      <c r="E37" s="76">
        <v>-177</v>
      </c>
      <c r="F37" s="75" t="s">
        <v>58</v>
      </c>
      <c r="G37" s="75">
        <v>-177</v>
      </c>
      <c r="H37" s="59" t="s">
        <v>58</v>
      </c>
      <c r="I37" s="75">
        <v>-177</v>
      </c>
      <c r="J37" s="59" t="s">
        <v>58</v>
      </c>
      <c r="K37" s="75">
        <v>-177</v>
      </c>
      <c r="L37" s="59" t="s">
        <v>58</v>
      </c>
      <c r="M37" s="75">
        <v>-177</v>
      </c>
    </row>
    <row r="38" spans="1:13">
      <c r="A38" s="20" t="s">
        <v>24</v>
      </c>
      <c r="B38" s="71">
        <v>-177</v>
      </c>
      <c r="C38" s="66" t="s">
        <v>58</v>
      </c>
      <c r="D38" s="75">
        <v>-177</v>
      </c>
      <c r="E38" s="76" t="s">
        <v>58</v>
      </c>
      <c r="F38" s="75">
        <v>-177</v>
      </c>
      <c r="G38" s="76" t="s">
        <v>58</v>
      </c>
      <c r="H38" s="76">
        <v>-177</v>
      </c>
      <c r="I38" s="76" t="s">
        <v>58</v>
      </c>
      <c r="J38" s="76">
        <v>-177</v>
      </c>
      <c r="K38" s="76" t="s">
        <v>58</v>
      </c>
      <c r="L38" s="76">
        <v>-177</v>
      </c>
      <c r="M38" s="76" t="s">
        <v>58</v>
      </c>
    </row>
    <row r="39" spans="1:13" ht="27.6">
      <c r="A39" s="27" t="s">
        <v>153</v>
      </c>
      <c r="B39" s="74" t="s">
        <v>58</v>
      </c>
      <c r="C39" s="74">
        <f t="shared" ref="C39:M39" si="7">10*LOG10(10^((C35+C36)/10)+10^(C37/10))</f>
        <v>-166.58607314841777</v>
      </c>
      <c r="D39" s="74" t="s">
        <v>58</v>
      </c>
      <c r="E39" s="74">
        <f t="shared" si="7"/>
        <v>-166.58607314841777</v>
      </c>
      <c r="F39" s="74" t="s">
        <v>58</v>
      </c>
      <c r="G39" s="74">
        <f t="shared" si="7"/>
        <v>-166.58607314841777</v>
      </c>
      <c r="H39" s="74" t="s">
        <v>58</v>
      </c>
      <c r="I39" s="74">
        <f t="shared" si="7"/>
        <v>-168.36107965856621</v>
      </c>
      <c r="J39" s="74" t="s">
        <v>58</v>
      </c>
      <c r="K39" s="74">
        <f t="shared" si="7"/>
        <v>-168.36107965856621</v>
      </c>
      <c r="L39" s="74" t="s">
        <v>58</v>
      </c>
      <c r="M39" s="74">
        <f t="shared" si="7"/>
        <v>-168.36107965856621</v>
      </c>
    </row>
    <row r="40" spans="1:13" ht="27.6">
      <c r="A40" s="27" t="s">
        <v>154</v>
      </c>
      <c r="B40" s="74">
        <f t="shared" ref="B40:L40" si="8">10*LOG10(10^((B35+B36)/10)+10^(B38/10))</f>
        <v>-166.58607314841777</v>
      </c>
      <c r="C40" s="74" t="s">
        <v>58</v>
      </c>
      <c r="D40" s="74">
        <f t="shared" si="8"/>
        <v>-166.58607314841777</v>
      </c>
      <c r="E40" s="74" t="s">
        <v>58</v>
      </c>
      <c r="F40" s="74">
        <f t="shared" si="8"/>
        <v>-166.58607314841777</v>
      </c>
      <c r="G40" s="74" t="s">
        <v>58</v>
      </c>
      <c r="H40" s="74">
        <f t="shared" si="8"/>
        <v>-168.36107965856621</v>
      </c>
      <c r="I40" s="74" t="s">
        <v>58</v>
      </c>
      <c r="J40" s="74">
        <f t="shared" si="8"/>
        <v>-168.36107965856621</v>
      </c>
      <c r="K40" s="74" t="s">
        <v>58</v>
      </c>
      <c r="L40" s="74">
        <f t="shared" si="8"/>
        <v>-168.36107965856621</v>
      </c>
      <c r="M40" s="74" t="s">
        <v>58</v>
      </c>
    </row>
    <row r="41" spans="1:13" ht="27.6">
      <c r="A41" s="20" t="s">
        <v>25</v>
      </c>
      <c r="B41" s="77" t="s">
        <v>58</v>
      </c>
      <c r="C41" s="66">
        <v>180000</v>
      </c>
      <c r="D41" s="75" t="s">
        <v>58</v>
      </c>
      <c r="E41" s="75">
        <f>1*12*15*1000</f>
        <v>180000</v>
      </c>
      <c r="F41" s="75" t="s">
        <v>58</v>
      </c>
      <c r="G41" s="75">
        <f>1*12*15*1000</f>
        <v>180000</v>
      </c>
      <c r="H41" s="75" t="s">
        <v>58</v>
      </c>
      <c r="I41" s="77">
        <f>15*1000</f>
        <v>15000</v>
      </c>
      <c r="J41" s="70" t="s">
        <v>58</v>
      </c>
      <c r="K41" s="70">
        <f>15*1000</f>
        <v>15000</v>
      </c>
      <c r="L41" s="70" t="s">
        <v>58</v>
      </c>
      <c r="M41" s="70">
        <f>15*1000</f>
        <v>15000</v>
      </c>
    </row>
    <row r="42" spans="1:13" ht="27.6">
      <c r="A42" s="20" t="s">
        <v>26</v>
      </c>
      <c r="B42" s="77">
        <v>180000</v>
      </c>
      <c r="C42" s="66" t="s">
        <v>58</v>
      </c>
      <c r="D42" s="75">
        <f>1*12*15*1000</f>
        <v>180000</v>
      </c>
      <c r="E42" s="70" t="s">
        <v>58</v>
      </c>
      <c r="F42" s="75">
        <f>1*12*15*1000</f>
        <v>180000</v>
      </c>
      <c r="G42" s="70" t="s">
        <v>58</v>
      </c>
      <c r="H42" s="77">
        <f>15*1000</f>
        <v>15000</v>
      </c>
      <c r="I42" s="63" t="s">
        <v>58</v>
      </c>
      <c r="J42" s="75">
        <f>15*1000</f>
        <v>15000</v>
      </c>
      <c r="K42" s="70" t="s">
        <v>58</v>
      </c>
      <c r="L42" s="75">
        <f>15*1000</f>
        <v>15000</v>
      </c>
      <c r="M42" s="70" t="s">
        <v>58</v>
      </c>
    </row>
    <row r="43" spans="1:13">
      <c r="A43" s="25" t="s">
        <v>27</v>
      </c>
      <c r="B43" s="74" t="s">
        <v>58</v>
      </c>
      <c r="C43" s="74">
        <f t="shared" ref="C43:M44" si="9">C39+10*LOG10(C41)</f>
        <v>-114.0333480973847</v>
      </c>
      <c r="D43" s="74" t="s">
        <v>58</v>
      </c>
      <c r="E43" s="74">
        <f t="shared" si="9"/>
        <v>-114.0333480973847</v>
      </c>
      <c r="F43" s="74" t="s">
        <v>58</v>
      </c>
      <c r="G43" s="74">
        <f t="shared" si="9"/>
        <v>-114.0333480973847</v>
      </c>
      <c r="H43" s="74" t="s">
        <v>58</v>
      </c>
      <c r="I43" s="74">
        <f t="shared" si="9"/>
        <v>-126.6001670680094</v>
      </c>
      <c r="J43" s="74" t="s">
        <v>58</v>
      </c>
      <c r="K43" s="74">
        <f t="shared" si="9"/>
        <v>-126.6001670680094</v>
      </c>
      <c r="L43" s="74" t="s">
        <v>58</v>
      </c>
      <c r="M43" s="74">
        <f t="shared" si="9"/>
        <v>-126.6001670680094</v>
      </c>
    </row>
    <row r="44" spans="1:13">
      <c r="A44" s="25" t="s">
        <v>28</v>
      </c>
      <c r="B44" s="74">
        <f>B40+10*LOG10(B42)</f>
        <v>-114.0333480973847</v>
      </c>
      <c r="C44" s="74" t="s">
        <v>58</v>
      </c>
      <c r="D44" s="74">
        <f t="shared" si="9"/>
        <v>-114.0333480973847</v>
      </c>
      <c r="E44" s="74" t="s">
        <v>58</v>
      </c>
      <c r="F44" s="74">
        <f t="shared" si="9"/>
        <v>-114.0333480973847</v>
      </c>
      <c r="G44" s="74" t="s">
        <v>58</v>
      </c>
      <c r="H44" s="74">
        <f t="shared" si="9"/>
        <v>-126.6001670680094</v>
      </c>
      <c r="I44" s="74" t="s">
        <v>58</v>
      </c>
      <c r="J44" s="74">
        <f t="shared" si="9"/>
        <v>-126.6001670680094</v>
      </c>
      <c r="K44" s="74" t="s">
        <v>58</v>
      </c>
      <c r="L44" s="74">
        <f t="shared" si="9"/>
        <v>-126.6001670680094</v>
      </c>
      <c r="M44" s="74" t="s">
        <v>58</v>
      </c>
    </row>
    <row r="45" spans="1:13">
      <c r="A45" s="20" t="s">
        <v>29</v>
      </c>
      <c r="B45" s="59" t="s">
        <v>58</v>
      </c>
      <c r="C45" s="66">
        <v>-17.2</v>
      </c>
      <c r="D45" s="75" t="s">
        <v>58</v>
      </c>
      <c r="E45" s="63">
        <v>-16.7</v>
      </c>
      <c r="F45" s="75" t="s">
        <v>58</v>
      </c>
      <c r="G45" s="63">
        <v>-16.7</v>
      </c>
      <c r="H45" s="63" t="s">
        <v>58</v>
      </c>
      <c r="I45" s="63">
        <v>-17.899999999999999</v>
      </c>
      <c r="J45" s="63" t="s">
        <v>58</v>
      </c>
      <c r="K45" s="63">
        <v>-16</v>
      </c>
      <c r="L45" s="63" t="s">
        <v>58</v>
      </c>
      <c r="M45" s="63">
        <v>-16</v>
      </c>
    </row>
    <row r="46" spans="1:13">
      <c r="A46" s="20" t="s">
        <v>30</v>
      </c>
      <c r="B46" s="78">
        <v>-16.899999999999999</v>
      </c>
      <c r="C46" s="66" t="s">
        <v>58</v>
      </c>
      <c r="D46" s="75">
        <v>-17.7</v>
      </c>
      <c r="E46" s="63" t="s">
        <v>58</v>
      </c>
      <c r="F46" s="75">
        <v>-17.7</v>
      </c>
      <c r="G46" s="63" t="s">
        <v>58</v>
      </c>
      <c r="H46" s="63">
        <v>-17.600000000000001</v>
      </c>
      <c r="I46" s="63" t="s">
        <v>58</v>
      </c>
      <c r="J46" s="63">
        <v>-16.600000000000001</v>
      </c>
      <c r="K46" s="63" t="s">
        <v>58</v>
      </c>
      <c r="L46" s="63">
        <v>-16.600000000000001</v>
      </c>
      <c r="M46" s="63" t="s">
        <v>58</v>
      </c>
    </row>
    <row r="47" spans="1:13">
      <c r="A47" s="20" t="s">
        <v>31</v>
      </c>
      <c r="B47" s="59">
        <v>2</v>
      </c>
      <c r="C47" s="66">
        <v>2</v>
      </c>
      <c r="D47" s="75">
        <v>2</v>
      </c>
      <c r="E47" s="70">
        <v>2</v>
      </c>
      <c r="F47" s="75">
        <v>2</v>
      </c>
      <c r="G47" s="70">
        <v>2</v>
      </c>
      <c r="H47" s="70">
        <v>2</v>
      </c>
      <c r="I47" s="70">
        <v>2</v>
      </c>
      <c r="J47" s="70">
        <v>2</v>
      </c>
      <c r="K47" s="70">
        <v>2</v>
      </c>
      <c r="L47" s="70">
        <v>2</v>
      </c>
      <c r="M47" s="70">
        <v>2</v>
      </c>
    </row>
    <row r="48" spans="1:13">
      <c r="A48" s="20" t="s">
        <v>32</v>
      </c>
      <c r="B48" s="59" t="s">
        <v>58</v>
      </c>
      <c r="C48" s="66">
        <v>0</v>
      </c>
      <c r="D48" s="75" t="s">
        <v>58</v>
      </c>
      <c r="E48" s="70">
        <v>0</v>
      </c>
      <c r="F48" s="75" t="s">
        <v>58</v>
      </c>
      <c r="G48" s="70">
        <v>0</v>
      </c>
      <c r="H48" s="70" t="s">
        <v>58</v>
      </c>
      <c r="I48" s="70">
        <v>0</v>
      </c>
      <c r="J48" s="70" t="s">
        <v>58</v>
      </c>
      <c r="K48" s="70">
        <v>0</v>
      </c>
      <c r="L48" s="70" t="s">
        <v>58</v>
      </c>
      <c r="M48" s="70">
        <v>0</v>
      </c>
    </row>
    <row r="49" spans="1:13">
      <c r="A49" s="20" t="s">
        <v>33</v>
      </c>
      <c r="B49" s="59">
        <v>0</v>
      </c>
      <c r="C49" s="66" t="s">
        <v>58</v>
      </c>
      <c r="D49" s="75">
        <v>0</v>
      </c>
      <c r="E49" s="70" t="s">
        <v>58</v>
      </c>
      <c r="F49" s="75">
        <v>0</v>
      </c>
      <c r="G49" s="70" t="s">
        <v>58</v>
      </c>
      <c r="H49" s="70">
        <v>0</v>
      </c>
      <c r="I49" s="70" t="s">
        <v>58</v>
      </c>
      <c r="J49" s="75">
        <v>0</v>
      </c>
      <c r="K49" s="70" t="s">
        <v>58</v>
      </c>
      <c r="L49" s="75">
        <v>0</v>
      </c>
      <c r="M49" s="70" t="s">
        <v>58</v>
      </c>
    </row>
    <row r="50" spans="1:13">
      <c r="A50" s="27" t="s">
        <v>44</v>
      </c>
      <c r="B50" s="74" t="s">
        <v>58</v>
      </c>
      <c r="C50" s="74">
        <f t="shared" ref="C50:M50" si="10">C43+C45+C47-C48</f>
        <v>-129.23334809738469</v>
      </c>
      <c r="D50" s="74" t="s">
        <v>58</v>
      </c>
      <c r="E50" s="74">
        <f t="shared" si="10"/>
        <v>-128.73334809738469</v>
      </c>
      <c r="F50" s="74" t="s">
        <v>58</v>
      </c>
      <c r="G50" s="74">
        <f t="shared" si="10"/>
        <v>-128.73334809738469</v>
      </c>
      <c r="H50" s="74" t="s">
        <v>58</v>
      </c>
      <c r="I50" s="74">
        <f t="shared" si="10"/>
        <v>-142.5001670680094</v>
      </c>
      <c r="J50" s="74" t="s">
        <v>58</v>
      </c>
      <c r="K50" s="74">
        <f t="shared" si="10"/>
        <v>-140.6001670680094</v>
      </c>
      <c r="L50" s="74" t="s">
        <v>58</v>
      </c>
      <c r="M50" s="74">
        <f t="shared" si="10"/>
        <v>-140.6001670680094</v>
      </c>
    </row>
    <row r="51" spans="1:13">
      <c r="A51" s="27" t="s">
        <v>45</v>
      </c>
      <c r="B51" s="74">
        <f>B44+B46+B47-B49</f>
        <v>-128.93334809738471</v>
      </c>
      <c r="C51" s="74" t="s">
        <v>58</v>
      </c>
      <c r="D51" s="74">
        <f>D44+D46+D47-D49</f>
        <v>-129.73334809738469</v>
      </c>
      <c r="E51" s="74" t="s">
        <v>58</v>
      </c>
      <c r="F51" s="74">
        <f t="shared" ref="F51:L51" si="11">F44+F46+F47-F49</f>
        <v>-129.73334809738469</v>
      </c>
      <c r="G51" s="74" t="s">
        <v>58</v>
      </c>
      <c r="H51" s="74">
        <f t="shared" si="11"/>
        <v>-142.20016706800939</v>
      </c>
      <c r="I51" s="74" t="s">
        <v>58</v>
      </c>
      <c r="J51" s="74">
        <f t="shared" si="11"/>
        <v>-141.20016706800939</v>
      </c>
      <c r="K51" s="74" t="s">
        <v>58</v>
      </c>
      <c r="L51" s="74">
        <f t="shared" si="11"/>
        <v>-141.20016706800939</v>
      </c>
      <c r="M51" s="74" t="s">
        <v>58</v>
      </c>
    </row>
    <row r="52" spans="1:13">
      <c r="A52" s="27" t="s">
        <v>93</v>
      </c>
      <c r="B52" s="74" t="s">
        <v>58</v>
      </c>
      <c r="C52" s="74">
        <f t="shared" ref="C52:M52" si="12">C27+C32+C33-C50</f>
        <v>178.30544779386338</v>
      </c>
      <c r="D52" s="74" t="s">
        <v>58</v>
      </c>
      <c r="E52" s="74">
        <f t="shared" si="12"/>
        <v>177.80544779386338</v>
      </c>
      <c r="F52" s="74" t="s">
        <v>58</v>
      </c>
      <c r="G52" s="74">
        <f t="shared" si="12"/>
        <v>177.80544779386338</v>
      </c>
      <c r="H52" s="74" t="s">
        <v>58</v>
      </c>
      <c r="I52" s="74">
        <f t="shared" si="12"/>
        <v>182.53106693792884</v>
      </c>
      <c r="J52" s="74" t="s">
        <v>58</v>
      </c>
      <c r="K52" s="74">
        <f t="shared" si="12"/>
        <v>180.63106693792884</v>
      </c>
      <c r="L52" s="74" t="s">
        <v>58</v>
      </c>
      <c r="M52" s="74">
        <f t="shared" si="12"/>
        <v>180.63106693792884</v>
      </c>
    </row>
    <row r="53" spans="1:13">
      <c r="A53" s="27" t="s">
        <v>94</v>
      </c>
      <c r="B53" s="74">
        <f>B28+B32+B33-B51</f>
        <v>178.0054477938634</v>
      </c>
      <c r="C53" s="74" t="s">
        <v>58</v>
      </c>
      <c r="D53" s="74">
        <f t="shared" ref="D53:L53" si="13">D28+D32+D33-D51</f>
        <v>178.80544779386338</v>
      </c>
      <c r="E53" s="74" t="s">
        <v>58</v>
      </c>
      <c r="F53" s="74">
        <f t="shared" si="13"/>
        <v>178.80544779386338</v>
      </c>
      <c r="G53" s="74" t="s">
        <v>58</v>
      </c>
      <c r="H53" s="74">
        <f t="shared" si="13"/>
        <v>182.23106693792883</v>
      </c>
      <c r="I53" s="74" t="s">
        <v>58</v>
      </c>
      <c r="J53" s="74">
        <f t="shared" si="13"/>
        <v>181.23106693792883</v>
      </c>
      <c r="K53" s="74" t="s">
        <v>58</v>
      </c>
      <c r="L53" s="74">
        <f t="shared" si="13"/>
        <v>181.23106693792883</v>
      </c>
      <c r="M53" s="74" t="s">
        <v>58</v>
      </c>
    </row>
    <row r="54" spans="1:13">
      <c r="A54" s="19" t="s">
        <v>34</v>
      </c>
      <c r="B54" s="18"/>
      <c r="C54" s="18"/>
      <c r="D54" s="80"/>
      <c r="E54" s="80"/>
      <c r="F54" s="80"/>
      <c r="G54" s="80"/>
      <c r="H54" s="80"/>
      <c r="I54" s="80"/>
      <c r="J54" s="80"/>
      <c r="K54" s="80"/>
      <c r="L54" s="80"/>
      <c r="M54" s="80"/>
    </row>
    <row r="55" spans="1:13">
      <c r="A55" s="20" t="s">
        <v>35</v>
      </c>
      <c r="B55" s="83">
        <v>4</v>
      </c>
      <c r="C55" s="83">
        <v>4</v>
      </c>
      <c r="D55" s="34">
        <v>6</v>
      </c>
      <c r="E55" s="34">
        <v>6</v>
      </c>
      <c r="F55" s="34">
        <v>6</v>
      </c>
      <c r="G55" s="34">
        <v>6</v>
      </c>
      <c r="H55" s="83">
        <v>4</v>
      </c>
      <c r="I55" s="83">
        <v>4</v>
      </c>
      <c r="J55" s="34">
        <v>6</v>
      </c>
      <c r="K55" s="34">
        <v>6</v>
      </c>
      <c r="L55" s="34">
        <v>6</v>
      </c>
      <c r="M55" s="34">
        <v>6</v>
      </c>
    </row>
    <row r="56" spans="1:13" ht="27.6">
      <c r="A56" s="20" t="s">
        <v>36</v>
      </c>
      <c r="B56" s="83" t="s">
        <v>58</v>
      </c>
      <c r="C56" s="83">
        <v>6.3</v>
      </c>
      <c r="D56" s="33" t="s">
        <v>58</v>
      </c>
      <c r="E56" s="33">
        <v>10.26</v>
      </c>
      <c r="F56" s="33" t="s">
        <v>58</v>
      </c>
      <c r="G56" s="33">
        <v>17</v>
      </c>
      <c r="H56" s="83" t="s">
        <v>58</v>
      </c>
      <c r="I56" s="83">
        <v>6.3</v>
      </c>
      <c r="J56" s="35" t="s">
        <v>58</v>
      </c>
      <c r="K56" s="33">
        <v>10.26</v>
      </c>
      <c r="L56" s="35" t="s">
        <v>58</v>
      </c>
      <c r="M56" s="33">
        <v>17</v>
      </c>
    </row>
    <row r="57" spans="1:13" ht="27.6">
      <c r="A57" s="20" t="s">
        <v>37</v>
      </c>
      <c r="B57" s="83">
        <v>6.3</v>
      </c>
      <c r="C57" s="83" t="s">
        <v>58</v>
      </c>
      <c r="D57" s="33">
        <v>10.26</v>
      </c>
      <c r="E57" s="33" t="s">
        <v>58</v>
      </c>
      <c r="F57" s="33">
        <v>17</v>
      </c>
      <c r="G57" s="33" t="s">
        <v>58</v>
      </c>
      <c r="H57" s="83">
        <v>6.3</v>
      </c>
      <c r="I57" s="83" t="s">
        <v>58</v>
      </c>
      <c r="J57" s="33">
        <v>10.26</v>
      </c>
      <c r="K57" s="35" t="s">
        <v>58</v>
      </c>
      <c r="L57" s="33">
        <v>17</v>
      </c>
      <c r="M57" s="35" t="s">
        <v>58</v>
      </c>
    </row>
    <row r="58" spans="1:13">
      <c r="A58" s="20" t="s">
        <v>38</v>
      </c>
      <c r="B58" s="83">
        <v>0</v>
      </c>
      <c r="C58" s="83">
        <v>0</v>
      </c>
      <c r="D58" s="35">
        <v>0</v>
      </c>
      <c r="E58" s="35">
        <v>0</v>
      </c>
      <c r="F58" s="35">
        <v>0</v>
      </c>
      <c r="G58" s="35">
        <v>0</v>
      </c>
      <c r="H58" s="83">
        <v>0</v>
      </c>
      <c r="I58" s="83">
        <v>0</v>
      </c>
      <c r="J58" s="35">
        <v>0</v>
      </c>
      <c r="K58" s="35">
        <v>0</v>
      </c>
      <c r="L58" s="35">
        <v>0</v>
      </c>
      <c r="M58" s="35">
        <v>0</v>
      </c>
    </row>
    <row r="59" spans="1:13">
      <c r="A59" s="20" t="s">
        <v>39</v>
      </c>
      <c r="B59" s="83">
        <v>0</v>
      </c>
      <c r="C59" s="83">
        <v>0</v>
      </c>
      <c r="D59" s="33">
        <v>0</v>
      </c>
      <c r="E59" s="33">
        <v>0</v>
      </c>
      <c r="F59" s="35">
        <f>17.75+0.5*25/3</f>
        <v>21.916666666666668</v>
      </c>
      <c r="G59" s="35">
        <f>17.75+0.5*25/3</f>
        <v>21.916666666666668</v>
      </c>
      <c r="H59" s="83">
        <v>0</v>
      </c>
      <c r="I59" s="83">
        <v>0</v>
      </c>
      <c r="J59" s="33">
        <v>0</v>
      </c>
      <c r="K59" s="33">
        <v>0</v>
      </c>
      <c r="L59" s="35">
        <f>17.75+0.5*25/3</f>
        <v>21.916666666666668</v>
      </c>
      <c r="M59" s="35">
        <f>17.75+0.5*25/3</f>
        <v>21.916666666666668</v>
      </c>
    </row>
    <row r="60" spans="1:13">
      <c r="A60" s="20" t="s">
        <v>40</v>
      </c>
      <c r="B60" s="83">
        <v>0</v>
      </c>
      <c r="C60" s="83">
        <v>0</v>
      </c>
      <c r="D60" s="50">
        <v>0</v>
      </c>
      <c r="E60" s="50">
        <v>0</v>
      </c>
      <c r="F60" s="50">
        <v>0</v>
      </c>
      <c r="G60" s="50">
        <v>0</v>
      </c>
      <c r="H60" s="83">
        <v>0</v>
      </c>
      <c r="I60" s="83">
        <v>0</v>
      </c>
      <c r="J60" s="50">
        <v>0</v>
      </c>
      <c r="K60" s="50">
        <v>0</v>
      </c>
      <c r="L60" s="50">
        <v>0</v>
      </c>
      <c r="M60" s="50">
        <v>0</v>
      </c>
    </row>
    <row r="61" spans="1:13" ht="27.6">
      <c r="A61" s="27" t="s">
        <v>51</v>
      </c>
      <c r="B61" s="74" t="s">
        <v>58</v>
      </c>
      <c r="C61" s="37">
        <f t="shared" ref="C61:M61" si="14">C52-C56+C58-C59+C60-C34</f>
        <v>172.00544779386337</v>
      </c>
      <c r="D61" s="74" t="s">
        <v>58</v>
      </c>
      <c r="E61" s="37">
        <f t="shared" si="14"/>
        <v>167.54544779386339</v>
      </c>
      <c r="F61" s="74" t="s">
        <v>58</v>
      </c>
      <c r="G61" s="37">
        <f t="shared" si="14"/>
        <v>138.88878112719672</v>
      </c>
      <c r="H61" s="74" t="s">
        <v>58</v>
      </c>
      <c r="I61" s="37">
        <f t="shared" si="14"/>
        <v>173.23106693792883</v>
      </c>
      <c r="J61" s="74" t="s">
        <v>58</v>
      </c>
      <c r="K61" s="37">
        <f t="shared" si="14"/>
        <v>167.37106693792884</v>
      </c>
      <c r="L61" s="74" t="s">
        <v>58</v>
      </c>
      <c r="M61" s="37">
        <f t="shared" si="14"/>
        <v>138.71440027126218</v>
      </c>
    </row>
    <row r="62" spans="1:13" ht="27.6">
      <c r="A62" s="27" t="s">
        <v>46</v>
      </c>
      <c r="B62" s="37">
        <f t="shared" ref="B62:L62" si="15">B53-B57+B58-B59+B60-B34</f>
        <v>171.70544779386339</v>
      </c>
      <c r="C62" s="74" t="s">
        <v>58</v>
      </c>
      <c r="D62" s="37">
        <f t="shared" si="15"/>
        <v>168.54544779386339</v>
      </c>
      <c r="E62" s="74" t="s">
        <v>58</v>
      </c>
      <c r="F62" s="37">
        <f t="shared" si="15"/>
        <v>139.88878112719672</v>
      </c>
      <c r="G62" s="74" t="s">
        <v>58</v>
      </c>
      <c r="H62" s="37">
        <f t="shared" si="15"/>
        <v>172.93106693792882</v>
      </c>
      <c r="I62" s="74" t="s">
        <v>58</v>
      </c>
      <c r="J62" s="37">
        <f t="shared" si="15"/>
        <v>167.97106693792884</v>
      </c>
      <c r="K62" s="74" t="s">
        <v>58</v>
      </c>
      <c r="L62" s="37">
        <f t="shared" si="15"/>
        <v>139.31440027126217</v>
      </c>
      <c r="M62" s="74" t="s">
        <v>58</v>
      </c>
    </row>
    <row r="63" spans="1:13">
      <c r="A63" s="19" t="s">
        <v>41</v>
      </c>
      <c r="B63" s="18"/>
      <c r="C63" s="18"/>
      <c r="D63" s="80"/>
      <c r="E63" s="80"/>
      <c r="F63" s="80"/>
      <c r="G63" s="80"/>
      <c r="H63" s="80"/>
      <c r="I63" s="80"/>
      <c r="J63" s="80"/>
      <c r="K63" s="80"/>
      <c r="L63" s="80"/>
      <c r="M63" s="80"/>
    </row>
    <row r="64" spans="1:13" s="87" customFormat="1">
      <c r="A64" s="84"/>
      <c r="B64" s="85"/>
      <c r="C64" s="85"/>
      <c r="D64" s="86"/>
      <c r="E64" s="86"/>
      <c r="F64" s="86"/>
      <c r="G64" s="86"/>
      <c r="H64" s="86"/>
      <c r="I64" s="86"/>
      <c r="J64" s="86"/>
      <c r="K64" s="86"/>
      <c r="L64" s="86"/>
      <c r="M64" s="86"/>
    </row>
    <row r="65" spans="1:13" ht="27.6">
      <c r="A65" s="29" t="s">
        <v>42</v>
      </c>
      <c r="B65" s="88" t="s">
        <v>58</v>
      </c>
      <c r="C65" s="76">
        <f>SQRT((10^((C61-28-20*LOG10(C$4)+9*LOG10(112^2+(C$5-C$6)^2))/40) )^2-(C$5-C$6)^2)</f>
        <v>40174.008381932588</v>
      </c>
      <c r="D65" s="34"/>
      <c r="E65" s="34">
        <f>SQRT((10^((E61-13.54-20*LOG10(E$4)+0.6*(E$6-1.5))/39.08))^2-(E5-E6)^2)</f>
        <v>10472.42338901419</v>
      </c>
      <c r="F65" s="34" t="s">
        <v>90</v>
      </c>
      <c r="G65" s="34">
        <f>SQRT((10^((G61-13.54-20*LOG10(G$4)+0.6*(G$6-1.5))/39.08))^2-(G5-G6)^2)</f>
        <v>1935.2367892842592</v>
      </c>
      <c r="H65" s="88" t="s">
        <v>58</v>
      </c>
      <c r="I65" s="76">
        <f>SQRT((10^((I61-28-20*LOG10(I$4)+9*LOG10(112^2+(I$5-I$6)^2))/40) )^2-(I$5-I$6)^2)</f>
        <v>43110.75753038426</v>
      </c>
      <c r="J65" s="34"/>
      <c r="K65" s="34">
        <f>SQRT((10^((K61-13.54-20*LOG10(K$4)+0.6*(K$6-1.5))/39.08))^2-(K5-K6)^2)</f>
        <v>10365.374993166371</v>
      </c>
      <c r="L65" s="34"/>
      <c r="M65" s="34">
        <f>SQRT((10^((M61-13.54-20*LOG10(M$4)+0.6*(M$6-1.5))/39.08))^2-(M5-M6)^2)</f>
        <v>1915.4520992304058</v>
      </c>
    </row>
    <row r="66" spans="1:13" ht="27.6">
      <c r="A66" s="29" t="s">
        <v>43</v>
      </c>
      <c r="B66" s="76">
        <f>SQRT((10^((B62-28-20*LOG10(B$4)+9*LOG10(112^2+(B$5-B$6)^2))/40) )^2-(B$5-B$6)^2)</f>
        <v>39486.183844923165</v>
      </c>
      <c r="C66" s="88" t="s">
        <v>58</v>
      </c>
      <c r="D66" s="34">
        <f>SQRT((10^((D62-13.54-20*LOG10(D$4)+0.6*(D$6-1.5))/39.08))^2-(D5-D6)^2)</f>
        <v>11107.999457015094</v>
      </c>
      <c r="E66" s="34" t="s">
        <v>90</v>
      </c>
      <c r="F66" s="34">
        <f>SQRT((10^((F62-13.54-20*LOG10(F$4)+0.6*(F$6-1.5))/39.08))^2-(F5-F6)^2)</f>
        <v>2052.703426016642</v>
      </c>
      <c r="G66" s="34" t="s">
        <v>90</v>
      </c>
      <c r="H66" s="76">
        <f>SQRT((10^((H62-28-20*LOG10(H$4)+9*LOG10(112^2+(H$5-H$6)^2))/40) )^2-(H$5-H$6)^2)</f>
        <v>42372.652554409324</v>
      </c>
      <c r="I66" s="88" t="s">
        <v>58</v>
      </c>
      <c r="J66" s="34">
        <f>SQRT((10^((J62-13.54-20*LOG10(J$4)+0.6*(J$6-1.5))/39.08))^2-(J5-J6)^2)</f>
        <v>10738.366352976442</v>
      </c>
      <c r="K66" s="34" t="s">
        <v>90</v>
      </c>
      <c r="L66" s="34">
        <f>SQRT((10^((L62-13.54-20*LOG10(L$4)+0.6*(L$6-1.5))/39.08))^2-(L5-L6)^2)</f>
        <v>1984.3882588000997</v>
      </c>
      <c r="M66" s="34" t="s">
        <v>90</v>
      </c>
    </row>
    <row r="67" spans="1:13" ht="16.8">
      <c r="A67" s="29" t="s">
        <v>96</v>
      </c>
      <c r="B67" s="94" t="s">
        <v>58</v>
      </c>
      <c r="C67" s="94">
        <f>PI()*(C65)^2</f>
        <v>5070376446.1142178</v>
      </c>
      <c r="D67" s="94" t="s">
        <v>58</v>
      </c>
      <c r="E67" s="94">
        <f>PI()*(E65)^2</f>
        <v>344543655.09542334</v>
      </c>
      <c r="F67" s="94" t="s">
        <v>58</v>
      </c>
      <c r="G67" s="94">
        <f>PI()*(G65)^2</f>
        <v>11765708.805025365</v>
      </c>
      <c r="H67" s="94" t="s">
        <v>58</v>
      </c>
      <c r="I67" s="94">
        <f>PI()*(I65)^2</f>
        <v>5838767488.8943663</v>
      </c>
      <c r="J67" s="94" t="s">
        <v>58</v>
      </c>
      <c r="K67" s="94">
        <f>PI()*(K65)^2</f>
        <v>337535852.36407894</v>
      </c>
      <c r="L67" s="94" t="s">
        <v>58</v>
      </c>
      <c r="M67" s="94">
        <f>PI()*(M65)^2</f>
        <v>11526367.554690806</v>
      </c>
    </row>
    <row r="68" spans="1:13" ht="16.8">
      <c r="A68" s="29" t="s">
        <v>97</v>
      </c>
      <c r="B68" s="94">
        <f>PI()*(B66)^2</f>
        <v>4898241563.6780443</v>
      </c>
      <c r="C68" s="94" t="s">
        <v>58</v>
      </c>
      <c r="D68" s="94">
        <f>PI()*(D66)^2</f>
        <v>387633740.86912322</v>
      </c>
      <c r="E68" s="94" t="s">
        <v>58</v>
      </c>
      <c r="F68" s="94">
        <f>PI()*(F66)^2</f>
        <v>13237387.64666439</v>
      </c>
      <c r="G68" s="94" t="s">
        <v>58</v>
      </c>
      <c r="H68" s="94">
        <f>PI()*(H66)^2</f>
        <v>5640546405.9636879</v>
      </c>
      <c r="I68" s="94" t="s">
        <v>58</v>
      </c>
      <c r="J68" s="94">
        <f>PI()*(J66)^2</f>
        <v>362264940.34858739</v>
      </c>
      <c r="K68" s="94" t="s">
        <v>58</v>
      </c>
      <c r="L68" s="94">
        <f>PI()*(L66)^2</f>
        <v>12370953.377772331</v>
      </c>
      <c r="M68" s="94" t="s">
        <v>58</v>
      </c>
    </row>
    <row r="70" spans="1:13">
      <c r="A70" s="48"/>
    </row>
    <row r="73" spans="1:13">
      <c r="A73" s="43"/>
      <c r="B73" s="90"/>
      <c r="C73" s="90"/>
      <c r="D73" s="44"/>
      <c r="E73" s="44"/>
      <c r="F73" s="44"/>
      <c r="G73" s="44"/>
      <c r="H73" s="44"/>
      <c r="I73" s="44"/>
      <c r="J73" s="44"/>
      <c r="K73" s="44"/>
      <c r="L73" s="44"/>
      <c r="M73" s="44"/>
    </row>
  </sheetData>
  <mergeCells count="2">
    <mergeCell ref="D1:G1"/>
    <mergeCell ref="J1:M1"/>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70" zoomScaleNormal="70" workbookViewId="0">
      <pane xSplit="1" ySplit="3" topLeftCell="B18" activePane="bottomRight" state="frozen"/>
      <selection pane="topRight" activeCell="B1" sqref="B1"/>
      <selection pane="bottomLeft" activeCell="A4" sqref="A4"/>
      <selection pane="bottomRight" activeCell="E18" sqref="E18"/>
    </sheetView>
  </sheetViews>
  <sheetFormatPr defaultColWidth="9" defaultRowHeight="15.6"/>
  <cols>
    <col min="1" max="1" width="69" style="52" customWidth="1"/>
    <col min="2" max="2" width="11.5" style="53" bestFit="1" customWidth="1"/>
    <col min="3" max="3" width="14.5" style="53" bestFit="1" customWidth="1"/>
    <col min="4" max="4" width="12.5" style="54" customWidth="1"/>
    <col min="5" max="5" width="12" style="54" customWidth="1"/>
    <col min="6" max="6" width="12.5" style="54" customWidth="1"/>
    <col min="7" max="7" width="11.5" style="54" customWidth="1"/>
    <col min="8" max="8" width="12" style="54" customWidth="1"/>
    <col min="9" max="9" width="15.796875" style="54" customWidth="1"/>
    <col min="10" max="16384" width="9" style="1"/>
  </cols>
  <sheetData>
    <row r="1" spans="1:9" ht="15" customHeight="1">
      <c r="A1" s="18"/>
      <c r="B1" s="31"/>
      <c r="C1" s="121" t="s">
        <v>47</v>
      </c>
      <c r="D1" s="122"/>
      <c r="E1" s="123"/>
      <c r="F1" s="31"/>
      <c r="G1" s="121" t="s">
        <v>47</v>
      </c>
      <c r="H1" s="122"/>
      <c r="I1" s="123"/>
    </row>
    <row r="2" spans="1:9">
      <c r="A2" s="17" t="s">
        <v>0</v>
      </c>
      <c r="B2" s="121" t="s">
        <v>49</v>
      </c>
      <c r="C2" s="123"/>
      <c r="D2" s="31"/>
      <c r="E2" s="31"/>
      <c r="F2" s="121" t="s">
        <v>49</v>
      </c>
      <c r="G2" s="123"/>
      <c r="H2" s="31"/>
      <c r="I2" s="31"/>
    </row>
    <row r="3" spans="1:9" ht="41.4">
      <c r="A3" s="17"/>
      <c r="B3" s="31" t="s">
        <v>50</v>
      </c>
      <c r="C3" s="31" t="s">
        <v>54</v>
      </c>
      <c r="D3" s="31" t="s">
        <v>48</v>
      </c>
      <c r="E3" s="31" t="s">
        <v>55</v>
      </c>
      <c r="F3" s="31" t="s">
        <v>56</v>
      </c>
      <c r="G3" s="31" t="s">
        <v>53</v>
      </c>
      <c r="H3" s="31" t="s">
        <v>52</v>
      </c>
      <c r="I3" s="31" t="s">
        <v>57</v>
      </c>
    </row>
    <row r="4" spans="1:9">
      <c r="A4" s="19" t="s">
        <v>1</v>
      </c>
      <c r="B4" s="32"/>
      <c r="C4" s="32"/>
      <c r="D4" s="32"/>
      <c r="E4" s="32"/>
      <c r="F4" s="32"/>
      <c r="G4" s="32"/>
      <c r="H4" s="32"/>
      <c r="I4" s="32"/>
    </row>
    <row r="5" spans="1:9">
      <c r="A5" s="20" t="s">
        <v>2</v>
      </c>
      <c r="B5" s="33">
        <v>0.7</v>
      </c>
      <c r="C5" s="34">
        <v>0.7</v>
      </c>
      <c r="D5" s="33">
        <v>0.7</v>
      </c>
      <c r="E5" s="34">
        <v>0.7</v>
      </c>
      <c r="F5" s="33">
        <v>0.7</v>
      </c>
      <c r="G5" s="34">
        <v>0.7</v>
      </c>
      <c r="H5" s="33">
        <v>0.7</v>
      </c>
      <c r="I5" s="34">
        <v>0.7</v>
      </c>
    </row>
    <row r="6" spans="1:9">
      <c r="A6" s="20" t="s">
        <v>3</v>
      </c>
      <c r="B6" s="33">
        <v>25</v>
      </c>
      <c r="C6" s="34">
        <v>25</v>
      </c>
      <c r="D6" s="34">
        <v>25</v>
      </c>
      <c r="E6" s="34">
        <v>25</v>
      </c>
      <c r="F6" s="33">
        <v>25</v>
      </c>
      <c r="G6" s="34">
        <v>25</v>
      </c>
      <c r="H6" s="34">
        <v>25</v>
      </c>
      <c r="I6" s="34">
        <v>25</v>
      </c>
    </row>
    <row r="7" spans="1:9">
      <c r="A7" s="20" t="s">
        <v>4</v>
      </c>
      <c r="B7" s="33">
        <v>1.5</v>
      </c>
      <c r="C7" s="34">
        <v>1.5</v>
      </c>
      <c r="D7" s="33">
        <v>1.5</v>
      </c>
      <c r="E7" s="34">
        <v>1.5</v>
      </c>
      <c r="F7" s="33">
        <v>1.5</v>
      </c>
      <c r="G7" s="34">
        <v>1.5</v>
      </c>
      <c r="H7" s="33">
        <v>1.5</v>
      </c>
      <c r="I7" s="34">
        <v>1.5</v>
      </c>
    </row>
    <row r="8" spans="1:9">
      <c r="A8" s="20" t="s">
        <v>145</v>
      </c>
      <c r="B8" s="21" t="s">
        <v>58</v>
      </c>
      <c r="C8" s="21">
        <v>0.95</v>
      </c>
      <c r="D8" s="21" t="s">
        <v>58</v>
      </c>
      <c r="E8" s="21">
        <v>0.95</v>
      </c>
      <c r="F8" s="21" t="s">
        <v>58</v>
      </c>
      <c r="G8" s="21">
        <v>0.95</v>
      </c>
      <c r="H8" s="21" t="s">
        <v>58</v>
      </c>
      <c r="I8" s="21">
        <v>0.95</v>
      </c>
    </row>
    <row r="9" spans="1:9">
      <c r="A9" s="20" t="s">
        <v>146</v>
      </c>
      <c r="B9" s="21">
        <v>0.9</v>
      </c>
      <c r="C9" s="21" t="s">
        <v>58</v>
      </c>
      <c r="D9" s="21">
        <v>0.9</v>
      </c>
      <c r="E9" s="21" t="s">
        <v>58</v>
      </c>
      <c r="F9" s="21">
        <v>0.9</v>
      </c>
      <c r="G9" s="21" t="s">
        <v>58</v>
      </c>
      <c r="H9" s="21">
        <v>0.9</v>
      </c>
      <c r="I9" s="21" t="s">
        <v>58</v>
      </c>
    </row>
    <row r="10" spans="1:9">
      <c r="A10" s="20" t="s">
        <v>5</v>
      </c>
      <c r="B10" s="33" t="s">
        <v>58</v>
      </c>
      <c r="C10" s="34"/>
      <c r="D10" s="33" t="s">
        <v>58</v>
      </c>
      <c r="E10" s="34"/>
      <c r="F10" s="33" t="s">
        <v>58</v>
      </c>
      <c r="G10" s="34"/>
      <c r="H10" s="33" t="s">
        <v>58</v>
      </c>
      <c r="I10" s="34"/>
    </row>
    <row r="11" spans="1:9">
      <c r="A11" s="20" t="s">
        <v>6</v>
      </c>
      <c r="B11" s="93">
        <f>32*8/0.001</f>
        <v>256000</v>
      </c>
      <c r="C11" s="94" t="s">
        <v>58</v>
      </c>
      <c r="D11" s="93">
        <f>32*8/0.001</f>
        <v>256000</v>
      </c>
      <c r="E11" s="94" t="s">
        <v>58</v>
      </c>
      <c r="F11" s="93">
        <f>32*8/0.001</f>
        <v>256000</v>
      </c>
      <c r="G11" s="94" t="s">
        <v>58</v>
      </c>
      <c r="H11" s="93">
        <f>32*8/0.001</f>
        <v>256000</v>
      </c>
      <c r="I11" s="94" t="s">
        <v>58</v>
      </c>
    </row>
    <row r="12" spans="1:9" ht="30" customHeight="1">
      <c r="A12" s="20" t="s">
        <v>7</v>
      </c>
      <c r="B12" s="93" t="s">
        <v>58</v>
      </c>
      <c r="C12" s="93">
        <v>1.0000000000000001E-5</v>
      </c>
      <c r="D12" s="93" t="s">
        <v>58</v>
      </c>
      <c r="E12" s="93">
        <v>1.0000000000000001E-5</v>
      </c>
      <c r="F12" s="93" t="s">
        <v>58</v>
      </c>
      <c r="G12" s="93">
        <v>1.0000000000000001E-5</v>
      </c>
      <c r="H12" s="93" t="s">
        <v>58</v>
      </c>
      <c r="I12" s="93">
        <v>1.0000000000000001E-5</v>
      </c>
    </row>
    <row r="13" spans="1:9">
      <c r="A13" s="20" t="s">
        <v>8</v>
      </c>
      <c r="B13" s="93">
        <v>1.0000000000000001E-5</v>
      </c>
      <c r="C13" s="94" t="s">
        <v>58</v>
      </c>
      <c r="D13" s="93">
        <v>1.0000000000000001E-5</v>
      </c>
      <c r="E13" s="94" t="s">
        <v>58</v>
      </c>
      <c r="F13" s="93">
        <v>1.0000000000000001E-5</v>
      </c>
      <c r="G13" s="94" t="s">
        <v>58</v>
      </c>
      <c r="H13" s="93">
        <v>1.0000000000000001E-5</v>
      </c>
      <c r="I13" s="94" t="s">
        <v>58</v>
      </c>
    </row>
    <row r="14" spans="1:9">
      <c r="A14" s="20" t="s">
        <v>91</v>
      </c>
      <c r="B14" s="93">
        <f>B11/B43</f>
        <v>4.4444444444444446E-2</v>
      </c>
      <c r="C14" s="94" t="s">
        <v>58</v>
      </c>
      <c r="D14" s="93">
        <f>D11/D43</f>
        <v>1.3943355119825708E-2</v>
      </c>
      <c r="E14" s="94" t="s">
        <v>58</v>
      </c>
      <c r="F14" s="93">
        <f>F11/F43</f>
        <v>4.4444444444444446E-2</v>
      </c>
      <c r="G14" s="94" t="s">
        <v>58</v>
      </c>
      <c r="H14" s="93">
        <f>H11/H43</f>
        <v>1.3943355119825708E-2</v>
      </c>
      <c r="I14" s="94" t="s">
        <v>58</v>
      </c>
    </row>
    <row r="15" spans="1:9">
      <c r="A15" s="20" t="s">
        <v>92</v>
      </c>
      <c r="B15" s="94" t="s">
        <v>106</v>
      </c>
      <c r="C15" s="94" t="s">
        <v>106</v>
      </c>
      <c r="D15" s="93" t="s">
        <v>106</v>
      </c>
      <c r="E15" s="94" t="s">
        <v>106</v>
      </c>
      <c r="F15" s="94" t="s">
        <v>107</v>
      </c>
      <c r="G15" s="94" t="s">
        <v>107</v>
      </c>
      <c r="H15" s="94" t="s">
        <v>107</v>
      </c>
      <c r="I15" s="94" t="s">
        <v>107</v>
      </c>
    </row>
    <row r="16" spans="1:9">
      <c r="A16" s="20" t="s">
        <v>87</v>
      </c>
      <c r="B16" s="93">
        <v>30</v>
      </c>
      <c r="C16" s="94">
        <v>30</v>
      </c>
      <c r="D16" s="94">
        <v>30</v>
      </c>
      <c r="E16" s="94">
        <v>30</v>
      </c>
      <c r="F16" s="94">
        <v>3</v>
      </c>
      <c r="G16" s="94">
        <v>3</v>
      </c>
      <c r="H16" s="94">
        <v>3</v>
      </c>
      <c r="I16" s="94">
        <v>3</v>
      </c>
    </row>
    <row r="17" spans="1:9">
      <c r="A17" s="20" t="s">
        <v>9</v>
      </c>
      <c r="B17" s="94">
        <v>3</v>
      </c>
      <c r="C17" s="94">
        <v>3</v>
      </c>
      <c r="D17" s="93">
        <v>3</v>
      </c>
      <c r="E17" s="94">
        <v>3</v>
      </c>
      <c r="F17" s="94">
        <v>3</v>
      </c>
      <c r="G17" s="94">
        <v>3</v>
      </c>
      <c r="H17" s="94">
        <v>3</v>
      </c>
      <c r="I17" s="94">
        <v>3</v>
      </c>
    </row>
    <row r="18" spans="1:9">
      <c r="A18" s="19" t="s">
        <v>10</v>
      </c>
      <c r="B18" s="92"/>
      <c r="C18" s="92"/>
      <c r="D18" s="92"/>
      <c r="E18" s="92"/>
      <c r="F18" s="92"/>
      <c r="G18" s="92"/>
      <c r="H18" s="92"/>
      <c r="I18" s="92"/>
    </row>
    <row r="19" spans="1:9" ht="27.6">
      <c r="A19" s="20" t="s">
        <v>85</v>
      </c>
      <c r="B19" s="93">
        <v>1</v>
      </c>
      <c r="C19" s="93">
        <v>64</v>
      </c>
      <c r="D19" s="93">
        <v>64</v>
      </c>
      <c r="E19" s="94">
        <v>1</v>
      </c>
      <c r="F19" s="93">
        <v>1</v>
      </c>
      <c r="G19" s="93">
        <v>64</v>
      </c>
      <c r="H19" s="93">
        <v>64</v>
      </c>
      <c r="I19" s="94">
        <v>1</v>
      </c>
    </row>
    <row r="20" spans="1:9">
      <c r="A20" s="20" t="s">
        <v>108</v>
      </c>
      <c r="B20" s="93">
        <v>1</v>
      </c>
      <c r="C20" s="93">
        <v>2</v>
      </c>
      <c r="D20" s="93">
        <v>2</v>
      </c>
      <c r="E20" s="94">
        <v>1</v>
      </c>
      <c r="F20" s="93">
        <v>1</v>
      </c>
      <c r="G20" s="93">
        <v>2</v>
      </c>
      <c r="H20" s="93">
        <v>2</v>
      </c>
      <c r="I20" s="94">
        <v>1</v>
      </c>
    </row>
    <row r="21" spans="1:9">
      <c r="A21" s="20" t="s">
        <v>11</v>
      </c>
      <c r="B21" s="93">
        <v>23</v>
      </c>
      <c r="C21" s="93">
        <v>28</v>
      </c>
      <c r="D21" s="93">
        <v>28</v>
      </c>
      <c r="E21" s="94">
        <v>23</v>
      </c>
      <c r="F21" s="93">
        <v>23</v>
      </c>
      <c r="G21" s="93">
        <v>28</v>
      </c>
      <c r="H21" s="93">
        <v>28</v>
      </c>
      <c r="I21" s="94">
        <v>23</v>
      </c>
    </row>
    <row r="22" spans="1:9" ht="30.6">
      <c r="A22" s="41" t="s">
        <v>142</v>
      </c>
      <c r="B22" s="95">
        <v>26</v>
      </c>
      <c r="C22" s="95">
        <f t="shared" ref="C22:I22" si="0">C21+10*LOG10(C19)</f>
        <v>46.061799739838875</v>
      </c>
      <c r="D22" s="95">
        <f t="shared" si="0"/>
        <v>46.061799739838875</v>
      </c>
      <c r="E22" s="95">
        <f t="shared" si="0"/>
        <v>23</v>
      </c>
      <c r="F22" s="95">
        <v>26</v>
      </c>
      <c r="G22" s="95">
        <f t="shared" si="0"/>
        <v>46.061799739838875</v>
      </c>
      <c r="H22" s="95">
        <f t="shared" si="0"/>
        <v>46.061799739838875</v>
      </c>
      <c r="I22" s="95">
        <f t="shared" si="0"/>
        <v>23</v>
      </c>
    </row>
    <row r="23" spans="1:9">
      <c r="A23" s="20" t="s">
        <v>12</v>
      </c>
      <c r="B23" s="93">
        <v>0</v>
      </c>
      <c r="C23" s="93">
        <v>8</v>
      </c>
      <c r="D23" s="93">
        <v>8</v>
      </c>
      <c r="E23" s="94">
        <v>0</v>
      </c>
      <c r="F23" s="93">
        <v>0</v>
      </c>
      <c r="G23" s="93">
        <v>8</v>
      </c>
      <c r="H23" s="93">
        <v>8</v>
      </c>
      <c r="I23" s="94">
        <v>0</v>
      </c>
    </row>
    <row r="24" spans="1:9" ht="45" customHeight="1">
      <c r="A24" s="42" t="s">
        <v>13</v>
      </c>
      <c r="B24" s="95">
        <f t="shared" ref="B24:I24" si="1">IF(B19&gt;=2, 10*LOG10(B19/2), 0)</f>
        <v>0</v>
      </c>
      <c r="C24" s="95">
        <f t="shared" si="1"/>
        <v>15.051499783199061</v>
      </c>
      <c r="D24" s="95">
        <f t="shared" si="1"/>
        <v>15.051499783199061</v>
      </c>
      <c r="E24" s="95">
        <f t="shared" si="1"/>
        <v>0</v>
      </c>
      <c r="F24" s="95">
        <f t="shared" si="1"/>
        <v>0</v>
      </c>
      <c r="G24" s="95">
        <f t="shared" si="1"/>
        <v>15.051499783199061</v>
      </c>
      <c r="H24" s="95">
        <f t="shared" si="1"/>
        <v>15.051499783199061</v>
      </c>
      <c r="I24" s="95">
        <f t="shared" si="1"/>
        <v>0</v>
      </c>
    </row>
    <row r="25" spans="1:9">
      <c r="A25" s="20" t="s">
        <v>14</v>
      </c>
      <c r="B25" s="94">
        <v>0</v>
      </c>
      <c r="C25" s="93">
        <v>0</v>
      </c>
      <c r="D25" s="93">
        <v>0</v>
      </c>
      <c r="E25" s="94">
        <v>0</v>
      </c>
      <c r="F25" s="94">
        <v>0</v>
      </c>
      <c r="G25" s="93">
        <v>0</v>
      </c>
      <c r="H25" s="93">
        <v>0</v>
      </c>
      <c r="I25" s="94">
        <v>0</v>
      </c>
    </row>
    <row r="26" spans="1:9">
      <c r="A26" s="20" t="s">
        <v>15</v>
      </c>
      <c r="B26" s="94">
        <v>0</v>
      </c>
      <c r="C26" s="93">
        <v>0</v>
      </c>
      <c r="D26" s="93">
        <v>0</v>
      </c>
      <c r="E26" s="94">
        <v>0</v>
      </c>
      <c r="F26" s="94">
        <v>0</v>
      </c>
      <c r="G26" s="93">
        <v>0</v>
      </c>
      <c r="H26" s="93">
        <v>0</v>
      </c>
      <c r="I26" s="94">
        <v>0</v>
      </c>
    </row>
    <row r="27" spans="1:9" ht="27.6">
      <c r="A27" s="20" t="s">
        <v>16</v>
      </c>
      <c r="B27" s="94">
        <v>1</v>
      </c>
      <c r="C27" s="93">
        <v>3</v>
      </c>
      <c r="D27" s="93">
        <v>3</v>
      </c>
      <c r="E27" s="94">
        <v>1</v>
      </c>
      <c r="F27" s="94">
        <v>1</v>
      </c>
      <c r="G27" s="93">
        <v>3</v>
      </c>
      <c r="H27" s="93">
        <v>3</v>
      </c>
      <c r="I27" s="94">
        <v>1</v>
      </c>
    </row>
    <row r="28" spans="1:9">
      <c r="A28" s="25" t="s">
        <v>17</v>
      </c>
      <c r="B28" s="96">
        <f t="shared" ref="B28:I28" si="2">B22+B23+B24+B25-B27</f>
        <v>25</v>
      </c>
      <c r="C28" s="96">
        <f t="shared" si="2"/>
        <v>66.113299523037938</v>
      </c>
      <c r="D28" s="96">
        <f t="shared" si="2"/>
        <v>66.113299523037938</v>
      </c>
      <c r="E28" s="96">
        <f t="shared" si="2"/>
        <v>22</v>
      </c>
      <c r="F28" s="96">
        <f t="shared" si="2"/>
        <v>25</v>
      </c>
      <c r="G28" s="96">
        <f t="shared" si="2"/>
        <v>66.113299523037938</v>
      </c>
      <c r="H28" s="96">
        <f t="shared" si="2"/>
        <v>66.113299523037938</v>
      </c>
      <c r="I28" s="96">
        <f t="shared" si="2"/>
        <v>22</v>
      </c>
    </row>
    <row r="29" spans="1:9">
      <c r="A29" s="25" t="s">
        <v>18</v>
      </c>
      <c r="B29" s="96">
        <f t="shared" ref="B29:I29" si="3">B22+B23+B24-B26-B27</f>
        <v>25</v>
      </c>
      <c r="C29" s="96">
        <f t="shared" si="3"/>
        <v>66.113299523037938</v>
      </c>
      <c r="D29" s="96">
        <f t="shared" si="3"/>
        <v>66.113299523037938</v>
      </c>
      <c r="E29" s="96">
        <f t="shared" si="3"/>
        <v>22</v>
      </c>
      <c r="F29" s="96">
        <f t="shared" si="3"/>
        <v>25</v>
      </c>
      <c r="G29" s="96">
        <f t="shared" si="3"/>
        <v>66.113299523037938</v>
      </c>
      <c r="H29" s="96">
        <f t="shared" si="3"/>
        <v>66.113299523037938</v>
      </c>
      <c r="I29" s="96">
        <f t="shared" si="3"/>
        <v>22</v>
      </c>
    </row>
    <row r="30" spans="1:9">
      <c r="A30" s="19" t="s">
        <v>19</v>
      </c>
      <c r="B30" s="92"/>
      <c r="C30" s="92"/>
      <c r="D30" s="92"/>
      <c r="E30" s="92"/>
      <c r="F30" s="92"/>
      <c r="G30" s="92"/>
      <c r="H30" s="92"/>
      <c r="I30" s="92"/>
    </row>
    <row r="31" spans="1:9" ht="27.6">
      <c r="A31" s="20" t="s">
        <v>84</v>
      </c>
      <c r="B31" s="93">
        <v>64</v>
      </c>
      <c r="C31" s="93">
        <v>2</v>
      </c>
      <c r="D31" s="93">
        <v>2</v>
      </c>
      <c r="E31" s="94">
        <v>64</v>
      </c>
      <c r="F31" s="93">
        <v>64</v>
      </c>
      <c r="G31" s="93">
        <v>2</v>
      </c>
      <c r="H31" s="93">
        <v>2</v>
      </c>
      <c r="I31" s="94">
        <v>64</v>
      </c>
    </row>
    <row r="32" spans="1:9">
      <c r="A32" s="20" t="s">
        <v>122</v>
      </c>
      <c r="B32" s="93">
        <v>2</v>
      </c>
      <c r="C32" s="93">
        <v>2</v>
      </c>
      <c r="D32" s="93">
        <v>2</v>
      </c>
      <c r="E32" s="94">
        <v>2</v>
      </c>
      <c r="F32" s="93">
        <v>2</v>
      </c>
      <c r="G32" s="93">
        <v>2</v>
      </c>
      <c r="H32" s="93">
        <v>2</v>
      </c>
      <c r="I32" s="94">
        <v>2</v>
      </c>
    </row>
    <row r="33" spans="1:9">
      <c r="A33" s="20" t="s">
        <v>20</v>
      </c>
      <c r="B33" s="93">
        <v>8</v>
      </c>
      <c r="C33" s="93">
        <v>0</v>
      </c>
      <c r="D33" s="93">
        <v>0</v>
      </c>
      <c r="E33" s="94">
        <v>8</v>
      </c>
      <c r="F33" s="93">
        <v>8</v>
      </c>
      <c r="G33" s="93">
        <v>0</v>
      </c>
      <c r="H33" s="93">
        <v>0</v>
      </c>
      <c r="I33" s="94">
        <v>8</v>
      </c>
    </row>
    <row r="34" spans="1:9" ht="27.6">
      <c r="A34" s="26" t="s">
        <v>88</v>
      </c>
      <c r="B34" s="95">
        <f t="shared" ref="B34:I34" si="4">IF(B31&gt;=2, 10*LOG10(B31/2), 0)</f>
        <v>15.051499783199061</v>
      </c>
      <c r="C34" s="95">
        <f t="shared" si="4"/>
        <v>0</v>
      </c>
      <c r="D34" s="95">
        <f t="shared" si="4"/>
        <v>0</v>
      </c>
      <c r="E34" s="95">
        <f t="shared" si="4"/>
        <v>15.051499783199061</v>
      </c>
      <c r="F34" s="95">
        <f t="shared" si="4"/>
        <v>15.051499783199061</v>
      </c>
      <c r="G34" s="95">
        <f t="shared" si="4"/>
        <v>0</v>
      </c>
      <c r="H34" s="95">
        <f t="shared" si="4"/>
        <v>0</v>
      </c>
      <c r="I34" s="95">
        <f t="shared" si="4"/>
        <v>15.051499783199061</v>
      </c>
    </row>
    <row r="35" spans="1:9" ht="27.6">
      <c r="A35" s="20" t="s">
        <v>21</v>
      </c>
      <c r="B35" s="94">
        <v>3</v>
      </c>
      <c r="C35" s="93">
        <v>1</v>
      </c>
      <c r="D35" s="93">
        <v>1</v>
      </c>
      <c r="E35" s="97">
        <v>3</v>
      </c>
      <c r="F35" s="94">
        <v>3</v>
      </c>
      <c r="G35" s="93">
        <v>1</v>
      </c>
      <c r="H35" s="93">
        <v>1</v>
      </c>
      <c r="I35" s="97">
        <v>3</v>
      </c>
    </row>
    <row r="36" spans="1:9">
      <c r="A36" s="20" t="s">
        <v>22</v>
      </c>
      <c r="B36" s="94">
        <v>5</v>
      </c>
      <c r="C36" s="93">
        <v>7</v>
      </c>
      <c r="D36" s="93">
        <v>7</v>
      </c>
      <c r="E36" s="94">
        <v>5</v>
      </c>
      <c r="F36" s="94">
        <v>5</v>
      </c>
      <c r="G36" s="93">
        <v>7</v>
      </c>
      <c r="H36" s="93">
        <v>7</v>
      </c>
      <c r="I36" s="94">
        <v>5</v>
      </c>
    </row>
    <row r="37" spans="1:9">
      <c r="A37" s="20" t="s">
        <v>23</v>
      </c>
      <c r="B37" s="33">
        <v>-174</v>
      </c>
      <c r="C37" s="33">
        <v>-174</v>
      </c>
      <c r="D37" s="33">
        <v>-174</v>
      </c>
      <c r="E37" s="34">
        <v>-174</v>
      </c>
      <c r="F37" s="33">
        <v>-174</v>
      </c>
      <c r="G37" s="33">
        <v>-174</v>
      </c>
      <c r="H37" s="33">
        <v>-174</v>
      </c>
      <c r="I37" s="34">
        <v>-174</v>
      </c>
    </row>
    <row r="38" spans="1:9">
      <c r="A38" s="20" t="s">
        <v>147</v>
      </c>
      <c r="B38" s="34" t="s">
        <v>58</v>
      </c>
      <c r="C38" s="33">
        <v>-169.3</v>
      </c>
      <c r="D38" s="33" t="s">
        <v>58</v>
      </c>
      <c r="E38" s="34">
        <v>-161.69999999999999</v>
      </c>
      <c r="F38" s="34" t="s">
        <v>58</v>
      </c>
      <c r="G38" s="33">
        <v>-169.3</v>
      </c>
      <c r="H38" s="33" t="s">
        <v>58</v>
      </c>
      <c r="I38" s="34">
        <v>-161.69999999999999</v>
      </c>
    </row>
    <row r="39" spans="1:9">
      <c r="A39" s="20" t="s">
        <v>24</v>
      </c>
      <c r="B39" s="34">
        <v>-165.7</v>
      </c>
      <c r="C39" s="33" t="s">
        <v>58</v>
      </c>
      <c r="D39" s="33">
        <v>-169.3</v>
      </c>
      <c r="E39" s="34" t="s">
        <v>58</v>
      </c>
      <c r="F39" s="34">
        <v>-165.7</v>
      </c>
      <c r="G39" s="33" t="s">
        <v>58</v>
      </c>
      <c r="H39" s="33">
        <v>-169.3</v>
      </c>
      <c r="I39" s="34" t="s">
        <v>58</v>
      </c>
    </row>
    <row r="40" spans="1:9" ht="27.6">
      <c r="A40" s="25" t="s">
        <v>148</v>
      </c>
      <c r="B40" s="105" t="s">
        <v>58</v>
      </c>
      <c r="C40" s="105">
        <f t="shared" ref="C40:I40" si="5">10*LOG10(10^((C36+C37)/10)+10^(C38/10))</f>
        <v>-164.98918835931039</v>
      </c>
      <c r="D40" s="105" t="s">
        <v>58</v>
      </c>
      <c r="E40" s="105">
        <f t="shared" si="5"/>
        <v>-160.9583889004532</v>
      </c>
      <c r="F40" s="105" t="s">
        <v>58</v>
      </c>
      <c r="G40" s="105">
        <f t="shared" si="5"/>
        <v>-164.98918835931039</v>
      </c>
      <c r="H40" s="105" t="s">
        <v>58</v>
      </c>
      <c r="I40" s="105">
        <f t="shared" si="5"/>
        <v>-160.9583889004532</v>
      </c>
    </row>
    <row r="41" spans="1:9" ht="27.6">
      <c r="A41" s="25" t="s">
        <v>149</v>
      </c>
      <c r="B41" s="105">
        <f t="shared" ref="B41:H41" si="6">10*LOG10(10^((B36+B37)/10)+10^(B39/10))</f>
        <v>-164.03352307536667</v>
      </c>
      <c r="C41" s="105" t="s">
        <v>58</v>
      </c>
      <c r="D41" s="105">
        <f t="shared" si="6"/>
        <v>-164.98918835931039</v>
      </c>
      <c r="E41" s="105" t="s">
        <v>58</v>
      </c>
      <c r="F41" s="105">
        <f t="shared" si="6"/>
        <v>-164.03352307536667</v>
      </c>
      <c r="G41" s="105" t="s">
        <v>58</v>
      </c>
      <c r="H41" s="105">
        <f t="shared" si="6"/>
        <v>-164.98918835931039</v>
      </c>
      <c r="I41" s="105" t="s">
        <v>58</v>
      </c>
    </row>
    <row r="42" spans="1:9" ht="27.6">
      <c r="A42" s="20" t="s">
        <v>25</v>
      </c>
      <c r="B42" s="33" t="s">
        <v>58</v>
      </c>
      <c r="C42" s="33">
        <f>MaxN_RB!$F$7*12*30*1000</f>
        <v>18360000</v>
      </c>
      <c r="D42" s="33" t="s">
        <v>58</v>
      </c>
      <c r="E42" s="33">
        <f>1*12*30*1000</f>
        <v>360000</v>
      </c>
      <c r="F42" s="33" t="s">
        <v>58</v>
      </c>
      <c r="G42" s="33">
        <f>MaxN_RB!$F$7*12*30*1000</f>
        <v>18360000</v>
      </c>
      <c r="H42" s="33" t="s">
        <v>58</v>
      </c>
      <c r="I42" s="33">
        <f>1*12*30*1000</f>
        <v>360000</v>
      </c>
    </row>
    <row r="43" spans="1:9" ht="27.6">
      <c r="A43" s="20" t="s">
        <v>26</v>
      </c>
      <c r="B43" s="33">
        <f>16*12*30*1000</f>
        <v>5760000</v>
      </c>
      <c r="C43" s="33" t="s">
        <v>58</v>
      </c>
      <c r="D43" s="33">
        <f>MaxN_RB!$F$7*12*30*1000</f>
        <v>18360000</v>
      </c>
      <c r="E43" s="33" t="s">
        <v>58</v>
      </c>
      <c r="F43" s="33">
        <f>16*12*30*1000</f>
        <v>5760000</v>
      </c>
      <c r="G43" s="33" t="s">
        <v>58</v>
      </c>
      <c r="H43" s="33">
        <f>MaxN_RB!$F$7*12*30*1000</f>
        <v>18360000</v>
      </c>
      <c r="I43" s="33" t="s">
        <v>58</v>
      </c>
    </row>
    <row r="44" spans="1:9">
      <c r="A44" s="25" t="s">
        <v>27</v>
      </c>
      <c r="B44" s="105" t="s">
        <v>58</v>
      </c>
      <c r="C44" s="105">
        <f t="shared" ref="B44:C45" si="7">C40+10*LOG10(C42)</f>
        <v>-92.350461590658156</v>
      </c>
      <c r="D44" s="105" t="s">
        <v>58</v>
      </c>
      <c r="E44" s="105">
        <f t="shared" ref="E44:I45" si="8">E40+10*LOG10(E42)</f>
        <v>-105.39536389278032</v>
      </c>
      <c r="F44" s="105" t="s">
        <v>58</v>
      </c>
      <c r="G44" s="105">
        <f t="shared" si="8"/>
        <v>-92.350461590658156</v>
      </c>
      <c r="H44" s="105" t="s">
        <v>58</v>
      </c>
      <c r="I44" s="105">
        <f t="shared" si="8"/>
        <v>-105.39536389278032</v>
      </c>
    </row>
    <row r="45" spans="1:9">
      <c r="A45" s="25" t="s">
        <v>28</v>
      </c>
      <c r="B45" s="105">
        <f t="shared" si="7"/>
        <v>-96.42929824113456</v>
      </c>
      <c r="C45" s="105" t="s">
        <v>58</v>
      </c>
      <c r="D45" s="105">
        <f>D41+10*LOG10(D43)</f>
        <v>-92.350461590658156</v>
      </c>
      <c r="E45" s="105" t="s">
        <v>58</v>
      </c>
      <c r="F45" s="105">
        <f t="shared" si="8"/>
        <v>-96.42929824113456</v>
      </c>
      <c r="G45" s="105" t="s">
        <v>58</v>
      </c>
      <c r="H45" s="105">
        <f t="shared" si="8"/>
        <v>-92.350461590658156</v>
      </c>
      <c r="I45" s="105" t="s">
        <v>58</v>
      </c>
    </row>
    <row r="46" spans="1:9">
      <c r="A46" s="20" t="s">
        <v>29</v>
      </c>
      <c r="B46" s="63" t="s">
        <v>58</v>
      </c>
      <c r="C46" s="63">
        <v>-2.7</v>
      </c>
      <c r="D46" s="75" t="s">
        <v>58</v>
      </c>
      <c r="E46" s="63">
        <v>4.2</v>
      </c>
      <c r="F46" s="70" t="s">
        <v>58</v>
      </c>
      <c r="G46" s="70">
        <v>-2.7</v>
      </c>
      <c r="H46" s="75" t="s">
        <v>58</v>
      </c>
      <c r="I46" s="70">
        <v>4.2</v>
      </c>
    </row>
    <row r="47" spans="1:9">
      <c r="A47" s="20" t="s">
        <v>30</v>
      </c>
      <c r="B47" s="63">
        <v>-2</v>
      </c>
      <c r="C47" s="75" t="s">
        <v>58</v>
      </c>
      <c r="D47" s="63">
        <v>-2.5</v>
      </c>
      <c r="E47" s="75" t="s">
        <v>58</v>
      </c>
      <c r="F47" s="70">
        <v>-1.9</v>
      </c>
      <c r="G47" s="75" t="s">
        <v>58</v>
      </c>
      <c r="H47" s="70">
        <v>-2.4</v>
      </c>
      <c r="I47" s="75" t="s">
        <v>58</v>
      </c>
    </row>
    <row r="48" spans="1:9">
      <c r="A48" s="20" t="s">
        <v>31</v>
      </c>
      <c r="B48" s="50">
        <v>2</v>
      </c>
      <c r="C48" s="33">
        <v>2</v>
      </c>
      <c r="D48" s="33">
        <v>2</v>
      </c>
      <c r="E48" s="33">
        <v>2</v>
      </c>
      <c r="F48" s="50">
        <v>2</v>
      </c>
      <c r="G48" s="33">
        <v>2</v>
      </c>
      <c r="H48" s="33">
        <v>2</v>
      </c>
      <c r="I48" s="33">
        <v>2</v>
      </c>
    </row>
    <row r="49" spans="1:9">
      <c r="A49" s="20" t="s">
        <v>32</v>
      </c>
      <c r="B49" s="50" t="s">
        <v>58</v>
      </c>
      <c r="C49" s="33">
        <v>0</v>
      </c>
      <c r="D49" s="33" t="s">
        <v>58</v>
      </c>
      <c r="E49" s="33">
        <v>0</v>
      </c>
      <c r="F49" s="50" t="s">
        <v>58</v>
      </c>
      <c r="G49" s="33">
        <v>0</v>
      </c>
      <c r="H49" s="33" t="s">
        <v>58</v>
      </c>
      <c r="I49" s="33">
        <v>0</v>
      </c>
    </row>
    <row r="50" spans="1:9">
      <c r="A50" s="20" t="s">
        <v>33</v>
      </c>
      <c r="B50" s="50">
        <v>0.5</v>
      </c>
      <c r="C50" s="33" t="s">
        <v>58</v>
      </c>
      <c r="D50" s="33">
        <v>0.5</v>
      </c>
      <c r="E50" s="33" t="s">
        <v>58</v>
      </c>
      <c r="F50" s="50">
        <v>0.5</v>
      </c>
      <c r="G50" s="33" t="s">
        <v>58</v>
      </c>
      <c r="H50" s="33">
        <v>0.5</v>
      </c>
      <c r="I50" s="33" t="s">
        <v>58</v>
      </c>
    </row>
    <row r="51" spans="1:9">
      <c r="A51" s="25" t="s">
        <v>44</v>
      </c>
      <c r="B51" s="105" t="s">
        <v>58</v>
      </c>
      <c r="C51" s="105">
        <f t="shared" ref="C51:I51" si="9">C44+C46+C48-C49</f>
        <v>-93.050461590658159</v>
      </c>
      <c r="D51" s="105" t="s">
        <v>58</v>
      </c>
      <c r="E51" s="105">
        <f t="shared" si="9"/>
        <v>-99.195363892780321</v>
      </c>
      <c r="F51" s="105" t="s">
        <v>58</v>
      </c>
      <c r="G51" s="105">
        <f t="shared" si="9"/>
        <v>-93.050461590658159</v>
      </c>
      <c r="H51" s="105" t="s">
        <v>58</v>
      </c>
      <c r="I51" s="105">
        <f t="shared" si="9"/>
        <v>-99.195363892780321</v>
      </c>
    </row>
    <row r="52" spans="1:9">
      <c r="A52" s="25" t="s">
        <v>45</v>
      </c>
      <c r="B52" s="105">
        <f t="shared" ref="B52:H52" si="10">B45+B47+B48-B50</f>
        <v>-96.92929824113456</v>
      </c>
      <c r="C52" s="105" t="s">
        <v>58</v>
      </c>
      <c r="D52" s="105">
        <f t="shared" si="10"/>
        <v>-93.350461590658156</v>
      </c>
      <c r="E52" s="105" t="s">
        <v>58</v>
      </c>
      <c r="F52" s="105">
        <f t="shared" si="10"/>
        <v>-96.829298241134566</v>
      </c>
      <c r="G52" s="105" t="s">
        <v>58</v>
      </c>
      <c r="H52" s="105">
        <f t="shared" si="10"/>
        <v>-93.250461590658162</v>
      </c>
      <c r="I52" s="105" t="s">
        <v>58</v>
      </c>
    </row>
    <row r="53" spans="1:9">
      <c r="A53" s="27" t="s">
        <v>93</v>
      </c>
      <c r="B53" s="105" t="s">
        <v>58</v>
      </c>
      <c r="C53" s="105">
        <f t="shared" ref="C53:I53" si="11">C28+C33+C34-C51</f>
        <v>159.1637611136961</v>
      </c>
      <c r="D53" s="105" t="s">
        <v>58</v>
      </c>
      <c r="E53" s="105">
        <f t="shared" si="11"/>
        <v>144.2468636759794</v>
      </c>
      <c r="F53" s="105" t="s">
        <v>58</v>
      </c>
      <c r="G53" s="105">
        <f t="shared" si="11"/>
        <v>159.1637611136961</v>
      </c>
      <c r="H53" s="105" t="s">
        <v>58</v>
      </c>
      <c r="I53" s="105">
        <f t="shared" si="11"/>
        <v>144.2468636759794</v>
      </c>
    </row>
    <row r="54" spans="1:9">
      <c r="A54" s="27" t="s">
        <v>94</v>
      </c>
      <c r="B54" s="105">
        <f t="shared" ref="B54:H54" si="12">B29+B33+B34-B52</f>
        <v>144.98079802433364</v>
      </c>
      <c r="C54" s="105" t="s">
        <v>58</v>
      </c>
      <c r="D54" s="105">
        <f t="shared" si="12"/>
        <v>159.46376111369608</v>
      </c>
      <c r="E54" s="105" t="s">
        <v>58</v>
      </c>
      <c r="F54" s="105">
        <f t="shared" si="12"/>
        <v>144.88079802433361</v>
      </c>
      <c r="G54" s="105" t="s">
        <v>58</v>
      </c>
      <c r="H54" s="105">
        <f t="shared" si="12"/>
        <v>159.36376111369611</v>
      </c>
      <c r="I54" s="105" t="s">
        <v>58</v>
      </c>
    </row>
    <row r="55" spans="1:9">
      <c r="A55" s="19" t="s">
        <v>34</v>
      </c>
      <c r="B55" s="32"/>
      <c r="C55" s="32"/>
      <c r="D55" s="32"/>
      <c r="E55" s="32"/>
      <c r="F55" s="32"/>
      <c r="G55" s="32"/>
      <c r="H55" s="32"/>
      <c r="I55" s="32"/>
    </row>
    <row r="56" spans="1:9">
      <c r="A56" s="20" t="s">
        <v>35</v>
      </c>
      <c r="B56" s="34">
        <v>6</v>
      </c>
      <c r="C56" s="34">
        <v>6</v>
      </c>
      <c r="D56" s="33">
        <v>6</v>
      </c>
      <c r="E56" s="34">
        <v>6</v>
      </c>
      <c r="F56" s="34">
        <v>6</v>
      </c>
      <c r="G56" s="34">
        <v>6</v>
      </c>
      <c r="H56" s="34">
        <v>6</v>
      </c>
      <c r="I56" s="34">
        <v>6</v>
      </c>
    </row>
    <row r="57" spans="1:9" ht="27.6">
      <c r="A57" s="20" t="s">
        <v>36</v>
      </c>
      <c r="B57" s="33" t="s">
        <v>58</v>
      </c>
      <c r="C57" s="34">
        <v>8.11</v>
      </c>
      <c r="D57" s="33" t="s">
        <v>58</v>
      </c>
      <c r="E57" s="34">
        <v>8.11</v>
      </c>
      <c r="F57" s="33" t="s">
        <v>58</v>
      </c>
      <c r="G57" s="34">
        <v>8.3000000000000007</v>
      </c>
      <c r="H57" s="33" t="s">
        <v>58</v>
      </c>
      <c r="I57" s="34">
        <v>8.3000000000000007</v>
      </c>
    </row>
    <row r="58" spans="1:9" ht="27.6">
      <c r="A58" s="20" t="s">
        <v>37</v>
      </c>
      <c r="B58" s="33">
        <v>4.8899999999999997</v>
      </c>
      <c r="C58" s="34" t="s">
        <v>58</v>
      </c>
      <c r="D58" s="33">
        <v>4.8899999999999997</v>
      </c>
      <c r="E58" s="34" t="s">
        <v>58</v>
      </c>
      <c r="F58" s="33">
        <v>5.0999999999999996</v>
      </c>
      <c r="G58" s="34" t="s">
        <v>58</v>
      </c>
      <c r="H58" s="33">
        <v>5.0999999999999996</v>
      </c>
      <c r="I58" s="34" t="s">
        <v>58</v>
      </c>
    </row>
    <row r="59" spans="1:9">
      <c r="A59" s="20" t="s">
        <v>38</v>
      </c>
      <c r="B59" s="34">
        <v>0</v>
      </c>
      <c r="C59" s="34">
        <v>0</v>
      </c>
      <c r="D59" s="33">
        <v>0</v>
      </c>
      <c r="E59" s="34">
        <v>0</v>
      </c>
      <c r="F59" s="34">
        <v>0</v>
      </c>
      <c r="G59" s="34">
        <v>0</v>
      </c>
      <c r="H59" s="34">
        <v>0</v>
      </c>
      <c r="I59" s="34">
        <v>0</v>
      </c>
    </row>
    <row r="60" spans="1:9">
      <c r="A60" s="20" t="s">
        <v>39</v>
      </c>
      <c r="B60" s="33">
        <v>9</v>
      </c>
      <c r="C60" s="33">
        <v>9</v>
      </c>
      <c r="D60" s="33">
        <v>9</v>
      </c>
      <c r="E60" s="33">
        <v>9</v>
      </c>
      <c r="F60" s="33">
        <f>10.24+0.5*25/3</f>
        <v>14.406666666666666</v>
      </c>
      <c r="G60" s="33">
        <f>10.24+0.5*25/3</f>
        <v>14.406666666666666</v>
      </c>
      <c r="H60" s="33">
        <f>10.24+0.5*25/3</f>
        <v>14.406666666666666</v>
      </c>
      <c r="I60" s="33">
        <f>10.24+0.5*25/3</f>
        <v>14.406666666666666</v>
      </c>
    </row>
    <row r="61" spans="1:9">
      <c r="A61" s="20" t="s">
        <v>40</v>
      </c>
      <c r="B61" s="34">
        <v>0</v>
      </c>
      <c r="C61" s="34">
        <v>0</v>
      </c>
      <c r="D61" s="33">
        <v>0</v>
      </c>
      <c r="E61" s="34">
        <v>0</v>
      </c>
      <c r="F61" s="34">
        <v>0</v>
      </c>
      <c r="G61" s="34">
        <v>0</v>
      </c>
      <c r="H61" s="34">
        <v>0</v>
      </c>
      <c r="I61" s="34">
        <v>0</v>
      </c>
    </row>
    <row r="62" spans="1:9" ht="27.6">
      <c r="A62" s="25" t="s">
        <v>51</v>
      </c>
      <c r="B62" s="105" t="s">
        <v>58</v>
      </c>
      <c r="C62" s="105">
        <f t="shared" ref="C62:I62" si="13">C53-C57+C59-C60+C61-C35</f>
        <v>141.05376111369611</v>
      </c>
      <c r="D62" s="105" t="s">
        <v>58</v>
      </c>
      <c r="E62" s="105">
        <f t="shared" si="13"/>
        <v>124.13686367597938</v>
      </c>
      <c r="F62" s="105" t="s">
        <v>58</v>
      </c>
      <c r="G62" s="105">
        <f t="shared" si="13"/>
        <v>135.45709444702942</v>
      </c>
      <c r="H62" s="105" t="s">
        <v>58</v>
      </c>
      <c r="I62" s="105">
        <f t="shared" si="13"/>
        <v>118.54019700931272</v>
      </c>
    </row>
    <row r="63" spans="1:9" ht="27.6">
      <c r="A63" s="25" t="s">
        <v>46</v>
      </c>
      <c r="B63" s="105">
        <f t="shared" ref="B63:H63" si="14">B54-B58+B59-B60+B61-B35</f>
        <v>128.09079802433365</v>
      </c>
      <c r="C63" s="105" t="s">
        <v>58</v>
      </c>
      <c r="D63" s="105">
        <f t="shared" si="14"/>
        <v>144.57376111369609</v>
      </c>
      <c r="E63" s="105" t="s">
        <v>58</v>
      </c>
      <c r="F63" s="105">
        <f t="shared" si="14"/>
        <v>122.37413135766695</v>
      </c>
      <c r="G63" s="105" t="s">
        <v>58</v>
      </c>
      <c r="H63" s="105">
        <f t="shared" si="14"/>
        <v>138.85709444702945</v>
      </c>
      <c r="I63" s="105" t="s">
        <v>58</v>
      </c>
    </row>
    <row r="64" spans="1:9">
      <c r="A64" s="19" t="s">
        <v>41</v>
      </c>
      <c r="B64" s="32"/>
      <c r="C64" s="32"/>
      <c r="D64" s="32"/>
      <c r="E64" s="32"/>
      <c r="F64" s="32"/>
      <c r="G64" s="32"/>
      <c r="H64" s="32"/>
      <c r="I64" s="32"/>
    </row>
    <row r="65" spans="1:9" ht="27.6">
      <c r="A65" s="29" t="s">
        <v>42</v>
      </c>
      <c r="B65" s="34"/>
      <c r="C65" s="34">
        <f>10^((C62-13.54-20*LOG10(C$5)+0.6*(C$7-1.5))/39.08)</f>
        <v>2198.6940350458572</v>
      </c>
      <c r="D65" s="34"/>
      <c r="E65" s="34">
        <f>10^((E62-13.54-20*LOG10(E$5)+0.6*(E$7-1.5))/39.08)</f>
        <v>811.49557016881147</v>
      </c>
      <c r="F65" s="34"/>
      <c r="G65" s="34">
        <f>10^((G62-13.54-20*LOG10(G$5)+0.6*(G$7-1.5))/39.08)</f>
        <v>1581.0816192294069</v>
      </c>
      <c r="H65" s="34"/>
      <c r="I65" s="34">
        <f>10^((I62-13.54-20*LOG10(I$5)+0.6*(I$7-1.5))/39.08)</f>
        <v>583.54673712171996</v>
      </c>
    </row>
    <row r="66" spans="1:9" ht="27.6">
      <c r="A66" s="29" t="s">
        <v>43</v>
      </c>
      <c r="B66" s="34">
        <f>10^((B63-13.54-20*LOG10(B$5)+0.6*(B$7-1.5))/39.08)</f>
        <v>1024.3810742836902</v>
      </c>
      <c r="C66" s="34" t="s">
        <v>90</v>
      </c>
      <c r="D66" s="34">
        <f>10^((D63-13.54-20*LOG10(D$5)+0.6*(D$7-1.5))/39.08)</f>
        <v>2705.4309005929822</v>
      </c>
      <c r="E66" s="34" t="s">
        <v>90</v>
      </c>
      <c r="F66" s="34">
        <f>10^((F63-13.54-20*LOG10(F$5)+0.6*(F$7-1.5))/39.08)</f>
        <v>731.44287440754067</v>
      </c>
      <c r="G66" s="34" t="s">
        <v>90</v>
      </c>
      <c r="H66" s="34">
        <f>10^((H63-13.54-20*LOG10(H$5)+0.6*(H$7-1.5))/39.08)</f>
        <v>1931.7695378396804</v>
      </c>
      <c r="I66" s="34" t="s">
        <v>90</v>
      </c>
    </row>
    <row r="67" spans="1:9" ht="16.8">
      <c r="A67" s="29" t="s">
        <v>96</v>
      </c>
      <c r="B67" s="34" t="s">
        <v>58</v>
      </c>
      <c r="C67" s="34">
        <f>PI()*(C65)^2</f>
        <v>15187261.437915115</v>
      </c>
      <c r="D67" s="34" t="s">
        <v>58</v>
      </c>
      <c r="E67" s="34">
        <f>PI()*(E65)^2</f>
        <v>2068817.4919687384</v>
      </c>
      <c r="F67" s="34" t="s">
        <v>58</v>
      </c>
      <c r="G67" s="34">
        <f>PI()*(G65)^2</f>
        <v>7853413.277970572</v>
      </c>
      <c r="H67" s="34" t="s">
        <v>58</v>
      </c>
      <c r="I67" s="34">
        <f>PI()*(I65)^2</f>
        <v>1069796.4756545045</v>
      </c>
    </row>
    <row r="68" spans="1:9" ht="16.8">
      <c r="A68" s="29" t="s">
        <v>97</v>
      </c>
      <c r="B68" s="34">
        <f>PI()*(B66)^2</f>
        <v>3296650.9395335377</v>
      </c>
      <c r="C68" s="34" t="s">
        <v>58</v>
      </c>
      <c r="D68" s="34">
        <f>PI()*(D66)^2</f>
        <v>22994436.16293209</v>
      </c>
      <c r="E68" s="34" t="s">
        <v>58</v>
      </c>
      <c r="F68" s="34">
        <f>PI()*(F66)^2</f>
        <v>1680779.3340501329</v>
      </c>
      <c r="G68" s="34" t="s">
        <v>58</v>
      </c>
      <c r="H68" s="34">
        <f>PI()*(H66)^2</f>
        <v>11723586.697431844</v>
      </c>
      <c r="I68" s="34" t="s">
        <v>58</v>
      </c>
    </row>
    <row r="72" spans="1:9">
      <c r="A72" s="43"/>
      <c r="B72" s="44"/>
      <c r="C72" s="44"/>
      <c r="D72" s="44"/>
      <c r="E72" s="44"/>
      <c r="F72" s="45"/>
      <c r="G72" s="45"/>
      <c r="H72" s="45"/>
      <c r="I72" s="45"/>
    </row>
    <row r="73" spans="1:9">
      <c r="A73" s="43" t="s">
        <v>128</v>
      </c>
      <c r="B73" s="44"/>
      <c r="C73" s="44"/>
      <c r="D73" s="44"/>
      <c r="E73" s="44"/>
      <c r="F73" s="45"/>
      <c r="G73" s="45"/>
      <c r="H73" s="45"/>
      <c r="I73" s="45"/>
    </row>
  </sheetData>
  <mergeCells count="4">
    <mergeCell ref="G1:I1"/>
    <mergeCell ref="F2:G2"/>
    <mergeCell ref="C1:E1"/>
    <mergeCell ref="B2:C2"/>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H29" sqref="H29"/>
    </sheetView>
  </sheetViews>
  <sheetFormatPr defaultColWidth="9" defaultRowHeight="15.6"/>
  <cols>
    <col min="1" max="16384" width="9" style="2"/>
  </cols>
  <sheetData>
    <row r="1" spans="1:16">
      <c r="A1"/>
      <c r="B1" s="3" t="s">
        <v>59</v>
      </c>
      <c r="C1"/>
      <c r="D1"/>
      <c r="E1"/>
      <c r="F1"/>
      <c r="G1"/>
      <c r="H1"/>
      <c r="I1"/>
      <c r="J1"/>
      <c r="K1"/>
      <c r="L1"/>
      <c r="M1"/>
      <c r="N1"/>
      <c r="O1"/>
      <c r="P1"/>
    </row>
    <row r="2" spans="1:16" ht="16.2" thickBot="1">
      <c r="A2"/>
      <c r="B2" s="4" t="s">
        <v>60</v>
      </c>
      <c r="C2"/>
      <c r="D2"/>
      <c r="E2"/>
      <c r="F2"/>
      <c r="G2"/>
      <c r="H2"/>
      <c r="I2"/>
      <c r="J2"/>
      <c r="K2"/>
      <c r="L2"/>
      <c r="M2"/>
      <c r="N2"/>
      <c r="O2"/>
      <c r="P2"/>
    </row>
    <row r="3" spans="1:16">
      <c r="A3"/>
      <c r="B3" s="124" t="s">
        <v>61</v>
      </c>
      <c r="C3" s="124" t="s">
        <v>62</v>
      </c>
      <c r="D3" s="124" t="s">
        <v>63</v>
      </c>
      <c r="E3" s="124" t="s">
        <v>64</v>
      </c>
      <c r="F3" s="124" t="s">
        <v>65</v>
      </c>
      <c r="G3" s="124" t="s">
        <v>66</v>
      </c>
      <c r="H3" s="124" t="s">
        <v>67</v>
      </c>
      <c r="I3" s="124" t="s">
        <v>68</v>
      </c>
      <c r="J3" s="124" t="s">
        <v>69</v>
      </c>
      <c r="K3" s="124" t="s">
        <v>70</v>
      </c>
      <c r="L3" s="5">
        <v>70</v>
      </c>
      <c r="M3" s="124" t="s">
        <v>71</v>
      </c>
      <c r="N3" s="124" t="s">
        <v>72</v>
      </c>
      <c r="O3" s="124" t="s">
        <v>73</v>
      </c>
      <c r="P3"/>
    </row>
    <row r="4" spans="1:16" ht="16.2" thickBot="1">
      <c r="A4"/>
      <c r="B4" s="128"/>
      <c r="C4" s="125"/>
      <c r="D4" s="125"/>
      <c r="E4" s="125"/>
      <c r="F4" s="125"/>
      <c r="G4" s="125"/>
      <c r="H4" s="125"/>
      <c r="I4" s="125"/>
      <c r="J4" s="125"/>
      <c r="K4" s="125"/>
      <c r="L4" s="6" t="s">
        <v>74</v>
      </c>
      <c r="M4" s="125"/>
      <c r="N4" s="125"/>
      <c r="O4" s="125"/>
      <c r="P4"/>
    </row>
    <row r="5" spans="1:16" ht="16.2" thickBot="1">
      <c r="A5"/>
      <c r="B5" s="125"/>
      <c r="C5" s="7" t="s">
        <v>75</v>
      </c>
      <c r="D5" s="7" t="s">
        <v>75</v>
      </c>
      <c r="E5" s="7" t="s">
        <v>75</v>
      </c>
      <c r="F5" s="7" t="s">
        <v>75</v>
      </c>
      <c r="G5" s="7" t="s">
        <v>75</v>
      </c>
      <c r="H5" s="7" t="s">
        <v>75</v>
      </c>
      <c r="I5" s="7" t="s">
        <v>75</v>
      </c>
      <c r="J5" s="7" t="s">
        <v>75</v>
      </c>
      <c r="K5" s="7" t="s">
        <v>75</v>
      </c>
      <c r="L5" s="7" t="s">
        <v>75</v>
      </c>
      <c r="M5" s="7" t="s">
        <v>75</v>
      </c>
      <c r="N5" s="7" t="s">
        <v>75</v>
      </c>
      <c r="O5" s="7" t="s">
        <v>75</v>
      </c>
      <c r="P5"/>
    </row>
    <row r="6" spans="1:16" ht="16.2" thickBot="1">
      <c r="A6"/>
      <c r="B6" s="8">
        <v>15</v>
      </c>
      <c r="C6" s="9">
        <v>25</v>
      </c>
      <c r="D6" s="9">
        <v>52</v>
      </c>
      <c r="E6" s="9">
        <v>79</v>
      </c>
      <c r="F6" s="9">
        <v>106</v>
      </c>
      <c r="G6" s="9">
        <v>133</v>
      </c>
      <c r="H6" s="9">
        <v>160</v>
      </c>
      <c r="I6" s="9">
        <v>216</v>
      </c>
      <c r="J6" s="9">
        <v>270</v>
      </c>
      <c r="K6" s="9" t="s">
        <v>76</v>
      </c>
      <c r="L6" s="9" t="s">
        <v>77</v>
      </c>
      <c r="M6" s="9" t="s">
        <v>76</v>
      </c>
      <c r="N6" s="9" t="s">
        <v>76</v>
      </c>
      <c r="O6" s="9" t="s">
        <v>76</v>
      </c>
      <c r="P6"/>
    </row>
    <row r="7" spans="1:16" ht="16.2" thickBot="1">
      <c r="A7"/>
      <c r="B7" s="8">
        <v>30</v>
      </c>
      <c r="C7" s="9">
        <v>11</v>
      </c>
      <c r="D7" s="9">
        <v>24</v>
      </c>
      <c r="E7" s="9">
        <v>38</v>
      </c>
      <c r="F7" s="9">
        <v>51</v>
      </c>
      <c r="G7" s="9">
        <v>65</v>
      </c>
      <c r="H7" s="9">
        <v>78</v>
      </c>
      <c r="I7" s="9">
        <v>106</v>
      </c>
      <c r="J7" s="9">
        <v>133</v>
      </c>
      <c r="K7" s="9">
        <v>162</v>
      </c>
      <c r="L7" s="9">
        <v>189</v>
      </c>
      <c r="M7" s="9">
        <v>217</v>
      </c>
      <c r="N7" s="9">
        <v>245</v>
      </c>
      <c r="O7" s="9">
        <v>273</v>
      </c>
      <c r="P7"/>
    </row>
    <row r="8" spans="1:16" ht="16.2" thickBot="1">
      <c r="A8"/>
      <c r="B8" s="8">
        <v>60</v>
      </c>
      <c r="C8" s="9" t="s">
        <v>76</v>
      </c>
      <c r="D8" s="9">
        <v>11</v>
      </c>
      <c r="E8" s="9">
        <v>18</v>
      </c>
      <c r="F8" s="9">
        <v>24</v>
      </c>
      <c r="G8" s="9">
        <v>31</v>
      </c>
      <c r="H8" s="9">
        <v>38</v>
      </c>
      <c r="I8" s="9">
        <v>51</v>
      </c>
      <c r="J8" s="9">
        <v>65</v>
      </c>
      <c r="K8" s="9">
        <v>79</v>
      </c>
      <c r="L8" s="9">
        <v>93</v>
      </c>
      <c r="M8" s="9">
        <v>107</v>
      </c>
      <c r="N8" s="9">
        <v>121</v>
      </c>
      <c r="O8" s="9">
        <v>135</v>
      </c>
      <c r="P8"/>
    </row>
    <row r="9" spans="1:16">
      <c r="A9"/>
      <c r="B9"/>
      <c r="C9"/>
      <c r="D9"/>
      <c r="E9"/>
      <c r="F9"/>
      <c r="G9"/>
      <c r="H9"/>
      <c r="I9"/>
      <c r="J9"/>
      <c r="K9"/>
      <c r="L9"/>
      <c r="M9"/>
      <c r="N9"/>
      <c r="O9"/>
      <c r="P9"/>
    </row>
    <row r="10" spans="1:16" ht="16.2" thickBot="1">
      <c r="A10"/>
      <c r="B10" s="4" t="s">
        <v>78</v>
      </c>
      <c r="C10"/>
      <c r="D10"/>
      <c r="E10"/>
      <c r="F10"/>
      <c r="G10"/>
      <c r="H10"/>
      <c r="I10"/>
      <c r="J10"/>
      <c r="K10"/>
      <c r="L10"/>
      <c r="M10"/>
      <c r="N10"/>
      <c r="O10"/>
      <c r="P10"/>
    </row>
    <row r="11" spans="1:16" ht="16.2" thickBot="1">
      <c r="A11"/>
      <c r="B11" s="126" t="s">
        <v>79</v>
      </c>
      <c r="C11" s="10" t="s">
        <v>80</v>
      </c>
      <c r="D11" s="10" t="s">
        <v>81</v>
      </c>
      <c r="E11" s="10" t="s">
        <v>82</v>
      </c>
      <c r="F11" s="10" t="s">
        <v>83</v>
      </c>
      <c r="G11"/>
      <c r="H11"/>
      <c r="I11"/>
      <c r="J11"/>
      <c r="K11"/>
      <c r="L11"/>
      <c r="M11"/>
      <c r="N11"/>
      <c r="O11"/>
      <c r="P11"/>
    </row>
    <row r="12" spans="1:16" ht="16.2" thickBot="1">
      <c r="A12"/>
      <c r="B12" s="127"/>
      <c r="C12" s="11" t="s">
        <v>75</v>
      </c>
      <c r="D12" s="11" t="s">
        <v>75</v>
      </c>
      <c r="E12" s="11" t="s">
        <v>75</v>
      </c>
      <c r="F12" s="11" t="s">
        <v>75</v>
      </c>
      <c r="G12"/>
      <c r="H12"/>
      <c r="I12"/>
      <c r="J12"/>
      <c r="K12"/>
      <c r="L12"/>
      <c r="M12"/>
      <c r="N12"/>
      <c r="O12"/>
      <c r="P12"/>
    </row>
    <row r="13" spans="1:16" ht="16.2" thickBot="1">
      <c r="A13"/>
      <c r="B13" s="12">
        <v>60</v>
      </c>
      <c r="C13" s="13">
        <v>66</v>
      </c>
      <c r="D13" s="13">
        <v>132</v>
      </c>
      <c r="E13" s="13">
        <v>264</v>
      </c>
      <c r="F13" s="13" t="s">
        <v>77</v>
      </c>
      <c r="G13"/>
      <c r="H13"/>
      <c r="I13"/>
      <c r="J13"/>
      <c r="K13"/>
      <c r="L13"/>
      <c r="M13"/>
      <c r="N13"/>
      <c r="O13"/>
      <c r="P13"/>
    </row>
    <row r="14" spans="1:16" ht="16.2" thickBot="1">
      <c r="A14"/>
      <c r="B14" s="12">
        <v>120</v>
      </c>
      <c r="C14" s="13">
        <v>32</v>
      </c>
      <c r="D14" s="13">
        <v>66</v>
      </c>
      <c r="E14" s="13">
        <v>132</v>
      </c>
      <c r="F14" s="13">
        <v>264</v>
      </c>
      <c r="G14"/>
      <c r="H14"/>
      <c r="I14"/>
      <c r="J14"/>
      <c r="K14"/>
      <c r="L14"/>
      <c r="M14"/>
      <c r="N14"/>
      <c r="O14"/>
      <c r="P14"/>
    </row>
    <row r="15" spans="1:16">
      <c r="A15"/>
      <c r="B15"/>
      <c r="C15"/>
      <c r="D15"/>
      <c r="E15"/>
      <c r="F15"/>
      <c r="G15"/>
      <c r="H15"/>
      <c r="I15"/>
      <c r="J15"/>
      <c r="K15"/>
      <c r="L15"/>
      <c r="M15"/>
      <c r="N15"/>
      <c r="O15"/>
      <c r="P15"/>
    </row>
    <row r="16" spans="1:16">
      <c r="A16"/>
      <c r="B16"/>
      <c r="C16"/>
      <c r="D16"/>
      <c r="E16"/>
      <c r="F16"/>
      <c r="G16"/>
      <c r="H16"/>
      <c r="I16"/>
      <c r="J16"/>
      <c r="K16"/>
      <c r="L16"/>
      <c r="M16"/>
      <c r="N16"/>
      <c r="O16"/>
      <c r="P16"/>
    </row>
    <row r="17" spans="1:16">
      <c r="A17"/>
      <c r="B17" s="109" t="s">
        <v>132</v>
      </c>
      <c r="G17"/>
      <c r="H17"/>
      <c r="I17"/>
      <c r="J17"/>
      <c r="K17"/>
      <c r="L17"/>
      <c r="M17"/>
      <c r="N17"/>
      <c r="O17"/>
      <c r="P17"/>
    </row>
    <row r="18" spans="1:16" ht="16.2" thickBot="1">
      <c r="B18" s="110"/>
    </row>
    <row r="19" spans="1:16">
      <c r="B19" s="129" t="s">
        <v>61</v>
      </c>
      <c r="C19" s="129" t="s">
        <v>62</v>
      </c>
      <c r="D19" s="129" t="s">
        <v>63</v>
      </c>
      <c r="E19" s="129" t="s">
        <v>64</v>
      </c>
      <c r="F19" s="129" t="s">
        <v>65</v>
      </c>
    </row>
    <row r="20" spans="1:16" ht="16.2" thickBot="1">
      <c r="B20" s="130"/>
      <c r="C20" s="131"/>
      <c r="D20" s="131"/>
      <c r="E20" s="131"/>
      <c r="F20" s="131"/>
    </row>
    <row r="21" spans="1:16" ht="16.2" thickBot="1">
      <c r="B21" s="131"/>
      <c r="C21" s="111" t="s">
        <v>75</v>
      </c>
      <c r="D21" s="111" t="s">
        <v>75</v>
      </c>
      <c r="E21" s="111" t="s">
        <v>75</v>
      </c>
      <c r="F21" s="111" t="s">
        <v>75</v>
      </c>
    </row>
    <row r="22" spans="1:16" ht="16.2" thickBot="1">
      <c r="B22" s="112">
        <v>15</v>
      </c>
      <c r="C22" s="113">
        <v>25</v>
      </c>
      <c r="D22" s="113">
        <v>50</v>
      </c>
      <c r="E22" s="113">
        <v>75</v>
      </c>
      <c r="F22" s="113">
        <v>100</v>
      </c>
    </row>
  </sheetData>
  <mergeCells count="19">
    <mergeCell ref="B19:B21"/>
    <mergeCell ref="C19:C20"/>
    <mergeCell ref="D19:D20"/>
    <mergeCell ref="E19:E20"/>
    <mergeCell ref="F19:F20"/>
    <mergeCell ref="O3:O4"/>
    <mergeCell ref="B11:B12"/>
    <mergeCell ref="H3:H4"/>
    <mergeCell ref="I3:I4"/>
    <mergeCell ref="J3:J4"/>
    <mergeCell ref="K3:K4"/>
    <mergeCell ref="M3:M4"/>
    <mergeCell ref="N3:N4"/>
    <mergeCell ref="B3:B5"/>
    <mergeCell ref="C3:C4"/>
    <mergeCell ref="D3:D4"/>
    <mergeCell ref="E3:E4"/>
    <mergeCell ref="F3:F4"/>
    <mergeCell ref="G3:G4"/>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85" zoomScaleNormal="85" workbookViewId="0">
      <pane xSplit="1" ySplit="2" topLeftCell="B60" activePane="bottomRight" state="frozen"/>
      <selection pane="topRight" activeCell="B1" sqref="B1"/>
      <selection pane="bottomLeft" activeCell="A3" sqref="A3"/>
      <selection pane="bottomRight" activeCell="E21" sqref="E21"/>
    </sheetView>
  </sheetViews>
  <sheetFormatPr defaultColWidth="8.796875" defaultRowHeight="15.6"/>
  <cols>
    <col min="1" max="1" width="62" style="30" bestFit="1" customWidth="1"/>
    <col min="2" max="2" width="16" style="39" customWidth="1"/>
    <col min="3" max="3" width="15.5" style="39" bestFit="1" customWidth="1"/>
    <col min="4" max="4" width="15.19921875" style="40" customWidth="1"/>
    <col min="5" max="5" width="14.69921875" style="40" customWidth="1"/>
  </cols>
  <sheetData>
    <row r="1" spans="1:5">
      <c r="A1" s="17" t="s">
        <v>0</v>
      </c>
      <c r="B1" s="115" t="s">
        <v>104</v>
      </c>
      <c r="C1" s="116"/>
      <c r="D1" s="115" t="s">
        <v>105</v>
      </c>
      <c r="E1" s="116"/>
    </row>
    <row r="2" spans="1:5" ht="27.6">
      <c r="A2" s="17"/>
      <c r="B2" s="31" t="s">
        <v>48</v>
      </c>
      <c r="C2" s="31" t="s">
        <v>54</v>
      </c>
      <c r="D2" s="31" t="s">
        <v>50</v>
      </c>
      <c r="E2" s="31" t="s">
        <v>55</v>
      </c>
    </row>
    <row r="3" spans="1:5" ht="15" customHeight="1">
      <c r="A3" s="19" t="s">
        <v>1</v>
      </c>
      <c r="B3" s="32"/>
      <c r="C3" s="32"/>
      <c r="D3" s="32"/>
      <c r="E3" s="32"/>
    </row>
    <row r="4" spans="1:5">
      <c r="A4" s="20" t="s">
        <v>2</v>
      </c>
      <c r="B4" s="34">
        <v>4</v>
      </c>
      <c r="C4" s="34">
        <v>4</v>
      </c>
      <c r="D4" s="34">
        <v>4</v>
      </c>
      <c r="E4" s="34">
        <v>4</v>
      </c>
    </row>
    <row r="5" spans="1:5">
      <c r="A5" s="20" t="s">
        <v>3</v>
      </c>
      <c r="B5" s="34">
        <v>3</v>
      </c>
      <c r="C5" s="34">
        <v>3</v>
      </c>
      <c r="D5" s="34">
        <v>3</v>
      </c>
      <c r="E5" s="34">
        <v>3</v>
      </c>
    </row>
    <row r="6" spans="1:5">
      <c r="A6" s="20" t="s">
        <v>4</v>
      </c>
      <c r="B6" s="33">
        <v>1.5</v>
      </c>
      <c r="C6" s="33">
        <v>1.5</v>
      </c>
      <c r="D6" s="33">
        <v>1.5</v>
      </c>
      <c r="E6" s="33">
        <v>1.5</v>
      </c>
    </row>
    <row r="7" spans="1:5" ht="27.6">
      <c r="A7" s="20" t="s">
        <v>145</v>
      </c>
      <c r="B7" s="21" t="s">
        <v>58</v>
      </c>
      <c r="C7" s="22">
        <v>0.95</v>
      </c>
      <c r="D7" s="22" t="s">
        <v>58</v>
      </c>
      <c r="E7" s="22">
        <v>0.95</v>
      </c>
    </row>
    <row r="8" spans="1:5">
      <c r="A8" s="20" t="s">
        <v>146</v>
      </c>
      <c r="B8" s="21">
        <v>0.9</v>
      </c>
      <c r="C8" s="22" t="s">
        <v>58</v>
      </c>
      <c r="D8" s="22">
        <v>0.9</v>
      </c>
      <c r="E8" s="22" t="s">
        <v>58</v>
      </c>
    </row>
    <row r="9" spans="1:5">
      <c r="A9" s="20" t="s">
        <v>5</v>
      </c>
      <c r="B9" s="33" t="s">
        <v>58</v>
      </c>
      <c r="C9" s="34">
        <f>64/(0.5*0.001)</f>
        <v>128000</v>
      </c>
      <c r="D9" s="34" t="s">
        <v>58</v>
      </c>
      <c r="E9" s="34">
        <f>2/(0.5*0.001)</f>
        <v>4000</v>
      </c>
    </row>
    <row r="10" spans="1:5">
      <c r="A10" s="20" t="s">
        <v>6</v>
      </c>
      <c r="B10" s="33">
        <f>4650676*3</f>
        <v>13952028</v>
      </c>
      <c r="C10" s="34" t="s">
        <v>58</v>
      </c>
      <c r="D10" s="35">
        <f>371520*3</f>
        <v>1114560</v>
      </c>
      <c r="E10" s="34" t="s">
        <v>58</v>
      </c>
    </row>
    <row r="11" spans="1:5">
      <c r="A11" s="20" t="s">
        <v>7</v>
      </c>
      <c r="B11" s="21" t="s">
        <v>58</v>
      </c>
      <c r="C11" s="22">
        <v>0.01</v>
      </c>
      <c r="D11" s="22" t="s">
        <v>58</v>
      </c>
      <c r="E11" s="22">
        <v>0.01</v>
      </c>
    </row>
    <row r="12" spans="1:5">
      <c r="A12" s="20" t="s">
        <v>8</v>
      </c>
      <c r="B12" s="21">
        <v>0.1</v>
      </c>
      <c r="C12" s="22" t="s">
        <v>58</v>
      </c>
      <c r="D12" s="22">
        <v>0.1</v>
      </c>
      <c r="E12" s="22" t="s">
        <v>58</v>
      </c>
    </row>
    <row r="13" spans="1:5">
      <c r="A13" s="20" t="s">
        <v>91</v>
      </c>
      <c r="B13" s="33">
        <f>B10/(B42*(3+11/14)/5)</f>
        <v>1.0036605006782588</v>
      </c>
      <c r="C13" s="34" t="s">
        <v>58</v>
      </c>
      <c r="D13" s="33">
        <f>D10/(D42*(1+3/14)/5)</f>
        <v>1.5935294117647061</v>
      </c>
      <c r="E13" s="34" t="s">
        <v>58</v>
      </c>
    </row>
    <row r="14" spans="1:5">
      <c r="A14" s="20" t="s">
        <v>92</v>
      </c>
      <c r="B14" s="34" t="s">
        <v>106</v>
      </c>
      <c r="C14" s="34" t="s">
        <v>106</v>
      </c>
      <c r="D14" s="34" t="s">
        <v>106</v>
      </c>
      <c r="E14" s="34" t="s">
        <v>106</v>
      </c>
    </row>
    <row r="15" spans="1:5">
      <c r="A15" s="20" t="s">
        <v>87</v>
      </c>
      <c r="B15" s="33">
        <v>3</v>
      </c>
      <c r="C15" s="34">
        <v>3</v>
      </c>
      <c r="D15" s="34">
        <v>3</v>
      </c>
      <c r="E15" s="34">
        <v>3</v>
      </c>
    </row>
    <row r="16" spans="1:5">
      <c r="A16" s="20" t="s">
        <v>9</v>
      </c>
      <c r="B16" s="33">
        <v>3</v>
      </c>
      <c r="C16" s="34">
        <v>3</v>
      </c>
      <c r="D16" s="34">
        <v>3</v>
      </c>
      <c r="E16" s="34">
        <v>3</v>
      </c>
    </row>
    <row r="17" spans="1:5" ht="15" customHeight="1">
      <c r="A17" s="19" t="s">
        <v>10</v>
      </c>
      <c r="B17" s="32"/>
      <c r="C17" s="32"/>
      <c r="D17" s="32"/>
      <c r="E17" s="32"/>
    </row>
    <row r="18" spans="1:5" ht="27.6">
      <c r="A18" s="20" t="s">
        <v>85</v>
      </c>
      <c r="B18" s="33">
        <v>32</v>
      </c>
      <c r="C18" s="34">
        <v>32</v>
      </c>
      <c r="D18" s="34">
        <v>2</v>
      </c>
      <c r="E18" s="34">
        <v>2</v>
      </c>
    </row>
    <row r="19" spans="1:5">
      <c r="A19" s="20" t="s">
        <v>108</v>
      </c>
      <c r="B19" s="33">
        <v>2</v>
      </c>
      <c r="C19" s="34">
        <v>2</v>
      </c>
      <c r="D19" s="34">
        <v>2</v>
      </c>
      <c r="E19" s="34">
        <v>2</v>
      </c>
    </row>
    <row r="20" spans="1:5">
      <c r="A20" s="20" t="s">
        <v>11</v>
      </c>
      <c r="B20" s="33">
        <v>9</v>
      </c>
      <c r="C20" s="34">
        <v>9</v>
      </c>
      <c r="D20" s="34">
        <v>20</v>
      </c>
      <c r="E20" s="34">
        <v>20</v>
      </c>
    </row>
    <row r="21" spans="1:5" ht="27.6">
      <c r="A21" s="23" t="s">
        <v>86</v>
      </c>
      <c r="B21" s="36">
        <f t="shared" ref="B21:C21" si="0">B20+10*LOG10(B18)</f>
        <v>24.051499783199063</v>
      </c>
      <c r="C21" s="36">
        <f t="shared" si="0"/>
        <v>24.051499783199063</v>
      </c>
      <c r="D21" s="36">
        <f>D20+10*LOG10(D18)</f>
        <v>23.010299956639813</v>
      </c>
      <c r="E21" s="36">
        <f>E20+10*LOG10(E18)</f>
        <v>23.010299956639813</v>
      </c>
    </row>
    <row r="22" spans="1:5">
      <c r="A22" s="20" t="s">
        <v>12</v>
      </c>
      <c r="B22" s="33">
        <v>5</v>
      </c>
      <c r="C22" s="34">
        <v>5</v>
      </c>
      <c r="D22" s="34">
        <v>0</v>
      </c>
      <c r="E22" s="34">
        <v>0</v>
      </c>
    </row>
    <row r="23" spans="1:5" ht="41.4">
      <c r="A23" s="24" t="s">
        <v>129</v>
      </c>
      <c r="B23" s="36">
        <f t="shared" ref="B23:E23" si="1">IF(B18&gt;=2, 10*LOG10(B18/2), 0)</f>
        <v>12.041199826559248</v>
      </c>
      <c r="C23" s="36">
        <f t="shared" si="1"/>
        <v>12.041199826559248</v>
      </c>
      <c r="D23" s="36">
        <f t="shared" si="1"/>
        <v>0</v>
      </c>
      <c r="E23" s="36">
        <f t="shared" si="1"/>
        <v>0</v>
      </c>
    </row>
    <row r="24" spans="1:5">
      <c r="A24" s="20" t="s">
        <v>14</v>
      </c>
      <c r="B24" s="33">
        <v>0</v>
      </c>
      <c r="C24" s="33">
        <v>0</v>
      </c>
      <c r="D24" s="34">
        <v>0</v>
      </c>
      <c r="E24" s="34">
        <v>0</v>
      </c>
    </row>
    <row r="25" spans="1:5" ht="15.75" customHeight="1">
      <c r="A25" s="20" t="s">
        <v>15</v>
      </c>
      <c r="B25" s="33">
        <v>0</v>
      </c>
      <c r="C25" s="33">
        <v>0</v>
      </c>
      <c r="D25" s="34">
        <v>0</v>
      </c>
      <c r="E25" s="34">
        <v>0</v>
      </c>
    </row>
    <row r="26" spans="1:5" ht="27.6">
      <c r="A26" s="20" t="s">
        <v>16</v>
      </c>
      <c r="B26" s="33">
        <v>3</v>
      </c>
      <c r="C26" s="33">
        <v>3</v>
      </c>
      <c r="D26" s="34">
        <v>1</v>
      </c>
      <c r="E26" s="34">
        <v>1</v>
      </c>
    </row>
    <row r="27" spans="1:5">
      <c r="A27" s="25" t="s">
        <v>17</v>
      </c>
      <c r="B27" s="37">
        <f t="shared" ref="B27:E27" si="2">B21+B22+B23+B24-B26</f>
        <v>38.092699609758313</v>
      </c>
      <c r="C27" s="37">
        <f t="shared" si="2"/>
        <v>38.092699609758313</v>
      </c>
      <c r="D27" s="37">
        <f>D21+D22+D23+D24-D26</f>
        <v>22.010299956639813</v>
      </c>
      <c r="E27" s="37">
        <f t="shared" si="2"/>
        <v>22.010299956639813</v>
      </c>
    </row>
    <row r="28" spans="1:5">
      <c r="A28" s="25" t="s">
        <v>18</v>
      </c>
      <c r="B28" s="37">
        <f t="shared" ref="B28:E28" si="3">B21+B22+B23-B25-B26</f>
        <v>38.092699609758313</v>
      </c>
      <c r="C28" s="37">
        <f t="shared" si="3"/>
        <v>38.092699609758313</v>
      </c>
      <c r="D28" s="37">
        <f t="shared" si="3"/>
        <v>22.010299956639813</v>
      </c>
      <c r="E28" s="37">
        <f t="shared" si="3"/>
        <v>22.010299956639813</v>
      </c>
    </row>
    <row r="29" spans="1:5">
      <c r="A29" s="19" t="s">
        <v>19</v>
      </c>
      <c r="B29" s="32"/>
      <c r="C29" s="32"/>
      <c r="D29" s="32"/>
      <c r="E29" s="32"/>
    </row>
    <row r="30" spans="1:5" ht="27.6">
      <c r="A30" s="20" t="s">
        <v>84</v>
      </c>
      <c r="B30" s="33">
        <v>4</v>
      </c>
      <c r="C30" s="33">
        <v>4</v>
      </c>
      <c r="D30" s="34">
        <v>32</v>
      </c>
      <c r="E30" s="34">
        <v>32</v>
      </c>
    </row>
    <row r="31" spans="1:5">
      <c r="A31" s="20" t="s">
        <v>130</v>
      </c>
      <c r="B31" s="33">
        <v>2</v>
      </c>
      <c r="C31" s="33">
        <v>2</v>
      </c>
      <c r="D31" s="34">
        <v>2</v>
      </c>
      <c r="E31" s="34">
        <v>2</v>
      </c>
    </row>
    <row r="32" spans="1:5">
      <c r="A32" s="20" t="s">
        <v>20</v>
      </c>
      <c r="B32" s="33">
        <v>0</v>
      </c>
      <c r="C32" s="33">
        <v>0</v>
      </c>
      <c r="D32" s="34">
        <v>5</v>
      </c>
      <c r="E32" s="34">
        <v>5</v>
      </c>
    </row>
    <row r="33" spans="1:5" ht="27.6">
      <c r="A33" s="26" t="s">
        <v>88</v>
      </c>
      <c r="B33" s="38">
        <f t="shared" ref="B33:E33" si="4">IF(B30&gt;=2, 10*LOG10(B30/2), 0)</f>
        <v>3.0102999566398121</v>
      </c>
      <c r="C33" s="38">
        <f t="shared" si="4"/>
        <v>3.0102999566398121</v>
      </c>
      <c r="D33" s="38">
        <f t="shared" si="4"/>
        <v>12.041199826559248</v>
      </c>
      <c r="E33" s="38">
        <f t="shared" si="4"/>
        <v>12.041199826559248</v>
      </c>
    </row>
    <row r="34" spans="1:5" ht="27.6">
      <c r="A34" s="20" t="s">
        <v>21</v>
      </c>
      <c r="B34" s="33">
        <v>1</v>
      </c>
      <c r="C34" s="33">
        <v>1</v>
      </c>
      <c r="D34" s="34">
        <v>3</v>
      </c>
      <c r="E34" s="34">
        <v>3</v>
      </c>
    </row>
    <row r="35" spans="1:5">
      <c r="A35" s="20" t="s">
        <v>22</v>
      </c>
      <c r="B35" s="34">
        <v>7</v>
      </c>
      <c r="C35" s="34">
        <v>7</v>
      </c>
      <c r="D35" s="34">
        <v>5</v>
      </c>
      <c r="E35" s="34">
        <v>5</v>
      </c>
    </row>
    <row r="36" spans="1:5">
      <c r="A36" s="20" t="s">
        <v>23</v>
      </c>
      <c r="B36" s="34">
        <v>-174</v>
      </c>
      <c r="C36" s="34">
        <v>-174</v>
      </c>
      <c r="D36" s="34">
        <v>-174</v>
      </c>
      <c r="E36" s="34">
        <v>-174</v>
      </c>
    </row>
    <row r="37" spans="1:5">
      <c r="A37" s="20" t="s">
        <v>147</v>
      </c>
      <c r="B37" s="33" t="s">
        <v>58</v>
      </c>
      <c r="C37" s="34">
        <v>-174</v>
      </c>
      <c r="D37" s="34" t="s">
        <v>58</v>
      </c>
      <c r="E37" s="34">
        <v>-174.9</v>
      </c>
    </row>
    <row r="38" spans="1:5">
      <c r="A38" s="20" t="s">
        <v>24</v>
      </c>
      <c r="B38" s="33">
        <v>-174</v>
      </c>
      <c r="C38" s="34" t="s">
        <v>58</v>
      </c>
      <c r="D38" s="34">
        <v>-174.9</v>
      </c>
      <c r="E38" s="34" t="s">
        <v>58</v>
      </c>
    </row>
    <row r="39" spans="1:5" ht="39" customHeight="1">
      <c r="A39" s="27" t="s">
        <v>148</v>
      </c>
      <c r="B39" s="37" t="s">
        <v>58</v>
      </c>
      <c r="C39" s="37">
        <f t="shared" ref="C39:E39" si="5">10*LOG10(10^((C35+C36)/10)+10^(C37/10))</f>
        <v>-166.20990250347435</v>
      </c>
      <c r="D39" s="37" t="s">
        <v>58</v>
      </c>
      <c r="E39" s="37">
        <f t="shared" si="5"/>
        <v>-168.00651048203736</v>
      </c>
    </row>
    <row r="40" spans="1:5" ht="27.6">
      <c r="A40" s="27" t="s">
        <v>149</v>
      </c>
      <c r="B40" s="37">
        <f t="shared" ref="B40:D40" si="6">10*LOG10(10^((B35+B36)/10)+10^(B38/10))</f>
        <v>-166.20990250347435</v>
      </c>
      <c r="C40" s="37" t="s">
        <v>58</v>
      </c>
      <c r="D40" s="37">
        <f t="shared" si="6"/>
        <v>-168.00651048203736</v>
      </c>
      <c r="E40" s="37" t="s">
        <v>58</v>
      </c>
    </row>
    <row r="41" spans="1:5" ht="27.6">
      <c r="A41" s="20" t="s">
        <v>25</v>
      </c>
      <c r="B41" s="33" t="s">
        <v>58</v>
      </c>
      <c r="C41" s="33">
        <f>MaxN_RB!$F$7*12*30*1000</f>
        <v>18360000</v>
      </c>
      <c r="D41" s="34" t="s">
        <v>58</v>
      </c>
      <c r="E41" s="34">
        <f>1*12*30*1000</f>
        <v>360000</v>
      </c>
    </row>
    <row r="42" spans="1:5" ht="27.6">
      <c r="A42" s="20" t="s">
        <v>26</v>
      </c>
      <c r="B42" s="33">
        <f>MaxN_RB!$F$7*12*30*1000</f>
        <v>18360000</v>
      </c>
      <c r="C42" s="34" t="s">
        <v>58</v>
      </c>
      <c r="D42" s="34">
        <f>8*12*30*1000</f>
        <v>2880000</v>
      </c>
      <c r="E42" s="34" t="s">
        <v>58</v>
      </c>
    </row>
    <row r="43" spans="1:5">
      <c r="A43" s="25" t="s">
        <v>27</v>
      </c>
      <c r="B43" s="37" t="s">
        <v>58</v>
      </c>
      <c r="C43" s="37">
        <f t="shared" ref="B43:E44" si="7">C39+10*LOG10(C41)</f>
        <v>-93.57117573482212</v>
      </c>
      <c r="D43" s="37" t="s">
        <v>58</v>
      </c>
      <c r="E43" s="37">
        <f t="shared" si="7"/>
        <v>-112.44348547436448</v>
      </c>
    </row>
    <row r="44" spans="1:5">
      <c r="A44" s="25" t="s">
        <v>28</v>
      </c>
      <c r="B44" s="37">
        <f t="shared" si="7"/>
        <v>-93.57117573482212</v>
      </c>
      <c r="C44" s="37" t="s">
        <v>58</v>
      </c>
      <c r="D44" s="37">
        <f t="shared" si="7"/>
        <v>-103.41258560444506</v>
      </c>
      <c r="E44" s="37" t="s">
        <v>58</v>
      </c>
    </row>
    <row r="45" spans="1:5">
      <c r="A45" s="20" t="s">
        <v>29</v>
      </c>
      <c r="B45" s="33" t="s">
        <v>58</v>
      </c>
      <c r="C45" s="76">
        <v>-7.4</v>
      </c>
      <c r="D45" s="33" t="s">
        <v>58</v>
      </c>
      <c r="E45" s="76">
        <v>-7.6</v>
      </c>
    </row>
    <row r="46" spans="1:5">
      <c r="A46" s="20" t="s">
        <v>30</v>
      </c>
      <c r="B46" s="75">
        <v>5.2</v>
      </c>
      <c r="C46" s="34" t="s">
        <v>58</v>
      </c>
      <c r="D46" s="75">
        <v>11.8</v>
      </c>
      <c r="E46" s="34" t="s">
        <v>58</v>
      </c>
    </row>
    <row r="47" spans="1:5">
      <c r="A47" s="20" t="s">
        <v>31</v>
      </c>
      <c r="B47" s="33">
        <v>2</v>
      </c>
      <c r="C47" s="34">
        <v>2</v>
      </c>
      <c r="D47" s="34">
        <v>2</v>
      </c>
      <c r="E47" s="34">
        <v>2</v>
      </c>
    </row>
    <row r="48" spans="1:5">
      <c r="A48" s="20" t="s">
        <v>32</v>
      </c>
      <c r="B48" s="33" t="s">
        <v>58</v>
      </c>
      <c r="C48" s="34">
        <v>0</v>
      </c>
      <c r="D48" s="34" t="s">
        <v>58</v>
      </c>
      <c r="E48" s="34">
        <v>0</v>
      </c>
    </row>
    <row r="49" spans="1:5">
      <c r="A49" s="20" t="s">
        <v>33</v>
      </c>
      <c r="B49" s="33">
        <v>0.5</v>
      </c>
      <c r="C49" s="34" t="s">
        <v>58</v>
      </c>
      <c r="D49" s="34">
        <v>0.5</v>
      </c>
      <c r="E49" s="34" t="s">
        <v>58</v>
      </c>
    </row>
    <row r="50" spans="1:5" ht="27.6">
      <c r="A50" s="27" t="s">
        <v>44</v>
      </c>
      <c r="B50" s="37" t="s">
        <v>58</v>
      </c>
      <c r="C50" s="37">
        <f t="shared" ref="C50:E50" si="8">C43+C45+C47-C48</f>
        <v>-98.971175734822125</v>
      </c>
      <c r="D50" s="37" t="s">
        <v>58</v>
      </c>
      <c r="E50" s="37">
        <f t="shared" si="8"/>
        <v>-118.04348547436447</v>
      </c>
    </row>
    <row r="51" spans="1:5" ht="27.6">
      <c r="A51" s="27" t="s">
        <v>45</v>
      </c>
      <c r="B51" s="37">
        <f t="shared" ref="B51:D51" si="9">B44+B46+B47-B49</f>
        <v>-86.871175734822117</v>
      </c>
      <c r="C51" s="37" t="s">
        <v>58</v>
      </c>
      <c r="D51" s="37">
        <f t="shared" si="9"/>
        <v>-90.112585604445059</v>
      </c>
      <c r="E51" s="37" t="s">
        <v>58</v>
      </c>
    </row>
    <row r="52" spans="1:5" ht="27.6">
      <c r="A52" s="27" t="s">
        <v>93</v>
      </c>
      <c r="B52" s="37" t="s">
        <v>58</v>
      </c>
      <c r="C52" s="37">
        <f t="shared" ref="C52:E52" si="10">C27+C32+C33-C50</f>
        <v>140.07417530122024</v>
      </c>
      <c r="D52" s="37" t="s">
        <v>58</v>
      </c>
      <c r="E52" s="37">
        <f t="shared" si="10"/>
        <v>157.09498525756354</v>
      </c>
    </row>
    <row r="53" spans="1:5" ht="27.6">
      <c r="A53" s="27" t="s">
        <v>94</v>
      </c>
      <c r="B53" s="37">
        <f t="shared" ref="B53:D53" si="11">B28+B32+B33-B51</f>
        <v>127.97417530122024</v>
      </c>
      <c r="C53" s="37" t="s">
        <v>58</v>
      </c>
      <c r="D53" s="37">
        <f t="shared" si="11"/>
        <v>129.16408538764412</v>
      </c>
      <c r="E53" s="37" t="s">
        <v>58</v>
      </c>
    </row>
    <row r="54" spans="1:5">
      <c r="A54" s="19" t="s">
        <v>34</v>
      </c>
      <c r="B54" s="32"/>
      <c r="C54" s="32"/>
      <c r="D54" s="32"/>
      <c r="E54" s="32"/>
    </row>
    <row r="55" spans="1:5">
      <c r="A55" s="20" t="s">
        <v>35</v>
      </c>
      <c r="B55" s="34">
        <v>4</v>
      </c>
      <c r="C55" s="34">
        <v>4</v>
      </c>
      <c r="D55" s="34">
        <v>4</v>
      </c>
      <c r="E55" s="34">
        <v>4</v>
      </c>
    </row>
    <row r="56" spans="1:5" ht="27.6">
      <c r="A56" s="20" t="s">
        <v>36</v>
      </c>
      <c r="B56" s="34" t="s">
        <v>58</v>
      </c>
      <c r="C56" s="34">
        <v>8.5</v>
      </c>
      <c r="D56" s="34" t="s">
        <v>58</v>
      </c>
      <c r="E56" s="34">
        <v>8.5</v>
      </c>
    </row>
    <row r="57" spans="1:5" ht="27.6">
      <c r="A57" s="20" t="s">
        <v>37</v>
      </c>
      <c r="B57" s="34">
        <v>5.2</v>
      </c>
      <c r="C57" s="34" t="s">
        <v>58</v>
      </c>
      <c r="D57" s="34">
        <v>5.2</v>
      </c>
      <c r="E57" s="34" t="s">
        <v>58</v>
      </c>
    </row>
    <row r="58" spans="1:5" ht="28.5" customHeight="1">
      <c r="A58" s="20" t="s">
        <v>38</v>
      </c>
      <c r="B58" s="34"/>
      <c r="C58" s="34"/>
      <c r="D58" s="34"/>
      <c r="E58" s="34"/>
    </row>
    <row r="59" spans="1:5">
      <c r="A59" s="20" t="s">
        <v>39</v>
      </c>
      <c r="B59" s="34">
        <v>0</v>
      </c>
      <c r="C59" s="34">
        <v>0</v>
      </c>
      <c r="D59" s="34">
        <v>0</v>
      </c>
      <c r="E59" s="34">
        <v>0</v>
      </c>
    </row>
    <row r="60" spans="1:5">
      <c r="A60" s="20" t="s">
        <v>40</v>
      </c>
      <c r="B60" s="34"/>
      <c r="C60" s="34"/>
      <c r="D60" s="34"/>
      <c r="E60" s="34"/>
    </row>
    <row r="61" spans="1:5" ht="27.6">
      <c r="A61" s="27" t="s">
        <v>51</v>
      </c>
      <c r="B61" s="37" t="s">
        <v>58</v>
      </c>
      <c r="C61" s="37">
        <f>C52-C56+C58-C59+C60-C34</f>
        <v>130.57417530122024</v>
      </c>
      <c r="D61" s="37" t="s">
        <v>58</v>
      </c>
      <c r="E61" s="37">
        <f>E52-E56+E58-E59+E60-E34</f>
        <v>145.59498525756354</v>
      </c>
    </row>
    <row r="62" spans="1:5" ht="27.6">
      <c r="A62" s="27" t="s">
        <v>46</v>
      </c>
      <c r="B62" s="37">
        <f>B53-B57+B58-B59+B60-B34</f>
        <v>121.77417530122024</v>
      </c>
      <c r="C62" s="37" t="s">
        <v>58</v>
      </c>
      <c r="D62" s="37">
        <f>D53-D57+D58-D59+D60-D34</f>
        <v>120.96408538764412</v>
      </c>
      <c r="E62" s="37" t="s">
        <v>58</v>
      </c>
    </row>
    <row r="63" spans="1:5">
      <c r="A63" s="19" t="s">
        <v>41</v>
      </c>
      <c r="B63" s="32"/>
      <c r="C63" s="32"/>
      <c r="D63" s="32"/>
      <c r="E63" s="32"/>
    </row>
    <row r="64" spans="1:5" ht="27.6">
      <c r="A64" s="29" t="s">
        <v>102</v>
      </c>
      <c r="B64" s="34" t="s">
        <v>90</v>
      </c>
      <c r="C64" s="34">
        <f>10^((C61-17.3-24.9*LOG10(C$4))/38.3)</f>
        <v>368.24145399038275</v>
      </c>
      <c r="D64" s="34" t="s">
        <v>90</v>
      </c>
      <c r="E64" s="34">
        <f>10^((E61-17.3-24.9*LOG10(E$4))/38.3)</f>
        <v>908.49162105804112</v>
      </c>
    </row>
    <row r="65" spans="1:5" ht="27.6">
      <c r="A65" s="29" t="s">
        <v>43</v>
      </c>
      <c r="B65" s="34">
        <f>10^((B62-17.3-24.9*LOG10(B$4))/38.3)</f>
        <v>216.95400098343259</v>
      </c>
      <c r="C65" s="34" t="s">
        <v>90</v>
      </c>
      <c r="D65" s="34">
        <f>10^((D62-17.3-24.9*LOG10(D$4))/38.3)</f>
        <v>206.64099814375757</v>
      </c>
      <c r="E65" s="34" t="s">
        <v>90</v>
      </c>
    </row>
    <row r="66" spans="1:5" ht="16.8">
      <c r="A66" s="29" t="s">
        <v>131</v>
      </c>
      <c r="B66" s="34" t="s">
        <v>58</v>
      </c>
      <c r="C66" s="34">
        <f>PI()*(C64)^2</f>
        <v>426005.5195353101</v>
      </c>
      <c r="D66" s="34" t="s">
        <v>58</v>
      </c>
      <c r="E66" s="34">
        <f>PI()*(E64)^2</f>
        <v>2592935.5680021513</v>
      </c>
    </row>
    <row r="67" spans="1:5" ht="16.8">
      <c r="A67" s="29" t="s">
        <v>97</v>
      </c>
      <c r="B67" s="34">
        <f>PI()*(B65)^2</f>
        <v>147871.74569734168</v>
      </c>
      <c r="C67" s="34" t="s">
        <v>58</v>
      </c>
      <c r="D67" s="34">
        <f>PI()*(D65)^2</f>
        <v>134147.58374546163</v>
      </c>
      <c r="E67" s="34" t="s">
        <v>58</v>
      </c>
    </row>
    <row r="71" spans="1:5">
      <c r="D71" s="39"/>
    </row>
    <row r="72" spans="1:5">
      <c r="D72" s="39"/>
    </row>
  </sheetData>
  <mergeCells count="2">
    <mergeCell ref="D1:E1"/>
    <mergeCell ref="B1:C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22" workbookViewId="0">
      <selection activeCell="E22" sqref="E22"/>
    </sheetView>
  </sheetViews>
  <sheetFormatPr defaultColWidth="8.796875" defaultRowHeight="15.6"/>
  <cols>
    <col min="1" max="1" width="62" style="48" bestFit="1" customWidth="1"/>
    <col min="2" max="2" width="16" style="39" customWidth="1"/>
    <col min="3" max="3" width="15.5" style="39" bestFit="1" customWidth="1"/>
    <col min="4" max="4" width="15.19921875" style="40" customWidth="1"/>
    <col min="5" max="5" width="14.69921875" style="40" customWidth="1"/>
  </cols>
  <sheetData>
    <row r="1" spans="1:5">
      <c r="A1" s="19" t="s">
        <v>0</v>
      </c>
      <c r="B1" s="117" t="s">
        <v>47</v>
      </c>
      <c r="C1" s="115"/>
      <c r="D1" s="115" t="s">
        <v>49</v>
      </c>
      <c r="E1" s="116"/>
    </row>
    <row r="2" spans="1:5" ht="27.6">
      <c r="A2" s="19"/>
      <c r="B2" s="31" t="s">
        <v>48</v>
      </c>
      <c r="C2" s="31" t="s">
        <v>124</v>
      </c>
      <c r="D2" s="31" t="s">
        <v>50</v>
      </c>
      <c r="E2" s="31" t="s">
        <v>55</v>
      </c>
    </row>
    <row r="3" spans="1:5">
      <c r="A3" s="19" t="s">
        <v>1</v>
      </c>
      <c r="B3" s="92"/>
      <c r="C3" s="92"/>
      <c r="D3" s="92"/>
      <c r="E3" s="92"/>
    </row>
    <row r="4" spans="1:5">
      <c r="A4" s="98" t="s">
        <v>2</v>
      </c>
      <c r="B4" s="34">
        <v>4</v>
      </c>
      <c r="C4" s="34">
        <v>4</v>
      </c>
      <c r="D4" s="34">
        <v>4</v>
      </c>
      <c r="E4" s="34">
        <v>4</v>
      </c>
    </row>
    <row r="5" spans="1:5">
      <c r="A5" s="98" t="s">
        <v>3</v>
      </c>
      <c r="B5" s="34">
        <v>3</v>
      </c>
      <c r="C5" s="34">
        <v>3</v>
      </c>
      <c r="D5" s="34">
        <v>3</v>
      </c>
      <c r="E5" s="34">
        <v>3</v>
      </c>
    </row>
    <row r="6" spans="1:5">
      <c r="A6" s="98" t="s">
        <v>4</v>
      </c>
      <c r="B6" s="33">
        <v>1.5</v>
      </c>
      <c r="C6" s="33">
        <v>1.5</v>
      </c>
      <c r="D6" s="33">
        <v>1.5</v>
      </c>
      <c r="E6" s="33">
        <v>1.5</v>
      </c>
    </row>
    <row r="7" spans="1:5">
      <c r="A7" s="98" t="s">
        <v>145</v>
      </c>
      <c r="B7" s="21" t="s">
        <v>58</v>
      </c>
      <c r="C7" s="22">
        <v>0.95</v>
      </c>
      <c r="D7" s="22" t="s">
        <v>58</v>
      </c>
      <c r="E7" s="22">
        <v>0.95</v>
      </c>
    </row>
    <row r="8" spans="1:5">
      <c r="A8" s="98" t="s">
        <v>146</v>
      </c>
      <c r="B8" s="21">
        <v>0.9</v>
      </c>
      <c r="C8" s="22" t="s">
        <v>58</v>
      </c>
      <c r="D8" s="22">
        <v>0.9</v>
      </c>
      <c r="E8" s="22" t="s">
        <v>58</v>
      </c>
    </row>
    <row r="9" spans="1:5">
      <c r="A9" s="98" t="s">
        <v>5</v>
      </c>
      <c r="B9" s="33" t="s">
        <v>58</v>
      </c>
      <c r="C9" s="34">
        <f>64/(0.001)</f>
        <v>64000</v>
      </c>
      <c r="D9" s="34" t="s">
        <v>58</v>
      </c>
      <c r="E9" s="34">
        <f>2/(0.5*0.001)</f>
        <v>4000</v>
      </c>
    </row>
    <row r="10" spans="1:5">
      <c r="A10" s="98" t="s">
        <v>6</v>
      </c>
      <c r="B10" s="33">
        <f>4650676*3</f>
        <v>13952028</v>
      </c>
      <c r="C10" s="34" t="s">
        <v>58</v>
      </c>
      <c r="D10" s="35">
        <f>371520*3</f>
        <v>1114560</v>
      </c>
      <c r="E10" s="34" t="s">
        <v>58</v>
      </c>
    </row>
    <row r="11" spans="1:5">
      <c r="A11" s="98" t="s">
        <v>7</v>
      </c>
      <c r="B11" s="21" t="s">
        <v>58</v>
      </c>
      <c r="C11" s="22">
        <v>0.01</v>
      </c>
      <c r="D11" s="22" t="s">
        <v>58</v>
      </c>
      <c r="E11" s="22">
        <v>0.01</v>
      </c>
    </row>
    <row r="12" spans="1:5">
      <c r="A12" s="98" t="s">
        <v>8</v>
      </c>
      <c r="B12" s="21">
        <v>0.1</v>
      </c>
      <c r="C12" s="22" t="s">
        <v>58</v>
      </c>
      <c r="D12" s="22">
        <v>0.1</v>
      </c>
      <c r="E12" s="22" t="s">
        <v>58</v>
      </c>
    </row>
    <row r="13" spans="1:5">
      <c r="A13" s="98" t="s">
        <v>91</v>
      </c>
      <c r="B13" s="33">
        <f>B10/(B42*(4+2*11/14+1*1/14)/10)</f>
        <v>1.3466837097708284</v>
      </c>
      <c r="C13" s="34" t="s">
        <v>58</v>
      </c>
      <c r="D13" s="33">
        <f>D10/(D42*(4+2*2/14+1*1/14)/10)</f>
        <v>1.7763934426229511</v>
      </c>
      <c r="E13" s="34" t="s">
        <v>58</v>
      </c>
    </row>
    <row r="14" spans="1:5">
      <c r="A14" s="98" t="s">
        <v>92</v>
      </c>
      <c r="B14" s="34" t="s">
        <v>106</v>
      </c>
      <c r="C14" s="34" t="s">
        <v>106</v>
      </c>
      <c r="D14" s="34" t="s">
        <v>106</v>
      </c>
      <c r="E14" s="34" t="s">
        <v>106</v>
      </c>
    </row>
    <row r="15" spans="1:5">
      <c r="A15" s="98" t="s">
        <v>87</v>
      </c>
      <c r="B15" s="33">
        <v>3</v>
      </c>
      <c r="C15" s="34">
        <v>3</v>
      </c>
      <c r="D15" s="34">
        <v>3</v>
      </c>
      <c r="E15" s="34">
        <v>3</v>
      </c>
    </row>
    <row r="16" spans="1:5">
      <c r="A16" s="98" t="s">
        <v>9</v>
      </c>
      <c r="B16" s="33">
        <v>3</v>
      </c>
      <c r="C16" s="34">
        <v>3</v>
      </c>
      <c r="D16" s="34">
        <v>3</v>
      </c>
      <c r="E16" s="34">
        <v>3</v>
      </c>
    </row>
    <row r="17" spans="1:5">
      <c r="A17" s="19" t="s">
        <v>10</v>
      </c>
      <c r="B17" s="32"/>
      <c r="C17" s="32"/>
      <c r="D17" s="32"/>
      <c r="E17" s="32"/>
    </row>
    <row r="18" spans="1:5" ht="27.6">
      <c r="A18" s="98" t="s">
        <v>85</v>
      </c>
      <c r="B18" s="33">
        <v>32</v>
      </c>
      <c r="C18" s="34">
        <v>32</v>
      </c>
      <c r="D18" s="34">
        <v>2</v>
      </c>
      <c r="E18" s="34">
        <v>2</v>
      </c>
    </row>
    <row r="19" spans="1:5">
      <c r="A19" s="98" t="s">
        <v>108</v>
      </c>
      <c r="B19" s="33">
        <v>2</v>
      </c>
      <c r="C19" s="34">
        <v>2</v>
      </c>
      <c r="D19" s="34">
        <v>2</v>
      </c>
      <c r="E19" s="34">
        <v>2</v>
      </c>
    </row>
    <row r="20" spans="1:5">
      <c r="A20" s="98" t="s">
        <v>11</v>
      </c>
      <c r="B20" s="33">
        <v>9</v>
      </c>
      <c r="C20" s="34">
        <v>9</v>
      </c>
      <c r="D20" s="34">
        <v>20</v>
      </c>
      <c r="E20" s="34">
        <v>20</v>
      </c>
    </row>
    <row r="21" spans="1:5" ht="27.6">
      <c r="A21" s="23" t="s">
        <v>86</v>
      </c>
      <c r="B21" s="36">
        <f t="shared" ref="B21:C21" si="0">B20+10*LOG10(B18)</f>
        <v>24.051499783199063</v>
      </c>
      <c r="C21" s="36">
        <f t="shared" si="0"/>
        <v>24.051499783199063</v>
      </c>
      <c r="D21" s="36">
        <f>D20+10*LOG10(D18)</f>
        <v>23.010299956639813</v>
      </c>
      <c r="E21" s="36">
        <f>E20+10*LOG10(E18)</f>
        <v>23.010299956639813</v>
      </c>
    </row>
    <row r="22" spans="1:5">
      <c r="A22" s="98" t="s">
        <v>12</v>
      </c>
      <c r="B22" s="33">
        <v>5</v>
      </c>
      <c r="C22" s="34">
        <v>5</v>
      </c>
      <c r="D22" s="34">
        <v>0</v>
      </c>
      <c r="E22" s="34">
        <v>0</v>
      </c>
    </row>
    <row r="23" spans="1:5" ht="41.4">
      <c r="A23" s="99" t="s">
        <v>13</v>
      </c>
      <c r="B23" s="36">
        <f>IF(B18&gt;=2, 10*LOG10(B18/2), 0)</f>
        <v>12.041199826559248</v>
      </c>
      <c r="C23" s="36">
        <f t="shared" ref="C23:E23" si="1">IF(C18&gt;=2, 10*LOG10(C18/2), 0)</f>
        <v>12.041199826559248</v>
      </c>
      <c r="D23" s="36">
        <f t="shared" si="1"/>
        <v>0</v>
      </c>
      <c r="E23" s="36">
        <f t="shared" si="1"/>
        <v>0</v>
      </c>
    </row>
    <row r="24" spans="1:5">
      <c r="A24" s="98" t="s">
        <v>14</v>
      </c>
      <c r="B24" s="33">
        <v>0</v>
      </c>
      <c r="C24" s="33">
        <v>0</v>
      </c>
      <c r="D24" s="34">
        <v>0</v>
      </c>
      <c r="E24" s="34">
        <v>0</v>
      </c>
    </row>
    <row r="25" spans="1:5">
      <c r="A25" s="98" t="s">
        <v>15</v>
      </c>
      <c r="B25" s="33">
        <v>0</v>
      </c>
      <c r="C25" s="33">
        <v>0</v>
      </c>
      <c r="D25" s="34">
        <v>0</v>
      </c>
      <c r="E25" s="34">
        <v>0</v>
      </c>
    </row>
    <row r="26" spans="1:5" ht="27.6">
      <c r="A26" s="98" t="s">
        <v>16</v>
      </c>
      <c r="B26" s="33">
        <v>3</v>
      </c>
      <c r="C26" s="33">
        <v>3</v>
      </c>
      <c r="D26" s="33">
        <v>1</v>
      </c>
      <c r="E26" s="33">
        <v>1</v>
      </c>
    </row>
    <row r="27" spans="1:5">
      <c r="A27" s="100" t="s">
        <v>17</v>
      </c>
      <c r="B27" s="37">
        <f t="shared" ref="B27:E27" si="2">B21+B22+B23+B24-B26</f>
        <v>38.092699609758313</v>
      </c>
      <c r="C27" s="37">
        <f t="shared" si="2"/>
        <v>38.092699609758313</v>
      </c>
      <c r="D27" s="37">
        <f>D21+D22+D23+D24-D26</f>
        <v>22.010299956639813</v>
      </c>
      <c r="E27" s="37">
        <f t="shared" si="2"/>
        <v>22.010299956639813</v>
      </c>
    </row>
    <row r="28" spans="1:5">
      <c r="A28" s="100" t="s">
        <v>18</v>
      </c>
      <c r="B28" s="37">
        <f t="shared" ref="B28:E28" si="3">B21+B22+B23-B25-B26</f>
        <v>38.092699609758313</v>
      </c>
      <c r="C28" s="37">
        <f t="shared" si="3"/>
        <v>38.092699609758313</v>
      </c>
      <c r="D28" s="37">
        <f t="shared" si="3"/>
        <v>22.010299956639813</v>
      </c>
      <c r="E28" s="37">
        <f t="shared" si="3"/>
        <v>22.010299956639813</v>
      </c>
    </row>
    <row r="29" spans="1:5">
      <c r="A29" s="19" t="s">
        <v>19</v>
      </c>
      <c r="B29" s="32"/>
      <c r="C29" s="32"/>
      <c r="D29" s="32"/>
      <c r="E29" s="32"/>
    </row>
    <row r="30" spans="1:5" ht="27.6">
      <c r="A30" s="98" t="s">
        <v>84</v>
      </c>
      <c r="B30" s="33">
        <v>4</v>
      </c>
      <c r="C30" s="33">
        <v>4</v>
      </c>
      <c r="D30" s="34">
        <v>32</v>
      </c>
      <c r="E30" s="34">
        <v>32</v>
      </c>
    </row>
    <row r="31" spans="1:5">
      <c r="A31" s="98" t="s">
        <v>122</v>
      </c>
      <c r="B31" s="33">
        <v>2</v>
      </c>
      <c r="C31" s="33">
        <v>2</v>
      </c>
      <c r="D31" s="34">
        <v>2</v>
      </c>
      <c r="E31" s="34">
        <v>2</v>
      </c>
    </row>
    <row r="32" spans="1:5">
      <c r="A32" s="98" t="s">
        <v>20</v>
      </c>
      <c r="B32" s="33">
        <v>0</v>
      </c>
      <c r="C32" s="33">
        <v>0</v>
      </c>
      <c r="D32" s="34">
        <v>5</v>
      </c>
      <c r="E32" s="34">
        <v>5</v>
      </c>
    </row>
    <row r="33" spans="1:6" ht="27.6">
      <c r="A33" s="101" t="s">
        <v>88</v>
      </c>
      <c r="B33" s="38">
        <f t="shared" ref="B33:E33" si="4">IF(B30&gt;=2, 10*LOG10(B30/2), 0)</f>
        <v>3.0102999566398121</v>
      </c>
      <c r="C33" s="38">
        <f t="shared" si="4"/>
        <v>3.0102999566398121</v>
      </c>
      <c r="D33" s="38">
        <f t="shared" si="4"/>
        <v>12.041199826559248</v>
      </c>
      <c r="E33" s="38">
        <f t="shared" si="4"/>
        <v>12.041199826559248</v>
      </c>
    </row>
    <row r="34" spans="1:6" ht="27.6">
      <c r="A34" s="98" t="s">
        <v>21</v>
      </c>
      <c r="B34" s="33">
        <v>1</v>
      </c>
      <c r="C34" s="33">
        <v>1</v>
      </c>
      <c r="D34" s="33">
        <v>3</v>
      </c>
      <c r="E34" s="33">
        <v>3</v>
      </c>
    </row>
    <row r="35" spans="1:6">
      <c r="A35" s="98" t="s">
        <v>22</v>
      </c>
      <c r="B35" s="34">
        <v>7</v>
      </c>
      <c r="C35" s="34">
        <v>7</v>
      </c>
      <c r="D35" s="34">
        <v>5</v>
      </c>
      <c r="E35" s="34">
        <v>5</v>
      </c>
    </row>
    <row r="36" spans="1:6">
      <c r="A36" s="98" t="s">
        <v>23</v>
      </c>
      <c r="B36" s="34">
        <v>-174</v>
      </c>
      <c r="C36" s="34">
        <v>-174</v>
      </c>
      <c r="D36" s="34">
        <v>-174</v>
      </c>
      <c r="E36" s="34">
        <v>-174</v>
      </c>
    </row>
    <row r="37" spans="1:6">
      <c r="A37" s="98" t="s">
        <v>147</v>
      </c>
      <c r="B37" s="33" t="s">
        <v>58</v>
      </c>
      <c r="C37" s="34">
        <v>-174</v>
      </c>
      <c r="D37" s="34" t="s">
        <v>58</v>
      </c>
      <c r="E37" s="34">
        <v>-174.9</v>
      </c>
    </row>
    <row r="38" spans="1:6">
      <c r="A38" s="98" t="s">
        <v>24</v>
      </c>
      <c r="B38" s="33">
        <v>-174</v>
      </c>
      <c r="C38" s="34" t="s">
        <v>58</v>
      </c>
      <c r="D38" s="34">
        <v>-174.9</v>
      </c>
      <c r="E38" s="34" t="s">
        <v>58</v>
      </c>
    </row>
    <row r="39" spans="1:6" ht="48.75" customHeight="1">
      <c r="A39" s="102" t="s">
        <v>148</v>
      </c>
      <c r="B39" s="37" t="s">
        <v>58</v>
      </c>
      <c r="C39" s="37">
        <f t="shared" ref="C39:E39" si="5">10*LOG10(10^((C35+C36)/10)+10^(C37/10))</f>
        <v>-166.20990250347435</v>
      </c>
      <c r="D39" s="37" t="s">
        <v>58</v>
      </c>
      <c r="E39" s="37">
        <f t="shared" si="5"/>
        <v>-168.00651048203736</v>
      </c>
    </row>
    <row r="40" spans="1:6" ht="42.75" customHeight="1">
      <c r="A40" s="102" t="s">
        <v>149</v>
      </c>
      <c r="B40" s="37">
        <f t="shared" ref="B40:D40" si="6">10*LOG10(10^((B35+B36)/10)+10^(B38/10))</f>
        <v>-166.20990250347435</v>
      </c>
      <c r="C40" s="37" t="s">
        <v>58</v>
      </c>
      <c r="D40" s="37">
        <f t="shared" si="6"/>
        <v>-168.00651048203736</v>
      </c>
      <c r="E40" s="37" t="s">
        <v>58</v>
      </c>
    </row>
    <row r="41" spans="1:6" ht="33" customHeight="1">
      <c r="A41" s="98" t="s">
        <v>25</v>
      </c>
      <c r="B41" s="33" t="s">
        <v>58</v>
      </c>
      <c r="C41" s="33">
        <f>MaxN_RB!F6*12*15*1000</f>
        <v>19080000</v>
      </c>
      <c r="D41" s="34" t="s">
        <v>58</v>
      </c>
      <c r="E41" s="34">
        <f>1*12*30*1000</f>
        <v>360000</v>
      </c>
    </row>
    <row r="42" spans="1:6" ht="33.75" customHeight="1">
      <c r="A42" s="98" t="s">
        <v>26</v>
      </c>
      <c r="B42" s="33">
        <f>MaxN_RB!F7*12*30*1000</f>
        <v>18360000</v>
      </c>
      <c r="C42" s="34" t="s">
        <v>58</v>
      </c>
      <c r="D42" s="33">
        <f>4*12*30*1000</f>
        <v>1440000</v>
      </c>
      <c r="E42" s="34" t="s">
        <v>58</v>
      </c>
    </row>
    <row r="43" spans="1:6" ht="18.75" customHeight="1">
      <c r="A43" s="100" t="s">
        <v>27</v>
      </c>
      <c r="B43" s="37" t="s">
        <v>58</v>
      </c>
      <c r="C43" s="37">
        <f t="shared" ref="B43:E44" si="7">C39+10*LOG10(C41)</f>
        <v>-93.404118799793594</v>
      </c>
      <c r="D43" s="37" t="s">
        <v>58</v>
      </c>
      <c r="E43" s="37">
        <f t="shared" si="7"/>
        <v>-112.44348547436448</v>
      </c>
    </row>
    <row r="44" spans="1:6">
      <c r="A44" s="100" t="s">
        <v>28</v>
      </c>
      <c r="B44" s="37">
        <f t="shared" si="7"/>
        <v>-93.57117573482212</v>
      </c>
      <c r="C44" s="37" t="s">
        <v>58</v>
      </c>
      <c r="D44" s="37">
        <f t="shared" si="7"/>
        <v>-106.42288556108485</v>
      </c>
      <c r="E44" s="37" t="s">
        <v>58</v>
      </c>
    </row>
    <row r="45" spans="1:6">
      <c r="A45" s="98" t="s">
        <v>29</v>
      </c>
      <c r="B45" s="33" t="s">
        <v>58</v>
      </c>
      <c r="C45" s="75">
        <v>-4.8</v>
      </c>
      <c r="D45" s="33" t="s">
        <v>58</v>
      </c>
      <c r="E45" s="75">
        <v>-8</v>
      </c>
      <c r="F45" s="91"/>
    </row>
    <row r="46" spans="1:6">
      <c r="A46" s="98" t="s">
        <v>30</v>
      </c>
      <c r="B46" s="75">
        <v>6.3</v>
      </c>
      <c r="C46" s="33" t="s">
        <v>58</v>
      </c>
      <c r="D46" s="75">
        <v>14.13</v>
      </c>
      <c r="E46" s="33" t="s">
        <v>58</v>
      </c>
      <c r="F46" s="91"/>
    </row>
    <row r="47" spans="1:6">
      <c r="A47" s="98" t="s">
        <v>31</v>
      </c>
      <c r="B47" s="33">
        <v>2</v>
      </c>
      <c r="C47" s="34">
        <v>2</v>
      </c>
      <c r="D47" s="34">
        <v>2</v>
      </c>
      <c r="E47" s="34">
        <v>2</v>
      </c>
    </row>
    <row r="48" spans="1:6">
      <c r="A48" s="98" t="s">
        <v>32</v>
      </c>
      <c r="B48" s="33" t="s">
        <v>58</v>
      </c>
      <c r="C48" s="34">
        <v>0</v>
      </c>
      <c r="D48" s="34" t="s">
        <v>58</v>
      </c>
      <c r="E48" s="34">
        <v>0</v>
      </c>
    </row>
    <row r="49" spans="1:5">
      <c r="A49" s="98" t="s">
        <v>33</v>
      </c>
      <c r="B49" s="33">
        <v>0.5</v>
      </c>
      <c r="C49" s="34" t="s">
        <v>58</v>
      </c>
      <c r="D49" s="34">
        <v>0.5</v>
      </c>
      <c r="E49" s="34" t="s">
        <v>58</v>
      </c>
    </row>
    <row r="50" spans="1:5">
      <c r="A50" s="102" t="s">
        <v>44</v>
      </c>
      <c r="B50" s="37" t="s">
        <v>58</v>
      </c>
      <c r="C50" s="37">
        <f t="shared" ref="C50:E50" si="8">C43+C45+C47-C48</f>
        <v>-96.204118799793591</v>
      </c>
      <c r="D50" s="37" t="s">
        <v>58</v>
      </c>
      <c r="E50" s="37">
        <f t="shared" si="8"/>
        <v>-118.44348547436448</v>
      </c>
    </row>
    <row r="51" spans="1:5">
      <c r="A51" s="102" t="s">
        <v>45</v>
      </c>
      <c r="B51" s="37">
        <f t="shared" ref="B51:D51" si="9">B44+B46+B47-B49</f>
        <v>-85.771175734822123</v>
      </c>
      <c r="C51" s="37" t="s">
        <v>58</v>
      </c>
      <c r="D51" s="37">
        <f t="shared" si="9"/>
        <v>-90.792885561084859</v>
      </c>
      <c r="E51" s="37" t="s">
        <v>58</v>
      </c>
    </row>
    <row r="52" spans="1:5">
      <c r="A52" s="102" t="s">
        <v>93</v>
      </c>
      <c r="B52" s="37" t="s">
        <v>58</v>
      </c>
      <c r="C52" s="37">
        <f t="shared" ref="C52:E52" si="10">C27+C32+C33-C50</f>
        <v>137.30711836619173</v>
      </c>
      <c r="D52" s="37" t="s">
        <v>58</v>
      </c>
      <c r="E52" s="37">
        <f t="shared" si="10"/>
        <v>157.49498525756354</v>
      </c>
    </row>
    <row r="53" spans="1:5">
      <c r="A53" s="102" t="s">
        <v>94</v>
      </c>
      <c r="B53" s="37">
        <f t="shared" ref="B53:D53" si="11">B28+B32+B33-B51</f>
        <v>126.87417530122025</v>
      </c>
      <c r="C53" s="37" t="s">
        <v>58</v>
      </c>
      <c r="D53" s="37">
        <f t="shared" si="11"/>
        <v>129.84438534428392</v>
      </c>
      <c r="E53" s="37" t="s">
        <v>58</v>
      </c>
    </row>
    <row r="54" spans="1:5">
      <c r="A54" s="19" t="s">
        <v>34</v>
      </c>
      <c r="B54" s="32"/>
      <c r="C54" s="32"/>
      <c r="D54" s="32"/>
      <c r="E54" s="32"/>
    </row>
    <row r="55" spans="1:5">
      <c r="A55" s="98" t="s">
        <v>35</v>
      </c>
      <c r="B55" s="34">
        <v>4</v>
      </c>
      <c r="C55" s="34">
        <v>4</v>
      </c>
      <c r="D55" s="34">
        <v>4</v>
      </c>
      <c r="E55" s="34">
        <v>4</v>
      </c>
    </row>
    <row r="56" spans="1:5" ht="16.8">
      <c r="A56" s="103" t="s">
        <v>95</v>
      </c>
      <c r="B56" s="34"/>
      <c r="C56" s="34"/>
      <c r="D56" s="34"/>
      <c r="E56" s="34"/>
    </row>
    <row r="57" spans="1:5" ht="27.6">
      <c r="A57" s="98" t="s">
        <v>36</v>
      </c>
      <c r="B57" s="34" t="s">
        <v>58</v>
      </c>
      <c r="C57" s="34">
        <v>8.5</v>
      </c>
      <c r="D57" s="34" t="s">
        <v>58</v>
      </c>
      <c r="E57" s="34">
        <v>8.5</v>
      </c>
    </row>
    <row r="58" spans="1:5" ht="27.6">
      <c r="A58" s="98" t="s">
        <v>37</v>
      </c>
      <c r="B58" s="34">
        <v>5.2</v>
      </c>
      <c r="C58" s="34" t="s">
        <v>58</v>
      </c>
      <c r="D58" s="34">
        <v>5.2</v>
      </c>
      <c r="E58" s="34" t="s">
        <v>58</v>
      </c>
    </row>
    <row r="59" spans="1:5">
      <c r="A59" s="98" t="s">
        <v>38</v>
      </c>
      <c r="B59" s="34"/>
      <c r="C59" s="34"/>
      <c r="D59" s="34"/>
      <c r="E59" s="34"/>
    </row>
    <row r="60" spans="1:5">
      <c r="A60" s="98" t="s">
        <v>39</v>
      </c>
      <c r="B60" s="34">
        <v>0</v>
      </c>
      <c r="C60" s="34">
        <v>0</v>
      </c>
      <c r="D60" s="34">
        <v>0</v>
      </c>
      <c r="E60" s="34">
        <v>0</v>
      </c>
    </row>
    <row r="61" spans="1:5">
      <c r="A61" s="98" t="s">
        <v>40</v>
      </c>
      <c r="B61" s="34"/>
      <c r="C61" s="34"/>
      <c r="D61" s="34"/>
      <c r="E61" s="34"/>
    </row>
    <row r="62" spans="1:5">
      <c r="A62" s="102" t="s">
        <v>51</v>
      </c>
      <c r="B62" s="37" t="s">
        <v>58</v>
      </c>
      <c r="C62" s="37">
        <f t="shared" ref="C62:E62" si="12">C52-C57+C59-C60+C61-C34</f>
        <v>127.80711836619173</v>
      </c>
      <c r="D62" s="37" t="s">
        <v>58</v>
      </c>
      <c r="E62" s="37">
        <f t="shared" si="12"/>
        <v>145.99498525756354</v>
      </c>
    </row>
    <row r="63" spans="1:5">
      <c r="A63" s="102" t="s">
        <v>46</v>
      </c>
      <c r="B63" s="37">
        <f t="shared" ref="B63:D63" si="13">B53-B58+B59-B60+B61-B34</f>
        <v>120.67417530122025</v>
      </c>
      <c r="C63" s="37" t="s">
        <v>58</v>
      </c>
      <c r="D63" s="37">
        <f t="shared" si="13"/>
        <v>121.64438534428392</v>
      </c>
      <c r="E63" s="37" t="s">
        <v>58</v>
      </c>
    </row>
    <row r="64" spans="1:5">
      <c r="A64" s="19" t="s">
        <v>41</v>
      </c>
      <c r="B64" s="32"/>
      <c r="C64" s="32"/>
      <c r="D64" s="32"/>
      <c r="E64" s="32"/>
    </row>
    <row r="65" spans="1:5" ht="27.6">
      <c r="A65" s="104" t="s">
        <v>42</v>
      </c>
      <c r="B65" s="34" t="s">
        <v>90</v>
      </c>
      <c r="C65" s="34">
        <f>10^((C62-17.3-24.9*LOG10(C$4))/38.3)</f>
        <v>311.80692715884993</v>
      </c>
      <c r="D65" s="34" t="s">
        <v>90</v>
      </c>
      <c r="E65" s="34">
        <f>10^((E62-17.3-24.9*LOG10(E$4))/38.3)</f>
        <v>930.60373324047498</v>
      </c>
    </row>
    <row r="66" spans="1:5" ht="27.6">
      <c r="A66" s="104" t="s">
        <v>43</v>
      </c>
      <c r="B66" s="34">
        <f>10^((B63-17.3-24.9*LOG10(B$4))/38.3)</f>
        <v>203.07059298612089</v>
      </c>
      <c r="C66" s="34" t="s">
        <v>90</v>
      </c>
      <c r="D66" s="34">
        <f>10^((D63-17.3-24.9*LOG10(D$4))/38.3)</f>
        <v>215.2677105251534</v>
      </c>
      <c r="E66" s="34" t="s">
        <v>90</v>
      </c>
    </row>
    <row r="67" spans="1:5" ht="16.8">
      <c r="A67" s="104" t="s">
        <v>96</v>
      </c>
      <c r="B67" s="34" t="s">
        <v>58</v>
      </c>
      <c r="C67" s="34">
        <f>PI()*(C65)^2</f>
        <v>305436.82129969384</v>
      </c>
      <c r="D67" s="34" t="s">
        <v>58</v>
      </c>
      <c r="E67" s="34">
        <f>PI()*(E65)^2</f>
        <v>2720692.4632591247</v>
      </c>
    </row>
    <row r="68" spans="1:5" ht="16.8">
      <c r="A68" s="104" t="s">
        <v>97</v>
      </c>
      <c r="B68" s="34">
        <f>PI()*(B66)^2</f>
        <v>129551.94772657589</v>
      </c>
      <c r="C68" s="34" t="s">
        <v>58</v>
      </c>
      <c r="D68" s="34">
        <f>PI()*(D66)^2</f>
        <v>145581.99165697489</v>
      </c>
      <c r="E68" s="34" t="s">
        <v>58</v>
      </c>
    </row>
  </sheetData>
  <mergeCells count="2">
    <mergeCell ref="B1:C1"/>
    <mergeCell ref="D1:E1"/>
  </mergeCells>
  <phoneticPr fontId="1" type="noConversion"/>
  <dataValidations count="1">
    <dataValidation type="list" allowBlank="1" showInputMessage="1" showErrorMessage="1" sqref="D34:E34 B26:C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2" topLeftCell="B57" activePane="bottomRight" state="frozen"/>
      <selection pane="topRight" activeCell="B1" sqref="B1"/>
      <selection pane="bottomLeft" activeCell="A3" sqref="A3"/>
      <selection pane="bottomRight" activeCell="F21" sqref="F21"/>
    </sheetView>
  </sheetViews>
  <sheetFormatPr defaultColWidth="8.796875" defaultRowHeight="15.6"/>
  <cols>
    <col min="1" max="1" width="62" style="30" bestFit="1" customWidth="1"/>
    <col min="2" max="2" width="15.296875" style="39" bestFit="1" customWidth="1"/>
    <col min="3" max="3" width="12.19921875" style="39" bestFit="1" customWidth="1"/>
    <col min="4" max="5" width="11.796875" style="39" customWidth="1"/>
    <col min="6" max="6" width="11" style="40" bestFit="1" customWidth="1"/>
    <col min="7" max="7" width="15.19921875" style="40" customWidth="1"/>
    <col min="8" max="8" width="15" style="40" customWidth="1"/>
    <col min="9" max="9" width="15.69921875" style="40" customWidth="1"/>
    <col min="11" max="11" width="20.19921875" bestFit="1" customWidth="1"/>
  </cols>
  <sheetData>
    <row r="1" spans="1:9">
      <c r="A1" s="17" t="s">
        <v>0</v>
      </c>
      <c r="B1" s="115" t="s">
        <v>104</v>
      </c>
      <c r="C1" s="115"/>
      <c r="D1" s="115"/>
      <c r="E1" s="116"/>
      <c r="F1" s="118" t="s">
        <v>105</v>
      </c>
      <c r="G1" s="118"/>
      <c r="H1" s="118"/>
      <c r="I1" s="118"/>
    </row>
    <row r="2" spans="1:9" ht="41.4">
      <c r="A2" s="17"/>
      <c r="B2" s="31" t="s">
        <v>48</v>
      </c>
      <c r="C2" s="31" t="s">
        <v>54</v>
      </c>
      <c r="D2" s="31" t="s">
        <v>52</v>
      </c>
      <c r="E2" s="31" t="s">
        <v>53</v>
      </c>
      <c r="F2" s="31" t="s">
        <v>50</v>
      </c>
      <c r="G2" s="31" t="s">
        <v>55</v>
      </c>
      <c r="H2" s="31" t="s">
        <v>56</v>
      </c>
      <c r="I2" s="31" t="s">
        <v>57</v>
      </c>
    </row>
    <row r="3" spans="1:9" ht="15" customHeight="1">
      <c r="A3" s="19" t="s">
        <v>1</v>
      </c>
      <c r="B3" s="32"/>
      <c r="C3" s="32"/>
      <c r="D3" s="32"/>
      <c r="E3" s="32"/>
      <c r="F3" s="32"/>
      <c r="G3" s="32"/>
      <c r="H3" s="32"/>
      <c r="I3" s="32"/>
    </row>
    <row r="4" spans="1:9">
      <c r="A4" s="20" t="s">
        <v>2</v>
      </c>
      <c r="B4" s="34">
        <v>4</v>
      </c>
      <c r="C4" s="34">
        <v>4</v>
      </c>
      <c r="D4" s="34">
        <v>4</v>
      </c>
      <c r="E4" s="34">
        <v>4</v>
      </c>
      <c r="F4" s="34">
        <v>4</v>
      </c>
      <c r="G4" s="34">
        <v>4</v>
      </c>
      <c r="H4" s="34">
        <v>4</v>
      </c>
      <c r="I4" s="34">
        <v>4</v>
      </c>
    </row>
    <row r="5" spans="1:9">
      <c r="A5" s="20" t="s">
        <v>3</v>
      </c>
      <c r="B5" s="34">
        <v>25</v>
      </c>
      <c r="C5" s="34">
        <v>25</v>
      </c>
      <c r="D5" s="34">
        <v>25</v>
      </c>
      <c r="E5" s="34">
        <v>25</v>
      </c>
      <c r="F5" s="34">
        <v>25</v>
      </c>
      <c r="G5" s="34">
        <v>25</v>
      </c>
      <c r="H5" s="34">
        <v>25</v>
      </c>
      <c r="I5" s="34">
        <v>25</v>
      </c>
    </row>
    <row r="6" spans="1:9">
      <c r="A6" s="20" t="s">
        <v>4</v>
      </c>
      <c r="B6" s="34">
        <v>1.5</v>
      </c>
      <c r="C6" s="34">
        <v>1.5</v>
      </c>
      <c r="D6" s="34">
        <v>1.5</v>
      </c>
      <c r="E6" s="34">
        <v>1.5</v>
      </c>
      <c r="F6" s="34">
        <v>1.5</v>
      </c>
      <c r="G6" s="34">
        <v>1.5</v>
      </c>
      <c r="H6" s="34">
        <v>1.5</v>
      </c>
      <c r="I6" s="34">
        <v>1.5</v>
      </c>
    </row>
    <row r="7" spans="1:9" ht="27.6">
      <c r="A7" s="20" t="s">
        <v>145</v>
      </c>
      <c r="B7" s="21" t="s">
        <v>58</v>
      </c>
      <c r="C7" s="22">
        <v>0.95</v>
      </c>
      <c r="D7" s="21" t="s">
        <v>58</v>
      </c>
      <c r="E7" s="22">
        <v>0.95</v>
      </c>
      <c r="F7" s="22" t="s">
        <v>58</v>
      </c>
      <c r="G7" s="22">
        <v>0.95</v>
      </c>
      <c r="H7" s="22" t="s">
        <v>58</v>
      </c>
      <c r="I7" s="22">
        <v>0.95</v>
      </c>
    </row>
    <row r="8" spans="1:9">
      <c r="A8" s="20" t="s">
        <v>146</v>
      </c>
      <c r="B8" s="21">
        <v>0.9</v>
      </c>
      <c r="C8" s="22" t="s">
        <v>58</v>
      </c>
      <c r="D8" s="21">
        <v>0.9</v>
      </c>
      <c r="E8" s="22" t="s">
        <v>58</v>
      </c>
      <c r="F8" s="22">
        <v>0.9</v>
      </c>
      <c r="G8" s="22" t="s">
        <v>58</v>
      </c>
      <c r="H8" s="22">
        <v>0.9</v>
      </c>
      <c r="I8" s="22" t="s">
        <v>58</v>
      </c>
    </row>
    <row r="9" spans="1:9">
      <c r="A9" s="20" t="s">
        <v>5</v>
      </c>
      <c r="B9" s="33" t="s">
        <v>58</v>
      </c>
      <c r="C9" s="34">
        <f>64/(0.5*0.001)</f>
        <v>128000</v>
      </c>
      <c r="D9" s="33" t="s">
        <v>58</v>
      </c>
      <c r="E9" s="34">
        <f>64/(0.5*0.001)</f>
        <v>128000</v>
      </c>
      <c r="F9" s="34" t="s">
        <v>58</v>
      </c>
      <c r="G9" s="34">
        <f>2/(0.5*0.001)</f>
        <v>4000</v>
      </c>
      <c r="H9" s="34"/>
      <c r="I9" s="34">
        <f>2/(0.5*0.001)</f>
        <v>4000</v>
      </c>
    </row>
    <row r="10" spans="1:9">
      <c r="A10" s="20" t="s">
        <v>6</v>
      </c>
      <c r="B10" s="33">
        <f>2248233*3</f>
        <v>6744699</v>
      </c>
      <c r="C10" s="34" t="s">
        <v>58</v>
      </c>
      <c r="D10" s="33">
        <f>2248233*3</f>
        <v>6744699</v>
      </c>
      <c r="E10" s="34" t="s">
        <v>58</v>
      </c>
      <c r="F10" s="34">
        <f>74880*3</f>
        <v>224640</v>
      </c>
      <c r="G10" s="34" t="s">
        <v>58</v>
      </c>
      <c r="H10" s="34">
        <f>74880*3</f>
        <v>224640</v>
      </c>
      <c r="I10" s="34" t="s">
        <v>58</v>
      </c>
    </row>
    <row r="11" spans="1:9">
      <c r="A11" s="20" t="s">
        <v>7</v>
      </c>
      <c r="B11" s="21" t="s">
        <v>58</v>
      </c>
      <c r="C11" s="22">
        <v>0.01</v>
      </c>
      <c r="D11" s="21" t="s">
        <v>58</v>
      </c>
      <c r="E11" s="22">
        <v>0.01</v>
      </c>
      <c r="F11" s="22" t="s">
        <v>58</v>
      </c>
      <c r="G11" s="22">
        <v>0.01</v>
      </c>
      <c r="H11" s="22" t="s">
        <v>58</v>
      </c>
      <c r="I11" s="22">
        <v>0.01</v>
      </c>
    </row>
    <row r="12" spans="1:9">
      <c r="A12" s="20" t="s">
        <v>8</v>
      </c>
      <c r="B12" s="21">
        <v>0.1</v>
      </c>
      <c r="C12" s="22" t="s">
        <v>58</v>
      </c>
      <c r="D12" s="21">
        <v>0.1</v>
      </c>
      <c r="E12" s="22" t="s">
        <v>58</v>
      </c>
      <c r="F12" s="22">
        <v>0.1</v>
      </c>
      <c r="G12" s="22" t="s">
        <v>58</v>
      </c>
      <c r="H12" s="22">
        <v>0.1</v>
      </c>
      <c r="I12" s="22" t="s">
        <v>58</v>
      </c>
    </row>
    <row r="13" spans="1:9">
      <c r="A13" s="20" t="s">
        <v>91</v>
      </c>
      <c r="B13" s="33">
        <f>B10/(B42*(3+11/14)/5)</f>
        <v>0.48519025157232709</v>
      </c>
      <c r="C13" s="33" t="s">
        <v>58</v>
      </c>
      <c r="D13" s="33">
        <f>D10/(D42*(3+11/14)/5)</f>
        <v>0.48519025157232709</v>
      </c>
      <c r="E13" s="33" t="s">
        <v>58</v>
      </c>
      <c r="F13" s="33">
        <f>F10/(F42*(1+3/14)/5)</f>
        <v>0.64235294117647068</v>
      </c>
      <c r="G13" s="34" t="s">
        <v>58</v>
      </c>
      <c r="H13" s="33">
        <f>H10/(H42*(1+3/14)/5)</f>
        <v>0.64235294117647068</v>
      </c>
      <c r="I13" s="34" t="s">
        <v>58</v>
      </c>
    </row>
    <row r="14" spans="1:9">
      <c r="A14" s="20" t="s">
        <v>92</v>
      </c>
      <c r="B14" s="33" t="s">
        <v>106</v>
      </c>
      <c r="C14" s="33" t="s">
        <v>106</v>
      </c>
      <c r="D14" s="33" t="s">
        <v>107</v>
      </c>
      <c r="E14" s="33" t="s">
        <v>107</v>
      </c>
      <c r="F14" s="33" t="s">
        <v>106</v>
      </c>
      <c r="G14" s="33" t="s">
        <v>106</v>
      </c>
      <c r="H14" s="33" t="s">
        <v>107</v>
      </c>
      <c r="I14" s="33" t="s">
        <v>107</v>
      </c>
    </row>
    <row r="15" spans="1:9">
      <c r="A15" s="20" t="s">
        <v>87</v>
      </c>
      <c r="B15" s="33">
        <v>30</v>
      </c>
      <c r="C15" s="34">
        <v>30</v>
      </c>
      <c r="D15" s="33">
        <v>3</v>
      </c>
      <c r="E15" s="34">
        <v>3</v>
      </c>
      <c r="F15" s="34">
        <v>30</v>
      </c>
      <c r="G15" s="34">
        <v>30</v>
      </c>
      <c r="H15" s="34">
        <v>3</v>
      </c>
      <c r="I15" s="34">
        <v>3</v>
      </c>
    </row>
    <row r="16" spans="1:9">
      <c r="A16" s="20" t="s">
        <v>9</v>
      </c>
      <c r="B16" s="33">
        <v>3</v>
      </c>
      <c r="C16" s="34">
        <v>3</v>
      </c>
      <c r="D16" s="33">
        <v>3</v>
      </c>
      <c r="E16" s="34">
        <v>3</v>
      </c>
      <c r="F16" s="34">
        <v>3</v>
      </c>
      <c r="G16" s="34">
        <v>3</v>
      </c>
      <c r="H16" s="34">
        <v>3</v>
      </c>
      <c r="I16" s="34">
        <v>3</v>
      </c>
    </row>
    <row r="17" spans="1:9" ht="15" customHeight="1">
      <c r="A17" s="19" t="s">
        <v>10</v>
      </c>
      <c r="B17" s="32"/>
      <c r="C17" s="32"/>
      <c r="D17" s="32"/>
      <c r="E17" s="32"/>
      <c r="F17" s="32"/>
      <c r="G17" s="32"/>
      <c r="H17" s="32"/>
      <c r="I17" s="32"/>
    </row>
    <row r="18" spans="1:9" ht="27.6">
      <c r="A18" s="20" t="s">
        <v>85</v>
      </c>
      <c r="B18" s="33">
        <v>128</v>
      </c>
      <c r="C18" s="34">
        <v>128</v>
      </c>
      <c r="D18" s="33">
        <v>128</v>
      </c>
      <c r="E18" s="34">
        <v>128</v>
      </c>
      <c r="F18" s="34">
        <v>2</v>
      </c>
      <c r="G18" s="34">
        <v>2</v>
      </c>
      <c r="H18" s="34">
        <v>2</v>
      </c>
      <c r="I18" s="34">
        <v>2</v>
      </c>
    </row>
    <row r="19" spans="1:9">
      <c r="A19" s="20" t="s">
        <v>108</v>
      </c>
      <c r="B19" s="33">
        <v>2</v>
      </c>
      <c r="C19" s="34">
        <v>2</v>
      </c>
      <c r="D19" s="33">
        <v>2</v>
      </c>
      <c r="E19" s="34">
        <v>2</v>
      </c>
      <c r="F19" s="34">
        <v>2</v>
      </c>
      <c r="G19" s="34">
        <v>2</v>
      </c>
      <c r="H19" s="34">
        <v>2</v>
      </c>
      <c r="I19" s="34">
        <v>2</v>
      </c>
    </row>
    <row r="20" spans="1:9">
      <c r="A20" s="20" t="s">
        <v>11</v>
      </c>
      <c r="B20" s="33">
        <v>23</v>
      </c>
      <c r="C20" s="34">
        <v>23</v>
      </c>
      <c r="D20" s="33">
        <v>23</v>
      </c>
      <c r="E20" s="34">
        <v>23</v>
      </c>
      <c r="F20" s="34">
        <v>20</v>
      </c>
      <c r="G20" s="34">
        <v>20</v>
      </c>
      <c r="H20" s="34">
        <v>20</v>
      </c>
      <c r="I20" s="34">
        <v>20</v>
      </c>
    </row>
    <row r="21" spans="1:9" ht="30.6">
      <c r="A21" s="41" t="s">
        <v>142</v>
      </c>
      <c r="B21" s="38">
        <f t="shared" ref="B21:I21" si="0">B20+10*LOG10(B18)</f>
        <v>44.072099696478688</v>
      </c>
      <c r="C21" s="38">
        <f t="shared" si="0"/>
        <v>44.072099696478688</v>
      </c>
      <c r="D21" s="38">
        <f t="shared" si="0"/>
        <v>44.072099696478688</v>
      </c>
      <c r="E21" s="38">
        <f t="shared" si="0"/>
        <v>44.072099696478688</v>
      </c>
      <c r="F21" s="38">
        <v>26</v>
      </c>
      <c r="G21" s="38">
        <f t="shared" si="0"/>
        <v>23.010299956639813</v>
      </c>
      <c r="H21" s="38">
        <v>26</v>
      </c>
      <c r="I21" s="38">
        <f t="shared" si="0"/>
        <v>23.010299956639813</v>
      </c>
    </row>
    <row r="22" spans="1:9">
      <c r="A22" s="20" t="s">
        <v>12</v>
      </c>
      <c r="B22" s="33">
        <v>8</v>
      </c>
      <c r="C22" s="34">
        <v>8</v>
      </c>
      <c r="D22" s="33">
        <v>8</v>
      </c>
      <c r="E22" s="34">
        <v>8</v>
      </c>
      <c r="F22" s="34">
        <v>0</v>
      </c>
      <c r="G22" s="34">
        <v>0</v>
      </c>
      <c r="H22" s="34">
        <v>0</v>
      </c>
      <c r="I22" s="34">
        <v>0</v>
      </c>
    </row>
    <row r="23" spans="1:9" ht="41.4">
      <c r="A23" s="42" t="s">
        <v>13</v>
      </c>
      <c r="B23" s="38">
        <f t="shared" ref="B23:I23" si="1">IF(B18&gt;=2, 10*LOG10(B18/2), 0)</f>
        <v>18.061799739838872</v>
      </c>
      <c r="C23" s="38">
        <f t="shared" si="1"/>
        <v>18.061799739838872</v>
      </c>
      <c r="D23" s="38">
        <f t="shared" si="1"/>
        <v>18.061799739838872</v>
      </c>
      <c r="E23" s="38">
        <f t="shared" si="1"/>
        <v>18.061799739838872</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ht="15.75" customHeight="1">
      <c r="A25" s="20" t="s">
        <v>15</v>
      </c>
      <c r="B25" s="33">
        <v>0</v>
      </c>
      <c r="C25" s="34">
        <v>0</v>
      </c>
      <c r="D25" s="33">
        <v>0</v>
      </c>
      <c r="E25" s="34">
        <v>0</v>
      </c>
      <c r="F25" s="34">
        <v>0</v>
      </c>
      <c r="G25" s="34">
        <v>0</v>
      </c>
      <c r="H25" s="34">
        <v>0</v>
      </c>
      <c r="I25" s="34">
        <v>0</v>
      </c>
    </row>
    <row r="26" spans="1:9" ht="27.6">
      <c r="A26" s="20" t="s">
        <v>16</v>
      </c>
      <c r="B26" s="33">
        <v>3</v>
      </c>
      <c r="C26" s="34">
        <v>3</v>
      </c>
      <c r="D26" s="33">
        <v>3</v>
      </c>
      <c r="E26" s="34">
        <v>3</v>
      </c>
      <c r="F26" s="34">
        <v>1</v>
      </c>
      <c r="G26" s="34">
        <v>1</v>
      </c>
      <c r="H26" s="34">
        <v>1</v>
      </c>
      <c r="I26" s="34">
        <v>1</v>
      </c>
    </row>
    <row r="27" spans="1:9">
      <c r="A27" s="25" t="s">
        <v>17</v>
      </c>
      <c r="B27" s="37">
        <f t="shared" ref="B27:I27" si="2">B21+B22+B23+B24-B26</f>
        <v>67.133899436317563</v>
      </c>
      <c r="C27" s="37">
        <f t="shared" si="2"/>
        <v>67.133899436317563</v>
      </c>
      <c r="D27" s="37">
        <f t="shared" si="2"/>
        <v>67.133899436317563</v>
      </c>
      <c r="E27" s="37">
        <f t="shared" si="2"/>
        <v>67.133899436317563</v>
      </c>
      <c r="F27" s="37">
        <f t="shared" si="2"/>
        <v>25</v>
      </c>
      <c r="G27" s="37">
        <f t="shared" si="2"/>
        <v>22.010299956639813</v>
      </c>
      <c r="H27" s="37">
        <f t="shared" si="2"/>
        <v>25</v>
      </c>
      <c r="I27" s="37">
        <f t="shared" si="2"/>
        <v>22.010299956639813</v>
      </c>
    </row>
    <row r="28" spans="1:9">
      <c r="A28" s="25" t="s">
        <v>18</v>
      </c>
      <c r="B28" s="37">
        <f t="shared" ref="B28:I28" si="3">B21+B22+B23-B25-B26</f>
        <v>67.133899436317563</v>
      </c>
      <c r="C28" s="37">
        <f t="shared" si="3"/>
        <v>67.133899436317563</v>
      </c>
      <c r="D28" s="37">
        <f t="shared" si="3"/>
        <v>67.133899436317563</v>
      </c>
      <c r="E28" s="37">
        <f t="shared" si="3"/>
        <v>67.133899436317563</v>
      </c>
      <c r="F28" s="37">
        <f t="shared" si="3"/>
        <v>25</v>
      </c>
      <c r="G28" s="37">
        <f t="shared" si="3"/>
        <v>22.010299956639813</v>
      </c>
      <c r="H28" s="37">
        <f t="shared" si="3"/>
        <v>25</v>
      </c>
      <c r="I28" s="37">
        <f t="shared" si="3"/>
        <v>22.010299956639813</v>
      </c>
    </row>
    <row r="29" spans="1:9">
      <c r="A29" s="19" t="s">
        <v>19</v>
      </c>
      <c r="B29" s="32"/>
      <c r="C29" s="32"/>
      <c r="D29" s="32"/>
      <c r="E29" s="32"/>
      <c r="F29" s="32"/>
      <c r="G29" s="32"/>
      <c r="H29" s="32"/>
      <c r="I29" s="32"/>
    </row>
    <row r="30" spans="1:9" ht="27.6">
      <c r="A30" s="20" t="s">
        <v>84</v>
      </c>
      <c r="B30" s="33">
        <v>4</v>
      </c>
      <c r="C30" s="34">
        <v>4</v>
      </c>
      <c r="D30" s="33">
        <v>4</v>
      </c>
      <c r="E30" s="34">
        <v>4</v>
      </c>
      <c r="F30" s="34">
        <v>128</v>
      </c>
      <c r="G30" s="34">
        <v>128</v>
      </c>
      <c r="H30" s="34">
        <v>128</v>
      </c>
      <c r="I30" s="34">
        <v>128</v>
      </c>
    </row>
    <row r="31" spans="1:9">
      <c r="A31" s="20" t="s">
        <v>125</v>
      </c>
      <c r="B31" s="33">
        <v>2</v>
      </c>
      <c r="C31" s="34">
        <v>2</v>
      </c>
      <c r="D31" s="33">
        <v>2</v>
      </c>
      <c r="E31" s="34">
        <v>2</v>
      </c>
      <c r="F31" s="34">
        <v>2</v>
      </c>
      <c r="G31" s="34">
        <v>2</v>
      </c>
      <c r="H31" s="34">
        <v>2</v>
      </c>
      <c r="I31" s="34">
        <v>2</v>
      </c>
    </row>
    <row r="32" spans="1:9">
      <c r="A32" s="20" t="s">
        <v>20</v>
      </c>
      <c r="B32" s="33">
        <v>0</v>
      </c>
      <c r="C32" s="34">
        <v>0</v>
      </c>
      <c r="D32" s="33">
        <v>0</v>
      </c>
      <c r="E32" s="34">
        <v>0</v>
      </c>
      <c r="F32" s="34">
        <v>8</v>
      </c>
      <c r="G32" s="34">
        <v>8</v>
      </c>
      <c r="H32" s="34">
        <v>8</v>
      </c>
      <c r="I32" s="34">
        <v>8</v>
      </c>
    </row>
    <row r="33" spans="1:9" ht="27.6">
      <c r="A33" s="26" t="s">
        <v>88</v>
      </c>
      <c r="B33" s="38">
        <f t="shared" ref="B33:I33" si="4">IF(B30&gt;=2, 10*LOG10(B30/2), 0)</f>
        <v>3.0102999566398121</v>
      </c>
      <c r="C33" s="38">
        <f t="shared" si="4"/>
        <v>3.0102999566398121</v>
      </c>
      <c r="D33" s="38">
        <f t="shared" si="4"/>
        <v>3.0102999566398121</v>
      </c>
      <c r="E33" s="38">
        <f t="shared" si="4"/>
        <v>3.0102999566398121</v>
      </c>
      <c r="F33" s="38">
        <f t="shared" si="4"/>
        <v>18.061799739838872</v>
      </c>
      <c r="G33" s="38">
        <f t="shared" si="4"/>
        <v>18.061799739838872</v>
      </c>
      <c r="H33" s="38">
        <f t="shared" si="4"/>
        <v>18.061799739838872</v>
      </c>
      <c r="I33" s="38">
        <f t="shared" si="4"/>
        <v>18.061799739838872</v>
      </c>
    </row>
    <row r="34" spans="1:9" ht="27.6">
      <c r="A34" s="20" t="s">
        <v>21</v>
      </c>
      <c r="B34" s="33">
        <v>1</v>
      </c>
      <c r="C34" s="34">
        <v>1</v>
      </c>
      <c r="D34" s="33">
        <v>1</v>
      </c>
      <c r="E34" s="34">
        <v>1</v>
      </c>
      <c r="F34" s="34">
        <v>3</v>
      </c>
      <c r="G34" s="34">
        <v>3</v>
      </c>
      <c r="H34" s="34">
        <v>3</v>
      </c>
      <c r="I34" s="34">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c r="A37" s="20" t="s">
        <v>147</v>
      </c>
      <c r="B37" s="33" t="s">
        <v>58</v>
      </c>
      <c r="C37" s="34">
        <v>-169.3</v>
      </c>
      <c r="D37" s="33" t="s">
        <v>58</v>
      </c>
      <c r="E37" s="34">
        <v>-169.3</v>
      </c>
      <c r="F37" s="34" t="s">
        <v>58</v>
      </c>
      <c r="G37" s="34">
        <v>-161.69999999999999</v>
      </c>
      <c r="H37" s="34" t="s">
        <v>58</v>
      </c>
      <c r="I37" s="34">
        <v>-161.69999999999999</v>
      </c>
    </row>
    <row r="38" spans="1:9">
      <c r="A38" s="20" t="s">
        <v>24</v>
      </c>
      <c r="B38" s="33">
        <v>-169.3</v>
      </c>
      <c r="C38" s="34" t="s">
        <v>58</v>
      </c>
      <c r="D38" s="33">
        <v>-169.3</v>
      </c>
      <c r="E38" s="34" t="s">
        <v>58</v>
      </c>
      <c r="F38" s="34">
        <v>-165.7</v>
      </c>
      <c r="G38" s="34" t="s">
        <v>58</v>
      </c>
      <c r="H38" s="34">
        <v>-165.7</v>
      </c>
      <c r="I38" s="34" t="s">
        <v>58</v>
      </c>
    </row>
    <row r="39" spans="1:9" ht="27.6">
      <c r="A39" s="27" t="s">
        <v>148</v>
      </c>
      <c r="B39" s="37" t="s">
        <v>58</v>
      </c>
      <c r="C39" s="37">
        <f t="shared" ref="C39:I39" si="5">10*LOG10(10^((C35+C36)/10)+10^(C37/10))</f>
        <v>-164.98918835931039</v>
      </c>
      <c r="D39" s="37" t="s">
        <v>58</v>
      </c>
      <c r="E39" s="37">
        <f t="shared" si="5"/>
        <v>-164.98918835931039</v>
      </c>
      <c r="F39" s="37" t="s">
        <v>58</v>
      </c>
      <c r="G39" s="37">
        <f t="shared" si="5"/>
        <v>-160.9583889004532</v>
      </c>
      <c r="H39" s="37" t="s">
        <v>58</v>
      </c>
      <c r="I39" s="37">
        <f t="shared" si="5"/>
        <v>-160.9583889004532</v>
      </c>
    </row>
    <row r="40" spans="1:9" ht="27.6">
      <c r="A40" s="27" t="s">
        <v>149</v>
      </c>
      <c r="B40" s="37">
        <f t="shared" ref="B40:H40" si="6">10*LOG10(10^((B35+B36)/10)+10^(B38/10))</f>
        <v>-164.98918835931039</v>
      </c>
      <c r="C40" s="37" t="s">
        <v>58</v>
      </c>
      <c r="D40" s="37">
        <f t="shared" si="6"/>
        <v>-164.98918835931039</v>
      </c>
      <c r="E40" s="37" t="s">
        <v>58</v>
      </c>
      <c r="F40" s="37">
        <f t="shared" si="6"/>
        <v>-164.03352307536667</v>
      </c>
      <c r="G40" s="37" t="s">
        <v>58</v>
      </c>
      <c r="H40" s="37">
        <f t="shared" si="6"/>
        <v>-164.03352307536667</v>
      </c>
      <c r="I40" s="37" t="s">
        <v>58</v>
      </c>
    </row>
    <row r="41" spans="1:9" ht="27.6">
      <c r="A41" s="20" t="s">
        <v>25</v>
      </c>
      <c r="B41" s="33" t="s">
        <v>58</v>
      </c>
      <c r="C41" s="33">
        <f>MaxN_RB!$F$7*12*30*1000</f>
        <v>18360000</v>
      </c>
      <c r="D41" s="33" t="s">
        <v>58</v>
      </c>
      <c r="E41" s="33">
        <f>MaxN_RB!$F$7*12*30*1000</f>
        <v>18360000</v>
      </c>
      <c r="F41" s="34" t="s">
        <v>58</v>
      </c>
      <c r="G41" s="34">
        <f>1*12*30*1000</f>
        <v>360000</v>
      </c>
      <c r="H41" s="34" t="s">
        <v>58</v>
      </c>
      <c r="I41" s="34">
        <f>1*12*30*1000</f>
        <v>360000</v>
      </c>
    </row>
    <row r="42" spans="1:9" ht="27.6">
      <c r="A42" s="20" t="s">
        <v>26</v>
      </c>
      <c r="B42" s="33">
        <f>MaxN_RB!$F$7*12*30*1000</f>
        <v>18360000</v>
      </c>
      <c r="C42" s="34" t="s">
        <v>58</v>
      </c>
      <c r="D42" s="33">
        <f>MaxN_RB!$F$7*12*30*1000</f>
        <v>18360000</v>
      </c>
      <c r="E42" s="34" t="s">
        <v>58</v>
      </c>
      <c r="F42" s="34">
        <f>4*12*30*1000</f>
        <v>1440000</v>
      </c>
      <c r="G42" s="34" t="s">
        <v>58</v>
      </c>
      <c r="H42" s="34">
        <f>4*12*30*1000</f>
        <v>1440000</v>
      </c>
      <c r="I42" s="34" t="s">
        <v>58</v>
      </c>
    </row>
    <row r="43" spans="1:9">
      <c r="A43" s="25" t="s">
        <v>27</v>
      </c>
      <c r="B43" s="37" t="s">
        <v>58</v>
      </c>
      <c r="C43" s="37">
        <f t="shared" ref="B43:I44" si="7">C39+10*LOG10(C41)</f>
        <v>-92.350461590658156</v>
      </c>
      <c r="D43" s="37" t="s">
        <v>58</v>
      </c>
      <c r="E43" s="37">
        <f t="shared" si="7"/>
        <v>-92.350461590658156</v>
      </c>
      <c r="F43" s="37" t="s">
        <v>58</v>
      </c>
      <c r="G43" s="37">
        <f t="shared" si="7"/>
        <v>-105.39536389278032</v>
      </c>
      <c r="H43" s="37" t="s">
        <v>58</v>
      </c>
      <c r="I43" s="37">
        <f t="shared" si="7"/>
        <v>-105.39536389278032</v>
      </c>
    </row>
    <row r="44" spans="1:9">
      <c r="A44" s="25" t="s">
        <v>28</v>
      </c>
      <c r="B44" s="37">
        <f t="shared" si="7"/>
        <v>-92.350461590658156</v>
      </c>
      <c r="C44" s="37" t="s">
        <v>58</v>
      </c>
      <c r="D44" s="37">
        <f t="shared" si="7"/>
        <v>-92.350461590658156</v>
      </c>
      <c r="E44" s="37" t="s">
        <v>58</v>
      </c>
      <c r="F44" s="37">
        <f t="shared" si="7"/>
        <v>-102.44989815441417</v>
      </c>
      <c r="G44" s="37" t="s">
        <v>58</v>
      </c>
      <c r="H44" s="37">
        <f t="shared" si="7"/>
        <v>-102.44989815441417</v>
      </c>
      <c r="I44" s="37" t="s">
        <v>58</v>
      </c>
    </row>
    <row r="45" spans="1:9">
      <c r="A45" s="20" t="s">
        <v>29</v>
      </c>
      <c r="B45" s="33" t="s">
        <v>58</v>
      </c>
      <c r="C45" s="34">
        <v>-8.3000000000000007</v>
      </c>
      <c r="D45" s="33" t="s">
        <v>58</v>
      </c>
      <c r="E45" s="34">
        <v>-8.5</v>
      </c>
      <c r="F45" s="33" t="s">
        <v>58</v>
      </c>
      <c r="G45" s="34">
        <v>-6.8</v>
      </c>
      <c r="H45" s="33" t="s">
        <v>58</v>
      </c>
      <c r="I45" s="34">
        <v>-6.8</v>
      </c>
    </row>
    <row r="46" spans="1:9">
      <c r="A46" s="20" t="s">
        <v>30</v>
      </c>
      <c r="B46" s="33">
        <v>-0.1</v>
      </c>
      <c r="C46" s="34" t="s">
        <v>58</v>
      </c>
      <c r="D46" s="33">
        <v>-1</v>
      </c>
      <c r="E46" s="34" t="s">
        <v>58</v>
      </c>
      <c r="F46" s="33">
        <v>6</v>
      </c>
      <c r="G46" s="34" t="s">
        <v>58</v>
      </c>
      <c r="H46" s="33">
        <v>3.7</v>
      </c>
      <c r="I46" s="34" t="s">
        <v>58</v>
      </c>
    </row>
    <row r="47" spans="1:9">
      <c r="A47" s="20" t="s">
        <v>31</v>
      </c>
      <c r="B47" s="33">
        <v>2</v>
      </c>
      <c r="C47" s="34">
        <v>2</v>
      </c>
      <c r="D47" s="33">
        <v>2</v>
      </c>
      <c r="E47" s="34">
        <v>2</v>
      </c>
      <c r="F47" s="34">
        <v>2</v>
      </c>
      <c r="G47" s="34">
        <v>2</v>
      </c>
      <c r="H47" s="34">
        <v>2</v>
      </c>
      <c r="I47" s="34">
        <v>2</v>
      </c>
    </row>
    <row r="48" spans="1:9">
      <c r="A48" s="20" t="s">
        <v>32</v>
      </c>
      <c r="B48" s="33" t="s">
        <v>58</v>
      </c>
      <c r="C48" s="34">
        <v>0</v>
      </c>
      <c r="D48" s="33" t="s">
        <v>58</v>
      </c>
      <c r="E48" s="34">
        <v>0</v>
      </c>
      <c r="F48" s="34" t="s">
        <v>58</v>
      </c>
      <c r="G48" s="34">
        <v>0</v>
      </c>
      <c r="H48" s="34" t="s">
        <v>58</v>
      </c>
      <c r="I48" s="34">
        <v>0</v>
      </c>
    </row>
    <row r="49" spans="1:11">
      <c r="A49" s="20" t="s">
        <v>33</v>
      </c>
      <c r="B49" s="33">
        <v>0.5</v>
      </c>
      <c r="C49" s="34" t="s">
        <v>58</v>
      </c>
      <c r="D49" s="33">
        <v>0.5</v>
      </c>
      <c r="E49" s="34" t="s">
        <v>58</v>
      </c>
      <c r="F49" s="34">
        <v>0.5</v>
      </c>
      <c r="G49" s="34" t="s">
        <v>58</v>
      </c>
      <c r="H49" s="34">
        <v>0.5</v>
      </c>
      <c r="I49" s="34" t="s">
        <v>58</v>
      </c>
    </row>
    <row r="50" spans="1:11" ht="27.6">
      <c r="A50" s="27" t="s">
        <v>44</v>
      </c>
      <c r="B50" s="37" t="s">
        <v>58</v>
      </c>
      <c r="C50" s="37">
        <f t="shared" ref="C50:I50" si="8">C43+C45+C47-C48</f>
        <v>-98.650461590658153</v>
      </c>
      <c r="D50" s="37" t="s">
        <v>58</v>
      </c>
      <c r="E50" s="37">
        <f t="shared" si="8"/>
        <v>-98.850461590658156</v>
      </c>
      <c r="F50" s="37" t="s">
        <v>58</v>
      </c>
      <c r="G50" s="37">
        <f t="shared" si="8"/>
        <v>-110.19536389278032</v>
      </c>
      <c r="H50" s="37" t="s">
        <v>58</v>
      </c>
      <c r="I50" s="37">
        <f t="shared" si="8"/>
        <v>-110.19536389278032</v>
      </c>
    </row>
    <row r="51" spans="1:11" ht="27.6">
      <c r="A51" s="27" t="s">
        <v>98</v>
      </c>
      <c r="B51" s="37">
        <f t="shared" ref="B51:H51" si="9">B44+B46+B47-B49</f>
        <v>-90.950461590658151</v>
      </c>
      <c r="C51" s="37" t="s">
        <v>58</v>
      </c>
      <c r="D51" s="37">
        <f t="shared" si="9"/>
        <v>-91.850461590658156</v>
      </c>
      <c r="E51" s="37" t="s">
        <v>58</v>
      </c>
      <c r="F51" s="37">
        <f t="shared" si="9"/>
        <v>-94.949898154414171</v>
      </c>
      <c r="G51" s="37" t="s">
        <v>58</v>
      </c>
      <c r="H51" s="37">
        <f t="shared" si="9"/>
        <v>-97.249898154414169</v>
      </c>
      <c r="I51" s="37" t="s">
        <v>58</v>
      </c>
    </row>
    <row r="52" spans="1:11" ht="27.6">
      <c r="A52" s="27" t="s">
        <v>99</v>
      </c>
      <c r="B52" s="37" t="s">
        <v>58</v>
      </c>
      <c r="C52" s="37">
        <f t="shared" ref="C52:I52" si="10">C27+C32+C33-C50</f>
        <v>168.79466098361553</v>
      </c>
      <c r="D52" s="37" t="s">
        <v>58</v>
      </c>
      <c r="E52" s="37">
        <f t="shared" si="10"/>
        <v>168.99466098361552</v>
      </c>
      <c r="F52" s="37" t="s">
        <v>58</v>
      </c>
      <c r="G52" s="37">
        <f t="shared" si="10"/>
        <v>158.26746358925902</v>
      </c>
      <c r="H52" s="37" t="s">
        <v>58</v>
      </c>
      <c r="I52" s="37">
        <f t="shared" si="10"/>
        <v>158.26746358925902</v>
      </c>
    </row>
    <row r="53" spans="1:11" ht="33.75" customHeight="1">
      <c r="A53" s="27" t="s">
        <v>100</v>
      </c>
      <c r="B53" s="37">
        <f t="shared" ref="B53:H53" si="11">B28+B32+B33-B51</f>
        <v>161.09466098361554</v>
      </c>
      <c r="C53" s="37" t="s">
        <v>58</v>
      </c>
      <c r="D53" s="37">
        <f t="shared" si="11"/>
        <v>161.99466098361552</v>
      </c>
      <c r="E53" s="37" t="s">
        <v>58</v>
      </c>
      <c r="F53" s="37">
        <f t="shared" si="11"/>
        <v>146.01169789425305</v>
      </c>
      <c r="G53" s="37" t="s">
        <v>58</v>
      </c>
      <c r="H53" s="37">
        <f t="shared" si="11"/>
        <v>148.31169789425303</v>
      </c>
      <c r="I53" s="37" t="s">
        <v>58</v>
      </c>
      <c r="K53" s="14"/>
    </row>
    <row r="54" spans="1:11">
      <c r="A54" s="19" t="s">
        <v>34</v>
      </c>
      <c r="B54" s="32"/>
      <c r="C54" s="32"/>
      <c r="D54" s="32"/>
      <c r="E54" s="32"/>
      <c r="F54" s="32"/>
      <c r="G54" s="32"/>
      <c r="H54" s="32"/>
      <c r="I54" s="32"/>
    </row>
    <row r="55" spans="1:11">
      <c r="A55" s="20" t="s">
        <v>35</v>
      </c>
      <c r="B55" s="34">
        <v>6</v>
      </c>
      <c r="C55" s="34">
        <v>6</v>
      </c>
      <c r="D55" s="34">
        <v>6</v>
      </c>
      <c r="E55" s="34">
        <v>6</v>
      </c>
      <c r="F55" s="34">
        <v>6</v>
      </c>
      <c r="G55" s="34">
        <v>6</v>
      </c>
      <c r="H55" s="34">
        <v>6</v>
      </c>
      <c r="I55" s="34">
        <v>6</v>
      </c>
    </row>
    <row r="56" spans="1:11" ht="27.6">
      <c r="A56" s="20" t="s">
        <v>36</v>
      </c>
      <c r="B56" s="33" t="s">
        <v>58</v>
      </c>
      <c r="C56" s="34">
        <v>8.07</v>
      </c>
      <c r="D56" s="33" t="s">
        <v>58</v>
      </c>
      <c r="E56" s="34">
        <v>9.0399999999999991</v>
      </c>
      <c r="F56" s="33" t="s">
        <v>58</v>
      </c>
      <c r="G56" s="34">
        <v>8.07</v>
      </c>
      <c r="H56" s="33" t="s">
        <v>58</v>
      </c>
      <c r="I56" s="34">
        <v>9.0399999999999991</v>
      </c>
    </row>
    <row r="57" spans="1:11" ht="27.6">
      <c r="A57" s="20" t="s">
        <v>37</v>
      </c>
      <c r="B57" s="33">
        <v>4.8499999999999996</v>
      </c>
      <c r="C57" s="34" t="s">
        <v>58</v>
      </c>
      <c r="D57" s="33">
        <v>5.6</v>
      </c>
      <c r="E57" s="34" t="s">
        <v>58</v>
      </c>
      <c r="F57" s="33">
        <v>4.8499999999999996</v>
      </c>
      <c r="G57" s="34" t="s">
        <v>58</v>
      </c>
      <c r="H57" s="33">
        <v>5.6</v>
      </c>
      <c r="I57" s="34" t="s">
        <v>58</v>
      </c>
    </row>
    <row r="58" spans="1:11">
      <c r="A58" s="20" t="s">
        <v>38</v>
      </c>
      <c r="B58" s="34">
        <v>0</v>
      </c>
      <c r="C58" s="34">
        <v>0</v>
      </c>
      <c r="D58" s="34">
        <v>0</v>
      </c>
      <c r="E58" s="34">
        <v>0</v>
      </c>
      <c r="F58" s="34">
        <v>0</v>
      </c>
      <c r="G58" s="34">
        <v>0</v>
      </c>
      <c r="H58" s="34">
        <v>0</v>
      </c>
      <c r="I58" s="34">
        <v>0</v>
      </c>
    </row>
    <row r="59" spans="1:11" ht="16.5" customHeight="1">
      <c r="A59" s="20" t="s">
        <v>39</v>
      </c>
      <c r="B59" s="33">
        <f>9</f>
        <v>9</v>
      </c>
      <c r="C59" s="33">
        <f>9</f>
        <v>9</v>
      </c>
      <c r="D59" s="33">
        <v>17.98</v>
      </c>
      <c r="E59" s="33">
        <v>17.98</v>
      </c>
      <c r="F59" s="33">
        <f>9</f>
        <v>9</v>
      </c>
      <c r="G59" s="33">
        <f>9</f>
        <v>9</v>
      </c>
      <c r="H59" s="33">
        <v>17.98</v>
      </c>
      <c r="I59" s="33">
        <v>17.98</v>
      </c>
    </row>
    <row r="60" spans="1:11">
      <c r="A60" s="20" t="s">
        <v>40</v>
      </c>
      <c r="B60" s="34">
        <v>0</v>
      </c>
      <c r="C60" s="34">
        <v>0</v>
      </c>
      <c r="D60" s="34">
        <v>0</v>
      </c>
      <c r="E60" s="34">
        <v>0</v>
      </c>
      <c r="F60" s="34">
        <v>0</v>
      </c>
      <c r="G60" s="34">
        <v>0</v>
      </c>
      <c r="H60" s="34">
        <v>0</v>
      </c>
      <c r="I60" s="34">
        <v>0</v>
      </c>
    </row>
    <row r="61" spans="1:11" ht="27.6">
      <c r="A61" s="27" t="s">
        <v>51</v>
      </c>
      <c r="B61" s="37" t="s">
        <v>58</v>
      </c>
      <c r="C61" s="37">
        <f t="shared" ref="C61:I61" si="12">C52-C56+C58-C59+C60-C34</f>
        <v>150.72466098361554</v>
      </c>
      <c r="D61" s="37" t="s">
        <v>58</v>
      </c>
      <c r="E61" s="37">
        <f t="shared" si="12"/>
        <v>140.97466098361554</v>
      </c>
      <c r="F61" s="37" t="s">
        <v>58</v>
      </c>
      <c r="G61" s="37">
        <f t="shared" si="12"/>
        <v>138.19746358925903</v>
      </c>
      <c r="H61" s="37" t="s">
        <v>58</v>
      </c>
      <c r="I61" s="37">
        <f t="shared" si="12"/>
        <v>128.24746358925904</v>
      </c>
    </row>
    <row r="62" spans="1:11" ht="27.6">
      <c r="A62" s="27" t="s">
        <v>46</v>
      </c>
      <c r="B62" s="37">
        <f t="shared" ref="B62:H62" si="13">B53-B57+B58-B59+B60-B34</f>
        <v>146.24466098361555</v>
      </c>
      <c r="C62" s="37" t="s">
        <v>58</v>
      </c>
      <c r="D62" s="37">
        <f t="shared" si="13"/>
        <v>137.41466098361553</v>
      </c>
      <c r="E62" s="37" t="s">
        <v>58</v>
      </c>
      <c r="F62" s="37">
        <f t="shared" si="13"/>
        <v>129.16169789425305</v>
      </c>
      <c r="G62" s="37" t="s">
        <v>58</v>
      </c>
      <c r="H62" s="37">
        <f t="shared" si="13"/>
        <v>121.73169789425303</v>
      </c>
      <c r="I62" s="37" t="s">
        <v>58</v>
      </c>
    </row>
    <row r="63" spans="1:11">
      <c r="A63" s="19" t="s">
        <v>41</v>
      </c>
      <c r="B63" s="32"/>
      <c r="C63" s="32"/>
      <c r="D63" s="32"/>
      <c r="E63" s="32"/>
      <c r="F63" s="32"/>
      <c r="G63" s="32"/>
      <c r="H63" s="32"/>
      <c r="I63" s="32"/>
    </row>
    <row r="64" spans="1:11" ht="27.6">
      <c r="A64" s="29" t="s">
        <v>42</v>
      </c>
      <c r="B64" s="34" t="s">
        <v>90</v>
      </c>
      <c r="C64" s="34">
        <f>10^((C61-13.54-20*LOG10(C$4)+0.6*(C$6-1.5))/39.08)</f>
        <v>1593.0815318358618</v>
      </c>
      <c r="D64" s="34" t="s">
        <v>90</v>
      </c>
      <c r="E64" s="34">
        <f>10^((E61-13.54-20*LOG10(E$4)+0.6*(E$6-1.5))/39.08)</f>
        <v>896.91187430801835</v>
      </c>
      <c r="F64" s="34" t="s">
        <v>90</v>
      </c>
      <c r="G64" s="34">
        <f>10^((G61-13.54-20*LOG10(G$4)+0.6*(G$6-1.5))/39.08)</f>
        <v>761.52709011983052</v>
      </c>
      <c r="H64" s="34" t="s">
        <v>90</v>
      </c>
      <c r="I64" s="34">
        <f>10^((I61-13.54-20*LOG10(I$4)+0.6*(I$6-1.5))/39.08)</f>
        <v>423.72044600354388</v>
      </c>
    </row>
    <row r="65" spans="1:11" ht="27.6">
      <c r="A65" s="29" t="s">
        <v>43</v>
      </c>
      <c r="B65" s="34">
        <f>10^((B62-13.54-20*LOG10(B$4)+0.6*(B$6-1.5))/39.08)</f>
        <v>1223.4926373024302</v>
      </c>
      <c r="C65" s="34" t="s">
        <v>90</v>
      </c>
      <c r="D65" s="34">
        <f>10^((D62-13.54-20*LOG10(D$4)+0.6*(D$6-1.5))/39.08)</f>
        <v>727.2011958071364</v>
      </c>
      <c r="E65" s="34" t="s">
        <v>90</v>
      </c>
      <c r="F65" s="34">
        <f>10^((F62-13.54-20*LOG10(F$4)+0.6*(F$6-1.5))/39.08)</f>
        <v>447.17069894698</v>
      </c>
      <c r="G65" s="34" t="s">
        <v>90</v>
      </c>
      <c r="H65" s="34">
        <f>10^((H62-13.54-20*LOG10(H$4)+0.6*(H$6-1.5))/39.08)</f>
        <v>288.63601075080845</v>
      </c>
      <c r="I65" s="34" t="s">
        <v>90</v>
      </c>
      <c r="K65" s="15"/>
    </row>
    <row r="66" spans="1:11" ht="16.8">
      <c r="A66" s="29" t="s">
        <v>96</v>
      </c>
      <c r="B66" s="34" t="s">
        <v>58</v>
      </c>
      <c r="C66" s="34">
        <f>PI()*(C64)^2</f>
        <v>7973075.5381286498</v>
      </c>
      <c r="D66" s="34" t="s">
        <v>58</v>
      </c>
      <c r="E66" s="34">
        <f>PI()*(E64)^2</f>
        <v>2527257.0698926901</v>
      </c>
      <c r="F66" s="34" t="s">
        <v>58</v>
      </c>
      <c r="G66" s="34">
        <f>PI()*(G64)^2</f>
        <v>1821883.4354756146</v>
      </c>
      <c r="H66" s="34" t="s">
        <v>58</v>
      </c>
      <c r="I66" s="34">
        <f>PI()*(I64)^2</f>
        <v>564038.45483384433</v>
      </c>
    </row>
    <row r="67" spans="1:11" ht="16.8">
      <c r="A67" s="29" t="s">
        <v>97</v>
      </c>
      <c r="B67" s="34">
        <f>PI()*(B65)^2</f>
        <v>4702757.5909751458</v>
      </c>
      <c r="C67" s="34" t="s">
        <v>58</v>
      </c>
      <c r="D67" s="34">
        <f>PI()*(D65)^2</f>
        <v>1661341.9882220998</v>
      </c>
      <c r="E67" s="34" t="s">
        <v>58</v>
      </c>
      <c r="F67" s="34">
        <f>PI()*(F65)^2</f>
        <v>628198.00036393991</v>
      </c>
      <c r="G67" s="34" t="s">
        <v>58</v>
      </c>
      <c r="H67" s="34">
        <f>PI()*(H65)^2</f>
        <v>261728.42980452566</v>
      </c>
      <c r="I67" s="34" t="s">
        <v>58</v>
      </c>
    </row>
    <row r="72" spans="1:11" s="16" customFormat="1" ht="13.8">
      <c r="A72" s="43"/>
      <c r="B72" s="44"/>
      <c r="C72" s="44"/>
      <c r="D72" s="44"/>
      <c r="E72" s="44"/>
      <c r="F72" s="45"/>
      <c r="G72" s="45"/>
      <c r="H72" s="45"/>
      <c r="I72" s="45"/>
    </row>
  </sheetData>
  <mergeCells count="2">
    <mergeCell ref="B1:E1"/>
    <mergeCell ref="F1:I1"/>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3" topLeftCell="B52" activePane="bottomRight" state="frozen"/>
      <selection pane="topRight" activeCell="B1" sqref="B1"/>
      <selection pane="bottomLeft" activeCell="A4" sqref="A4"/>
      <selection pane="bottomRight" activeCell="K21" sqref="K21"/>
    </sheetView>
  </sheetViews>
  <sheetFormatPr defaultColWidth="8.796875" defaultRowHeight="15.6"/>
  <cols>
    <col min="1" max="1" width="62" style="30" bestFit="1" customWidth="1"/>
    <col min="2" max="2" width="15.296875" style="39" bestFit="1" customWidth="1"/>
    <col min="3" max="3" width="12.19921875" style="39" bestFit="1" customWidth="1"/>
    <col min="4" max="5" width="11.796875" style="39" customWidth="1"/>
    <col min="6" max="6" width="11" style="40" bestFit="1" customWidth="1"/>
    <col min="7" max="7" width="15.19921875" style="40" customWidth="1"/>
    <col min="8" max="8" width="15" style="40" customWidth="1"/>
    <col min="9" max="9" width="15.69921875" style="40" customWidth="1"/>
    <col min="11" max="11" width="20.19921875" bestFit="1" customWidth="1"/>
  </cols>
  <sheetData>
    <row r="1" spans="1:9">
      <c r="A1" s="17" t="s">
        <v>0</v>
      </c>
      <c r="B1" s="115" t="s">
        <v>47</v>
      </c>
      <c r="C1" s="115"/>
      <c r="D1" s="115"/>
      <c r="E1" s="116"/>
      <c r="F1" s="118" t="s">
        <v>49</v>
      </c>
      <c r="G1" s="118"/>
      <c r="H1" s="118"/>
      <c r="I1" s="118"/>
    </row>
    <row r="2" spans="1:9" ht="41.4">
      <c r="A2" s="17"/>
      <c r="B2" s="31" t="s">
        <v>48</v>
      </c>
      <c r="C2" s="31" t="s">
        <v>54</v>
      </c>
      <c r="D2" s="31" t="s">
        <v>52</v>
      </c>
      <c r="E2" s="31" t="s">
        <v>53</v>
      </c>
      <c r="F2" s="31" t="s">
        <v>50</v>
      </c>
      <c r="G2" s="31" t="s">
        <v>55</v>
      </c>
      <c r="H2" s="31" t="s">
        <v>56</v>
      </c>
      <c r="I2" s="31" t="s">
        <v>57</v>
      </c>
    </row>
    <row r="3" spans="1:9">
      <c r="A3" s="19" t="s">
        <v>1</v>
      </c>
      <c r="B3" s="32"/>
      <c r="C3" s="32"/>
      <c r="D3" s="32"/>
      <c r="E3" s="32"/>
      <c r="F3" s="32"/>
      <c r="G3" s="32"/>
      <c r="H3" s="32"/>
      <c r="I3" s="32"/>
    </row>
    <row r="4" spans="1:9">
      <c r="A4" s="20" t="s">
        <v>2</v>
      </c>
      <c r="B4" s="34">
        <v>4</v>
      </c>
      <c r="C4" s="34">
        <v>4</v>
      </c>
      <c r="D4" s="34">
        <v>4</v>
      </c>
      <c r="E4" s="34">
        <v>4</v>
      </c>
      <c r="F4" s="34">
        <v>4</v>
      </c>
      <c r="G4" s="34">
        <v>4</v>
      </c>
      <c r="H4" s="34">
        <v>4</v>
      </c>
      <c r="I4" s="34">
        <v>4</v>
      </c>
    </row>
    <row r="5" spans="1:9">
      <c r="A5" s="20" t="s">
        <v>3</v>
      </c>
      <c r="B5" s="34">
        <v>25</v>
      </c>
      <c r="C5" s="34">
        <v>25</v>
      </c>
      <c r="D5" s="34">
        <v>25</v>
      </c>
      <c r="E5" s="34">
        <v>25</v>
      </c>
      <c r="F5" s="34">
        <v>25</v>
      </c>
      <c r="G5" s="34">
        <v>25</v>
      </c>
      <c r="H5" s="34">
        <v>25</v>
      </c>
      <c r="I5" s="34">
        <v>25</v>
      </c>
    </row>
    <row r="6" spans="1:9">
      <c r="A6" s="20" t="s">
        <v>4</v>
      </c>
      <c r="B6" s="34">
        <v>1.5</v>
      </c>
      <c r="C6" s="34">
        <v>1.5</v>
      </c>
      <c r="D6" s="34">
        <v>1.5</v>
      </c>
      <c r="E6" s="34">
        <v>1.5</v>
      </c>
      <c r="F6" s="34">
        <v>1.5</v>
      </c>
      <c r="G6" s="34">
        <v>1.5</v>
      </c>
      <c r="H6" s="34">
        <v>1.5</v>
      </c>
      <c r="I6" s="34">
        <v>1.5</v>
      </c>
    </row>
    <row r="7" spans="1:9" ht="27.6">
      <c r="A7" s="20" t="s">
        <v>145</v>
      </c>
      <c r="B7" s="21" t="s">
        <v>58</v>
      </c>
      <c r="C7" s="22">
        <v>0.95</v>
      </c>
      <c r="D7" s="21" t="s">
        <v>58</v>
      </c>
      <c r="E7" s="22">
        <v>0.95</v>
      </c>
      <c r="F7" s="22" t="s">
        <v>58</v>
      </c>
      <c r="G7" s="22">
        <v>0.95</v>
      </c>
      <c r="H7" s="22" t="s">
        <v>58</v>
      </c>
      <c r="I7" s="22">
        <v>0.95</v>
      </c>
    </row>
    <row r="8" spans="1:9">
      <c r="A8" s="20" t="s">
        <v>146</v>
      </c>
      <c r="B8" s="21">
        <v>0.9</v>
      </c>
      <c r="C8" s="22" t="s">
        <v>58</v>
      </c>
      <c r="D8" s="21">
        <v>0.9</v>
      </c>
      <c r="E8" s="22" t="s">
        <v>58</v>
      </c>
      <c r="F8" s="22">
        <v>0.9</v>
      </c>
      <c r="G8" s="22" t="s">
        <v>58</v>
      </c>
      <c r="H8" s="22">
        <v>0.9</v>
      </c>
      <c r="I8" s="22" t="s">
        <v>58</v>
      </c>
    </row>
    <row r="9" spans="1:9">
      <c r="A9" s="20" t="s">
        <v>5</v>
      </c>
      <c r="B9" s="33" t="s">
        <v>58</v>
      </c>
      <c r="C9" s="34">
        <f>64/(0.001)</f>
        <v>64000</v>
      </c>
      <c r="D9" s="33" t="s">
        <v>58</v>
      </c>
      <c r="E9" s="34">
        <f>64/(0.001)</f>
        <v>64000</v>
      </c>
      <c r="F9" s="34" t="s">
        <v>58</v>
      </c>
      <c r="G9" s="34">
        <f>2/(0.5*0.001)</f>
        <v>4000</v>
      </c>
      <c r="H9" s="34"/>
      <c r="I9" s="34">
        <f>2/(0.5*0.001)</f>
        <v>4000</v>
      </c>
    </row>
    <row r="10" spans="1:9">
      <c r="A10" s="20" t="s">
        <v>6</v>
      </c>
      <c r="B10" s="33">
        <f>2248233*3</f>
        <v>6744699</v>
      </c>
      <c r="C10" s="34" t="s">
        <v>58</v>
      </c>
      <c r="D10" s="33">
        <f>2248233*3</f>
        <v>6744699</v>
      </c>
      <c r="E10" s="34" t="s">
        <v>58</v>
      </c>
      <c r="F10" s="34">
        <f>74880*3</f>
        <v>224640</v>
      </c>
      <c r="G10" s="34" t="s">
        <v>58</v>
      </c>
      <c r="H10" s="34">
        <f>74880*3</f>
        <v>224640</v>
      </c>
      <c r="I10" s="34" t="s">
        <v>58</v>
      </c>
    </row>
    <row r="11" spans="1:9">
      <c r="A11" s="20" t="s">
        <v>7</v>
      </c>
      <c r="B11" s="21" t="s">
        <v>58</v>
      </c>
      <c r="C11" s="22">
        <v>0.01</v>
      </c>
      <c r="D11" s="21" t="s">
        <v>58</v>
      </c>
      <c r="E11" s="22">
        <v>0.01</v>
      </c>
      <c r="F11" s="22" t="s">
        <v>58</v>
      </c>
      <c r="G11" s="22">
        <v>0.01</v>
      </c>
      <c r="H11" s="22" t="s">
        <v>58</v>
      </c>
      <c r="I11" s="22">
        <v>0.01</v>
      </c>
    </row>
    <row r="12" spans="1:9">
      <c r="A12" s="20" t="s">
        <v>8</v>
      </c>
      <c r="B12" s="21">
        <v>0.1</v>
      </c>
      <c r="C12" s="22" t="s">
        <v>58</v>
      </c>
      <c r="D12" s="21">
        <v>0.1</v>
      </c>
      <c r="E12" s="22" t="s">
        <v>58</v>
      </c>
      <c r="F12" s="22">
        <v>0.1</v>
      </c>
      <c r="G12" s="22" t="s">
        <v>58</v>
      </c>
      <c r="H12" s="22">
        <v>0.1</v>
      </c>
      <c r="I12" s="22" t="s">
        <v>58</v>
      </c>
    </row>
    <row r="13" spans="1:9">
      <c r="A13" s="20" t="s">
        <v>91</v>
      </c>
      <c r="B13" s="33">
        <f>B10/(B42*(4+2*11/14+1/14)/10)</f>
        <v>0.65101476793248958</v>
      </c>
      <c r="C13" s="33" t="s">
        <v>58</v>
      </c>
      <c r="D13" s="33">
        <f>D10/(D42*(4+2*11/14+1/14)/10)</f>
        <v>0.65101476793248958</v>
      </c>
      <c r="E13" s="33" t="s">
        <v>58</v>
      </c>
      <c r="F13" s="33">
        <f>F10/(F42*(4+2*2/14+1/14)/10)</f>
        <v>0.35803278688524592</v>
      </c>
      <c r="G13" s="33" t="s">
        <v>58</v>
      </c>
      <c r="H13" s="33">
        <f>H10/(H42*(4+2*2/14+1/14)/10)</f>
        <v>0.35803278688524592</v>
      </c>
      <c r="I13" s="34" t="s">
        <v>58</v>
      </c>
    </row>
    <row r="14" spans="1:9">
      <c r="A14" s="20" t="s">
        <v>92</v>
      </c>
      <c r="B14" s="33" t="s">
        <v>106</v>
      </c>
      <c r="C14" s="33" t="s">
        <v>106</v>
      </c>
      <c r="D14" s="33" t="s">
        <v>107</v>
      </c>
      <c r="E14" s="33" t="s">
        <v>107</v>
      </c>
      <c r="F14" s="33" t="s">
        <v>106</v>
      </c>
      <c r="G14" s="33" t="s">
        <v>106</v>
      </c>
      <c r="H14" s="33" t="s">
        <v>107</v>
      </c>
      <c r="I14" s="33" t="s">
        <v>107</v>
      </c>
    </row>
    <row r="15" spans="1:9">
      <c r="A15" s="20" t="s">
        <v>87</v>
      </c>
      <c r="B15" s="33">
        <v>30</v>
      </c>
      <c r="C15" s="34">
        <v>30</v>
      </c>
      <c r="D15" s="33">
        <v>3</v>
      </c>
      <c r="E15" s="34">
        <v>3</v>
      </c>
      <c r="F15" s="34">
        <v>30</v>
      </c>
      <c r="G15" s="34">
        <v>30</v>
      </c>
      <c r="H15" s="34">
        <v>3</v>
      </c>
      <c r="I15" s="34">
        <v>3</v>
      </c>
    </row>
    <row r="16" spans="1:9">
      <c r="A16" s="20" t="s">
        <v>9</v>
      </c>
      <c r="B16" s="33">
        <v>3</v>
      </c>
      <c r="C16" s="34">
        <v>3</v>
      </c>
      <c r="D16" s="33">
        <v>3</v>
      </c>
      <c r="E16" s="34">
        <v>3</v>
      </c>
      <c r="F16" s="34">
        <v>3</v>
      </c>
      <c r="G16" s="34">
        <v>3</v>
      </c>
      <c r="H16" s="34">
        <v>3</v>
      </c>
      <c r="I16" s="34">
        <v>3</v>
      </c>
    </row>
    <row r="17" spans="1:9">
      <c r="A17" s="19" t="s">
        <v>10</v>
      </c>
      <c r="B17" s="32"/>
      <c r="C17" s="32"/>
      <c r="D17" s="32"/>
      <c r="E17" s="32"/>
      <c r="F17" s="32"/>
      <c r="G17" s="32"/>
      <c r="H17" s="32"/>
      <c r="I17" s="32"/>
    </row>
    <row r="18" spans="1:9" ht="27.6">
      <c r="A18" s="20" t="s">
        <v>85</v>
      </c>
      <c r="B18" s="33">
        <v>256</v>
      </c>
      <c r="C18" s="33">
        <v>256</v>
      </c>
      <c r="D18" s="33">
        <v>256</v>
      </c>
      <c r="E18" s="33">
        <v>256</v>
      </c>
      <c r="F18" s="34">
        <v>2</v>
      </c>
      <c r="G18" s="34">
        <v>2</v>
      </c>
      <c r="H18" s="34">
        <v>2</v>
      </c>
      <c r="I18" s="34">
        <v>2</v>
      </c>
    </row>
    <row r="19" spans="1:9">
      <c r="A19" s="20" t="s">
        <v>126</v>
      </c>
      <c r="B19" s="33">
        <v>2</v>
      </c>
      <c r="C19" s="33">
        <v>2</v>
      </c>
      <c r="D19" s="33">
        <v>2</v>
      </c>
      <c r="E19" s="33">
        <v>2</v>
      </c>
      <c r="F19" s="34">
        <v>2</v>
      </c>
      <c r="G19" s="34">
        <v>2</v>
      </c>
      <c r="H19" s="34">
        <v>2</v>
      </c>
      <c r="I19" s="34">
        <v>2</v>
      </c>
    </row>
    <row r="20" spans="1:9">
      <c r="A20" s="20" t="s">
        <v>11</v>
      </c>
      <c r="B20" s="33">
        <v>20</v>
      </c>
      <c r="C20" s="33">
        <v>20</v>
      </c>
      <c r="D20" s="33">
        <v>20</v>
      </c>
      <c r="E20" s="33">
        <v>20</v>
      </c>
      <c r="F20" s="34">
        <v>20</v>
      </c>
      <c r="G20" s="34">
        <v>20</v>
      </c>
      <c r="H20" s="34">
        <v>20</v>
      </c>
      <c r="I20" s="34">
        <v>20</v>
      </c>
    </row>
    <row r="21" spans="1:9" ht="30.6">
      <c r="A21" s="41" t="s">
        <v>142</v>
      </c>
      <c r="B21" s="38">
        <f t="shared" ref="B21:I21" si="0">B20+10*LOG10(B18)</f>
        <v>44.0823996531185</v>
      </c>
      <c r="C21" s="38">
        <f t="shared" si="0"/>
        <v>44.0823996531185</v>
      </c>
      <c r="D21" s="38">
        <f t="shared" si="0"/>
        <v>44.0823996531185</v>
      </c>
      <c r="E21" s="38">
        <f t="shared" si="0"/>
        <v>44.0823996531185</v>
      </c>
      <c r="F21" s="38">
        <v>26</v>
      </c>
      <c r="G21" s="38">
        <f t="shared" si="0"/>
        <v>23.010299956639813</v>
      </c>
      <c r="H21" s="38">
        <v>26</v>
      </c>
      <c r="I21" s="38">
        <f t="shared" si="0"/>
        <v>23.010299956639813</v>
      </c>
    </row>
    <row r="22" spans="1:9">
      <c r="A22" s="20" t="s">
        <v>12</v>
      </c>
      <c r="B22" s="33">
        <v>8</v>
      </c>
      <c r="C22" s="34">
        <v>8</v>
      </c>
      <c r="D22" s="33">
        <v>8</v>
      </c>
      <c r="E22" s="34">
        <v>8</v>
      </c>
      <c r="F22" s="34">
        <v>0</v>
      </c>
      <c r="G22" s="34">
        <v>0</v>
      </c>
      <c r="H22" s="34">
        <v>0</v>
      </c>
      <c r="I22" s="34">
        <v>0</v>
      </c>
    </row>
    <row r="23" spans="1:9" ht="41.4">
      <c r="A23" s="42" t="s">
        <v>13</v>
      </c>
      <c r="B23" s="38">
        <f t="shared" ref="B23:I23" si="1">IF(B18&gt;=2, 10*LOG10(B18/2), 0)</f>
        <v>21.072099696478684</v>
      </c>
      <c r="C23" s="38">
        <f t="shared" si="1"/>
        <v>21.072099696478684</v>
      </c>
      <c r="D23" s="38">
        <f t="shared" si="1"/>
        <v>21.072099696478684</v>
      </c>
      <c r="E23" s="38">
        <f t="shared" si="1"/>
        <v>21.072099696478684</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3">
        <v>3</v>
      </c>
      <c r="D26" s="33">
        <v>3</v>
      </c>
      <c r="E26" s="33">
        <v>3</v>
      </c>
      <c r="F26" s="33">
        <v>1</v>
      </c>
      <c r="G26" s="33">
        <v>1</v>
      </c>
      <c r="H26" s="33">
        <v>1</v>
      </c>
      <c r="I26" s="34">
        <v>1</v>
      </c>
    </row>
    <row r="27" spans="1:9">
      <c r="A27" s="25" t="s">
        <v>17</v>
      </c>
      <c r="B27" s="37">
        <f t="shared" ref="B27:I27" si="2">B21+B22+B23+B24-B26</f>
        <v>70.154499349597188</v>
      </c>
      <c r="C27" s="37">
        <f t="shared" si="2"/>
        <v>70.154499349597188</v>
      </c>
      <c r="D27" s="37">
        <f t="shared" si="2"/>
        <v>70.154499349597188</v>
      </c>
      <c r="E27" s="37">
        <f t="shared" si="2"/>
        <v>70.154499349597188</v>
      </c>
      <c r="F27" s="37">
        <f t="shared" si="2"/>
        <v>25</v>
      </c>
      <c r="G27" s="37">
        <f t="shared" si="2"/>
        <v>22.010299956639813</v>
      </c>
      <c r="H27" s="37">
        <f t="shared" si="2"/>
        <v>25</v>
      </c>
      <c r="I27" s="37">
        <f t="shared" si="2"/>
        <v>22.010299956639813</v>
      </c>
    </row>
    <row r="28" spans="1:9">
      <c r="A28" s="25" t="s">
        <v>18</v>
      </c>
      <c r="B28" s="37">
        <f t="shared" ref="B28:I28" si="3">B21+B22+B23-B25-B26</f>
        <v>70.154499349597188</v>
      </c>
      <c r="C28" s="37">
        <f t="shared" si="3"/>
        <v>70.154499349597188</v>
      </c>
      <c r="D28" s="37">
        <f t="shared" si="3"/>
        <v>70.154499349597188</v>
      </c>
      <c r="E28" s="37">
        <f t="shared" si="3"/>
        <v>70.154499349597188</v>
      </c>
      <c r="F28" s="37">
        <f t="shared" si="3"/>
        <v>25</v>
      </c>
      <c r="G28" s="37">
        <f t="shared" si="3"/>
        <v>22.010299956639813</v>
      </c>
      <c r="H28" s="37">
        <f t="shared" si="3"/>
        <v>25</v>
      </c>
      <c r="I28" s="37">
        <f t="shared" si="3"/>
        <v>22.010299956639813</v>
      </c>
    </row>
    <row r="29" spans="1:9">
      <c r="A29" s="19" t="s">
        <v>19</v>
      </c>
      <c r="B29" s="32"/>
      <c r="C29" s="32"/>
      <c r="D29" s="32"/>
      <c r="E29" s="32"/>
      <c r="F29" s="32"/>
      <c r="G29" s="32"/>
      <c r="H29" s="32"/>
      <c r="I29" s="32"/>
    </row>
    <row r="30" spans="1:9" ht="27.6">
      <c r="A30" s="20" t="s">
        <v>84</v>
      </c>
      <c r="B30" s="33">
        <v>4</v>
      </c>
      <c r="C30" s="34">
        <v>4</v>
      </c>
      <c r="D30" s="33">
        <v>4</v>
      </c>
      <c r="E30" s="34">
        <v>4</v>
      </c>
      <c r="F30" s="33">
        <v>256</v>
      </c>
      <c r="G30" s="33">
        <v>256</v>
      </c>
      <c r="H30" s="33">
        <v>256</v>
      </c>
      <c r="I30" s="33">
        <v>256</v>
      </c>
    </row>
    <row r="31" spans="1:9">
      <c r="A31" s="20" t="s">
        <v>127</v>
      </c>
      <c r="B31" s="33">
        <v>2</v>
      </c>
      <c r="C31" s="34">
        <v>2</v>
      </c>
      <c r="D31" s="33">
        <v>2</v>
      </c>
      <c r="E31" s="34">
        <v>2</v>
      </c>
      <c r="F31" s="33">
        <v>2</v>
      </c>
      <c r="G31" s="33">
        <v>2</v>
      </c>
      <c r="H31" s="33">
        <v>2</v>
      </c>
      <c r="I31" s="33">
        <v>2</v>
      </c>
    </row>
    <row r="32" spans="1:9">
      <c r="A32" s="20" t="s">
        <v>20</v>
      </c>
      <c r="B32" s="33">
        <v>0</v>
      </c>
      <c r="C32" s="34">
        <v>0</v>
      </c>
      <c r="D32" s="33">
        <v>0</v>
      </c>
      <c r="E32" s="34">
        <v>0</v>
      </c>
      <c r="F32" s="34">
        <v>8</v>
      </c>
      <c r="G32" s="34">
        <v>8</v>
      </c>
      <c r="H32" s="34">
        <v>8</v>
      </c>
      <c r="I32" s="34">
        <v>8</v>
      </c>
    </row>
    <row r="33" spans="1:10" ht="27.6">
      <c r="A33" s="26" t="s">
        <v>88</v>
      </c>
      <c r="B33" s="38">
        <f t="shared" ref="B33:I33" si="4">IF(B30&gt;=2, 10*LOG10(B30/2), 0)</f>
        <v>3.0102999566398121</v>
      </c>
      <c r="C33" s="38">
        <f t="shared" si="4"/>
        <v>3.0102999566398121</v>
      </c>
      <c r="D33" s="38">
        <f t="shared" si="4"/>
        <v>3.0102999566398121</v>
      </c>
      <c r="E33" s="38">
        <f t="shared" si="4"/>
        <v>3.0102999566398121</v>
      </c>
      <c r="F33" s="38">
        <f t="shared" si="4"/>
        <v>21.072099696478684</v>
      </c>
      <c r="G33" s="38">
        <f t="shared" si="4"/>
        <v>21.072099696478684</v>
      </c>
      <c r="H33" s="38">
        <f t="shared" si="4"/>
        <v>21.072099696478684</v>
      </c>
      <c r="I33" s="38">
        <f t="shared" si="4"/>
        <v>21.072099696478684</v>
      </c>
    </row>
    <row r="34" spans="1:10" ht="27.6">
      <c r="A34" s="20" t="s">
        <v>21</v>
      </c>
      <c r="B34" s="33">
        <v>1</v>
      </c>
      <c r="C34" s="33">
        <v>1</v>
      </c>
      <c r="D34" s="33">
        <v>1</v>
      </c>
      <c r="E34" s="33">
        <v>1</v>
      </c>
      <c r="F34" s="33">
        <v>3</v>
      </c>
      <c r="G34" s="33">
        <v>3</v>
      </c>
      <c r="H34" s="33">
        <v>3</v>
      </c>
      <c r="I34" s="33">
        <v>3</v>
      </c>
    </row>
    <row r="35" spans="1:10">
      <c r="A35" s="20" t="s">
        <v>22</v>
      </c>
      <c r="B35" s="34">
        <v>7</v>
      </c>
      <c r="C35" s="34">
        <v>7</v>
      </c>
      <c r="D35" s="34">
        <v>7</v>
      </c>
      <c r="E35" s="34">
        <v>7</v>
      </c>
      <c r="F35" s="34">
        <v>5</v>
      </c>
      <c r="G35" s="34">
        <v>5</v>
      </c>
      <c r="H35" s="34">
        <v>5</v>
      </c>
      <c r="I35" s="34">
        <v>5</v>
      </c>
    </row>
    <row r="36" spans="1:10">
      <c r="A36" s="20" t="s">
        <v>23</v>
      </c>
      <c r="B36" s="34">
        <v>-174</v>
      </c>
      <c r="C36" s="34">
        <v>-174</v>
      </c>
      <c r="D36" s="34">
        <v>-174</v>
      </c>
      <c r="E36" s="34">
        <v>-174</v>
      </c>
      <c r="F36" s="33">
        <v>-174</v>
      </c>
      <c r="G36" s="34">
        <v>-174</v>
      </c>
      <c r="H36" s="33">
        <v>-174</v>
      </c>
      <c r="I36" s="34">
        <v>-174</v>
      </c>
    </row>
    <row r="37" spans="1:10">
      <c r="A37" s="20" t="s">
        <v>147</v>
      </c>
      <c r="B37" s="33" t="s">
        <v>58</v>
      </c>
      <c r="C37" s="34">
        <v>-169.3</v>
      </c>
      <c r="D37" s="33" t="s">
        <v>58</v>
      </c>
      <c r="E37" s="34">
        <v>-169.3</v>
      </c>
      <c r="F37" s="34" t="s">
        <v>58</v>
      </c>
      <c r="G37" s="34">
        <v>-161.69999999999999</v>
      </c>
      <c r="H37" s="34" t="s">
        <v>58</v>
      </c>
      <c r="I37" s="34">
        <v>-161.69999999999999</v>
      </c>
    </row>
    <row r="38" spans="1:10">
      <c r="A38" s="20" t="s">
        <v>24</v>
      </c>
      <c r="B38" s="33">
        <v>-169.3</v>
      </c>
      <c r="C38" s="34" t="s">
        <v>58</v>
      </c>
      <c r="D38" s="33">
        <v>-169.3</v>
      </c>
      <c r="E38" s="34" t="s">
        <v>58</v>
      </c>
      <c r="F38" s="34">
        <v>-165.7</v>
      </c>
      <c r="G38" s="34" t="s">
        <v>58</v>
      </c>
      <c r="H38" s="34">
        <v>-165.7</v>
      </c>
      <c r="I38" s="34" t="s">
        <v>58</v>
      </c>
    </row>
    <row r="39" spans="1:10" ht="27.6">
      <c r="A39" s="27" t="s">
        <v>148</v>
      </c>
      <c r="B39" s="37" t="s">
        <v>58</v>
      </c>
      <c r="C39" s="37">
        <f t="shared" ref="C39:I39" si="5">10*LOG10(10^((C35+C36)/10)+10^(C37/10))</f>
        <v>-164.98918835931039</v>
      </c>
      <c r="D39" s="37" t="s">
        <v>58</v>
      </c>
      <c r="E39" s="37">
        <f t="shared" si="5"/>
        <v>-164.98918835931039</v>
      </c>
      <c r="F39" s="37" t="s">
        <v>58</v>
      </c>
      <c r="G39" s="37">
        <f t="shared" si="5"/>
        <v>-160.9583889004532</v>
      </c>
      <c r="H39" s="37" t="s">
        <v>58</v>
      </c>
      <c r="I39" s="37">
        <f t="shared" si="5"/>
        <v>-160.9583889004532</v>
      </c>
    </row>
    <row r="40" spans="1:10" ht="27.6">
      <c r="A40" s="27" t="s">
        <v>149</v>
      </c>
      <c r="B40" s="37">
        <f t="shared" ref="B40:H40" si="6">10*LOG10(10^((B35+B36)/10)+10^(B38/10))</f>
        <v>-164.98918835931039</v>
      </c>
      <c r="C40" s="37" t="s">
        <v>58</v>
      </c>
      <c r="D40" s="37">
        <f t="shared" si="6"/>
        <v>-164.98918835931039</v>
      </c>
      <c r="E40" s="37" t="s">
        <v>58</v>
      </c>
      <c r="F40" s="37">
        <f t="shared" si="6"/>
        <v>-164.03352307536667</v>
      </c>
      <c r="G40" s="37" t="s">
        <v>58</v>
      </c>
      <c r="H40" s="37">
        <f t="shared" si="6"/>
        <v>-164.03352307536667</v>
      </c>
      <c r="I40" s="37" t="s">
        <v>58</v>
      </c>
    </row>
    <row r="41" spans="1:10" ht="27.6">
      <c r="A41" s="20" t="s">
        <v>25</v>
      </c>
      <c r="B41" s="33" t="s">
        <v>58</v>
      </c>
      <c r="C41" s="33">
        <f>MaxN_RB!$F$6*12*15*1000</f>
        <v>19080000</v>
      </c>
      <c r="D41" s="33" t="s">
        <v>58</v>
      </c>
      <c r="E41" s="33">
        <f>MaxN_RB!$F$6*12*15*1000</f>
        <v>19080000</v>
      </c>
      <c r="F41" s="34" t="s">
        <v>58</v>
      </c>
      <c r="G41" s="34">
        <f>1*12*30*1000</f>
        <v>360000</v>
      </c>
      <c r="H41" s="34" t="s">
        <v>58</v>
      </c>
      <c r="I41" s="34">
        <f>1*12*30*1000</f>
        <v>360000</v>
      </c>
    </row>
    <row r="42" spans="1:10" ht="27.6">
      <c r="A42" s="20" t="s">
        <v>26</v>
      </c>
      <c r="B42" s="33">
        <f>MaxN_RB!$F$7*12*30*1000</f>
        <v>18360000</v>
      </c>
      <c r="C42" s="34" t="s">
        <v>58</v>
      </c>
      <c r="D42" s="33">
        <f>MaxN_RB!$F$7*12*30*1000</f>
        <v>18360000</v>
      </c>
      <c r="E42" s="34" t="s">
        <v>58</v>
      </c>
      <c r="F42" s="34">
        <f>4*12*30*1000</f>
        <v>1440000</v>
      </c>
      <c r="G42" s="34" t="s">
        <v>58</v>
      </c>
      <c r="H42" s="34">
        <f>4*12*30*1000</f>
        <v>1440000</v>
      </c>
      <c r="I42" s="34" t="s">
        <v>58</v>
      </c>
    </row>
    <row r="43" spans="1:10">
      <c r="A43" s="25" t="s">
        <v>27</v>
      </c>
      <c r="B43" s="37" t="s">
        <v>58</v>
      </c>
      <c r="C43" s="37">
        <f t="shared" ref="B43:I44" si="7">C39+10*LOG10(C41)</f>
        <v>-92.18340465562963</v>
      </c>
      <c r="D43" s="37" t="s">
        <v>58</v>
      </c>
      <c r="E43" s="37">
        <f t="shared" si="7"/>
        <v>-92.18340465562963</v>
      </c>
      <c r="F43" s="37" t="s">
        <v>58</v>
      </c>
      <c r="G43" s="37">
        <f t="shared" si="7"/>
        <v>-105.39536389278032</v>
      </c>
      <c r="H43" s="37" t="s">
        <v>58</v>
      </c>
      <c r="I43" s="37">
        <f t="shared" si="7"/>
        <v>-105.39536389278032</v>
      </c>
    </row>
    <row r="44" spans="1:10">
      <c r="A44" s="25" t="s">
        <v>28</v>
      </c>
      <c r="B44" s="37">
        <f t="shared" si="7"/>
        <v>-92.350461590658156</v>
      </c>
      <c r="C44" s="37" t="s">
        <v>58</v>
      </c>
      <c r="D44" s="37">
        <f t="shared" si="7"/>
        <v>-92.350461590658156</v>
      </c>
      <c r="E44" s="37" t="s">
        <v>58</v>
      </c>
      <c r="F44" s="37">
        <f t="shared" si="7"/>
        <v>-102.44989815441417</v>
      </c>
      <c r="G44" s="37" t="s">
        <v>58</v>
      </c>
      <c r="H44" s="37">
        <f t="shared" si="7"/>
        <v>-102.44989815441417</v>
      </c>
      <c r="I44" s="37" t="s">
        <v>58</v>
      </c>
    </row>
    <row r="45" spans="1:10">
      <c r="A45" s="20" t="s">
        <v>29</v>
      </c>
      <c r="B45" s="33" t="s">
        <v>58</v>
      </c>
      <c r="C45" s="75">
        <v>-5.7</v>
      </c>
      <c r="D45" s="75" t="s">
        <v>58</v>
      </c>
      <c r="E45" s="75">
        <v>-5.9</v>
      </c>
      <c r="F45" s="33" t="s">
        <v>58</v>
      </c>
      <c r="G45" s="75">
        <v>-5.6</v>
      </c>
      <c r="H45" s="75" t="s">
        <v>58</v>
      </c>
      <c r="I45" s="75">
        <v>-6.7</v>
      </c>
      <c r="J45" s="91"/>
    </row>
    <row r="46" spans="1:10">
      <c r="A46" s="20" t="s">
        <v>30</v>
      </c>
      <c r="B46" s="33">
        <v>3.2</v>
      </c>
      <c r="C46" s="33" t="s">
        <v>58</v>
      </c>
      <c r="D46" s="33">
        <v>-0.1</v>
      </c>
      <c r="E46" s="33" t="s">
        <v>58</v>
      </c>
      <c r="F46" s="75">
        <v>2.29</v>
      </c>
      <c r="G46" s="33" t="s">
        <v>58</v>
      </c>
      <c r="H46" s="75">
        <v>1.23</v>
      </c>
      <c r="I46" s="33" t="s">
        <v>58</v>
      </c>
      <c r="J46" s="91"/>
    </row>
    <row r="47" spans="1:10">
      <c r="A47" s="20" t="s">
        <v>31</v>
      </c>
      <c r="B47" s="33">
        <v>2</v>
      </c>
      <c r="C47" s="34">
        <v>2</v>
      </c>
      <c r="D47" s="33">
        <v>2</v>
      </c>
      <c r="E47" s="34">
        <v>2</v>
      </c>
      <c r="F47" s="34">
        <v>2</v>
      </c>
      <c r="G47" s="34">
        <v>2</v>
      </c>
      <c r="H47" s="34">
        <v>2</v>
      </c>
      <c r="I47" s="34">
        <v>2</v>
      </c>
    </row>
    <row r="48" spans="1:10">
      <c r="A48" s="20" t="s">
        <v>32</v>
      </c>
      <c r="B48" s="33" t="s">
        <v>58</v>
      </c>
      <c r="C48" s="34">
        <v>0</v>
      </c>
      <c r="D48" s="33" t="s">
        <v>58</v>
      </c>
      <c r="E48" s="34">
        <v>0</v>
      </c>
      <c r="F48" s="34" t="s">
        <v>58</v>
      </c>
      <c r="G48" s="34">
        <v>0</v>
      </c>
      <c r="H48" s="34" t="s">
        <v>58</v>
      </c>
      <c r="I48" s="34">
        <v>0</v>
      </c>
    </row>
    <row r="49" spans="1:11">
      <c r="A49" s="20" t="s">
        <v>33</v>
      </c>
      <c r="B49" s="33">
        <v>0.5</v>
      </c>
      <c r="C49" s="34" t="s">
        <v>58</v>
      </c>
      <c r="D49" s="33">
        <v>0.5</v>
      </c>
      <c r="E49" s="34" t="s">
        <v>58</v>
      </c>
      <c r="F49" s="34">
        <v>0.5</v>
      </c>
      <c r="G49" s="34" t="s">
        <v>58</v>
      </c>
      <c r="H49" s="34">
        <v>0.5</v>
      </c>
      <c r="I49" s="34" t="s">
        <v>58</v>
      </c>
    </row>
    <row r="50" spans="1:11" ht="27.6">
      <c r="A50" s="27" t="s">
        <v>44</v>
      </c>
      <c r="B50" s="37" t="s">
        <v>58</v>
      </c>
      <c r="C50" s="37">
        <f t="shared" ref="C50:I50" si="8">C43+C45+C47-C48</f>
        <v>-95.883404655629633</v>
      </c>
      <c r="D50" s="37" t="s">
        <v>58</v>
      </c>
      <c r="E50" s="37">
        <f t="shared" si="8"/>
        <v>-96.083404655629636</v>
      </c>
      <c r="F50" s="37" t="s">
        <v>58</v>
      </c>
      <c r="G50" s="37">
        <f t="shared" si="8"/>
        <v>-108.99536389278032</v>
      </c>
      <c r="H50" s="37" t="s">
        <v>58</v>
      </c>
      <c r="I50" s="37">
        <f t="shared" si="8"/>
        <v>-110.09536389278033</v>
      </c>
    </row>
    <row r="51" spans="1:11" ht="27.6">
      <c r="A51" s="27" t="s">
        <v>98</v>
      </c>
      <c r="B51" s="37">
        <f t="shared" ref="B51:H51" si="9">B44+B46+B47-B49</f>
        <v>-87.650461590658153</v>
      </c>
      <c r="C51" s="37" t="s">
        <v>58</v>
      </c>
      <c r="D51" s="37">
        <f t="shared" si="9"/>
        <v>-90.950461590658151</v>
      </c>
      <c r="E51" s="37" t="s">
        <v>58</v>
      </c>
      <c r="F51" s="37">
        <f t="shared" si="9"/>
        <v>-98.659898154414165</v>
      </c>
      <c r="G51" s="37" t="s">
        <v>58</v>
      </c>
      <c r="H51" s="37">
        <f t="shared" si="9"/>
        <v>-99.719898154414167</v>
      </c>
      <c r="I51" s="37" t="s">
        <v>58</v>
      </c>
    </row>
    <row r="52" spans="1:11" ht="27.6">
      <c r="A52" s="27" t="s">
        <v>99</v>
      </c>
      <c r="B52" s="37" t="s">
        <v>58</v>
      </c>
      <c r="C52" s="37">
        <f t="shared" ref="C52:I52" si="10">C27+C32+C33-C50</f>
        <v>169.04820396186665</v>
      </c>
      <c r="D52" s="37" t="s">
        <v>58</v>
      </c>
      <c r="E52" s="37">
        <f t="shared" si="10"/>
        <v>169.24820396186664</v>
      </c>
      <c r="F52" s="37" t="s">
        <v>58</v>
      </c>
      <c r="G52" s="37">
        <f t="shared" si="10"/>
        <v>160.07776354589882</v>
      </c>
      <c r="H52" s="37" t="s">
        <v>58</v>
      </c>
      <c r="I52" s="37">
        <f t="shared" si="10"/>
        <v>161.17776354589881</v>
      </c>
    </row>
    <row r="53" spans="1:11" ht="27.6">
      <c r="A53" s="27" t="s">
        <v>100</v>
      </c>
      <c r="B53" s="37">
        <f t="shared" ref="B53:H53" si="11">B28+B32+B33-B51</f>
        <v>160.81526089689515</v>
      </c>
      <c r="C53" s="37" t="s">
        <v>58</v>
      </c>
      <c r="D53" s="37">
        <f t="shared" si="11"/>
        <v>164.11526089689517</v>
      </c>
      <c r="E53" s="37" t="s">
        <v>58</v>
      </c>
      <c r="F53" s="37">
        <f t="shared" si="11"/>
        <v>152.73199785089287</v>
      </c>
      <c r="G53" s="37" t="s">
        <v>58</v>
      </c>
      <c r="H53" s="37">
        <f t="shared" si="11"/>
        <v>153.79199785089287</v>
      </c>
      <c r="I53" s="37" t="s">
        <v>58</v>
      </c>
      <c r="K53" s="14"/>
    </row>
    <row r="54" spans="1:11">
      <c r="A54" s="19" t="s">
        <v>34</v>
      </c>
      <c r="B54" s="32"/>
      <c r="C54" s="32"/>
      <c r="D54" s="32"/>
      <c r="E54" s="32"/>
      <c r="F54" s="32"/>
      <c r="G54" s="32"/>
      <c r="H54" s="32"/>
      <c r="I54" s="32"/>
    </row>
    <row r="55" spans="1:11">
      <c r="A55" s="20" t="s">
        <v>35</v>
      </c>
      <c r="B55" s="34">
        <v>6</v>
      </c>
      <c r="C55" s="34">
        <v>6</v>
      </c>
      <c r="D55" s="34">
        <v>6</v>
      </c>
      <c r="E55" s="34">
        <v>6</v>
      </c>
      <c r="F55" s="34">
        <v>6</v>
      </c>
      <c r="G55" s="34">
        <v>6</v>
      </c>
      <c r="H55" s="34">
        <v>6</v>
      </c>
      <c r="I55" s="34">
        <v>6</v>
      </c>
    </row>
    <row r="56" spans="1:11" ht="27.6">
      <c r="A56" s="20" t="s">
        <v>36</v>
      </c>
      <c r="B56" s="33" t="s">
        <v>58</v>
      </c>
      <c r="C56" s="34">
        <v>8.07</v>
      </c>
      <c r="D56" s="33" t="s">
        <v>58</v>
      </c>
      <c r="E56" s="34">
        <v>9.0399999999999991</v>
      </c>
      <c r="F56" s="33" t="s">
        <v>58</v>
      </c>
      <c r="G56" s="34">
        <v>8.07</v>
      </c>
      <c r="H56" s="33" t="s">
        <v>58</v>
      </c>
      <c r="I56" s="34">
        <v>9.0399999999999991</v>
      </c>
    </row>
    <row r="57" spans="1:11" ht="27.6">
      <c r="A57" s="20" t="s">
        <v>37</v>
      </c>
      <c r="B57" s="33">
        <v>4.8499999999999996</v>
      </c>
      <c r="C57" s="34" t="s">
        <v>58</v>
      </c>
      <c r="D57" s="33">
        <v>5.6</v>
      </c>
      <c r="E57" s="34" t="s">
        <v>58</v>
      </c>
      <c r="F57" s="33">
        <v>4.8499999999999996</v>
      </c>
      <c r="G57" s="34" t="s">
        <v>58</v>
      </c>
      <c r="H57" s="33">
        <v>5.6</v>
      </c>
      <c r="I57" s="34" t="s">
        <v>58</v>
      </c>
    </row>
    <row r="58" spans="1:11">
      <c r="A58" s="20" t="s">
        <v>38</v>
      </c>
      <c r="B58" s="34">
        <v>0</v>
      </c>
      <c r="C58" s="34">
        <v>0</v>
      </c>
      <c r="D58" s="34">
        <v>0</v>
      </c>
      <c r="E58" s="34">
        <v>0</v>
      </c>
      <c r="F58" s="34">
        <v>0</v>
      </c>
      <c r="G58" s="34">
        <v>0</v>
      </c>
      <c r="H58" s="34">
        <v>0</v>
      </c>
      <c r="I58" s="34">
        <v>0</v>
      </c>
    </row>
    <row r="59" spans="1:11">
      <c r="A59" s="20" t="s">
        <v>39</v>
      </c>
      <c r="B59" s="33">
        <v>9</v>
      </c>
      <c r="C59" s="33">
        <v>9</v>
      </c>
      <c r="D59" s="33">
        <v>17.98</v>
      </c>
      <c r="E59" s="33">
        <v>17.98</v>
      </c>
      <c r="F59" s="33">
        <v>9</v>
      </c>
      <c r="G59" s="33">
        <v>9</v>
      </c>
      <c r="H59" s="33">
        <v>17.98</v>
      </c>
      <c r="I59" s="33">
        <v>17.98</v>
      </c>
    </row>
    <row r="60" spans="1:11">
      <c r="A60" s="20" t="s">
        <v>40</v>
      </c>
      <c r="B60" s="34">
        <v>0</v>
      </c>
      <c r="C60" s="34">
        <v>0</v>
      </c>
      <c r="D60" s="34">
        <v>0</v>
      </c>
      <c r="E60" s="34">
        <v>0</v>
      </c>
      <c r="F60" s="34">
        <v>0</v>
      </c>
      <c r="G60" s="34">
        <v>0</v>
      </c>
      <c r="H60" s="34">
        <v>0</v>
      </c>
      <c r="I60" s="34">
        <v>0</v>
      </c>
    </row>
    <row r="61" spans="1:11" ht="27.6">
      <c r="A61" s="27" t="s">
        <v>51</v>
      </c>
      <c r="B61" s="37" t="s">
        <v>58</v>
      </c>
      <c r="C61" s="37">
        <f>C52-C56+C58-C59+C60-C34</f>
        <v>150.97820396186665</v>
      </c>
      <c r="D61" s="37" t="s">
        <v>58</v>
      </c>
      <c r="E61" s="37">
        <f>E52-E56+E58-E59+E60-E34</f>
        <v>141.22820396186665</v>
      </c>
      <c r="F61" s="37" t="s">
        <v>58</v>
      </c>
      <c r="G61" s="37">
        <f>G52-G56+G58-G59+G60-G34</f>
        <v>140.00776354589883</v>
      </c>
      <c r="H61" s="37" t="s">
        <v>58</v>
      </c>
      <c r="I61" s="37">
        <f>I52-I56+I58-I59+I60-I34</f>
        <v>131.15776354589883</v>
      </c>
    </row>
    <row r="62" spans="1:11" ht="27.6">
      <c r="A62" s="27" t="s">
        <v>46</v>
      </c>
      <c r="B62" s="37">
        <f>B53-B57+B58-B59+B60-B34</f>
        <v>145.96526089689516</v>
      </c>
      <c r="C62" s="37" t="s">
        <v>58</v>
      </c>
      <c r="D62" s="37">
        <f>D53-D57+D58-D59+D60-D34</f>
        <v>139.53526089689518</v>
      </c>
      <c r="E62" s="37" t="s">
        <v>58</v>
      </c>
      <c r="F62" s="37">
        <f>F53-F57+F58-F59+F60-F34</f>
        <v>135.88199785089287</v>
      </c>
      <c r="G62" s="37" t="s">
        <v>58</v>
      </c>
      <c r="H62" s="37">
        <f>H53-H57+H58-H59+H60-H34</f>
        <v>127.21199785089289</v>
      </c>
      <c r="I62" s="37" t="s">
        <v>58</v>
      </c>
    </row>
    <row r="63" spans="1:11">
      <c r="A63" s="19" t="s">
        <v>41</v>
      </c>
      <c r="B63" s="32"/>
      <c r="C63" s="32"/>
      <c r="D63" s="32"/>
      <c r="E63" s="32"/>
      <c r="F63" s="32"/>
      <c r="G63" s="32"/>
      <c r="H63" s="32"/>
      <c r="I63" s="32"/>
    </row>
    <row r="64" spans="1:11" ht="27.6">
      <c r="A64" s="29" t="s">
        <v>42</v>
      </c>
      <c r="B64" s="34" t="s">
        <v>90</v>
      </c>
      <c r="C64" s="34">
        <f>10^((C61-13.54-20*LOG10(C$4)+0.6*(C$6-1.5))/39.08)</f>
        <v>1617.0587425144106</v>
      </c>
      <c r="D64" s="34" t="s">
        <v>90</v>
      </c>
      <c r="E64" s="34">
        <f>10^((E61-13.54-20*LOG10(E$4)+0.6*(E$6-1.5))/39.08)</f>
        <v>910.41114885273919</v>
      </c>
      <c r="F64" s="34" t="s">
        <v>90</v>
      </c>
      <c r="G64" s="34">
        <f>10^((G61-13.54-20*LOG10(G$4)+0.6*(G$6-1.5))/39.08)</f>
        <v>847.24357386393353</v>
      </c>
      <c r="H64" s="34" t="s">
        <v>90</v>
      </c>
      <c r="I64" s="34">
        <f>10^((I61-13.54-20*LOG10(I$4)+0.6*(I$6-1.5))/39.08)</f>
        <v>502.97886546247508</v>
      </c>
    </row>
    <row r="65" spans="1:11" ht="27.6">
      <c r="A65" s="29" t="s">
        <v>43</v>
      </c>
      <c r="B65" s="34">
        <f>10^((B62-13.54-20*LOG10(B$4)+0.6*(B$6-1.5))/39.08)</f>
        <v>1203.5161458048462</v>
      </c>
      <c r="C65" s="34" t="s">
        <v>90</v>
      </c>
      <c r="D65" s="34">
        <f>10^((D62-13.54-20*LOG10(D$4)+0.6*(D$6-1.5))/39.08)</f>
        <v>823.98182492432409</v>
      </c>
      <c r="E65" s="34" t="s">
        <v>90</v>
      </c>
      <c r="F65" s="34">
        <f>10^((F62-13.54-20*LOG10(F$4)+0.6*(F$6-1.5))/39.08)</f>
        <v>664.40972115661816</v>
      </c>
      <c r="G65" s="34" t="s">
        <v>90</v>
      </c>
      <c r="H65" s="34">
        <f>10^((H62-13.54-20*LOG10(H$4)+0.6*(H$6-1.5))/39.08)</f>
        <v>398.64228917380825</v>
      </c>
      <c r="I65" s="34" t="s">
        <v>90</v>
      </c>
      <c r="K65" s="15"/>
    </row>
    <row r="66" spans="1:11" ht="16.8">
      <c r="A66" s="29" t="s">
        <v>96</v>
      </c>
      <c r="B66" s="34" t="s">
        <v>128</v>
      </c>
      <c r="C66" s="34">
        <f>PI()*(C64)^2</f>
        <v>8214884.5833599633</v>
      </c>
      <c r="D66" s="34" t="s">
        <v>58</v>
      </c>
      <c r="E66" s="34">
        <f>PI()*(E64)^2</f>
        <v>2603904.232734987</v>
      </c>
      <c r="F66" s="34" t="s">
        <v>58</v>
      </c>
      <c r="G66" s="34">
        <f>PI()*(G64)^2</f>
        <v>2255103.2959097717</v>
      </c>
      <c r="H66" s="34" t="s">
        <v>58</v>
      </c>
      <c r="I66" s="34">
        <f>PI()*(I64)^2</f>
        <v>794784.42261087883</v>
      </c>
    </row>
    <row r="67" spans="1:11" ht="16.8">
      <c r="A67" s="29" t="s">
        <v>97</v>
      </c>
      <c r="B67" s="34">
        <f>PI()*(B65)^2</f>
        <v>4550443.3763537677</v>
      </c>
      <c r="C67" s="34" t="s">
        <v>58</v>
      </c>
      <c r="D67" s="34">
        <f>PI()*(D65)^2</f>
        <v>2132971.9159699585</v>
      </c>
      <c r="E67" s="34" t="s">
        <v>58</v>
      </c>
      <c r="F67" s="34">
        <f>PI()*(F65)^2</f>
        <v>1386825.5330044304</v>
      </c>
      <c r="G67" s="34" t="s">
        <v>58</v>
      </c>
      <c r="H67" s="34">
        <f>PI()*(H65)^2</f>
        <v>499248.31623349886</v>
      </c>
      <c r="I67" s="34" t="s">
        <v>58</v>
      </c>
    </row>
    <row r="72" spans="1:11" s="16" customFormat="1" ht="13.8">
      <c r="A72" s="43"/>
      <c r="B72" s="44"/>
      <c r="C72" s="44"/>
      <c r="D72" s="44"/>
      <c r="E72" s="44"/>
      <c r="F72" s="45"/>
      <c r="G72" s="45"/>
      <c r="H72" s="45"/>
      <c r="I72" s="45"/>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70" zoomScaleNormal="70" workbookViewId="0">
      <pane xSplit="1" ySplit="2" topLeftCell="B51" activePane="bottomRight" state="frozen"/>
      <selection pane="topRight" activeCell="B1" sqref="B1"/>
      <selection pane="bottomLeft" activeCell="A3" sqref="A3"/>
      <selection pane="bottomRight" activeCell="C74" sqref="C74"/>
    </sheetView>
  </sheetViews>
  <sheetFormatPr defaultColWidth="8.796875" defaultRowHeight="15.6"/>
  <cols>
    <col min="1" max="1" width="69" style="30" customWidth="1"/>
    <col min="2" max="2" width="22.69921875" style="39" bestFit="1" customWidth="1"/>
    <col min="3" max="3" width="18.296875" style="39" bestFit="1" customWidth="1"/>
    <col min="4" max="4" width="18.19921875" style="39" customWidth="1"/>
    <col min="5" max="5" width="18.69921875" style="39" customWidth="1"/>
    <col min="6" max="6" width="18.19921875" style="40" customWidth="1"/>
    <col min="7" max="7" width="18.5" style="40" customWidth="1"/>
    <col min="8" max="8" width="20" style="40" customWidth="1"/>
    <col min="9" max="9" width="18.296875" style="40" customWidth="1"/>
  </cols>
  <sheetData>
    <row r="1" spans="1:9">
      <c r="A1" s="46" t="s">
        <v>133</v>
      </c>
      <c r="B1" s="115" t="s">
        <v>47</v>
      </c>
      <c r="C1" s="115"/>
      <c r="D1" s="115"/>
      <c r="E1" s="116"/>
      <c r="F1" s="118" t="s">
        <v>49</v>
      </c>
      <c r="G1" s="118"/>
      <c r="H1" s="118"/>
      <c r="I1" s="118"/>
    </row>
    <row r="2" spans="1:9" ht="27.6">
      <c r="A2" s="17"/>
      <c r="B2" s="31" t="s">
        <v>48</v>
      </c>
      <c r="C2" s="31" t="s">
        <v>54</v>
      </c>
      <c r="D2" s="31" t="s">
        <v>52</v>
      </c>
      <c r="E2" s="31" t="s">
        <v>53</v>
      </c>
      <c r="F2" s="31" t="s">
        <v>50</v>
      </c>
      <c r="G2" s="31" t="s">
        <v>55</v>
      </c>
      <c r="H2" s="31" t="s">
        <v>56</v>
      </c>
      <c r="I2" s="31" t="s">
        <v>57</v>
      </c>
    </row>
    <row r="3" spans="1:9">
      <c r="A3" s="19" t="s">
        <v>1</v>
      </c>
      <c r="B3" s="49"/>
      <c r="C3" s="49"/>
      <c r="D3" s="49"/>
      <c r="E3" s="49"/>
      <c r="F3" s="49"/>
      <c r="G3" s="49"/>
      <c r="H3" s="49"/>
      <c r="I3" s="49"/>
    </row>
    <row r="4" spans="1:9">
      <c r="A4" s="20" t="s">
        <v>2</v>
      </c>
      <c r="B4" s="35">
        <v>0.7</v>
      </c>
      <c r="C4" s="50">
        <v>0.7</v>
      </c>
      <c r="D4" s="35">
        <v>0.7</v>
      </c>
      <c r="E4" s="50">
        <v>0.7</v>
      </c>
      <c r="F4" s="35">
        <v>0.7</v>
      </c>
      <c r="G4" s="50">
        <v>0.7</v>
      </c>
      <c r="H4" s="35">
        <v>0.7</v>
      </c>
      <c r="I4" s="50">
        <v>0.7</v>
      </c>
    </row>
    <row r="5" spans="1:9">
      <c r="A5" s="20" t="s">
        <v>3</v>
      </c>
      <c r="B5" s="50">
        <v>35</v>
      </c>
      <c r="C5" s="50">
        <v>35</v>
      </c>
      <c r="D5" s="50">
        <v>35</v>
      </c>
      <c r="E5" s="50">
        <v>35</v>
      </c>
      <c r="F5" s="50">
        <v>35</v>
      </c>
      <c r="G5" s="50">
        <v>35</v>
      </c>
      <c r="H5" s="50">
        <v>35</v>
      </c>
      <c r="I5" s="50">
        <v>35</v>
      </c>
    </row>
    <row r="6" spans="1:9">
      <c r="A6" s="20" t="s">
        <v>4</v>
      </c>
      <c r="B6" s="35">
        <v>1.5</v>
      </c>
      <c r="C6" s="50">
        <v>1.5</v>
      </c>
      <c r="D6" s="35">
        <v>1.5</v>
      </c>
      <c r="E6" s="50">
        <v>1.5</v>
      </c>
      <c r="F6" s="35">
        <v>1.5</v>
      </c>
      <c r="G6" s="50">
        <v>1.5</v>
      </c>
      <c r="H6" s="35">
        <v>1.5</v>
      </c>
      <c r="I6" s="50">
        <v>1.5</v>
      </c>
    </row>
    <row r="7" spans="1:9">
      <c r="A7" s="20" t="s">
        <v>145</v>
      </c>
      <c r="B7" s="21" t="s">
        <v>58</v>
      </c>
      <c r="C7" s="47">
        <v>0.95</v>
      </c>
      <c r="D7" s="21" t="s">
        <v>58</v>
      </c>
      <c r="E7" s="47">
        <v>0.95</v>
      </c>
      <c r="F7" s="47" t="s">
        <v>58</v>
      </c>
      <c r="G7" s="22">
        <v>0.95</v>
      </c>
      <c r="H7" s="47" t="s">
        <v>58</v>
      </c>
      <c r="I7" s="22">
        <v>0.95</v>
      </c>
    </row>
    <row r="8" spans="1:9">
      <c r="A8" s="20" t="s">
        <v>146</v>
      </c>
      <c r="B8" s="21">
        <v>0.9</v>
      </c>
      <c r="C8" s="47" t="s">
        <v>58</v>
      </c>
      <c r="D8" s="21">
        <v>0.9</v>
      </c>
      <c r="E8" s="47" t="s">
        <v>58</v>
      </c>
      <c r="F8" s="47">
        <v>0.9</v>
      </c>
      <c r="G8" s="22" t="s">
        <v>58</v>
      </c>
      <c r="H8" s="47">
        <v>0.9</v>
      </c>
      <c r="I8" s="22" t="s">
        <v>58</v>
      </c>
    </row>
    <row r="9" spans="1:9">
      <c r="A9" s="20" t="s">
        <v>5</v>
      </c>
      <c r="B9" s="33" t="s">
        <v>58</v>
      </c>
      <c r="C9" s="34">
        <f>64/(0.001)</f>
        <v>64000</v>
      </c>
      <c r="D9" s="33" t="s">
        <v>58</v>
      </c>
      <c r="E9" s="34">
        <f>64/(0.001)</f>
        <v>64000</v>
      </c>
      <c r="F9" s="50" t="s">
        <v>58</v>
      </c>
      <c r="G9" s="34">
        <f>2/(0.001)</f>
        <v>2000</v>
      </c>
      <c r="H9" s="50" t="s">
        <v>58</v>
      </c>
      <c r="I9" s="34">
        <f>2/(0.001)</f>
        <v>2000</v>
      </c>
    </row>
    <row r="10" spans="1:9" ht="30" customHeight="1">
      <c r="A10" s="20" t="s">
        <v>6</v>
      </c>
      <c r="B10" s="33">
        <f>1994400*3</f>
        <v>5983200</v>
      </c>
      <c r="C10" s="50" t="s">
        <v>58</v>
      </c>
      <c r="D10" s="33">
        <f>1994400*3</f>
        <v>5983200</v>
      </c>
      <c r="E10" s="50" t="s">
        <v>58</v>
      </c>
      <c r="F10" s="50">
        <f>187200*3</f>
        <v>561600</v>
      </c>
      <c r="G10" s="34" t="s">
        <v>58</v>
      </c>
      <c r="H10" s="50">
        <f>187200*3</f>
        <v>561600</v>
      </c>
      <c r="I10" s="34" t="s">
        <v>58</v>
      </c>
    </row>
    <row r="11" spans="1:9">
      <c r="A11" s="20" t="s">
        <v>7</v>
      </c>
      <c r="B11" s="21" t="s">
        <v>58</v>
      </c>
      <c r="C11" s="47">
        <v>0.01</v>
      </c>
      <c r="D11" s="21" t="s">
        <v>58</v>
      </c>
      <c r="E11" s="47">
        <v>0.01</v>
      </c>
      <c r="F11" s="47" t="s">
        <v>58</v>
      </c>
      <c r="G11" s="22">
        <v>0.01</v>
      </c>
      <c r="H11" s="47" t="s">
        <v>58</v>
      </c>
      <c r="I11" s="22">
        <v>0.01</v>
      </c>
    </row>
    <row r="12" spans="1:9">
      <c r="A12" s="20" t="s">
        <v>8</v>
      </c>
      <c r="B12" s="21">
        <v>0.1</v>
      </c>
      <c r="C12" s="47" t="s">
        <v>58</v>
      </c>
      <c r="D12" s="21">
        <v>0.1</v>
      </c>
      <c r="E12" s="47" t="s">
        <v>58</v>
      </c>
      <c r="F12" s="47">
        <v>0.1</v>
      </c>
      <c r="G12" s="22" t="s">
        <v>58</v>
      </c>
      <c r="H12" s="47">
        <v>0.1</v>
      </c>
      <c r="I12" s="22" t="s">
        <v>58</v>
      </c>
    </row>
    <row r="13" spans="1:9">
      <c r="A13" s="20" t="s">
        <v>91</v>
      </c>
      <c r="B13" s="33">
        <f>B10/B42</f>
        <v>0.63923076923076927</v>
      </c>
      <c r="C13" s="50" t="s">
        <v>58</v>
      </c>
      <c r="D13" s="33">
        <f>D10/D42</f>
        <v>0.63923076923076927</v>
      </c>
      <c r="E13" s="50" t="s">
        <v>58</v>
      </c>
      <c r="F13" s="33">
        <f>F10/F42</f>
        <v>0.78</v>
      </c>
      <c r="G13" s="34" t="s">
        <v>58</v>
      </c>
      <c r="H13" s="33">
        <f>H10/H42</f>
        <v>0.78</v>
      </c>
      <c r="I13" s="34" t="s">
        <v>58</v>
      </c>
    </row>
    <row r="14" spans="1:9">
      <c r="A14" s="20" t="s">
        <v>92</v>
      </c>
      <c r="B14" s="50" t="s">
        <v>106</v>
      </c>
      <c r="C14" s="50" t="s">
        <v>106</v>
      </c>
      <c r="D14" s="50" t="s">
        <v>107</v>
      </c>
      <c r="E14" s="50" t="s">
        <v>107</v>
      </c>
      <c r="F14" s="50" t="s">
        <v>106</v>
      </c>
      <c r="G14" s="50" t="s">
        <v>106</v>
      </c>
      <c r="H14" s="50" t="s">
        <v>107</v>
      </c>
      <c r="I14" s="50" t="s">
        <v>107</v>
      </c>
    </row>
    <row r="15" spans="1:9">
      <c r="A15" s="20" t="s">
        <v>87</v>
      </c>
      <c r="B15" s="33">
        <v>120</v>
      </c>
      <c r="C15" s="34">
        <v>120</v>
      </c>
      <c r="D15" s="33">
        <v>3</v>
      </c>
      <c r="E15" s="34">
        <v>3</v>
      </c>
      <c r="F15" s="33">
        <v>120</v>
      </c>
      <c r="G15" s="34">
        <v>120</v>
      </c>
      <c r="H15" s="34">
        <v>3</v>
      </c>
      <c r="I15" s="34">
        <v>3</v>
      </c>
    </row>
    <row r="16" spans="1:9">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27.6">
      <c r="A18" s="20" t="s">
        <v>85</v>
      </c>
      <c r="B18" s="33">
        <v>64</v>
      </c>
      <c r="C18" s="50">
        <v>64</v>
      </c>
      <c r="D18" s="33">
        <v>64</v>
      </c>
      <c r="E18" s="50">
        <v>64</v>
      </c>
      <c r="F18" s="34">
        <v>1</v>
      </c>
      <c r="G18" s="50">
        <v>1</v>
      </c>
      <c r="H18" s="34">
        <v>1</v>
      </c>
      <c r="I18" s="50">
        <v>1</v>
      </c>
    </row>
    <row r="19" spans="1:9">
      <c r="A19" s="20" t="s">
        <v>108</v>
      </c>
      <c r="B19" s="33">
        <v>2</v>
      </c>
      <c r="C19" s="50">
        <v>2</v>
      </c>
      <c r="D19" s="33">
        <v>2</v>
      </c>
      <c r="E19" s="50">
        <v>2</v>
      </c>
      <c r="F19" s="34">
        <v>1</v>
      </c>
      <c r="G19" s="50">
        <v>1</v>
      </c>
      <c r="H19" s="34">
        <v>1</v>
      </c>
      <c r="I19" s="50">
        <v>1</v>
      </c>
    </row>
    <row r="20" spans="1:9">
      <c r="A20" s="20" t="s">
        <v>11</v>
      </c>
      <c r="B20" s="33">
        <v>28</v>
      </c>
      <c r="C20" s="50">
        <v>28</v>
      </c>
      <c r="D20" s="33">
        <v>28</v>
      </c>
      <c r="E20" s="50">
        <v>28</v>
      </c>
      <c r="F20" s="34">
        <v>23</v>
      </c>
      <c r="G20" s="50">
        <v>23</v>
      </c>
      <c r="H20" s="34">
        <v>23</v>
      </c>
      <c r="I20" s="50">
        <v>23</v>
      </c>
    </row>
    <row r="21" spans="1:9" ht="27.6">
      <c r="A21" s="41" t="s">
        <v>86</v>
      </c>
      <c r="B21" s="38">
        <f t="shared" ref="B21:I21" si="0">B20+10*LOG10(B18)</f>
        <v>46.061799739838875</v>
      </c>
      <c r="C21" s="38">
        <f t="shared" si="0"/>
        <v>46.061799739838875</v>
      </c>
      <c r="D21" s="38">
        <f t="shared" si="0"/>
        <v>46.061799739838875</v>
      </c>
      <c r="E21" s="38">
        <f t="shared" si="0"/>
        <v>46.061799739838875</v>
      </c>
      <c r="F21" s="38">
        <f t="shared" si="0"/>
        <v>23</v>
      </c>
      <c r="G21" s="38">
        <f t="shared" si="0"/>
        <v>23</v>
      </c>
      <c r="H21" s="38">
        <f t="shared" si="0"/>
        <v>23</v>
      </c>
      <c r="I21" s="38">
        <f t="shared" si="0"/>
        <v>23</v>
      </c>
    </row>
    <row r="22" spans="1:9" ht="45" customHeight="1">
      <c r="A22" s="20" t="s">
        <v>12</v>
      </c>
      <c r="B22" s="33">
        <v>8</v>
      </c>
      <c r="C22" s="50">
        <v>8</v>
      </c>
      <c r="D22" s="33">
        <v>8</v>
      </c>
      <c r="E22" s="50">
        <v>8</v>
      </c>
      <c r="F22" s="34">
        <v>0</v>
      </c>
      <c r="G22" s="50">
        <v>0</v>
      </c>
      <c r="H22" s="34">
        <v>0</v>
      </c>
      <c r="I22" s="50">
        <v>0</v>
      </c>
    </row>
    <row r="23" spans="1:9" ht="27.6">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4">
        <v>3</v>
      </c>
      <c r="D26" s="33">
        <v>3</v>
      </c>
      <c r="E26" s="34">
        <v>3</v>
      </c>
      <c r="F26" s="34">
        <v>1</v>
      </c>
      <c r="G26" s="34">
        <v>1</v>
      </c>
      <c r="H26" s="34">
        <v>1</v>
      </c>
      <c r="I26" s="34">
        <v>1</v>
      </c>
    </row>
    <row r="27" spans="1:9">
      <c r="A27" s="25" t="s">
        <v>17</v>
      </c>
      <c r="B27" s="37">
        <f t="shared" ref="B27:I27" si="2">B21+B22+B23+B24-B26</f>
        <v>66.113299523037938</v>
      </c>
      <c r="C27" s="37">
        <f t="shared" si="2"/>
        <v>66.113299523037938</v>
      </c>
      <c r="D27" s="37">
        <f t="shared" si="2"/>
        <v>66.113299523037938</v>
      </c>
      <c r="E27" s="37">
        <f t="shared" si="2"/>
        <v>66.113299523037938</v>
      </c>
      <c r="F27" s="37">
        <f t="shared" si="2"/>
        <v>22</v>
      </c>
      <c r="G27" s="37">
        <f t="shared" si="2"/>
        <v>22</v>
      </c>
      <c r="H27" s="37">
        <f t="shared" si="2"/>
        <v>22</v>
      </c>
      <c r="I27" s="37">
        <f t="shared" si="2"/>
        <v>22</v>
      </c>
    </row>
    <row r="28" spans="1:9">
      <c r="A28" s="25" t="s">
        <v>18</v>
      </c>
      <c r="B28" s="37">
        <f t="shared" ref="B28:I28" si="3">B21+B22+B23-B25-B26</f>
        <v>66.113299523037938</v>
      </c>
      <c r="C28" s="37">
        <f t="shared" si="3"/>
        <v>66.113299523037938</v>
      </c>
      <c r="D28" s="37">
        <f t="shared" si="3"/>
        <v>66.113299523037938</v>
      </c>
      <c r="E28" s="37">
        <f t="shared" si="3"/>
        <v>66.113299523037938</v>
      </c>
      <c r="F28" s="37">
        <f t="shared" si="3"/>
        <v>22</v>
      </c>
      <c r="G28" s="37">
        <f t="shared" si="3"/>
        <v>22</v>
      </c>
      <c r="H28" s="37">
        <f t="shared" si="3"/>
        <v>22</v>
      </c>
      <c r="I28" s="37">
        <f t="shared" si="3"/>
        <v>22</v>
      </c>
    </row>
    <row r="29" spans="1:9">
      <c r="A29" s="19" t="s">
        <v>19</v>
      </c>
      <c r="B29" s="49"/>
      <c r="C29" s="49"/>
      <c r="D29" s="49"/>
      <c r="E29" s="49"/>
      <c r="F29" s="49"/>
      <c r="G29" s="49"/>
      <c r="H29" s="49"/>
      <c r="I29" s="49"/>
    </row>
    <row r="30" spans="1:9" ht="27.6">
      <c r="A30" s="20" t="s">
        <v>84</v>
      </c>
      <c r="B30" s="33">
        <v>2</v>
      </c>
      <c r="C30" s="50">
        <v>2</v>
      </c>
      <c r="D30" s="33">
        <v>2</v>
      </c>
      <c r="E30" s="50">
        <v>2</v>
      </c>
      <c r="F30" s="50">
        <v>64</v>
      </c>
      <c r="G30" s="50">
        <v>64</v>
      </c>
      <c r="H30" s="50">
        <v>64</v>
      </c>
      <c r="I30" s="50">
        <v>64</v>
      </c>
    </row>
    <row r="31" spans="1:9">
      <c r="A31" s="20" t="s">
        <v>122</v>
      </c>
      <c r="B31" s="33">
        <v>2</v>
      </c>
      <c r="C31" s="50">
        <v>2</v>
      </c>
      <c r="D31" s="33">
        <v>2</v>
      </c>
      <c r="E31" s="50">
        <v>2</v>
      </c>
      <c r="F31" s="50">
        <v>2</v>
      </c>
      <c r="G31" s="50">
        <v>2</v>
      </c>
      <c r="H31" s="50">
        <v>2</v>
      </c>
      <c r="I31" s="50">
        <v>2</v>
      </c>
    </row>
    <row r="32" spans="1:9">
      <c r="A32" s="20" t="s">
        <v>20</v>
      </c>
      <c r="B32" s="33">
        <v>0</v>
      </c>
      <c r="C32" s="50">
        <v>0</v>
      </c>
      <c r="D32" s="33">
        <v>0</v>
      </c>
      <c r="E32" s="50">
        <v>0</v>
      </c>
      <c r="F32" s="50">
        <v>8</v>
      </c>
      <c r="G32" s="50">
        <v>8</v>
      </c>
      <c r="H32" s="50">
        <v>8</v>
      </c>
      <c r="I32" s="50">
        <v>8</v>
      </c>
    </row>
    <row r="33" spans="1:9" ht="27.6">
      <c r="A33" s="26" t="s">
        <v>88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27.6">
      <c r="A34" s="20" t="s">
        <v>21</v>
      </c>
      <c r="B34" s="33">
        <v>1</v>
      </c>
      <c r="C34" s="50">
        <v>1</v>
      </c>
      <c r="D34" s="33">
        <v>1</v>
      </c>
      <c r="E34" s="50">
        <v>1</v>
      </c>
      <c r="F34" s="34">
        <v>3</v>
      </c>
      <c r="G34" s="50">
        <v>3</v>
      </c>
      <c r="H34" s="34">
        <v>3</v>
      </c>
      <c r="I34" s="50">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c r="A37" s="20" t="s">
        <v>147</v>
      </c>
      <c r="B37" s="33" t="s">
        <v>58</v>
      </c>
      <c r="C37" s="34">
        <v>-169.3</v>
      </c>
      <c r="D37" s="33" t="s">
        <v>58</v>
      </c>
      <c r="E37" s="34">
        <v>-169.3</v>
      </c>
      <c r="F37" s="34" t="s">
        <v>58</v>
      </c>
      <c r="G37" s="34">
        <v>-161.69999999999999</v>
      </c>
      <c r="H37" s="34" t="s">
        <v>58</v>
      </c>
      <c r="I37" s="34">
        <v>-161.69999999999999</v>
      </c>
    </row>
    <row r="38" spans="1:9">
      <c r="A38" s="20" t="s">
        <v>24</v>
      </c>
      <c r="B38" s="33">
        <v>-169.3</v>
      </c>
      <c r="C38" s="34" t="s">
        <v>58</v>
      </c>
      <c r="D38" s="33">
        <v>-169.3</v>
      </c>
      <c r="E38" s="34" t="s">
        <v>58</v>
      </c>
      <c r="F38" s="34">
        <v>-165.7</v>
      </c>
      <c r="G38" s="34" t="s">
        <v>58</v>
      </c>
      <c r="H38" s="34">
        <v>-165.7</v>
      </c>
      <c r="I38" s="34" t="s">
        <v>58</v>
      </c>
    </row>
    <row r="39" spans="1:9" ht="27.6">
      <c r="A39" s="27" t="s">
        <v>148</v>
      </c>
      <c r="B39" s="37" t="s">
        <v>58</v>
      </c>
      <c r="C39" s="37">
        <f t="shared" ref="C39:I39" si="5">10*LOG10(10^((C35+C36)/10)+10^(C37/10))</f>
        <v>-164.98918835931039</v>
      </c>
      <c r="D39" s="37" t="s">
        <v>58</v>
      </c>
      <c r="E39" s="37">
        <f t="shared" si="5"/>
        <v>-164.98918835931039</v>
      </c>
      <c r="F39" s="37" t="s">
        <v>58</v>
      </c>
      <c r="G39" s="37">
        <f t="shared" si="5"/>
        <v>-160.9583889004532</v>
      </c>
      <c r="H39" s="37" t="s">
        <v>58</v>
      </c>
      <c r="I39" s="37">
        <f t="shared" si="5"/>
        <v>-160.9583889004532</v>
      </c>
    </row>
    <row r="40" spans="1:9" ht="27.6">
      <c r="A40" s="27" t="s">
        <v>149</v>
      </c>
      <c r="B40" s="37">
        <f t="shared" ref="B40:H40" si="6">10*LOG10(10^((B35+B36)/10)+10^(B38/10))</f>
        <v>-164.98918835931039</v>
      </c>
      <c r="C40" s="37" t="s">
        <v>58</v>
      </c>
      <c r="D40" s="37">
        <f t="shared" si="6"/>
        <v>-164.98918835931039</v>
      </c>
      <c r="E40" s="37" t="s">
        <v>58</v>
      </c>
      <c r="F40" s="37">
        <f t="shared" si="6"/>
        <v>-164.03352307536667</v>
      </c>
      <c r="G40" s="37" t="s">
        <v>58</v>
      </c>
      <c r="H40" s="37">
        <f t="shared" si="6"/>
        <v>-164.03352307536667</v>
      </c>
      <c r="I40" s="37" t="s">
        <v>58</v>
      </c>
    </row>
    <row r="41" spans="1:9" ht="27.6">
      <c r="A41" s="20" t="s">
        <v>25</v>
      </c>
      <c r="B41" s="33" t="s">
        <v>58</v>
      </c>
      <c r="C41" s="33">
        <f>MaxN_RB!$D$6*12*15*1000</f>
        <v>9360000</v>
      </c>
      <c r="D41" s="33" t="s">
        <v>58</v>
      </c>
      <c r="E41" s="33">
        <f>MaxN_RB!$D$6*12*15*1000</f>
        <v>9360000</v>
      </c>
      <c r="F41" s="50" t="s">
        <v>58</v>
      </c>
      <c r="G41" s="34">
        <f>1*12*15*1000</f>
        <v>180000</v>
      </c>
      <c r="H41" s="50" t="s">
        <v>58</v>
      </c>
      <c r="I41" s="34">
        <f>1*12*15*1000</f>
        <v>180000</v>
      </c>
    </row>
    <row r="42" spans="1:9" ht="27.6">
      <c r="A42" s="20" t="s">
        <v>26</v>
      </c>
      <c r="B42" s="33">
        <f>MaxN_RB!$D$6*12*15*1000</f>
        <v>9360000</v>
      </c>
      <c r="C42" s="50" t="s">
        <v>58</v>
      </c>
      <c r="D42" s="33">
        <f>MaxN_RB!$D$6*12*15*1000</f>
        <v>9360000</v>
      </c>
      <c r="E42" s="50" t="s">
        <v>58</v>
      </c>
      <c r="F42" s="33">
        <f>4*12*15*1000</f>
        <v>720000</v>
      </c>
      <c r="G42" s="34" t="s">
        <v>58</v>
      </c>
      <c r="H42" s="33">
        <f>4*12*15*1000</f>
        <v>720000</v>
      </c>
      <c r="I42" s="34" t="s">
        <v>58</v>
      </c>
    </row>
    <row r="43" spans="1:9">
      <c r="A43" s="25" t="s">
        <v>27</v>
      </c>
      <c r="B43" s="37" t="s">
        <v>58</v>
      </c>
      <c r="C43" s="37">
        <f t="shared" ref="B43:I44" si="7">C39+10*LOG10(C41)</f>
        <v>-95.276429871929338</v>
      </c>
      <c r="D43" s="37" t="s">
        <v>58</v>
      </c>
      <c r="E43" s="37">
        <f t="shared" si="7"/>
        <v>-95.276429871929338</v>
      </c>
      <c r="F43" s="37" t="s">
        <v>58</v>
      </c>
      <c r="G43" s="37">
        <f t="shared" si="7"/>
        <v>-108.40566384942014</v>
      </c>
      <c r="H43" s="37" t="s">
        <v>58</v>
      </c>
      <c r="I43" s="37">
        <f t="shared" si="7"/>
        <v>-108.40566384942014</v>
      </c>
    </row>
    <row r="44" spans="1:9">
      <c r="A44" s="25" t="s">
        <v>28</v>
      </c>
      <c r="B44" s="37">
        <f t="shared" si="7"/>
        <v>-95.276429871929338</v>
      </c>
      <c r="C44" s="37" t="s">
        <v>58</v>
      </c>
      <c r="D44" s="37">
        <f t="shared" si="7"/>
        <v>-95.276429871929338</v>
      </c>
      <c r="E44" s="37" t="s">
        <v>58</v>
      </c>
      <c r="F44" s="37">
        <f t="shared" si="7"/>
        <v>-105.46019811105398</v>
      </c>
      <c r="G44" s="37" t="s">
        <v>58</v>
      </c>
      <c r="H44" s="37">
        <f t="shared" si="7"/>
        <v>-105.46019811105398</v>
      </c>
      <c r="I44" s="37" t="s">
        <v>58</v>
      </c>
    </row>
    <row r="45" spans="1:9">
      <c r="A45" s="20" t="s">
        <v>29</v>
      </c>
      <c r="B45" s="33" t="s">
        <v>58</v>
      </c>
      <c r="C45" s="34">
        <v>-7.4</v>
      </c>
      <c r="D45" s="33" t="s">
        <v>58</v>
      </c>
      <c r="E45" s="34">
        <v>-7.5</v>
      </c>
      <c r="F45" s="33" t="s">
        <v>58</v>
      </c>
      <c r="G45" s="76">
        <v>-6.3</v>
      </c>
      <c r="H45" s="75" t="s">
        <v>58</v>
      </c>
      <c r="I45" s="34">
        <v>-6.3</v>
      </c>
    </row>
    <row r="46" spans="1:9">
      <c r="A46" s="20" t="s">
        <v>30</v>
      </c>
      <c r="B46" s="34">
        <v>4.0999999999999996</v>
      </c>
      <c r="C46" s="34" t="s">
        <v>58</v>
      </c>
      <c r="D46" s="34">
        <v>1.4</v>
      </c>
      <c r="E46" s="34" t="s">
        <v>58</v>
      </c>
      <c r="F46" s="34">
        <v>7.3</v>
      </c>
      <c r="G46" s="34" t="s">
        <v>58</v>
      </c>
      <c r="H46" s="34">
        <v>4.7</v>
      </c>
      <c r="I46" s="34" t="s">
        <v>58</v>
      </c>
    </row>
    <row r="47" spans="1:9">
      <c r="A47" s="20" t="s">
        <v>31</v>
      </c>
      <c r="B47" s="33">
        <v>2</v>
      </c>
      <c r="C47" s="34">
        <v>2</v>
      </c>
      <c r="D47" s="33">
        <v>2</v>
      </c>
      <c r="E47" s="34">
        <v>2</v>
      </c>
      <c r="F47" s="50">
        <v>2</v>
      </c>
      <c r="G47" s="34">
        <v>2</v>
      </c>
      <c r="H47" s="50">
        <v>2</v>
      </c>
      <c r="I47" s="34">
        <v>2</v>
      </c>
    </row>
    <row r="48" spans="1:9">
      <c r="A48" s="20" t="s">
        <v>32</v>
      </c>
      <c r="B48" s="33" t="s">
        <v>58</v>
      </c>
      <c r="C48" s="34">
        <v>0</v>
      </c>
      <c r="D48" s="33" t="s">
        <v>58</v>
      </c>
      <c r="E48" s="34">
        <v>0</v>
      </c>
      <c r="F48" s="50" t="s">
        <v>58</v>
      </c>
      <c r="G48" s="34">
        <v>0</v>
      </c>
      <c r="H48" s="50" t="s">
        <v>58</v>
      </c>
      <c r="I48" s="34">
        <v>0</v>
      </c>
    </row>
    <row r="49" spans="1:9">
      <c r="A49" s="20" t="s">
        <v>33</v>
      </c>
      <c r="B49" s="33">
        <v>0.5</v>
      </c>
      <c r="C49" s="34" t="s">
        <v>58</v>
      </c>
      <c r="D49" s="33">
        <v>0.5</v>
      </c>
      <c r="E49" s="34" t="s">
        <v>58</v>
      </c>
      <c r="F49" s="50">
        <v>0.5</v>
      </c>
      <c r="G49" s="34" t="s">
        <v>58</v>
      </c>
      <c r="H49" s="50">
        <v>0.5</v>
      </c>
      <c r="I49" s="34" t="s">
        <v>58</v>
      </c>
    </row>
    <row r="50" spans="1:9">
      <c r="A50" s="27" t="s">
        <v>44</v>
      </c>
      <c r="B50" s="37" t="s">
        <v>58</v>
      </c>
      <c r="C50" s="37">
        <f t="shared" ref="C50:I50" si="8">C43+C45+C47-C48</f>
        <v>-100.67642987192934</v>
      </c>
      <c r="D50" s="37" t="s">
        <v>58</v>
      </c>
      <c r="E50" s="37">
        <f t="shared" si="8"/>
        <v>-100.77642987192934</v>
      </c>
      <c r="F50" s="37" t="s">
        <v>58</v>
      </c>
      <c r="G50" s="37">
        <f t="shared" si="8"/>
        <v>-112.70566384942013</v>
      </c>
      <c r="H50" s="37" t="s">
        <v>58</v>
      </c>
      <c r="I50" s="37">
        <f t="shared" si="8"/>
        <v>-112.70566384942013</v>
      </c>
    </row>
    <row r="51" spans="1:9">
      <c r="A51" s="27" t="s">
        <v>45</v>
      </c>
      <c r="B51" s="37">
        <f>B44+B46+B47-B49</f>
        <v>-89.676429871929344</v>
      </c>
      <c r="C51" s="37" t="s">
        <v>58</v>
      </c>
      <c r="D51" s="37">
        <f t="shared" ref="D51:H51" si="9">D44+D46+D47-D49</f>
        <v>-92.376429871929332</v>
      </c>
      <c r="E51" s="37" t="s">
        <v>58</v>
      </c>
      <c r="F51" s="37">
        <f t="shared" si="9"/>
        <v>-96.660198111053987</v>
      </c>
      <c r="G51" s="37" t="s">
        <v>58</v>
      </c>
      <c r="H51" s="37">
        <f t="shared" si="9"/>
        <v>-99.260198111053981</v>
      </c>
      <c r="I51" s="37" t="s">
        <v>58</v>
      </c>
    </row>
    <row r="52" spans="1:9">
      <c r="A52" s="27" t="s">
        <v>101</v>
      </c>
      <c r="B52" s="37" t="s">
        <v>58</v>
      </c>
      <c r="C52" s="37">
        <f t="shared" ref="C52:I52" si="10">C27+C32+C33-C50</f>
        <v>166.78972939496728</v>
      </c>
      <c r="D52" s="37" t="s">
        <v>58</v>
      </c>
      <c r="E52" s="37">
        <f t="shared" si="10"/>
        <v>166.88972939496728</v>
      </c>
      <c r="F52" s="37" t="s">
        <v>58</v>
      </c>
      <c r="G52" s="37">
        <f t="shared" si="10"/>
        <v>157.75716363261921</v>
      </c>
      <c r="H52" s="37" t="s">
        <v>58</v>
      </c>
      <c r="I52" s="37">
        <f t="shared" si="10"/>
        <v>157.75716363261921</v>
      </c>
    </row>
    <row r="53" spans="1:9">
      <c r="A53" s="27" t="s">
        <v>94</v>
      </c>
      <c r="B53" s="37">
        <f t="shared" ref="B53:H53" si="11">B28+B32+B33-B51</f>
        <v>155.78972939496728</v>
      </c>
      <c r="C53" s="37" t="s">
        <v>58</v>
      </c>
      <c r="D53" s="37">
        <f t="shared" si="11"/>
        <v>158.48972939496727</v>
      </c>
      <c r="E53" s="37" t="s">
        <v>58</v>
      </c>
      <c r="F53" s="37">
        <f t="shared" si="11"/>
        <v>141.71169789425306</v>
      </c>
      <c r="G53" s="37" t="s">
        <v>58</v>
      </c>
      <c r="H53" s="37">
        <f t="shared" si="11"/>
        <v>144.31169789425303</v>
      </c>
      <c r="I53" s="37" t="s">
        <v>58</v>
      </c>
    </row>
    <row r="54" spans="1:9">
      <c r="A54" s="19" t="s">
        <v>34</v>
      </c>
      <c r="B54" s="49"/>
      <c r="C54" s="49"/>
      <c r="D54" s="49"/>
      <c r="E54" s="49"/>
      <c r="F54" s="49"/>
      <c r="G54" s="49"/>
      <c r="H54" s="49"/>
      <c r="I54" s="49"/>
    </row>
    <row r="55" spans="1:9">
      <c r="A55" s="20" t="s">
        <v>35</v>
      </c>
      <c r="B55" s="50">
        <v>8</v>
      </c>
      <c r="C55" s="50">
        <v>8</v>
      </c>
      <c r="D55" s="50">
        <v>8</v>
      </c>
      <c r="E55" s="50">
        <v>8</v>
      </c>
      <c r="F55" s="50">
        <v>8</v>
      </c>
      <c r="G55" s="50">
        <v>8</v>
      </c>
      <c r="H55" s="50">
        <v>8</v>
      </c>
      <c r="I55" s="50">
        <v>8</v>
      </c>
    </row>
    <row r="56" spans="1:9" ht="27.6">
      <c r="A56" s="20" t="s">
        <v>36</v>
      </c>
      <c r="B56" s="50" t="s">
        <v>58</v>
      </c>
      <c r="C56" s="50">
        <v>10.45</v>
      </c>
      <c r="D56" s="50" t="s">
        <v>58</v>
      </c>
      <c r="E56" s="50">
        <v>10</v>
      </c>
      <c r="F56" s="50" t="s">
        <v>58</v>
      </c>
      <c r="G56" s="50">
        <v>10.45</v>
      </c>
      <c r="H56" s="50" t="s">
        <v>58</v>
      </c>
      <c r="I56" s="50">
        <v>10</v>
      </c>
    </row>
    <row r="57" spans="1:9" ht="27.6">
      <c r="A57" s="20" t="s">
        <v>37</v>
      </c>
      <c r="B57" s="50">
        <v>6.61</v>
      </c>
      <c r="C57" s="50" t="s">
        <v>58</v>
      </c>
      <c r="D57" s="50">
        <v>6.3</v>
      </c>
      <c r="E57" s="50" t="s">
        <v>58</v>
      </c>
      <c r="F57" s="50">
        <v>6.61</v>
      </c>
      <c r="G57" s="50" t="s">
        <v>58</v>
      </c>
      <c r="H57" s="50">
        <v>6.3</v>
      </c>
      <c r="I57" s="50" t="s">
        <v>58</v>
      </c>
    </row>
    <row r="58" spans="1:9">
      <c r="A58" s="20" t="s">
        <v>38</v>
      </c>
      <c r="B58" s="50">
        <v>0</v>
      </c>
      <c r="C58" s="50">
        <v>0</v>
      </c>
      <c r="D58" s="50">
        <v>0</v>
      </c>
      <c r="E58" s="50">
        <v>0</v>
      </c>
      <c r="F58" s="50">
        <v>0</v>
      </c>
      <c r="G58" s="50">
        <v>0</v>
      </c>
      <c r="H58" s="50">
        <v>0</v>
      </c>
      <c r="I58" s="50">
        <v>0</v>
      </c>
    </row>
    <row r="59" spans="1:9">
      <c r="A59" s="20" t="s">
        <v>39</v>
      </c>
      <c r="B59" s="33">
        <f>9</f>
        <v>9</v>
      </c>
      <c r="C59" s="33">
        <f>9</f>
        <v>9</v>
      </c>
      <c r="D59" s="35">
        <f>10.2367+0.5*10/3</f>
        <v>11.903366666666667</v>
      </c>
      <c r="E59" s="35">
        <f>10.2367+0.5*10/3</f>
        <v>11.903366666666667</v>
      </c>
      <c r="F59" s="33">
        <f>9</f>
        <v>9</v>
      </c>
      <c r="G59" s="33">
        <f>9</f>
        <v>9</v>
      </c>
      <c r="H59" s="35">
        <f>10.2367+0.5*10/3</f>
        <v>11.903366666666667</v>
      </c>
      <c r="I59" s="35">
        <f>10.2367+0.5*10/3</f>
        <v>11.903366666666667</v>
      </c>
    </row>
    <row r="60" spans="1:9">
      <c r="A60" s="20" t="s">
        <v>40</v>
      </c>
      <c r="B60" s="50">
        <v>0</v>
      </c>
      <c r="C60" s="50">
        <v>0</v>
      </c>
      <c r="D60" s="50">
        <v>0</v>
      </c>
      <c r="E60" s="50">
        <v>0</v>
      </c>
      <c r="F60" s="50">
        <v>0</v>
      </c>
      <c r="G60" s="50">
        <v>0</v>
      </c>
      <c r="H60" s="50">
        <v>0</v>
      </c>
      <c r="I60" s="50">
        <v>0</v>
      </c>
    </row>
    <row r="61" spans="1:9" ht="27.6">
      <c r="A61" s="27" t="s">
        <v>51</v>
      </c>
      <c r="B61" s="37" t="s">
        <v>58</v>
      </c>
      <c r="C61" s="37">
        <f t="shared" ref="C61:I61" si="12">C52-C56+C58-C59+C60-C34</f>
        <v>146.33972939496729</v>
      </c>
      <c r="D61" s="37" t="s">
        <v>58</v>
      </c>
      <c r="E61" s="37">
        <f t="shared" si="12"/>
        <v>143.98636272830061</v>
      </c>
      <c r="F61" s="37" t="s">
        <v>58</v>
      </c>
      <c r="G61" s="37">
        <f t="shared" si="12"/>
        <v>135.30716363261922</v>
      </c>
      <c r="H61" s="37" t="s">
        <v>58</v>
      </c>
      <c r="I61" s="37">
        <f t="shared" si="12"/>
        <v>132.85379696595254</v>
      </c>
    </row>
    <row r="62" spans="1:9" ht="27.6">
      <c r="A62" s="27" t="s">
        <v>46</v>
      </c>
      <c r="B62" s="37">
        <f t="shared" ref="B62:H62" si="13">B53-B57+B58-B59+B60-B34</f>
        <v>139.17972939496727</v>
      </c>
      <c r="C62" s="37" t="s">
        <v>58</v>
      </c>
      <c r="D62" s="37">
        <f t="shared" si="13"/>
        <v>139.28636272830059</v>
      </c>
      <c r="E62" s="37" t="s">
        <v>58</v>
      </c>
      <c r="F62" s="37">
        <f t="shared" si="13"/>
        <v>123.10169789425305</v>
      </c>
      <c r="G62" s="37" t="s">
        <v>58</v>
      </c>
      <c r="H62" s="37">
        <f t="shared" si="13"/>
        <v>123.10833122758635</v>
      </c>
      <c r="I62" s="37" t="s">
        <v>58</v>
      </c>
    </row>
    <row r="63" spans="1:9">
      <c r="A63" s="19" t="s">
        <v>41</v>
      </c>
      <c r="B63" s="49"/>
      <c r="C63" s="49"/>
      <c r="D63" s="49"/>
      <c r="E63" s="49"/>
      <c r="F63" s="49"/>
      <c r="G63" s="49"/>
      <c r="H63" s="49"/>
      <c r="I63" s="49"/>
    </row>
    <row r="64" spans="1:9" ht="27.6">
      <c r="A64" s="29" t="s">
        <v>102</v>
      </c>
      <c r="B64" s="34" t="s">
        <v>90</v>
      </c>
      <c r="C64" s="50">
        <f>10^(3+(C61-161.04+7.1*LOG10(20)-7.5*LOG10(5)+(24.37-3.7*(5/C$5)^2)*LOG10(C$5)-20*LOG10(C$4)+(3.2*(LOG10(11.75*C$6))^2-4.97))/(43.42-3.1*LOG10(C$5)))</f>
        <v>5943.6263858901375</v>
      </c>
      <c r="D64" s="34" t="s">
        <v>90</v>
      </c>
      <c r="E64" s="50">
        <f>10^(3+(E61-161.04+7.1*LOG10(20)-7.5*LOG10(5)+(24.37-3.7*(5/E$5)^2)*LOG10(E$5)-20*LOG10(E$4)+(3.2*(LOG10(11.75*E$6))^2-4.97))/(43.42-3.1*LOG10(E$5)))</f>
        <v>5165.7828431589714</v>
      </c>
      <c r="F64" s="34" t="s">
        <v>90</v>
      </c>
      <c r="G64" s="50">
        <f>10^(3+(G61-161.04+7.1*LOG10(20)-7.5*LOG10(5)+(24.37-3.7*(5/G$5)^2)*LOG10(G$5)-20*LOG10(G$4)+(3.2*(LOG10(11.75*G$6))^2-4.97))/(43.42-3.1*LOG10(G$5)))</f>
        <v>3079.5038779071147</v>
      </c>
      <c r="H64" s="34" t="s">
        <v>90</v>
      </c>
      <c r="I64" s="50">
        <f>10^(3+(I61-161.04+7.1*LOG10(20)-7.5*LOG10(5)+(24.37-3.7*(5/I$5)^2)*LOG10(I$5)-20*LOG10(I$4)+(3.2*(LOG10(11.75*I$6))^2-4.97))/(43.42-3.1*LOG10(I$5)))</f>
        <v>2660.583934058317</v>
      </c>
    </row>
    <row r="65" spans="1:9" ht="27.6">
      <c r="A65" s="29" t="s">
        <v>103</v>
      </c>
      <c r="B65" s="50">
        <f>10^(3+(B62-161.04+7.1*LOG10(20)-7.5*LOG10(5)+(24.37-3.7*(5/B$5)^2)*LOG10(B$5)-20*LOG10(B$4)+(3.2*(LOG10(11.75*B$6))^2-4.97))/(43.42-3.1*LOG10(B$5)))</f>
        <v>3878.9982748477769</v>
      </c>
      <c r="C65" s="34" t="s">
        <v>90</v>
      </c>
      <c r="D65" s="50">
        <f>10^(3+(D62-161.04+7.1*LOG10(20)-7.5*LOG10(5)+(24.37-3.7*(5/D$5)^2)*LOG10(D$5)-20*LOG10(D$4)+(3.2*(LOG10(11.75*D$6))^2-4.97))/(43.42-3.1*LOG10(D$5)))</f>
        <v>3903.7295352762949</v>
      </c>
      <c r="E65" s="34" t="s">
        <v>90</v>
      </c>
      <c r="F65" s="51">
        <f>10^(3+(F62-161.04+7.1*LOG10(20)-7.5*LOG10(5)+(24.37-3.7*(5/F$5)^2)*LOG10(F$5)-20*LOG10(F$4)+(3.2*(LOG10(11.75*F$6))^2-4.97))/(43.42-3.1*LOG10(F$5)))</f>
        <v>1487.8195467394987</v>
      </c>
      <c r="G65" s="34" t="s">
        <v>90</v>
      </c>
      <c r="H65" s="50">
        <f>10^(3+(H62-161.04+7.1*LOG10(20)-7.5*LOG10(5)+(24.37-3.7*(5/H$5)^2)*LOG10(H$5)-20*LOG10(H$4)+(3.2*(LOG10(11.75*H$6))^2-4.97))/(43.42-3.1*LOG10(H$5)))</f>
        <v>1488.4078764969288</v>
      </c>
      <c r="I65" s="34" t="s">
        <v>90</v>
      </c>
    </row>
    <row r="66" spans="1:9" ht="16.8">
      <c r="A66" s="29" t="s">
        <v>96</v>
      </c>
      <c r="B66" s="34" t="s">
        <v>58</v>
      </c>
      <c r="C66" s="34">
        <f>PI()*(C64)^2</f>
        <v>110982084.27824949</v>
      </c>
      <c r="D66" s="34" t="s">
        <v>58</v>
      </c>
      <c r="E66" s="34">
        <f>PI()*(E64)^2</f>
        <v>83834381.340162367</v>
      </c>
      <c r="F66" s="34" t="s">
        <v>58</v>
      </c>
      <c r="G66" s="34">
        <f>PI()*(G64)^2</f>
        <v>29792804.262979493</v>
      </c>
      <c r="H66" s="34" t="s">
        <v>58</v>
      </c>
      <c r="I66" s="34">
        <f>PI()*(I64)^2</f>
        <v>22238413.500239253</v>
      </c>
    </row>
    <row r="67" spans="1:9" ht="16.8">
      <c r="A67" s="29" t="s">
        <v>97</v>
      </c>
      <c r="B67" s="34">
        <f>PI()*(B65)^2</f>
        <v>47270374.780581504</v>
      </c>
      <c r="C67" s="34" t="s">
        <v>58</v>
      </c>
      <c r="D67" s="34">
        <f>PI()*(D65)^2</f>
        <v>47875058.067751899</v>
      </c>
      <c r="E67" s="34" t="s">
        <v>58</v>
      </c>
      <c r="F67" s="34">
        <f>PI()*(F65)^2</f>
        <v>6954251.5006335713</v>
      </c>
      <c r="G67" s="34" t="s">
        <v>58</v>
      </c>
      <c r="H67" s="34">
        <f>PI()*(H65)^2</f>
        <v>6959752.439291059</v>
      </c>
      <c r="I67" s="34" t="s">
        <v>58</v>
      </c>
    </row>
    <row r="69" spans="1:9">
      <c r="A69" s="48"/>
    </row>
    <row r="72" spans="1:9">
      <c r="A72" s="43" t="s">
        <v>89</v>
      </c>
      <c r="B72" s="44"/>
      <c r="C72" s="44"/>
      <c r="D72" s="44"/>
      <c r="E72" s="44"/>
    </row>
    <row r="73" spans="1:9">
      <c r="A73" s="43"/>
      <c r="B73" s="44"/>
      <c r="C73" s="44"/>
      <c r="D73" s="44"/>
      <c r="E73" s="44"/>
    </row>
    <row r="76" spans="1:9">
      <c r="F76" s="39"/>
    </row>
  </sheetData>
  <mergeCells count="2">
    <mergeCell ref="B1:E1"/>
    <mergeCell ref="F1:I1"/>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zoomScale="70" zoomScaleNormal="70" workbookViewId="0">
      <selection activeCell="D23" sqref="D23"/>
    </sheetView>
  </sheetViews>
  <sheetFormatPr defaultColWidth="8.796875" defaultRowHeight="15.6"/>
  <cols>
    <col min="1" max="1" width="69" style="30" customWidth="1"/>
    <col min="2" max="2" width="22.69921875" style="39" bestFit="1" customWidth="1"/>
    <col min="3" max="3" width="18.296875" style="39" bestFit="1" customWidth="1"/>
    <col min="4" max="4" width="18.19921875" style="39" customWidth="1"/>
    <col min="5" max="5" width="18.69921875" style="39" customWidth="1"/>
    <col min="6" max="6" width="18.19921875" style="40" customWidth="1"/>
    <col min="7" max="7" width="18.5" style="40" customWidth="1"/>
    <col min="8" max="8" width="20" style="40" customWidth="1"/>
    <col min="9" max="9" width="18.296875" style="40" customWidth="1"/>
  </cols>
  <sheetData>
    <row r="1" spans="1:9">
      <c r="A1" s="46" t="s">
        <v>0</v>
      </c>
      <c r="B1" s="115" t="s">
        <v>47</v>
      </c>
      <c r="C1" s="115"/>
      <c r="D1" s="115"/>
      <c r="E1" s="116"/>
      <c r="F1" s="118" t="s">
        <v>49</v>
      </c>
      <c r="G1" s="118"/>
      <c r="H1" s="118"/>
      <c r="I1" s="118"/>
    </row>
    <row r="2" spans="1:9" ht="27.6">
      <c r="A2" s="17"/>
      <c r="B2" s="31" t="s">
        <v>48</v>
      </c>
      <c r="C2" s="31" t="s">
        <v>54</v>
      </c>
      <c r="D2" s="31" t="s">
        <v>52</v>
      </c>
      <c r="E2" s="31" t="s">
        <v>123</v>
      </c>
      <c r="F2" s="31" t="s">
        <v>50</v>
      </c>
      <c r="G2" s="31" t="s">
        <v>55</v>
      </c>
      <c r="H2" s="31" t="s">
        <v>56</v>
      </c>
      <c r="I2" s="31" t="s">
        <v>57</v>
      </c>
    </row>
    <row r="3" spans="1:9">
      <c r="A3" s="19" t="s">
        <v>1</v>
      </c>
      <c r="B3" s="49"/>
      <c r="C3" s="49"/>
      <c r="D3" s="49"/>
      <c r="E3" s="49"/>
      <c r="F3" s="49"/>
      <c r="G3" s="49"/>
      <c r="H3" s="49"/>
      <c r="I3" s="49"/>
    </row>
    <row r="4" spans="1:9">
      <c r="A4" s="20" t="s">
        <v>2</v>
      </c>
      <c r="B4" s="35">
        <v>0.7</v>
      </c>
      <c r="C4" s="50">
        <v>0.7</v>
      </c>
      <c r="D4" s="35">
        <v>0.7</v>
      </c>
      <c r="E4" s="50">
        <v>0.7</v>
      </c>
      <c r="F4" s="35">
        <v>0.7</v>
      </c>
      <c r="G4" s="50">
        <v>0.7</v>
      </c>
      <c r="H4" s="35">
        <v>0.7</v>
      </c>
      <c r="I4" s="50">
        <v>0.7</v>
      </c>
    </row>
    <row r="5" spans="1:9">
      <c r="A5" s="20" t="s">
        <v>3</v>
      </c>
      <c r="B5" s="50">
        <v>35</v>
      </c>
      <c r="C5" s="50">
        <v>35</v>
      </c>
      <c r="D5" s="50">
        <v>35</v>
      </c>
      <c r="E5" s="50">
        <v>35</v>
      </c>
      <c r="F5" s="50">
        <v>35</v>
      </c>
      <c r="G5" s="50">
        <v>35</v>
      </c>
      <c r="H5" s="50">
        <v>35</v>
      </c>
      <c r="I5" s="50">
        <v>35</v>
      </c>
    </row>
    <row r="6" spans="1:9">
      <c r="A6" s="20" t="s">
        <v>4</v>
      </c>
      <c r="B6" s="35">
        <v>1.5</v>
      </c>
      <c r="C6" s="50">
        <v>1.5</v>
      </c>
      <c r="D6" s="35">
        <v>1.5</v>
      </c>
      <c r="E6" s="50">
        <v>1.5</v>
      </c>
      <c r="F6" s="35">
        <v>1.5</v>
      </c>
      <c r="G6" s="50">
        <v>1.5</v>
      </c>
      <c r="H6" s="35">
        <v>1.5</v>
      </c>
      <c r="I6" s="50">
        <v>1.5</v>
      </c>
    </row>
    <row r="7" spans="1:9">
      <c r="A7" s="20" t="s">
        <v>145</v>
      </c>
      <c r="B7" s="21" t="s">
        <v>58</v>
      </c>
      <c r="C7" s="47">
        <v>0.95</v>
      </c>
      <c r="D7" s="21" t="s">
        <v>58</v>
      </c>
      <c r="E7" s="47">
        <v>0.95</v>
      </c>
      <c r="F7" s="47" t="s">
        <v>58</v>
      </c>
      <c r="G7" s="22">
        <v>0.95</v>
      </c>
      <c r="H7" s="47" t="s">
        <v>58</v>
      </c>
      <c r="I7" s="22">
        <v>0.95</v>
      </c>
    </row>
    <row r="8" spans="1:9">
      <c r="A8" s="20" t="s">
        <v>146</v>
      </c>
      <c r="B8" s="21">
        <v>0.9</v>
      </c>
      <c r="C8" s="47" t="s">
        <v>58</v>
      </c>
      <c r="D8" s="21">
        <v>0.9</v>
      </c>
      <c r="E8" s="47" t="s">
        <v>58</v>
      </c>
      <c r="F8" s="47">
        <v>0.9</v>
      </c>
      <c r="G8" s="22" t="s">
        <v>58</v>
      </c>
      <c r="H8" s="47">
        <v>0.9</v>
      </c>
      <c r="I8" s="22" t="s">
        <v>58</v>
      </c>
    </row>
    <row r="9" spans="1:9">
      <c r="A9" s="20" t="s">
        <v>5</v>
      </c>
      <c r="B9" s="33" t="s">
        <v>58</v>
      </c>
      <c r="C9" s="34">
        <f>64/(0.001)</f>
        <v>64000</v>
      </c>
      <c r="D9" s="33" t="s">
        <v>58</v>
      </c>
      <c r="E9" s="34">
        <f>64/(0.001)</f>
        <v>64000</v>
      </c>
      <c r="F9" s="50" t="s">
        <v>58</v>
      </c>
      <c r="G9" s="34">
        <f>2/(0.5*0.001)</f>
        <v>4000</v>
      </c>
      <c r="H9" s="50" t="s">
        <v>58</v>
      </c>
      <c r="I9" s="34">
        <f>2/(0.5*0.001)</f>
        <v>4000</v>
      </c>
    </row>
    <row r="10" spans="1:9">
      <c r="A10" s="20" t="s">
        <v>6</v>
      </c>
      <c r="B10" s="33">
        <f>2248233*3</f>
        <v>6744699</v>
      </c>
      <c r="C10" s="50" t="s">
        <v>58</v>
      </c>
      <c r="D10" s="33">
        <f>2248233*3</f>
        <v>6744699</v>
      </c>
      <c r="E10" s="50" t="s">
        <v>58</v>
      </c>
      <c r="F10" s="50">
        <f>74880*3</f>
        <v>224640</v>
      </c>
      <c r="G10" s="34" t="s">
        <v>58</v>
      </c>
      <c r="H10" s="50">
        <f>74880*3</f>
        <v>224640</v>
      </c>
      <c r="I10" s="34" t="s">
        <v>58</v>
      </c>
    </row>
    <row r="11" spans="1:9">
      <c r="A11" s="20" t="s">
        <v>7</v>
      </c>
      <c r="B11" s="21" t="s">
        <v>58</v>
      </c>
      <c r="C11" s="47">
        <v>0.01</v>
      </c>
      <c r="D11" s="21" t="s">
        <v>58</v>
      </c>
      <c r="E11" s="47">
        <v>0.01</v>
      </c>
      <c r="F11" s="47" t="s">
        <v>58</v>
      </c>
      <c r="G11" s="22">
        <v>0.01</v>
      </c>
      <c r="H11" s="47" t="s">
        <v>58</v>
      </c>
      <c r="I11" s="22">
        <v>0.01</v>
      </c>
    </row>
    <row r="12" spans="1:9">
      <c r="A12" s="20" t="s">
        <v>8</v>
      </c>
      <c r="B12" s="21">
        <v>0.1</v>
      </c>
      <c r="C12" s="47" t="s">
        <v>58</v>
      </c>
      <c r="D12" s="21">
        <v>0.1</v>
      </c>
      <c r="E12" s="47" t="s">
        <v>58</v>
      </c>
      <c r="F12" s="47">
        <v>0.1</v>
      </c>
      <c r="G12" s="22" t="s">
        <v>58</v>
      </c>
      <c r="H12" s="47">
        <v>0.1</v>
      </c>
      <c r="I12" s="22" t="s">
        <v>58</v>
      </c>
    </row>
    <row r="13" spans="1:9">
      <c r="A13" s="20" t="s">
        <v>91</v>
      </c>
      <c r="B13" s="33">
        <f>B10/(B42*(4+2*11/14+1/14)/10)</f>
        <v>0.65101476793248958</v>
      </c>
      <c r="C13" s="50" t="s">
        <v>58</v>
      </c>
      <c r="D13" s="33">
        <f>D10/(D42*(4+2*11/14+1/14)/10)</f>
        <v>0.65101476793248958</v>
      </c>
      <c r="E13" s="50" t="s">
        <v>58</v>
      </c>
      <c r="F13" s="33">
        <f>F10/(F42*(4+2*2/14+1/14)/10)</f>
        <v>0.35803278688524592</v>
      </c>
      <c r="G13" s="34" t="s">
        <v>58</v>
      </c>
      <c r="H13" s="33">
        <f>H10/(H42*(4+2*2/14+1/14)/10)</f>
        <v>0.35803278688524592</v>
      </c>
      <c r="I13" s="34" t="s">
        <v>58</v>
      </c>
    </row>
    <row r="14" spans="1:9">
      <c r="A14" s="20" t="s">
        <v>92</v>
      </c>
      <c r="B14" s="50" t="s">
        <v>106</v>
      </c>
      <c r="C14" s="50" t="s">
        <v>106</v>
      </c>
      <c r="D14" s="50" t="s">
        <v>107</v>
      </c>
      <c r="E14" s="50" t="s">
        <v>107</v>
      </c>
      <c r="F14" s="50" t="s">
        <v>106</v>
      </c>
      <c r="G14" s="50" t="s">
        <v>106</v>
      </c>
      <c r="H14" s="50" t="s">
        <v>107</v>
      </c>
      <c r="I14" s="50" t="s">
        <v>107</v>
      </c>
    </row>
    <row r="15" spans="1:9">
      <c r="A15" s="20" t="s">
        <v>87</v>
      </c>
      <c r="B15" s="33">
        <v>120</v>
      </c>
      <c r="C15" s="34">
        <v>120</v>
      </c>
      <c r="D15" s="33">
        <v>3</v>
      </c>
      <c r="E15" s="34">
        <v>3</v>
      </c>
      <c r="F15" s="33">
        <v>120</v>
      </c>
      <c r="G15" s="34">
        <v>120</v>
      </c>
      <c r="H15" s="34">
        <v>3</v>
      </c>
      <c r="I15" s="34">
        <v>3</v>
      </c>
    </row>
    <row r="16" spans="1:9">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27.6">
      <c r="A18" s="20" t="s">
        <v>85</v>
      </c>
      <c r="B18" s="33">
        <v>64</v>
      </c>
      <c r="C18" s="50">
        <v>64</v>
      </c>
      <c r="D18" s="33">
        <v>64</v>
      </c>
      <c r="E18" s="50">
        <v>64</v>
      </c>
      <c r="F18" s="34">
        <v>1</v>
      </c>
      <c r="G18" s="50">
        <v>1</v>
      </c>
      <c r="H18" s="34">
        <v>1</v>
      </c>
      <c r="I18" s="50">
        <v>1</v>
      </c>
    </row>
    <row r="19" spans="1:9">
      <c r="A19" s="20" t="s">
        <v>108</v>
      </c>
      <c r="B19" s="33">
        <v>2</v>
      </c>
      <c r="C19" s="50">
        <v>2</v>
      </c>
      <c r="D19" s="33">
        <v>2</v>
      </c>
      <c r="E19" s="50">
        <v>2</v>
      </c>
      <c r="F19" s="34">
        <v>1</v>
      </c>
      <c r="G19" s="50">
        <v>1</v>
      </c>
      <c r="H19" s="34">
        <v>1</v>
      </c>
      <c r="I19" s="50">
        <v>1</v>
      </c>
    </row>
    <row r="20" spans="1:9">
      <c r="A20" s="20" t="s">
        <v>11</v>
      </c>
      <c r="B20" s="33">
        <v>31</v>
      </c>
      <c r="C20" s="50">
        <v>31</v>
      </c>
      <c r="D20" s="33">
        <v>31</v>
      </c>
      <c r="E20" s="50">
        <v>31</v>
      </c>
      <c r="F20" s="34">
        <v>23</v>
      </c>
      <c r="G20" s="50">
        <v>23</v>
      </c>
      <c r="H20" s="34">
        <v>23</v>
      </c>
      <c r="I20" s="50">
        <v>23</v>
      </c>
    </row>
    <row r="21" spans="1:9" ht="30.6">
      <c r="A21" s="41" t="s">
        <v>142</v>
      </c>
      <c r="B21" s="38">
        <f t="shared" ref="B21:I21" si="0">B20+10*LOG10(B18)</f>
        <v>49.061799739838875</v>
      </c>
      <c r="C21" s="38">
        <f t="shared" si="0"/>
        <v>49.061799739838875</v>
      </c>
      <c r="D21" s="38">
        <f t="shared" si="0"/>
        <v>49.061799739838875</v>
      </c>
      <c r="E21" s="38">
        <f t="shared" si="0"/>
        <v>49.061799739838875</v>
      </c>
      <c r="F21" s="38">
        <v>26</v>
      </c>
      <c r="G21" s="38">
        <f t="shared" si="0"/>
        <v>23</v>
      </c>
      <c r="H21" s="38">
        <v>26</v>
      </c>
      <c r="I21" s="38">
        <f t="shared" si="0"/>
        <v>23</v>
      </c>
    </row>
    <row r="22" spans="1:9">
      <c r="A22" s="20" t="s">
        <v>12</v>
      </c>
      <c r="B22" s="33">
        <v>8</v>
      </c>
      <c r="C22" s="50">
        <v>8</v>
      </c>
      <c r="D22" s="33">
        <v>8</v>
      </c>
      <c r="E22" s="50">
        <v>8</v>
      </c>
      <c r="F22" s="34">
        <v>0</v>
      </c>
      <c r="G22" s="50">
        <v>0</v>
      </c>
      <c r="H22" s="34">
        <v>0</v>
      </c>
      <c r="I22" s="50">
        <v>0</v>
      </c>
    </row>
    <row r="23" spans="1:9" ht="27.6">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3">
        <v>3</v>
      </c>
      <c r="D26" s="33">
        <v>3</v>
      </c>
      <c r="E26" s="33">
        <v>3</v>
      </c>
      <c r="F26" s="33">
        <v>1</v>
      </c>
      <c r="G26" s="33">
        <v>1</v>
      </c>
      <c r="H26" s="33">
        <v>1</v>
      </c>
      <c r="I26" s="33">
        <v>1</v>
      </c>
    </row>
    <row r="27" spans="1:9">
      <c r="A27" s="25" t="s">
        <v>17</v>
      </c>
      <c r="B27" s="37">
        <f t="shared" ref="B27:I27" si="2">B21+B22+B23+B24-B26</f>
        <v>69.113299523037938</v>
      </c>
      <c r="C27" s="37">
        <f t="shared" si="2"/>
        <v>69.113299523037938</v>
      </c>
      <c r="D27" s="37">
        <f t="shared" si="2"/>
        <v>69.113299523037938</v>
      </c>
      <c r="E27" s="37">
        <f t="shared" si="2"/>
        <v>69.113299523037938</v>
      </c>
      <c r="F27" s="37">
        <f t="shared" si="2"/>
        <v>25</v>
      </c>
      <c r="G27" s="37">
        <f t="shared" si="2"/>
        <v>22</v>
      </c>
      <c r="H27" s="37">
        <f t="shared" si="2"/>
        <v>25</v>
      </c>
      <c r="I27" s="37">
        <f t="shared" si="2"/>
        <v>22</v>
      </c>
    </row>
    <row r="28" spans="1:9">
      <c r="A28" s="25" t="s">
        <v>18</v>
      </c>
      <c r="B28" s="37">
        <f t="shared" ref="B28:I28" si="3">B21+B22+B23-B25-B26</f>
        <v>69.113299523037938</v>
      </c>
      <c r="C28" s="37">
        <f t="shared" si="3"/>
        <v>69.113299523037938</v>
      </c>
      <c r="D28" s="37">
        <f t="shared" si="3"/>
        <v>69.113299523037938</v>
      </c>
      <c r="E28" s="37">
        <f t="shared" si="3"/>
        <v>69.113299523037938</v>
      </c>
      <c r="F28" s="37">
        <f t="shared" si="3"/>
        <v>25</v>
      </c>
      <c r="G28" s="37">
        <f t="shared" si="3"/>
        <v>22</v>
      </c>
      <c r="H28" s="37">
        <f t="shared" si="3"/>
        <v>25</v>
      </c>
      <c r="I28" s="37">
        <f t="shared" si="3"/>
        <v>22</v>
      </c>
    </row>
    <row r="29" spans="1:9">
      <c r="A29" s="19" t="s">
        <v>19</v>
      </c>
      <c r="B29" s="49"/>
      <c r="C29" s="49"/>
      <c r="D29" s="49"/>
      <c r="E29" s="49"/>
      <c r="F29" s="49"/>
      <c r="G29" s="49"/>
      <c r="H29" s="49"/>
      <c r="I29" s="49"/>
    </row>
    <row r="30" spans="1:9" ht="27.6">
      <c r="A30" s="20" t="s">
        <v>84</v>
      </c>
      <c r="B30" s="33">
        <v>2</v>
      </c>
      <c r="C30" s="50">
        <v>2</v>
      </c>
      <c r="D30" s="33">
        <v>2</v>
      </c>
      <c r="E30" s="50">
        <v>2</v>
      </c>
      <c r="F30" s="50">
        <v>64</v>
      </c>
      <c r="G30" s="50">
        <v>64</v>
      </c>
      <c r="H30" s="50">
        <v>64</v>
      </c>
      <c r="I30" s="50">
        <v>64</v>
      </c>
    </row>
    <row r="31" spans="1:9">
      <c r="A31" s="20" t="s">
        <v>127</v>
      </c>
      <c r="B31" s="33">
        <v>2</v>
      </c>
      <c r="C31" s="50">
        <v>2</v>
      </c>
      <c r="D31" s="33">
        <v>2</v>
      </c>
      <c r="E31" s="50">
        <v>2</v>
      </c>
      <c r="F31" s="50">
        <v>2</v>
      </c>
      <c r="G31" s="50">
        <v>2</v>
      </c>
      <c r="H31" s="50">
        <v>2</v>
      </c>
      <c r="I31" s="50">
        <v>2</v>
      </c>
    </row>
    <row r="32" spans="1:9">
      <c r="A32" s="20" t="s">
        <v>20</v>
      </c>
      <c r="B32" s="33">
        <v>0</v>
      </c>
      <c r="C32" s="50">
        <v>0</v>
      </c>
      <c r="D32" s="33">
        <v>0</v>
      </c>
      <c r="E32" s="50">
        <v>0</v>
      </c>
      <c r="F32" s="50">
        <v>8</v>
      </c>
      <c r="G32" s="50">
        <v>8</v>
      </c>
      <c r="H32" s="50">
        <v>8</v>
      </c>
      <c r="I32" s="50">
        <v>8</v>
      </c>
    </row>
    <row r="33" spans="1:9" ht="27.6">
      <c r="A33" s="26" t="s">
        <v>88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27.6">
      <c r="A34" s="20" t="s">
        <v>21</v>
      </c>
      <c r="B34" s="33">
        <v>1</v>
      </c>
      <c r="C34" s="35">
        <v>1</v>
      </c>
      <c r="D34" s="33">
        <v>1</v>
      </c>
      <c r="E34" s="35">
        <v>1</v>
      </c>
      <c r="F34" s="33">
        <v>3</v>
      </c>
      <c r="G34" s="33">
        <v>3</v>
      </c>
      <c r="H34" s="33">
        <v>3</v>
      </c>
      <c r="I34" s="33">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c r="A37" s="20" t="s">
        <v>147</v>
      </c>
      <c r="B37" s="33" t="s">
        <v>58</v>
      </c>
      <c r="C37" s="34">
        <v>-169.3</v>
      </c>
      <c r="D37" s="33" t="s">
        <v>58</v>
      </c>
      <c r="E37" s="34">
        <v>-169.3</v>
      </c>
      <c r="F37" s="34" t="s">
        <v>58</v>
      </c>
      <c r="G37" s="34">
        <v>-161.69999999999999</v>
      </c>
      <c r="H37" s="34" t="s">
        <v>58</v>
      </c>
      <c r="I37" s="34">
        <v>-161.69999999999999</v>
      </c>
    </row>
    <row r="38" spans="1:9">
      <c r="A38" s="20" t="s">
        <v>24</v>
      </c>
      <c r="B38" s="33">
        <v>-169.3</v>
      </c>
      <c r="C38" s="34" t="s">
        <v>58</v>
      </c>
      <c r="D38" s="33">
        <v>-169.3</v>
      </c>
      <c r="E38" s="34" t="s">
        <v>58</v>
      </c>
      <c r="F38" s="34">
        <v>-165.7</v>
      </c>
      <c r="G38" s="34" t="s">
        <v>58</v>
      </c>
      <c r="H38" s="34">
        <v>-165.7</v>
      </c>
      <c r="I38" s="34" t="s">
        <v>58</v>
      </c>
    </row>
    <row r="39" spans="1:9" ht="27.6">
      <c r="A39" s="27" t="s">
        <v>148</v>
      </c>
      <c r="B39" s="37" t="s">
        <v>58</v>
      </c>
      <c r="C39" s="37">
        <f t="shared" ref="C39:I39" si="5">10*LOG10(10^((C35+C36)/10)+10^(C37/10))</f>
        <v>-164.98918835931039</v>
      </c>
      <c r="D39" s="37" t="s">
        <v>58</v>
      </c>
      <c r="E39" s="37">
        <f t="shared" si="5"/>
        <v>-164.98918835931039</v>
      </c>
      <c r="F39" s="37" t="s">
        <v>58</v>
      </c>
      <c r="G39" s="37">
        <f t="shared" si="5"/>
        <v>-160.9583889004532</v>
      </c>
      <c r="H39" s="37" t="s">
        <v>58</v>
      </c>
      <c r="I39" s="37">
        <f t="shared" si="5"/>
        <v>-160.9583889004532</v>
      </c>
    </row>
    <row r="40" spans="1:9" ht="27.6">
      <c r="A40" s="27" t="s">
        <v>149</v>
      </c>
      <c r="B40" s="37">
        <f t="shared" ref="B40:H40" si="6">10*LOG10(10^((B35+B36)/10)+10^(B38/10))</f>
        <v>-164.98918835931039</v>
      </c>
      <c r="C40" s="37" t="s">
        <v>58</v>
      </c>
      <c r="D40" s="37">
        <f t="shared" si="6"/>
        <v>-164.98918835931039</v>
      </c>
      <c r="E40" s="37" t="s">
        <v>58</v>
      </c>
      <c r="F40" s="37">
        <f t="shared" si="6"/>
        <v>-164.03352307536667</v>
      </c>
      <c r="G40" s="37" t="s">
        <v>58</v>
      </c>
      <c r="H40" s="37">
        <f t="shared" si="6"/>
        <v>-164.03352307536667</v>
      </c>
      <c r="I40" s="37" t="s">
        <v>58</v>
      </c>
    </row>
    <row r="41" spans="1:9" ht="27.6">
      <c r="A41" s="20" t="s">
        <v>25</v>
      </c>
      <c r="B41" s="33" t="s">
        <v>58</v>
      </c>
      <c r="C41" s="33">
        <f>MaxN_RB!F6*12*15*1000</f>
        <v>19080000</v>
      </c>
      <c r="D41" s="33" t="s">
        <v>58</v>
      </c>
      <c r="E41" s="33">
        <f>MaxN_RB!F6*12*15*1000</f>
        <v>19080000</v>
      </c>
      <c r="F41" s="50" t="s">
        <v>58</v>
      </c>
      <c r="G41" s="34">
        <f>1*12*30*1000</f>
        <v>360000</v>
      </c>
      <c r="H41" s="50" t="s">
        <v>58</v>
      </c>
      <c r="I41" s="34">
        <f>1*12*30*1000</f>
        <v>360000</v>
      </c>
    </row>
    <row r="42" spans="1:9" ht="27.6">
      <c r="A42" s="20" t="s">
        <v>26</v>
      </c>
      <c r="B42" s="33">
        <f>MaxN_RB!F7*12*30*1000</f>
        <v>18360000</v>
      </c>
      <c r="C42" s="50" t="s">
        <v>58</v>
      </c>
      <c r="D42" s="33">
        <f>MaxN_RB!F7*12*30*1000</f>
        <v>18360000</v>
      </c>
      <c r="E42" s="50" t="s">
        <v>58</v>
      </c>
      <c r="F42" s="33">
        <f>4*12*30*1000</f>
        <v>1440000</v>
      </c>
      <c r="G42" s="34" t="s">
        <v>58</v>
      </c>
      <c r="H42" s="33">
        <f>4*12*30*1000</f>
        <v>1440000</v>
      </c>
      <c r="I42" s="34" t="s">
        <v>58</v>
      </c>
    </row>
    <row r="43" spans="1:9">
      <c r="A43" s="25" t="s">
        <v>27</v>
      </c>
      <c r="B43" s="37" t="s">
        <v>58</v>
      </c>
      <c r="C43" s="37">
        <f t="shared" ref="B43:I44" si="7">C39+10*LOG10(C41)</f>
        <v>-92.18340465562963</v>
      </c>
      <c r="D43" s="37" t="s">
        <v>58</v>
      </c>
      <c r="E43" s="37">
        <f t="shared" si="7"/>
        <v>-92.18340465562963</v>
      </c>
      <c r="F43" s="37" t="s">
        <v>58</v>
      </c>
      <c r="G43" s="37">
        <f t="shared" si="7"/>
        <v>-105.39536389278032</v>
      </c>
      <c r="H43" s="37" t="s">
        <v>58</v>
      </c>
      <c r="I43" s="37">
        <f t="shared" si="7"/>
        <v>-105.39536389278032</v>
      </c>
    </row>
    <row r="44" spans="1:9">
      <c r="A44" s="25" t="s">
        <v>28</v>
      </c>
      <c r="B44" s="37">
        <f t="shared" si="7"/>
        <v>-92.350461590658156</v>
      </c>
      <c r="C44" s="37" t="s">
        <v>58</v>
      </c>
      <c r="D44" s="37">
        <f t="shared" si="7"/>
        <v>-92.350461590658156</v>
      </c>
      <c r="E44" s="37" t="s">
        <v>58</v>
      </c>
      <c r="F44" s="37">
        <f t="shared" si="7"/>
        <v>-102.44989815441417</v>
      </c>
      <c r="G44" s="37" t="s">
        <v>58</v>
      </c>
      <c r="H44" s="37">
        <f t="shared" si="7"/>
        <v>-102.44989815441417</v>
      </c>
      <c r="I44" s="37" t="s">
        <v>58</v>
      </c>
    </row>
    <row r="45" spans="1:9">
      <c r="A45" s="20" t="s">
        <v>29</v>
      </c>
      <c r="B45" s="33" t="s">
        <v>58</v>
      </c>
      <c r="C45" s="75">
        <v>-4.5999999999999996</v>
      </c>
      <c r="D45" s="75" t="s">
        <v>58</v>
      </c>
      <c r="E45" s="75">
        <v>-4.5</v>
      </c>
      <c r="F45" s="33" t="s">
        <v>58</v>
      </c>
      <c r="G45" s="75">
        <v>-5</v>
      </c>
      <c r="H45" s="75" t="s">
        <v>58</v>
      </c>
      <c r="I45" s="75">
        <v>-7.5</v>
      </c>
    </row>
    <row r="46" spans="1:9">
      <c r="A46" s="20" t="s">
        <v>30</v>
      </c>
      <c r="B46" s="33">
        <v>2.8</v>
      </c>
      <c r="C46" s="33" t="s">
        <v>58</v>
      </c>
      <c r="D46" s="33">
        <v>-0.5</v>
      </c>
      <c r="E46" s="33" t="s">
        <v>58</v>
      </c>
      <c r="F46" s="75">
        <v>1.28</v>
      </c>
      <c r="G46" s="33" t="s">
        <v>58</v>
      </c>
      <c r="H46" s="75">
        <v>0.45</v>
      </c>
      <c r="I46" s="33" t="s">
        <v>58</v>
      </c>
    </row>
    <row r="47" spans="1:9">
      <c r="A47" s="20" t="s">
        <v>31</v>
      </c>
      <c r="B47" s="33">
        <v>2</v>
      </c>
      <c r="C47" s="34">
        <v>2</v>
      </c>
      <c r="D47" s="33">
        <v>2</v>
      </c>
      <c r="E47" s="34">
        <v>2</v>
      </c>
      <c r="F47" s="50">
        <v>2</v>
      </c>
      <c r="G47" s="34">
        <v>2</v>
      </c>
      <c r="H47" s="50">
        <v>2</v>
      </c>
      <c r="I47" s="34">
        <v>2</v>
      </c>
    </row>
    <row r="48" spans="1:9">
      <c r="A48" s="20" t="s">
        <v>32</v>
      </c>
      <c r="B48" s="33" t="s">
        <v>58</v>
      </c>
      <c r="C48" s="34">
        <v>0</v>
      </c>
      <c r="D48" s="33" t="s">
        <v>58</v>
      </c>
      <c r="E48" s="34">
        <v>0</v>
      </c>
      <c r="F48" s="50" t="s">
        <v>58</v>
      </c>
      <c r="G48" s="34">
        <v>0</v>
      </c>
      <c r="H48" s="50" t="s">
        <v>58</v>
      </c>
      <c r="I48" s="34">
        <v>0</v>
      </c>
    </row>
    <row r="49" spans="1:9">
      <c r="A49" s="20" t="s">
        <v>33</v>
      </c>
      <c r="B49" s="33">
        <v>0.5</v>
      </c>
      <c r="C49" s="34" t="s">
        <v>58</v>
      </c>
      <c r="D49" s="33">
        <v>0.5</v>
      </c>
      <c r="E49" s="34" t="s">
        <v>58</v>
      </c>
      <c r="F49" s="50">
        <v>0.5</v>
      </c>
      <c r="G49" s="34" t="s">
        <v>58</v>
      </c>
      <c r="H49" s="50">
        <v>0.5</v>
      </c>
      <c r="I49" s="34" t="s">
        <v>58</v>
      </c>
    </row>
    <row r="50" spans="1:9">
      <c r="A50" s="27" t="s">
        <v>44</v>
      </c>
      <c r="B50" s="37" t="s">
        <v>58</v>
      </c>
      <c r="C50" s="37">
        <f t="shared" ref="C50:I50" si="8">C43+C45+C47-C48</f>
        <v>-94.783404655629624</v>
      </c>
      <c r="D50" s="37" t="s">
        <v>58</v>
      </c>
      <c r="E50" s="37">
        <f t="shared" si="8"/>
        <v>-94.68340465562963</v>
      </c>
      <c r="F50" s="37" t="s">
        <v>58</v>
      </c>
      <c r="G50" s="37">
        <f t="shared" si="8"/>
        <v>-108.39536389278032</v>
      </c>
      <c r="H50" s="37" t="s">
        <v>58</v>
      </c>
      <c r="I50" s="37">
        <f t="shared" si="8"/>
        <v>-110.89536389278032</v>
      </c>
    </row>
    <row r="51" spans="1:9">
      <c r="A51" s="27" t="s">
        <v>45</v>
      </c>
      <c r="B51" s="37">
        <f>B44+B46+B47-B49</f>
        <v>-88.050461590658159</v>
      </c>
      <c r="C51" s="37" t="s">
        <v>58</v>
      </c>
      <c r="D51" s="37">
        <f t="shared" ref="D51:H51" si="9">D44+D46+D47-D49</f>
        <v>-91.350461590658156</v>
      </c>
      <c r="E51" s="37" t="s">
        <v>58</v>
      </c>
      <c r="F51" s="37">
        <f t="shared" si="9"/>
        <v>-99.66989815441417</v>
      </c>
      <c r="G51" s="37" t="s">
        <v>58</v>
      </c>
      <c r="H51" s="37">
        <f t="shared" si="9"/>
        <v>-100.49989815441417</v>
      </c>
      <c r="I51" s="37" t="s">
        <v>58</v>
      </c>
    </row>
    <row r="52" spans="1:9">
      <c r="A52" s="27" t="s">
        <v>101</v>
      </c>
      <c r="B52" s="37" t="s">
        <v>58</v>
      </c>
      <c r="C52" s="37">
        <f t="shared" ref="C52:I52" si="10">C27+C32+C33-C50</f>
        <v>163.89670417866756</v>
      </c>
      <c r="D52" s="37" t="s">
        <v>58</v>
      </c>
      <c r="E52" s="37">
        <f t="shared" si="10"/>
        <v>163.79670417866757</v>
      </c>
      <c r="F52" s="37" t="s">
        <v>58</v>
      </c>
      <c r="G52" s="37">
        <f t="shared" si="10"/>
        <v>153.44686367597939</v>
      </c>
      <c r="H52" s="37" t="s">
        <v>58</v>
      </c>
      <c r="I52" s="37">
        <f t="shared" si="10"/>
        <v>155.94686367597939</v>
      </c>
    </row>
    <row r="53" spans="1:9">
      <c r="A53" s="27" t="s">
        <v>94</v>
      </c>
      <c r="B53" s="37">
        <f t="shared" ref="B53:H53" si="11">B28+B32+B33-B51</f>
        <v>157.1637611136961</v>
      </c>
      <c r="C53" s="37" t="s">
        <v>58</v>
      </c>
      <c r="D53" s="37">
        <f t="shared" si="11"/>
        <v>160.46376111369608</v>
      </c>
      <c r="E53" s="37" t="s">
        <v>58</v>
      </c>
      <c r="F53" s="37">
        <f t="shared" si="11"/>
        <v>147.72139793761323</v>
      </c>
      <c r="G53" s="37" t="s">
        <v>58</v>
      </c>
      <c r="H53" s="37">
        <f t="shared" si="11"/>
        <v>148.55139793761322</v>
      </c>
      <c r="I53" s="37" t="s">
        <v>58</v>
      </c>
    </row>
    <row r="54" spans="1:9">
      <c r="A54" s="19" t="s">
        <v>34</v>
      </c>
      <c r="B54" s="49"/>
      <c r="C54" s="49"/>
      <c r="D54" s="49"/>
      <c r="E54" s="49"/>
      <c r="F54" s="49"/>
      <c r="G54" s="49"/>
      <c r="H54" s="49"/>
      <c r="I54" s="49"/>
    </row>
    <row r="55" spans="1:9">
      <c r="A55" s="20" t="s">
        <v>35</v>
      </c>
      <c r="B55" s="50">
        <v>8</v>
      </c>
      <c r="C55" s="50">
        <v>8</v>
      </c>
      <c r="D55" s="50">
        <v>8</v>
      </c>
      <c r="E55" s="50">
        <v>8</v>
      </c>
      <c r="F55" s="50">
        <v>8</v>
      </c>
      <c r="G55" s="50">
        <v>8</v>
      </c>
      <c r="H55" s="50">
        <v>8</v>
      </c>
      <c r="I55" s="50">
        <v>8</v>
      </c>
    </row>
    <row r="56" spans="1:9" ht="16.8">
      <c r="A56" s="28" t="s">
        <v>95</v>
      </c>
      <c r="B56" s="50"/>
      <c r="C56" s="50"/>
      <c r="D56" s="50"/>
      <c r="E56" s="50"/>
      <c r="F56" s="50"/>
      <c r="G56" s="50"/>
      <c r="H56" s="50"/>
      <c r="I56" s="50"/>
    </row>
    <row r="57" spans="1:9" ht="27.6">
      <c r="A57" s="20" t="s">
        <v>36</v>
      </c>
      <c r="B57" s="50" t="s">
        <v>58</v>
      </c>
      <c r="C57" s="50">
        <v>10.45</v>
      </c>
      <c r="D57" s="50" t="s">
        <v>58</v>
      </c>
      <c r="E57" s="50">
        <v>10</v>
      </c>
      <c r="F57" s="50" t="s">
        <v>58</v>
      </c>
      <c r="G57" s="50">
        <v>10.45</v>
      </c>
      <c r="H57" s="50" t="s">
        <v>58</v>
      </c>
      <c r="I57" s="50">
        <v>10</v>
      </c>
    </row>
    <row r="58" spans="1:9" ht="27.6">
      <c r="A58" s="20" t="s">
        <v>37</v>
      </c>
      <c r="B58" s="50">
        <v>6.61</v>
      </c>
      <c r="C58" s="50" t="s">
        <v>58</v>
      </c>
      <c r="D58" s="50">
        <v>6.3</v>
      </c>
      <c r="E58" s="50" t="s">
        <v>58</v>
      </c>
      <c r="F58" s="50">
        <v>6.61</v>
      </c>
      <c r="G58" s="50" t="s">
        <v>58</v>
      </c>
      <c r="H58" s="50">
        <v>6.3</v>
      </c>
      <c r="I58" s="50" t="s">
        <v>58</v>
      </c>
    </row>
    <row r="59" spans="1:9">
      <c r="A59" s="20" t="s">
        <v>38</v>
      </c>
      <c r="B59" s="50">
        <v>0</v>
      </c>
      <c r="C59" s="50">
        <v>0</v>
      </c>
      <c r="D59" s="50">
        <v>0</v>
      </c>
      <c r="E59" s="50">
        <v>0</v>
      </c>
      <c r="F59" s="50">
        <v>0</v>
      </c>
      <c r="G59" s="50">
        <v>0</v>
      </c>
      <c r="H59" s="50">
        <v>0</v>
      </c>
      <c r="I59" s="50">
        <v>0</v>
      </c>
    </row>
    <row r="60" spans="1:9">
      <c r="A60" s="20" t="s">
        <v>39</v>
      </c>
      <c r="B60" s="33">
        <v>9</v>
      </c>
      <c r="C60" s="33">
        <v>9</v>
      </c>
      <c r="D60" s="35">
        <v>11.9</v>
      </c>
      <c r="E60" s="35">
        <v>11.9</v>
      </c>
      <c r="F60" s="33">
        <v>9</v>
      </c>
      <c r="G60" s="33">
        <v>9</v>
      </c>
      <c r="H60" s="35">
        <v>11.9</v>
      </c>
      <c r="I60" s="35">
        <v>11.9</v>
      </c>
    </row>
    <row r="61" spans="1:9">
      <c r="A61" s="20" t="s">
        <v>40</v>
      </c>
      <c r="B61" s="50">
        <v>0</v>
      </c>
      <c r="C61" s="50">
        <v>0</v>
      </c>
      <c r="D61" s="50">
        <v>0</v>
      </c>
      <c r="E61" s="50">
        <v>0</v>
      </c>
      <c r="F61" s="50">
        <v>0</v>
      </c>
      <c r="G61" s="50">
        <v>0</v>
      </c>
      <c r="H61" s="50">
        <v>0</v>
      </c>
      <c r="I61" s="50">
        <v>0</v>
      </c>
    </row>
    <row r="62" spans="1:9" ht="27.6">
      <c r="A62" s="27" t="s">
        <v>51</v>
      </c>
      <c r="B62" s="37" t="s">
        <v>58</v>
      </c>
      <c r="C62" s="37">
        <f t="shared" ref="C62:I62" si="12">C52-C57+C59-C60+C61-C34</f>
        <v>143.44670417866757</v>
      </c>
      <c r="D62" s="37" t="s">
        <v>58</v>
      </c>
      <c r="E62" s="37">
        <f t="shared" si="12"/>
        <v>140.89670417866756</v>
      </c>
      <c r="F62" s="37" t="s">
        <v>58</v>
      </c>
      <c r="G62" s="37">
        <f t="shared" si="12"/>
        <v>130.9968636759794</v>
      </c>
      <c r="H62" s="37" t="s">
        <v>58</v>
      </c>
      <c r="I62" s="37">
        <f t="shared" si="12"/>
        <v>131.04686367597938</v>
      </c>
    </row>
    <row r="63" spans="1:9" ht="27.6">
      <c r="A63" s="27" t="s">
        <v>46</v>
      </c>
      <c r="B63" s="37">
        <f t="shared" ref="B63:H63" si="13">B53-B58+B59-B60+B61-B34</f>
        <v>140.55376111369608</v>
      </c>
      <c r="C63" s="37" t="s">
        <v>58</v>
      </c>
      <c r="D63" s="37">
        <f t="shared" si="13"/>
        <v>141.26376111369606</v>
      </c>
      <c r="E63" s="37" t="s">
        <v>58</v>
      </c>
      <c r="F63" s="37">
        <f t="shared" si="13"/>
        <v>129.11139793761322</v>
      </c>
      <c r="G63" s="37" t="s">
        <v>58</v>
      </c>
      <c r="H63" s="37">
        <f t="shared" si="13"/>
        <v>127.3513979376132</v>
      </c>
      <c r="I63" s="37" t="s">
        <v>58</v>
      </c>
    </row>
    <row r="64" spans="1:9">
      <c r="A64" s="19" t="s">
        <v>41</v>
      </c>
      <c r="B64" s="49"/>
      <c r="C64" s="49"/>
      <c r="D64" s="49"/>
      <c r="E64" s="49"/>
      <c r="F64" s="49"/>
      <c r="G64" s="49"/>
      <c r="H64" s="49"/>
      <c r="I64" s="49"/>
    </row>
    <row r="65" spans="1:9" ht="27.6">
      <c r="A65" s="29" t="s">
        <v>102</v>
      </c>
      <c r="B65" s="34" t="s">
        <v>90</v>
      </c>
      <c r="C65" s="50">
        <f>10^(3+(C62-161.04+7.1*LOG10(20)-7.5*LOG10(5)+(24.37-3.7*(5/C$5)^2)*LOG10(C$5)-20*LOG10(C$4)+(3.2*(LOG10(11.75*C$6))^2-4.97))/(43.42-3.1*LOG10(C$5)))</f>
        <v>5002.2735449836473</v>
      </c>
      <c r="D65" s="34" t="s">
        <v>90</v>
      </c>
      <c r="E65" s="50">
        <f>10^(3+(E62-161.04+7.1*LOG10(20)-7.5*LOG10(5)+(24.37-3.7*(5/E$5)^2)*LOG10(E$5)-20*LOG10(E$4)+(3.2*(LOG10(11.75*E$6))^2-4.97))/(43.42-3.1*LOG10(E$5)))</f>
        <v>4296.9703344285608</v>
      </c>
      <c r="F65" s="34" t="s">
        <v>90</v>
      </c>
      <c r="G65" s="50">
        <f>10^(3+(G62-161.04+7.1*LOG10(20)-7.5*LOG10(5)+(24.37-3.7*(5/G$5)^2)*LOG10(G$5)-20*LOG10(G$4)+(3.2*(LOG10(11.75*G$6))^2-4.97))/(43.42-3.1*LOG10(G$5)))</f>
        <v>2381.8338385122202</v>
      </c>
      <c r="H65" s="34" t="s">
        <v>90</v>
      </c>
      <c r="I65" s="50">
        <f>10^(3+(I62-161.04+7.1*LOG10(20)-7.5*LOG10(5)+(24.37-3.7*(5/I$5)^2)*LOG10(I$5)-20*LOG10(I$4)+(3.2*(LOG10(11.75*I$6))^2-4.97))/(43.42-3.1*LOG10(I$5)))</f>
        <v>2388.9423982203398</v>
      </c>
    </row>
    <row r="66" spans="1:9" ht="27.6">
      <c r="A66" s="29" t="s">
        <v>103</v>
      </c>
      <c r="B66" s="50">
        <f>10^(3+(B63-161.04+7.1*LOG10(20)-7.5*LOG10(5)+(24.37-3.7*(5/B$5)^2)*LOG10(B$5)-20*LOG10(B$4)+(3.2*(LOG10(11.75*B$6))^2-4.97))/(43.42-3.1*LOG10(B$5)))</f>
        <v>4210.0329854575284</v>
      </c>
      <c r="C66" s="34" t="s">
        <v>90</v>
      </c>
      <c r="D66" s="50">
        <f>10^(3+(D63-161.04+7.1*LOG10(20)-7.5*LOG10(5)+(24.37-3.7*(5/D$5)^2)*LOG10(D$5)-20*LOG10(D$4)+(3.2*(LOG10(11.75*D$6))^2-4.97))/(43.42-3.1*LOG10(D$5)))</f>
        <v>4392.0106446185036</v>
      </c>
      <c r="E66" s="34" t="s">
        <v>90</v>
      </c>
      <c r="F66" s="51">
        <f>10^(3+(F63-161.04+7.1*LOG10(20)-7.5*LOG10(5)+(24.37-3.7*(5/F$5)^2)*LOG10(F$5)-20*LOG10(F$4)+(3.2*(LOG10(11.75*F$6))^2-4.97))/(43.42-3.1*LOG10(F$5)))</f>
        <v>2128.6654628580968</v>
      </c>
      <c r="G66" s="34" t="s">
        <v>90</v>
      </c>
      <c r="H66" s="50">
        <f>10^(3+(H63-161.04+7.1*LOG10(20)-7.5*LOG10(5)+(24.37-3.7*(5/H$5)^2)*LOG10(H$5)-20*LOG10(H$4)+(3.2*(LOG10(11.75*H$6))^2-4.97))/(43.42-3.1*LOG10(H$5)))</f>
        <v>1916.6859766203665</v>
      </c>
      <c r="I66" s="34" t="s">
        <v>90</v>
      </c>
    </row>
    <row r="67" spans="1:9" ht="16.8">
      <c r="A67" s="29" t="s">
        <v>96</v>
      </c>
      <c r="B67" s="34" t="s">
        <v>58</v>
      </c>
      <c r="C67" s="34">
        <f>PI()*(C65)^2</f>
        <v>78611258.100840911</v>
      </c>
      <c r="D67" s="34" t="s">
        <v>58</v>
      </c>
      <c r="E67" s="34">
        <f>PI()*(E65)^2</f>
        <v>58006222.415278964</v>
      </c>
      <c r="F67" s="34" t="s">
        <v>58</v>
      </c>
      <c r="G67" s="34">
        <f>PI()*(G65)^2</f>
        <v>17822671.17838186</v>
      </c>
      <c r="H67" s="34" t="s">
        <v>58</v>
      </c>
      <c r="I67" s="34">
        <f>PI()*(I65)^2</f>
        <v>17929213.10247815</v>
      </c>
    </row>
    <row r="68" spans="1:9" ht="16.8">
      <c r="A68" s="29" t="s">
        <v>97</v>
      </c>
      <c r="B68" s="34">
        <f>PI()*(B66)^2</f>
        <v>55682774.893163249</v>
      </c>
      <c r="C68" s="34" t="s">
        <v>58</v>
      </c>
      <c r="D68" s="34">
        <f>PI()*(D66)^2</f>
        <v>60600560.45920115</v>
      </c>
      <c r="E68" s="34" t="s">
        <v>58</v>
      </c>
      <c r="F68" s="34">
        <f>PI()*(F66)^2</f>
        <v>14235236.948149865</v>
      </c>
      <c r="G68" s="34" t="s">
        <v>58</v>
      </c>
      <c r="H68" s="34">
        <f>PI()*(H66)^2</f>
        <v>11541222.225350548</v>
      </c>
      <c r="I68" s="34" t="s">
        <v>58</v>
      </c>
    </row>
    <row r="70" spans="1:9">
      <c r="A70" s="48"/>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49" zoomScale="70" zoomScaleNormal="70" workbookViewId="0">
      <selection activeCell="F77" sqref="F77"/>
    </sheetView>
  </sheetViews>
  <sheetFormatPr defaultColWidth="8.796875" defaultRowHeight="15.6"/>
  <cols>
    <col min="1" max="1" width="69" style="30" customWidth="1"/>
    <col min="2" max="2" width="22.69921875" style="39" bestFit="1" customWidth="1"/>
    <col min="3" max="3" width="18.296875" style="39" bestFit="1" customWidth="1"/>
    <col min="4" max="4" width="18.19921875" style="39" customWidth="1"/>
    <col min="5" max="5" width="18.69921875" style="39" customWidth="1"/>
    <col min="6" max="6" width="18.19921875" style="40" customWidth="1"/>
    <col min="7" max="7" width="18.5" style="40" customWidth="1"/>
    <col min="8" max="8" width="20" style="40" customWidth="1"/>
    <col min="9" max="9" width="18.296875" style="40" customWidth="1"/>
  </cols>
  <sheetData>
    <row r="1" spans="1:9">
      <c r="A1" s="46" t="s">
        <v>0</v>
      </c>
      <c r="B1" s="115" t="s">
        <v>47</v>
      </c>
      <c r="C1" s="115"/>
      <c r="D1" s="115"/>
      <c r="E1" s="116"/>
      <c r="F1" s="118" t="s">
        <v>49</v>
      </c>
      <c r="G1" s="118"/>
      <c r="H1" s="118"/>
      <c r="I1" s="118"/>
    </row>
    <row r="2" spans="1:9" ht="27.6">
      <c r="A2" s="17"/>
      <c r="B2" s="31" t="s">
        <v>48</v>
      </c>
      <c r="C2" s="31" t="s">
        <v>54</v>
      </c>
      <c r="D2" s="31" t="s">
        <v>52</v>
      </c>
      <c r="E2" s="31" t="s">
        <v>123</v>
      </c>
      <c r="F2" s="31" t="s">
        <v>50</v>
      </c>
      <c r="G2" s="31" t="s">
        <v>55</v>
      </c>
      <c r="H2" s="31" t="s">
        <v>56</v>
      </c>
      <c r="I2" s="31" t="s">
        <v>57</v>
      </c>
    </row>
    <row r="3" spans="1:9">
      <c r="A3" s="19" t="s">
        <v>1</v>
      </c>
      <c r="B3" s="49"/>
      <c r="C3" s="49"/>
      <c r="D3" s="49"/>
      <c r="E3" s="49"/>
      <c r="F3" s="49"/>
      <c r="G3" s="49"/>
      <c r="H3" s="49"/>
      <c r="I3" s="49"/>
    </row>
    <row r="4" spans="1:9">
      <c r="A4" s="20" t="s">
        <v>2</v>
      </c>
      <c r="B4" s="35">
        <v>0.7</v>
      </c>
      <c r="C4" s="50">
        <v>0.7</v>
      </c>
      <c r="D4" s="35">
        <v>0.7</v>
      </c>
      <c r="E4" s="50">
        <v>0.7</v>
      </c>
      <c r="F4" s="35">
        <v>0.7</v>
      </c>
      <c r="G4" s="50">
        <v>0.7</v>
      </c>
      <c r="H4" s="35">
        <v>0.7</v>
      </c>
      <c r="I4" s="50">
        <v>0.7</v>
      </c>
    </row>
    <row r="5" spans="1:9">
      <c r="A5" s="20" t="s">
        <v>3</v>
      </c>
      <c r="B5" s="50">
        <v>35</v>
      </c>
      <c r="C5" s="50">
        <v>35</v>
      </c>
      <c r="D5" s="50">
        <v>35</v>
      </c>
      <c r="E5" s="50">
        <v>35</v>
      </c>
      <c r="F5" s="50">
        <v>35</v>
      </c>
      <c r="G5" s="50">
        <v>35</v>
      </c>
      <c r="H5" s="50">
        <v>35</v>
      </c>
      <c r="I5" s="50">
        <v>35</v>
      </c>
    </row>
    <row r="6" spans="1:9">
      <c r="A6" s="20" t="s">
        <v>4</v>
      </c>
      <c r="B6" s="35">
        <v>1.5</v>
      </c>
      <c r="C6" s="50">
        <v>1.5</v>
      </c>
      <c r="D6" s="35">
        <v>1.5</v>
      </c>
      <c r="E6" s="50">
        <v>1.5</v>
      </c>
      <c r="F6" s="35">
        <v>1.5</v>
      </c>
      <c r="G6" s="50">
        <v>1.5</v>
      </c>
      <c r="H6" s="35">
        <v>1.5</v>
      </c>
      <c r="I6" s="50">
        <v>1.5</v>
      </c>
    </row>
    <row r="7" spans="1:9">
      <c r="A7" s="20" t="s">
        <v>145</v>
      </c>
      <c r="B7" s="21" t="s">
        <v>58</v>
      </c>
      <c r="C7" s="47">
        <v>0.95</v>
      </c>
      <c r="D7" s="21" t="s">
        <v>58</v>
      </c>
      <c r="E7" s="47">
        <v>0.95</v>
      </c>
      <c r="F7" s="47" t="s">
        <v>58</v>
      </c>
      <c r="G7" s="22">
        <v>0.95</v>
      </c>
      <c r="H7" s="47" t="s">
        <v>58</v>
      </c>
      <c r="I7" s="22">
        <v>0.95</v>
      </c>
    </row>
    <row r="8" spans="1:9">
      <c r="A8" s="20" t="s">
        <v>146</v>
      </c>
      <c r="B8" s="21">
        <v>0.9</v>
      </c>
      <c r="C8" s="47" t="s">
        <v>58</v>
      </c>
      <c r="D8" s="21">
        <v>0.9</v>
      </c>
      <c r="E8" s="47" t="s">
        <v>58</v>
      </c>
      <c r="F8" s="47">
        <v>0.9</v>
      </c>
      <c r="G8" s="22" t="s">
        <v>58</v>
      </c>
      <c r="H8" s="47">
        <v>0.9</v>
      </c>
      <c r="I8" s="22" t="s">
        <v>58</v>
      </c>
    </row>
    <row r="9" spans="1:9">
      <c r="A9" s="20" t="s">
        <v>5</v>
      </c>
      <c r="B9" s="33" t="s">
        <v>58</v>
      </c>
      <c r="C9" s="34">
        <f>64/(0.001)</f>
        <v>64000</v>
      </c>
      <c r="D9" s="33" t="s">
        <v>58</v>
      </c>
      <c r="E9" s="34">
        <f>64/(0.001)</f>
        <v>64000</v>
      </c>
      <c r="F9" s="50" t="s">
        <v>58</v>
      </c>
      <c r="G9" s="34">
        <f>2/(0.5*0.001)</f>
        <v>4000</v>
      </c>
      <c r="H9" s="50" t="s">
        <v>58</v>
      </c>
      <c r="I9" s="34">
        <f>2/(0.5*0.001)</f>
        <v>4000</v>
      </c>
    </row>
    <row r="10" spans="1:9">
      <c r="A10" s="20" t="s">
        <v>6</v>
      </c>
      <c r="B10" s="33">
        <f>2248233*3</f>
        <v>6744699</v>
      </c>
      <c r="C10" s="50" t="s">
        <v>58</v>
      </c>
      <c r="D10" s="33">
        <f>2248233*3</f>
        <v>6744699</v>
      </c>
      <c r="E10" s="50" t="s">
        <v>58</v>
      </c>
      <c r="F10" s="50">
        <f>74880*3</f>
        <v>224640</v>
      </c>
      <c r="G10" s="34" t="s">
        <v>58</v>
      </c>
      <c r="H10" s="50">
        <f>74880*3</f>
        <v>224640</v>
      </c>
      <c r="I10" s="34" t="s">
        <v>58</v>
      </c>
    </row>
    <row r="11" spans="1:9">
      <c r="A11" s="20" t="s">
        <v>7</v>
      </c>
      <c r="B11" s="21" t="s">
        <v>58</v>
      </c>
      <c r="C11" s="47">
        <v>0.01</v>
      </c>
      <c r="D11" s="21" t="s">
        <v>58</v>
      </c>
      <c r="E11" s="47">
        <v>0.01</v>
      </c>
      <c r="F11" s="47" t="s">
        <v>58</v>
      </c>
      <c r="G11" s="22">
        <v>0.01</v>
      </c>
      <c r="H11" s="47" t="s">
        <v>58</v>
      </c>
      <c r="I11" s="22">
        <v>0.01</v>
      </c>
    </row>
    <row r="12" spans="1:9">
      <c r="A12" s="20" t="s">
        <v>8</v>
      </c>
      <c r="B12" s="21">
        <v>0.1</v>
      </c>
      <c r="C12" s="47" t="s">
        <v>58</v>
      </c>
      <c r="D12" s="21">
        <v>0.1</v>
      </c>
      <c r="E12" s="47" t="s">
        <v>58</v>
      </c>
      <c r="F12" s="47">
        <v>0.1</v>
      </c>
      <c r="G12" s="22" t="s">
        <v>58</v>
      </c>
      <c r="H12" s="47">
        <v>0.1</v>
      </c>
      <c r="I12" s="22" t="s">
        <v>58</v>
      </c>
    </row>
    <row r="13" spans="1:9">
      <c r="A13" s="20" t="s">
        <v>91</v>
      </c>
      <c r="B13" s="33">
        <f>B10/(B42*(4+2*11/14+1/14)/10)</f>
        <v>0.65101476793248958</v>
      </c>
      <c r="C13" s="50" t="s">
        <v>58</v>
      </c>
      <c r="D13" s="33">
        <f>D10/(D42*(4+2*11/14+1/14)/10)</f>
        <v>0.65101476793248958</v>
      </c>
      <c r="E13" s="50" t="s">
        <v>58</v>
      </c>
      <c r="F13" s="33">
        <f>F10/(F42*(4+2*2/14+1/14)/10)</f>
        <v>0.35803278688524592</v>
      </c>
      <c r="G13" s="34" t="s">
        <v>58</v>
      </c>
      <c r="H13" s="33">
        <f>H10/(H42*(4+2*2/14+1/14)/10)</f>
        <v>0.35803278688524592</v>
      </c>
      <c r="I13" s="34" t="s">
        <v>58</v>
      </c>
    </row>
    <row r="14" spans="1:9">
      <c r="A14" s="20" t="s">
        <v>92</v>
      </c>
      <c r="B14" s="50" t="s">
        <v>106</v>
      </c>
      <c r="C14" s="50" t="s">
        <v>106</v>
      </c>
      <c r="D14" s="50" t="s">
        <v>107</v>
      </c>
      <c r="E14" s="50" t="s">
        <v>107</v>
      </c>
      <c r="F14" s="50" t="s">
        <v>106</v>
      </c>
      <c r="G14" s="50" t="s">
        <v>106</v>
      </c>
      <c r="H14" s="50" t="s">
        <v>107</v>
      </c>
      <c r="I14" s="50" t="s">
        <v>107</v>
      </c>
    </row>
    <row r="15" spans="1:9">
      <c r="A15" s="20" t="s">
        <v>87</v>
      </c>
      <c r="B15" s="33">
        <v>120</v>
      </c>
      <c r="C15" s="34">
        <v>120</v>
      </c>
      <c r="D15" s="33">
        <v>3</v>
      </c>
      <c r="E15" s="34">
        <v>3</v>
      </c>
      <c r="F15" s="33">
        <v>120</v>
      </c>
      <c r="G15" s="34">
        <v>120</v>
      </c>
      <c r="H15" s="34">
        <v>3</v>
      </c>
      <c r="I15" s="34">
        <v>3</v>
      </c>
    </row>
    <row r="16" spans="1:9">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27.6">
      <c r="A18" s="20" t="s">
        <v>85</v>
      </c>
      <c r="B18" s="33">
        <v>64</v>
      </c>
      <c r="C18" s="50">
        <v>64</v>
      </c>
      <c r="D18" s="33">
        <v>64</v>
      </c>
      <c r="E18" s="50">
        <v>64</v>
      </c>
      <c r="F18" s="34">
        <v>1</v>
      </c>
      <c r="G18" s="50">
        <v>1</v>
      </c>
      <c r="H18" s="34">
        <v>1</v>
      </c>
      <c r="I18" s="50">
        <v>1</v>
      </c>
    </row>
    <row r="19" spans="1:9">
      <c r="A19" s="20" t="s">
        <v>108</v>
      </c>
      <c r="B19" s="33">
        <v>2</v>
      </c>
      <c r="C19" s="50">
        <v>2</v>
      </c>
      <c r="D19" s="33">
        <v>2</v>
      </c>
      <c r="E19" s="50">
        <v>2</v>
      </c>
      <c r="F19" s="34">
        <v>1</v>
      </c>
      <c r="G19" s="50">
        <v>1</v>
      </c>
      <c r="H19" s="34">
        <v>1</v>
      </c>
      <c r="I19" s="50">
        <v>1</v>
      </c>
    </row>
    <row r="20" spans="1:9">
      <c r="A20" s="20" t="s">
        <v>11</v>
      </c>
      <c r="B20" s="33">
        <v>31</v>
      </c>
      <c r="C20" s="50">
        <v>31</v>
      </c>
      <c r="D20" s="33">
        <v>31</v>
      </c>
      <c r="E20" s="50">
        <v>31</v>
      </c>
      <c r="F20" s="34">
        <v>23</v>
      </c>
      <c r="G20" s="50">
        <v>23</v>
      </c>
      <c r="H20" s="34">
        <v>23</v>
      </c>
      <c r="I20" s="50">
        <v>23</v>
      </c>
    </row>
    <row r="21" spans="1:9" ht="30.6">
      <c r="A21" s="41" t="s">
        <v>142</v>
      </c>
      <c r="B21" s="38">
        <f t="shared" ref="B21:I21" si="0">B20+10*LOG10(B18)</f>
        <v>49.061799739838875</v>
      </c>
      <c r="C21" s="38">
        <f t="shared" si="0"/>
        <v>49.061799739838875</v>
      </c>
      <c r="D21" s="38">
        <f t="shared" si="0"/>
        <v>49.061799739838875</v>
      </c>
      <c r="E21" s="38">
        <f t="shared" si="0"/>
        <v>49.061799739838875</v>
      </c>
      <c r="F21" s="38">
        <v>26</v>
      </c>
      <c r="G21" s="38">
        <f t="shared" si="0"/>
        <v>23</v>
      </c>
      <c r="H21" s="38">
        <v>26</v>
      </c>
      <c r="I21" s="38">
        <f t="shared" si="0"/>
        <v>23</v>
      </c>
    </row>
    <row r="22" spans="1:9">
      <c r="A22" s="20" t="s">
        <v>12</v>
      </c>
      <c r="B22" s="33">
        <v>8</v>
      </c>
      <c r="C22" s="50">
        <v>8</v>
      </c>
      <c r="D22" s="33">
        <v>8</v>
      </c>
      <c r="E22" s="50">
        <v>8</v>
      </c>
      <c r="F22" s="34">
        <v>0</v>
      </c>
      <c r="G22" s="50">
        <v>0</v>
      </c>
      <c r="H22" s="34">
        <v>0</v>
      </c>
      <c r="I22" s="50">
        <v>0</v>
      </c>
    </row>
    <row r="23" spans="1:9" ht="27.6">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3">
        <v>3</v>
      </c>
      <c r="D26" s="33">
        <v>3</v>
      </c>
      <c r="E26" s="33">
        <v>3</v>
      </c>
      <c r="F26" s="33">
        <v>1</v>
      </c>
      <c r="G26" s="33">
        <v>1</v>
      </c>
      <c r="H26" s="33">
        <v>1</v>
      </c>
      <c r="I26" s="33">
        <v>1</v>
      </c>
    </row>
    <row r="27" spans="1:9">
      <c r="A27" s="25" t="s">
        <v>17</v>
      </c>
      <c r="B27" s="37">
        <f t="shared" ref="B27:I27" si="2">B21+B22+B23+B24-B26</f>
        <v>69.113299523037938</v>
      </c>
      <c r="C27" s="37">
        <f t="shared" si="2"/>
        <v>69.113299523037938</v>
      </c>
      <c r="D27" s="37">
        <f t="shared" si="2"/>
        <v>69.113299523037938</v>
      </c>
      <c r="E27" s="37">
        <f t="shared" si="2"/>
        <v>69.113299523037938</v>
      </c>
      <c r="F27" s="37">
        <f t="shared" si="2"/>
        <v>25</v>
      </c>
      <c r="G27" s="37">
        <f t="shared" si="2"/>
        <v>22</v>
      </c>
      <c r="H27" s="37">
        <f t="shared" si="2"/>
        <v>25</v>
      </c>
      <c r="I27" s="37">
        <f t="shared" si="2"/>
        <v>22</v>
      </c>
    </row>
    <row r="28" spans="1:9">
      <c r="A28" s="25" t="s">
        <v>18</v>
      </c>
      <c r="B28" s="37">
        <f t="shared" ref="B28:I28" si="3">B21+B22+B23-B25-B26</f>
        <v>69.113299523037938</v>
      </c>
      <c r="C28" s="37">
        <f t="shared" si="3"/>
        <v>69.113299523037938</v>
      </c>
      <c r="D28" s="37">
        <f t="shared" si="3"/>
        <v>69.113299523037938</v>
      </c>
      <c r="E28" s="37">
        <f t="shared" si="3"/>
        <v>69.113299523037938</v>
      </c>
      <c r="F28" s="37">
        <f t="shared" si="3"/>
        <v>25</v>
      </c>
      <c r="G28" s="37">
        <f t="shared" si="3"/>
        <v>22</v>
      </c>
      <c r="H28" s="37">
        <f t="shared" si="3"/>
        <v>25</v>
      </c>
      <c r="I28" s="37">
        <f t="shared" si="3"/>
        <v>22</v>
      </c>
    </row>
    <row r="29" spans="1:9">
      <c r="A29" s="19" t="s">
        <v>19</v>
      </c>
      <c r="B29" s="49"/>
      <c r="C29" s="49"/>
      <c r="D29" s="49"/>
      <c r="E29" s="49"/>
      <c r="F29" s="49"/>
      <c r="G29" s="49"/>
      <c r="H29" s="49"/>
      <c r="I29" s="49"/>
    </row>
    <row r="30" spans="1:9" ht="27.6">
      <c r="A30" s="20" t="s">
        <v>84</v>
      </c>
      <c r="B30" s="33">
        <v>2</v>
      </c>
      <c r="C30" s="50">
        <v>2</v>
      </c>
      <c r="D30" s="33">
        <v>2</v>
      </c>
      <c r="E30" s="50">
        <v>2</v>
      </c>
      <c r="F30" s="50">
        <v>64</v>
      </c>
      <c r="G30" s="50">
        <v>64</v>
      </c>
      <c r="H30" s="50">
        <v>64</v>
      </c>
      <c r="I30" s="50">
        <v>64</v>
      </c>
    </row>
    <row r="31" spans="1:9">
      <c r="A31" s="20" t="s">
        <v>127</v>
      </c>
      <c r="B31" s="33">
        <v>2</v>
      </c>
      <c r="C31" s="50">
        <v>2</v>
      </c>
      <c r="D31" s="33">
        <v>2</v>
      </c>
      <c r="E31" s="50">
        <v>2</v>
      </c>
      <c r="F31" s="50">
        <v>2</v>
      </c>
      <c r="G31" s="50">
        <v>2</v>
      </c>
      <c r="H31" s="50">
        <v>2</v>
      </c>
      <c r="I31" s="50">
        <v>2</v>
      </c>
    </row>
    <row r="32" spans="1:9">
      <c r="A32" s="20" t="s">
        <v>20</v>
      </c>
      <c r="B32" s="33">
        <v>0</v>
      </c>
      <c r="C32" s="50">
        <v>0</v>
      </c>
      <c r="D32" s="33">
        <v>0</v>
      </c>
      <c r="E32" s="50">
        <v>0</v>
      </c>
      <c r="F32" s="50">
        <v>8</v>
      </c>
      <c r="G32" s="50">
        <v>8</v>
      </c>
      <c r="H32" s="50">
        <v>8</v>
      </c>
      <c r="I32" s="50">
        <v>8</v>
      </c>
    </row>
    <row r="33" spans="1:9" ht="27.6">
      <c r="A33" s="26" t="s">
        <v>88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27.6">
      <c r="A34" s="20" t="s">
        <v>21</v>
      </c>
      <c r="B34" s="33">
        <v>1</v>
      </c>
      <c r="C34" s="35">
        <v>1</v>
      </c>
      <c r="D34" s="33">
        <v>1</v>
      </c>
      <c r="E34" s="35">
        <v>1</v>
      </c>
      <c r="F34" s="33">
        <v>3</v>
      </c>
      <c r="G34" s="33">
        <v>3</v>
      </c>
      <c r="H34" s="33">
        <v>3</v>
      </c>
      <c r="I34" s="33">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c r="A37" s="20" t="s">
        <v>147</v>
      </c>
      <c r="B37" s="33" t="s">
        <v>58</v>
      </c>
      <c r="C37" s="34">
        <v>-169.3</v>
      </c>
      <c r="D37" s="33" t="s">
        <v>58</v>
      </c>
      <c r="E37" s="34">
        <v>-169.3</v>
      </c>
      <c r="F37" s="34" t="s">
        <v>58</v>
      </c>
      <c r="G37" s="34">
        <v>-161.69999999999999</v>
      </c>
      <c r="H37" s="34" t="s">
        <v>58</v>
      </c>
      <c r="I37" s="34">
        <v>-161.69999999999999</v>
      </c>
    </row>
    <row r="38" spans="1:9">
      <c r="A38" s="20" t="s">
        <v>24</v>
      </c>
      <c r="B38" s="33">
        <v>-169.3</v>
      </c>
      <c r="C38" s="34" t="s">
        <v>58</v>
      </c>
      <c r="D38" s="33">
        <v>-169.3</v>
      </c>
      <c r="E38" s="34" t="s">
        <v>58</v>
      </c>
      <c r="F38" s="34">
        <v>-165.7</v>
      </c>
      <c r="G38" s="34" t="s">
        <v>58</v>
      </c>
      <c r="H38" s="34">
        <v>-165.7</v>
      </c>
      <c r="I38" s="34" t="s">
        <v>58</v>
      </c>
    </row>
    <row r="39" spans="1:9" ht="27.6">
      <c r="A39" s="27" t="s">
        <v>148</v>
      </c>
      <c r="B39" s="37" t="s">
        <v>58</v>
      </c>
      <c r="C39" s="37">
        <f t="shared" ref="C39:I39" si="5">10*LOG10(10^((C35+C36)/10)+10^(C37/10))</f>
        <v>-164.98918835931039</v>
      </c>
      <c r="D39" s="37" t="s">
        <v>58</v>
      </c>
      <c r="E39" s="37">
        <f t="shared" si="5"/>
        <v>-164.98918835931039</v>
      </c>
      <c r="F39" s="37" t="s">
        <v>58</v>
      </c>
      <c r="G39" s="37">
        <f t="shared" si="5"/>
        <v>-160.9583889004532</v>
      </c>
      <c r="H39" s="37" t="s">
        <v>58</v>
      </c>
      <c r="I39" s="37">
        <f t="shared" si="5"/>
        <v>-160.9583889004532</v>
      </c>
    </row>
    <row r="40" spans="1:9" ht="27.6">
      <c r="A40" s="27" t="s">
        <v>149</v>
      </c>
      <c r="B40" s="37">
        <f t="shared" ref="B40:H40" si="6">10*LOG10(10^((B35+B36)/10)+10^(B38/10))</f>
        <v>-164.98918835931039</v>
      </c>
      <c r="C40" s="37" t="s">
        <v>58</v>
      </c>
      <c r="D40" s="37">
        <f t="shared" si="6"/>
        <v>-164.98918835931039</v>
      </c>
      <c r="E40" s="37" t="s">
        <v>58</v>
      </c>
      <c r="F40" s="37">
        <f t="shared" si="6"/>
        <v>-164.03352307536667</v>
      </c>
      <c r="G40" s="37" t="s">
        <v>58</v>
      </c>
      <c r="H40" s="37">
        <f t="shared" si="6"/>
        <v>-164.03352307536667</v>
      </c>
      <c r="I40" s="37" t="s">
        <v>58</v>
      </c>
    </row>
    <row r="41" spans="1:9" ht="27.6">
      <c r="A41" s="20" t="s">
        <v>25</v>
      </c>
      <c r="B41" s="33" t="s">
        <v>58</v>
      </c>
      <c r="C41" s="33">
        <f>MaxN_RB!F6*12*15*1000</f>
        <v>19080000</v>
      </c>
      <c r="D41" s="33" t="s">
        <v>58</v>
      </c>
      <c r="E41" s="33">
        <f>MaxN_RB!F6*12*15*1000</f>
        <v>19080000</v>
      </c>
      <c r="F41" s="50" t="s">
        <v>58</v>
      </c>
      <c r="G41" s="34">
        <f>1*12*30*1000</f>
        <v>360000</v>
      </c>
      <c r="H41" s="50" t="s">
        <v>58</v>
      </c>
      <c r="I41" s="34">
        <f>1*12*30*1000</f>
        <v>360000</v>
      </c>
    </row>
    <row r="42" spans="1:9" ht="27.6">
      <c r="A42" s="20" t="s">
        <v>26</v>
      </c>
      <c r="B42" s="33">
        <f>MaxN_RB!F7*12*30*1000</f>
        <v>18360000</v>
      </c>
      <c r="C42" s="50" t="s">
        <v>58</v>
      </c>
      <c r="D42" s="33">
        <f>MaxN_RB!F7*12*30*1000</f>
        <v>18360000</v>
      </c>
      <c r="E42" s="50" t="s">
        <v>58</v>
      </c>
      <c r="F42" s="33">
        <f>4*12*30*1000</f>
        <v>1440000</v>
      </c>
      <c r="G42" s="34" t="s">
        <v>58</v>
      </c>
      <c r="H42" s="33">
        <f>4*12*30*1000</f>
        <v>1440000</v>
      </c>
      <c r="I42" s="34" t="s">
        <v>58</v>
      </c>
    </row>
    <row r="43" spans="1:9">
      <c r="A43" s="25" t="s">
        <v>27</v>
      </c>
      <c r="B43" s="37" t="s">
        <v>58</v>
      </c>
      <c r="C43" s="37">
        <f t="shared" ref="B43:I44" si="7">C39+10*LOG10(C41)</f>
        <v>-92.18340465562963</v>
      </c>
      <c r="D43" s="37" t="s">
        <v>58</v>
      </c>
      <c r="E43" s="37">
        <f t="shared" si="7"/>
        <v>-92.18340465562963</v>
      </c>
      <c r="F43" s="37" t="s">
        <v>58</v>
      </c>
      <c r="G43" s="37">
        <f t="shared" si="7"/>
        <v>-105.39536389278032</v>
      </c>
      <c r="H43" s="37" t="s">
        <v>58</v>
      </c>
      <c r="I43" s="37">
        <f t="shared" si="7"/>
        <v>-105.39536389278032</v>
      </c>
    </row>
    <row r="44" spans="1:9">
      <c r="A44" s="25" t="s">
        <v>28</v>
      </c>
      <c r="B44" s="37">
        <f t="shared" si="7"/>
        <v>-92.350461590658156</v>
      </c>
      <c r="C44" s="37" t="s">
        <v>58</v>
      </c>
      <c r="D44" s="37">
        <f t="shared" si="7"/>
        <v>-92.350461590658156</v>
      </c>
      <c r="E44" s="37" t="s">
        <v>58</v>
      </c>
      <c r="F44" s="37">
        <f t="shared" si="7"/>
        <v>-102.44989815441417</v>
      </c>
      <c r="G44" s="37" t="s">
        <v>58</v>
      </c>
      <c r="H44" s="37">
        <f t="shared" si="7"/>
        <v>-102.44989815441417</v>
      </c>
      <c r="I44" s="37" t="s">
        <v>58</v>
      </c>
    </row>
    <row r="45" spans="1:9">
      <c r="A45" s="20" t="s">
        <v>29</v>
      </c>
      <c r="B45" s="33" t="s">
        <v>58</v>
      </c>
      <c r="C45" s="75">
        <v>-4.5999999999999996</v>
      </c>
      <c r="D45" s="75" t="s">
        <v>58</v>
      </c>
      <c r="E45" s="75">
        <v>-4.5</v>
      </c>
      <c r="F45" s="33" t="s">
        <v>58</v>
      </c>
      <c r="G45" s="75">
        <v>-5</v>
      </c>
      <c r="H45" s="75" t="s">
        <v>58</v>
      </c>
      <c r="I45" s="75">
        <v>-7.5</v>
      </c>
    </row>
    <row r="46" spans="1:9">
      <c r="A46" s="20" t="s">
        <v>30</v>
      </c>
      <c r="B46" s="33">
        <v>2.8</v>
      </c>
      <c r="C46" s="33" t="s">
        <v>58</v>
      </c>
      <c r="D46" s="33">
        <v>-0.5</v>
      </c>
      <c r="E46" s="33" t="s">
        <v>58</v>
      </c>
      <c r="F46" s="75">
        <v>1.28</v>
      </c>
      <c r="G46" s="33" t="s">
        <v>58</v>
      </c>
      <c r="H46" s="75">
        <v>0.45</v>
      </c>
      <c r="I46" s="33" t="s">
        <v>58</v>
      </c>
    </row>
    <row r="47" spans="1:9">
      <c r="A47" s="20" t="s">
        <v>31</v>
      </c>
      <c r="B47" s="33">
        <v>2</v>
      </c>
      <c r="C47" s="34">
        <v>2</v>
      </c>
      <c r="D47" s="33">
        <v>2</v>
      </c>
      <c r="E47" s="34">
        <v>2</v>
      </c>
      <c r="F47" s="50">
        <v>2</v>
      </c>
      <c r="G47" s="34">
        <v>2</v>
      </c>
      <c r="H47" s="50">
        <v>2</v>
      </c>
      <c r="I47" s="34">
        <v>2</v>
      </c>
    </row>
    <row r="48" spans="1:9">
      <c r="A48" s="20" t="s">
        <v>32</v>
      </c>
      <c r="B48" s="33" t="s">
        <v>58</v>
      </c>
      <c r="C48" s="34">
        <v>0</v>
      </c>
      <c r="D48" s="33" t="s">
        <v>58</v>
      </c>
      <c r="E48" s="34">
        <v>0</v>
      </c>
      <c r="F48" s="50" t="s">
        <v>58</v>
      </c>
      <c r="G48" s="34">
        <v>0</v>
      </c>
      <c r="H48" s="50" t="s">
        <v>58</v>
      </c>
      <c r="I48" s="34">
        <v>0</v>
      </c>
    </row>
    <row r="49" spans="1:9">
      <c r="A49" s="20" t="s">
        <v>33</v>
      </c>
      <c r="B49" s="33">
        <v>0.5</v>
      </c>
      <c r="C49" s="34" t="s">
        <v>58</v>
      </c>
      <c r="D49" s="33">
        <v>0.5</v>
      </c>
      <c r="E49" s="34" t="s">
        <v>58</v>
      </c>
      <c r="F49" s="50">
        <v>0.5</v>
      </c>
      <c r="G49" s="34" t="s">
        <v>58</v>
      </c>
      <c r="H49" s="50">
        <v>0.5</v>
      </c>
      <c r="I49" s="34" t="s">
        <v>58</v>
      </c>
    </row>
    <row r="50" spans="1:9">
      <c r="A50" s="27" t="s">
        <v>44</v>
      </c>
      <c r="B50" s="37" t="s">
        <v>58</v>
      </c>
      <c r="C50" s="37">
        <f t="shared" ref="C50:I50" si="8">C43+C45+C47-C48</f>
        <v>-94.783404655629624</v>
      </c>
      <c r="D50" s="37" t="s">
        <v>58</v>
      </c>
      <c r="E50" s="37">
        <f t="shared" si="8"/>
        <v>-94.68340465562963</v>
      </c>
      <c r="F50" s="37" t="s">
        <v>58</v>
      </c>
      <c r="G50" s="37">
        <f t="shared" si="8"/>
        <v>-108.39536389278032</v>
      </c>
      <c r="H50" s="37" t="s">
        <v>58</v>
      </c>
      <c r="I50" s="37">
        <f t="shared" si="8"/>
        <v>-110.89536389278032</v>
      </c>
    </row>
    <row r="51" spans="1:9">
      <c r="A51" s="27" t="s">
        <v>45</v>
      </c>
      <c r="B51" s="37">
        <f>B44+B46+B47-B49</f>
        <v>-88.050461590658159</v>
      </c>
      <c r="C51" s="37" t="s">
        <v>58</v>
      </c>
      <c r="D51" s="37">
        <f t="shared" ref="D51:H51" si="9">D44+D46+D47-D49</f>
        <v>-91.350461590658156</v>
      </c>
      <c r="E51" s="37" t="s">
        <v>58</v>
      </c>
      <c r="F51" s="37">
        <f t="shared" si="9"/>
        <v>-99.66989815441417</v>
      </c>
      <c r="G51" s="37" t="s">
        <v>58</v>
      </c>
      <c r="H51" s="37">
        <f t="shared" si="9"/>
        <v>-100.49989815441417</v>
      </c>
      <c r="I51" s="37" t="s">
        <v>58</v>
      </c>
    </row>
    <row r="52" spans="1:9">
      <c r="A52" s="27" t="s">
        <v>101</v>
      </c>
      <c r="B52" s="37" t="s">
        <v>58</v>
      </c>
      <c r="C52" s="37">
        <f t="shared" ref="C52:I52" si="10">C27+C32+C33-C50</f>
        <v>163.89670417866756</v>
      </c>
      <c r="D52" s="37" t="s">
        <v>58</v>
      </c>
      <c r="E52" s="37">
        <f t="shared" si="10"/>
        <v>163.79670417866757</v>
      </c>
      <c r="F52" s="37" t="s">
        <v>58</v>
      </c>
      <c r="G52" s="37">
        <f t="shared" si="10"/>
        <v>153.44686367597939</v>
      </c>
      <c r="H52" s="37" t="s">
        <v>58</v>
      </c>
      <c r="I52" s="37">
        <f t="shared" si="10"/>
        <v>155.94686367597939</v>
      </c>
    </row>
    <row r="53" spans="1:9">
      <c r="A53" s="27" t="s">
        <v>94</v>
      </c>
      <c r="B53" s="37">
        <f t="shared" ref="B53:H53" si="11">B28+B32+B33-B51</f>
        <v>157.1637611136961</v>
      </c>
      <c r="C53" s="37" t="s">
        <v>58</v>
      </c>
      <c r="D53" s="37">
        <f t="shared" si="11"/>
        <v>160.46376111369608</v>
      </c>
      <c r="E53" s="37" t="s">
        <v>58</v>
      </c>
      <c r="F53" s="37">
        <f t="shared" si="11"/>
        <v>147.72139793761323</v>
      </c>
      <c r="G53" s="37" t="s">
        <v>58</v>
      </c>
      <c r="H53" s="37">
        <f t="shared" si="11"/>
        <v>148.55139793761322</v>
      </c>
      <c r="I53" s="37" t="s">
        <v>58</v>
      </c>
    </row>
    <row r="54" spans="1:9">
      <c r="A54" s="19" t="s">
        <v>34</v>
      </c>
      <c r="B54" s="49"/>
      <c r="C54" s="49"/>
      <c r="D54" s="49"/>
      <c r="E54" s="49"/>
      <c r="F54" s="49"/>
      <c r="G54" s="49"/>
      <c r="H54" s="49"/>
      <c r="I54" s="49"/>
    </row>
    <row r="55" spans="1:9">
      <c r="A55" s="20" t="s">
        <v>35</v>
      </c>
      <c r="B55" s="50">
        <v>8</v>
      </c>
      <c r="C55" s="50">
        <v>8</v>
      </c>
      <c r="D55" s="50">
        <v>8</v>
      </c>
      <c r="E55" s="50">
        <v>8</v>
      </c>
      <c r="F55" s="50">
        <v>8</v>
      </c>
      <c r="G55" s="50">
        <v>8</v>
      </c>
      <c r="H55" s="50">
        <v>8</v>
      </c>
      <c r="I55" s="50">
        <v>8</v>
      </c>
    </row>
    <row r="56" spans="1:9" ht="16.8">
      <c r="A56" s="28" t="s">
        <v>95</v>
      </c>
      <c r="B56" s="50"/>
      <c r="C56" s="50"/>
      <c r="D56" s="50"/>
      <c r="E56" s="50"/>
      <c r="F56" s="50"/>
      <c r="G56" s="50"/>
      <c r="H56" s="50"/>
      <c r="I56" s="50"/>
    </row>
    <row r="57" spans="1:9" ht="27.6">
      <c r="A57" s="20" t="s">
        <v>36</v>
      </c>
      <c r="B57" s="50" t="s">
        <v>58</v>
      </c>
      <c r="C57" s="50">
        <v>10.45</v>
      </c>
      <c r="D57" s="50" t="s">
        <v>58</v>
      </c>
      <c r="E57" s="50">
        <v>10</v>
      </c>
      <c r="F57" s="50" t="s">
        <v>58</v>
      </c>
      <c r="G57" s="50">
        <v>10.45</v>
      </c>
      <c r="H57" s="50" t="s">
        <v>58</v>
      </c>
      <c r="I57" s="50">
        <v>10</v>
      </c>
    </row>
    <row r="58" spans="1:9" ht="27.6">
      <c r="A58" s="20" t="s">
        <v>37</v>
      </c>
      <c r="B58" s="50">
        <v>6.61</v>
      </c>
      <c r="C58" s="50" t="s">
        <v>58</v>
      </c>
      <c r="D58" s="50">
        <v>6.3</v>
      </c>
      <c r="E58" s="50" t="s">
        <v>58</v>
      </c>
      <c r="F58" s="50">
        <v>6.61</v>
      </c>
      <c r="G58" s="50" t="s">
        <v>58</v>
      </c>
      <c r="H58" s="50">
        <v>6.3</v>
      </c>
      <c r="I58" s="50" t="s">
        <v>58</v>
      </c>
    </row>
    <row r="59" spans="1:9">
      <c r="A59" s="20" t="s">
        <v>38</v>
      </c>
      <c r="B59" s="50">
        <v>0</v>
      </c>
      <c r="C59" s="50">
        <v>0</v>
      </c>
      <c r="D59" s="50">
        <v>0</v>
      </c>
      <c r="E59" s="50">
        <v>0</v>
      </c>
      <c r="F59" s="50">
        <v>0</v>
      </c>
      <c r="G59" s="50">
        <v>0</v>
      </c>
      <c r="H59" s="50">
        <v>0</v>
      </c>
      <c r="I59" s="50">
        <v>0</v>
      </c>
    </row>
    <row r="60" spans="1:9">
      <c r="A60" s="20" t="s">
        <v>39</v>
      </c>
      <c r="B60" s="33">
        <v>9</v>
      </c>
      <c r="C60" s="33">
        <v>9</v>
      </c>
      <c r="D60" s="35">
        <v>11.9</v>
      </c>
      <c r="E60" s="35">
        <v>11.9</v>
      </c>
      <c r="F60" s="33">
        <v>9</v>
      </c>
      <c r="G60" s="33">
        <v>9</v>
      </c>
      <c r="H60" s="35">
        <v>11.9</v>
      </c>
      <c r="I60" s="35">
        <v>11.9</v>
      </c>
    </row>
    <row r="61" spans="1:9">
      <c r="A61" s="20" t="s">
        <v>40</v>
      </c>
      <c r="B61" s="50">
        <v>0</v>
      </c>
      <c r="C61" s="50">
        <v>0</v>
      </c>
      <c r="D61" s="50">
        <v>0</v>
      </c>
      <c r="E61" s="50">
        <v>0</v>
      </c>
      <c r="F61" s="50">
        <v>0</v>
      </c>
      <c r="G61" s="50">
        <v>0</v>
      </c>
      <c r="H61" s="50">
        <v>0</v>
      </c>
      <c r="I61" s="50">
        <v>0</v>
      </c>
    </row>
    <row r="62" spans="1:9" ht="27.6">
      <c r="A62" s="27" t="s">
        <v>51</v>
      </c>
      <c r="B62" s="37" t="s">
        <v>58</v>
      </c>
      <c r="C62" s="37">
        <f t="shared" ref="C62:I62" si="12">C52-C57+C59-C60+C61-C34</f>
        <v>143.44670417866757</v>
      </c>
      <c r="D62" s="37" t="s">
        <v>58</v>
      </c>
      <c r="E62" s="37">
        <f t="shared" si="12"/>
        <v>140.89670417866756</v>
      </c>
      <c r="F62" s="37" t="s">
        <v>58</v>
      </c>
      <c r="G62" s="37">
        <f t="shared" si="12"/>
        <v>130.9968636759794</v>
      </c>
      <c r="H62" s="37" t="s">
        <v>58</v>
      </c>
      <c r="I62" s="37">
        <f t="shared" si="12"/>
        <v>131.04686367597938</v>
      </c>
    </row>
    <row r="63" spans="1:9" ht="27.6">
      <c r="A63" s="27" t="s">
        <v>46</v>
      </c>
      <c r="B63" s="37">
        <f t="shared" ref="B63:H63" si="13">B53-B58+B59-B60+B61-B34</f>
        <v>140.55376111369608</v>
      </c>
      <c r="C63" s="37" t="s">
        <v>58</v>
      </c>
      <c r="D63" s="37">
        <f t="shared" si="13"/>
        <v>141.26376111369606</v>
      </c>
      <c r="E63" s="37" t="s">
        <v>58</v>
      </c>
      <c r="F63" s="37">
        <f t="shared" si="13"/>
        <v>129.11139793761322</v>
      </c>
      <c r="G63" s="37" t="s">
        <v>58</v>
      </c>
      <c r="H63" s="37">
        <f t="shared" si="13"/>
        <v>127.3513979376132</v>
      </c>
      <c r="I63" s="37" t="s">
        <v>58</v>
      </c>
    </row>
    <row r="64" spans="1:9">
      <c r="A64" s="19" t="s">
        <v>41</v>
      </c>
      <c r="B64" s="49"/>
      <c r="C64" s="49"/>
      <c r="D64" s="49"/>
      <c r="E64" s="49"/>
      <c r="F64" s="49"/>
      <c r="G64" s="49"/>
      <c r="H64" s="49"/>
      <c r="I64" s="49"/>
    </row>
    <row r="65" spans="1:9" ht="27.6">
      <c r="A65" s="29" t="s">
        <v>102</v>
      </c>
      <c r="B65" s="34" t="s">
        <v>90</v>
      </c>
      <c r="C65" s="50">
        <f>10^(3+(C62-161.04+7.1*LOG10(20)-7.5*LOG10(5)+(24.37-3.7*(5/C$5)^2)*LOG10(C$5)-20*LOG10(C$4)+(3.2*(LOG10(11.75*C$6))^2-4.97))/(43.42-3.1*LOG10(C$5)))</f>
        <v>5002.2735449836473</v>
      </c>
      <c r="D65" s="34" t="s">
        <v>90</v>
      </c>
      <c r="E65" s="50">
        <f>10^(3+(E62-161.04+7.1*LOG10(20)-7.5*LOG10(5)+(24.37-3.7*(5/E$5)^2)*LOG10(E$5)-20*LOG10(E$4)+(3.2*(LOG10(11.75*E$6))^2-4.97))/(43.42-3.1*LOG10(E$5)))</f>
        <v>4296.9703344285608</v>
      </c>
      <c r="F65" s="34" t="s">
        <v>90</v>
      </c>
      <c r="G65" s="50">
        <f>10^(3+(G62-161.04+7.1*LOG10(20)-7.5*LOG10(5)+(24.37-3.7*(5/G$5)^2)*LOG10(G$5)-20*LOG10(G$4)+(3.2*(LOG10(11.75*G$6))^2-4.97))/(43.42-3.1*LOG10(G$5)))</f>
        <v>2381.8338385122202</v>
      </c>
      <c r="H65" s="34" t="s">
        <v>90</v>
      </c>
      <c r="I65" s="50">
        <f>10^(3+(I62-161.04+7.1*LOG10(20)-7.5*LOG10(5)+(24.37-3.7*(5/I$5)^2)*LOG10(I$5)-20*LOG10(I$4)+(3.2*(LOG10(11.75*I$6))^2-4.97))/(43.42-3.1*LOG10(I$5)))</f>
        <v>2388.9423982203398</v>
      </c>
    </row>
    <row r="66" spans="1:9" ht="30.6">
      <c r="A66" s="29" t="s">
        <v>143</v>
      </c>
      <c r="B66" s="50">
        <f>10^(3+(B63-161.04+7.1*LOG10(20)-7.5*LOG10(5)+(24.37-3.7*(5/B$5)^2)*LOG10(B$5)-20*LOG10(B$4)+(3.2*(LOG10(11.75*B$6))^2-4.97))/(43.42-3.1*LOG10(B$5)))</f>
        <v>4210.0329854575284</v>
      </c>
      <c r="C66" s="34" t="s">
        <v>90</v>
      </c>
      <c r="D66" s="50">
        <f>10^(3+(D63-161.04+7.1*LOG10(20)-7.5*LOG10(5)+(24.37-3.7*(5/D$5)^2)*LOG10(D$5)-20*LOG10(D$4)+(3.2*(LOG10(11.75*D$6))^2-4.97))/(43.42-3.1*LOG10(D$5)))</f>
        <v>4392.0106446185036</v>
      </c>
      <c r="E66" s="34" t="s">
        <v>90</v>
      </c>
      <c r="F66" s="51">
        <f>10^(3+(F63-161.04+12+7.1*LOG10(20)-7.5*LOG10(5)+(24.37-3.7*(5/F$5)^2)*LOG10(F$5)-20*LOG10(F$4)+(3.2*(LOG10(11.75*F$6))^2-4.97))/(43.42-3.1*LOG10(F$5)))</f>
        <v>4352.3074124048844</v>
      </c>
      <c r="G66" s="34" t="s">
        <v>90</v>
      </c>
      <c r="H66" s="50">
        <f>10^(3+(H63-161.04+12+7.1*LOG10(20)-7.5*LOG10(5)+(24.37-3.7*(5/H$5)^2)*LOG10(H$5)-20*LOG10(H$4)+(3.2*(LOG10(11.75*H$6))^2-4.97))/(43.42-3.1*LOG10(H$5)))</f>
        <v>3918.8903699770372</v>
      </c>
      <c r="I66" s="34" t="s">
        <v>90</v>
      </c>
    </row>
    <row r="67" spans="1:9" ht="16.8">
      <c r="A67" s="29" t="s">
        <v>96</v>
      </c>
      <c r="B67" s="34" t="s">
        <v>58</v>
      </c>
      <c r="C67" s="34">
        <f>PI()*(C65)^2</f>
        <v>78611258.100840911</v>
      </c>
      <c r="D67" s="34" t="s">
        <v>58</v>
      </c>
      <c r="E67" s="34">
        <f>PI()*(E65)^2</f>
        <v>58006222.415278964</v>
      </c>
      <c r="F67" s="34" t="s">
        <v>58</v>
      </c>
      <c r="G67" s="34">
        <f>PI()*(G65)^2</f>
        <v>17822671.17838186</v>
      </c>
      <c r="H67" s="34" t="s">
        <v>58</v>
      </c>
      <c r="I67" s="34">
        <f>PI()*(I65)^2</f>
        <v>17929213.10247815</v>
      </c>
    </row>
    <row r="68" spans="1:9" ht="16.8">
      <c r="A68" s="29" t="s">
        <v>97</v>
      </c>
      <c r="B68" s="34">
        <f>PI()*(B66)^2</f>
        <v>55682774.893163249</v>
      </c>
      <c r="C68" s="34" t="s">
        <v>58</v>
      </c>
      <c r="D68" s="34">
        <f>PI()*(D66)^2</f>
        <v>60600560.45920115</v>
      </c>
      <c r="E68" s="34" t="s">
        <v>58</v>
      </c>
      <c r="F68" s="34">
        <f>PI()*(F66)^2</f>
        <v>59509869.577651575</v>
      </c>
      <c r="G68" s="34" t="s">
        <v>58</v>
      </c>
      <c r="H68" s="34">
        <f>PI()*(H66)^2</f>
        <v>48247642.936956383</v>
      </c>
      <c r="I68" s="34" t="s">
        <v>58</v>
      </c>
    </row>
    <row r="70" spans="1:9">
      <c r="A70" s="48"/>
    </row>
  </sheetData>
  <mergeCells count="2">
    <mergeCell ref="B1:E1"/>
    <mergeCell ref="F1:I1"/>
  </mergeCells>
  <dataValidations count="1">
    <dataValidation type="list" allowBlank="1" showInputMessage="1" showErrorMessage="1" sqref="F34:I34 B26:E26">
      <formula1>"0,3"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zoomScale="70" zoomScaleNormal="70" workbookViewId="0"/>
  </sheetViews>
  <sheetFormatPr defaultColWidth="8.796875" defaultRowHeight="15.6"/>
  <cols>
    <col min="1" max="1" width="69" style="30" customWidth="1"/>
    <col min="2" max="2" width="22.69921875" style="39" bestFit="1" customWidth="1"/>
    <col min="3" max="3" width="18.296875" style="39" bestFit="1" customWidth="1"/>
    <col min="4" max="4" width="18.19921875" style="39" customWidth="1"/>
    <col min="5" max="5" width="18.69921875" style="39" customWidth="1"/>
    <col min="6" max="6" width="18.19921875" style="40" customWidth="1"/>
    <col min="7" max="7" width="18.5" style="40" customWidth="1"/>
    <col min="8" max="8" width="20" style="40" customWidth="1"/>
    <col min="9" max="9" width="18.296875" style="40" customWidth="1"/>
  </cols>
  <sheetData>
    <row r="1" spans="1:9">
      <c r="A1" s="46" t="s">
        <v>0</v>
      </c>
      <c r="B1" s="115" t="s">
        <v>47</v>
      </c>
      <c r="C1" s="115"/>
      <c r="D1" s="115"/>
      <c r="E1" s="116"/>
      <c r="F1" s="118" t="s">
        <v>49</v>
      </c>
      <c r="G1" s="118"/>
      <c r="H1" s="118"/>
      <c r="I1" s="118"/>
    </row>
    <row r="2" spans="1:9" ht="27.6">
      <c r="A2" s="17"/>
      <c r="B2" s="31" t="s">
        <v>48</v>
      </c>
      <c r="C2" s="31" t="s">
        <v>54</v>
      </c>
      <c r="D2" s="31" t="s">
        <v>52</v>
      </c>
      <c r="E2" s="31" t="s">
        <v>123</v>
      </c>
      <c r="F2" s="31" t="s">
        <v>50</v>
      </c>
      <c r="G2" s="31" t="s">
        <v>55</v>
      </c>
      <c r="H2" s="31" t="s">
        <v>56</v>
      </c>
      <c r="I2" s="31" t="s">
        <v>57</v>
      </c>
    </row>
    <row r="3" spans="1:9">
      <c r="A3" s="19" t="s">
        <v>1</v>
      </c>
      <c r="B3" s="49"/>
      <c r="C3" s="49"/>
      <c r="D3" s="49"/>
      <c r="E3" s="49"/>
      <c r="F3" s="49"/>
      <c r="G3" s="49"/>
      <c r="H3" s="49"/>
      <c r="I3" s="49"/>
    </row>
    <row r="4" spans="1:9">
      <c r="A4" s="20" t="s">
        <v>2</v>
      </c>
      <c r="B4" s="35">
        <v>2.2999999999999998</v>
      </c>
      <c r="C4" s="35">
        <v>2.2999999999999998</v>
      </c>
      <c r="D4" s="35">
        <v>2.2999999999999998</v>
      </c>
      <c r="E4" s="35">
        <v>2.2999999999999998</v>
      </c>
      <c r="F4" s="35">
        <v>2.2999999999999998</v>
      </c>
      <c r="G4" s="35">
        <v>2.2999999999999998</v>
      </c>
      <c r="H4" s="35">
        <v>2.2999999999999998</v>
      </c>
      <c r="I4" s="35">
        <v>2.2999999999999998</v>
      </c>
    </row>
    <row r="5" spans="1:9">
      <c r="A5" s="20" t="s">
        <v>3</v>
      </c>
      <c r="B5" s="50">
        <v>35</v>
      </c>
      <c r="C5" s="50">
        <v>35</v>
      </c>
      <c r="D5" s="50">
        <v>35</v>
      </c>
      <c r="E5" s="50">
        <v>35</v>
      </c>
      <c r="F5" s="50">
        <v>35</v>
      </c>
      <c r="G5" s="50">
        <v>35</v>
      </c>
      <c r="H5" s="50">
        <v>35</v>
      </c>
      <c r="I5" s="50">
        <v>35</v>
      </c>
    </row>
    <row r="6" spans="1:9">
      <c r="A6" s="20" t="s">
        <v>4</v>
      </c>
      <c r="B6" s="35">
        <v>1.5</v>
      </c>
      <c r="C6" s="50">
        <v>1.5</v>
      </c>
      <c r="D6" s="35">
        <v>1.5</v>
      </c>
      <c r="E6" s="50">
        <v>1.5</v>
      </c>
      <c r="F6" s="35">
        <v>1.5</v>
      </c>
      <c r="G6" s="50">
        <v>1.5</v>
      </c>
      <c r="H6" s="35">
        <v>1.5</v>
      </c>
      <c r="I6" s="50">
        <v>1.5</v>
      </c>
    </row>
    <row r="7" spans="1:9">
      <c r="A7" s="20" t="s">
        <v>145</v>
      </c>
      <c r="B7" s="21" t="s">
        <v>58</v>
      </c>
      <c r="C7" s="47">
        <v>0.95</v>
      </c>
      <c r="D7" s="21" t="s">
        <v>58</v>
      </c>
      <c r="E7" s="47">
        <v>0.95</v>
      </c>
      <c r="F7" s="47" t="s">
        <v>58</v>
      </c>
      <c r="G7" s="22">
        <v>0.95</v>
      </c>
      <c r="H7" s="47" t="s">
        <v>58</v>
      </c>
      <c r="I7" s="22">
        <v>0.95</v>
      </c>
    </row>
    <row r="8" spans="1:9">
      <c r="A8" s="20" t="s">
        <v>146</v>
      </c>
      <c r="B8" s="21">
        <v>0.9</v>
      </c>
      <c r="C8" s="47" t="s">
        <v>58</v>
      </c>
      <c r="D8" s="21">
        <v>0.9</v>
      </c>
      <c r="E8" s="47" t="s">
        <v>58</v>
      </c>
      <c r="F8" s="47">
        <v>0.9</v>
      </c>
      <c r="G8" s="22" t="s">
        <v>58</v>
      </c>
      <c r="H8" s="47">
        <v>0.9</v>
      </c>
      <c r="I8" s="22" t="s">
        <v>58</v>
      </c>
    </row>
    <row r="9" spans="1:9">
      <c r="A9" s="20" t="s">
        <v>5</v>
      </c>
      <c r="B9" s="33" t="s">
        <v>58</v>
      </c>
      <c r="C9" s="34">
        <f>64/(0.001)</f>
        <v>64000</v>
      </c>
      <c r="D9" s="33" t="s">
        <v>58</v>
      </c>
      <c r="E9" s="34">
        <f>64/(0.001)</f>
        <v>64000</v>
      </c>
      <c r="F9" s="50" t="s">
        <v>58</v>
      </c>
      <c r="G9" s="34">
        <f>2/(0.5*0.001)</f>
        <v>4000</v>
      </c>
      <c r="H9" s="50" t="s">
        <v>58</v>
      </c>
      <c r="I9" s="34">
        <f>2/(0.5*0.001)</f>
        <v>4000</v>
      </c>
    </row>
    <row r="10" spans="1:9">
      <c r="A10" s="20" t="s">
        <v>6</v>
      </c>
      <c r="B10" s="33">
        <f>2248233*3</f>
        <v>6744699</v>
      </c>
      <c r="C10" s="50" t="s">
        <v>58</v>
      </c>
      <c r="D10" s="33">
        <f>2248233*3</f>
        <v>6744699</v>
      </c>
      <c r="E10" s="50" t="s">
        <v>58</v>
      </c>
      <c r="F10" s="50">
        <f>74880*3</f>
        <v>224640</v>
      </c>
      <c r="G10" s="34" t="s">
        <v>58</v>
      </c>
      <c r="H10" s="50">
        <f>74880*3</f>
        <v>224640</v>
      </c>
      <c r="I10" s="34" t="s">
        <v>58</v>
      </c>
    </row>
    <row r="11" spans="1:9">
      <c r="A11" s="20" t="s">
        <v>7</v>
      </c>
      <c r="B11" s="21" t="s">
        <v>58</v>
      </c>
      <c r="C11" s="47">
        <v>0.01</v>
      </c>
      <c r="D11" s="21" t="s">
        <v>58</v>
      </c>
      <c r="E11" s="47">
        <v>0.01</v>
      </c>
      <c r="F11" s="47" t="s">
        <v>58</v>
      </c>
      <c r="G11" s="22">
        <v>0.01</v>
      </c>
      <c r="H11" s="47" t="s">
        <v>58</v>
      </c>
      <c r="I11" s="22">
        <v>0.01</v>
      </c>
    </row>
    <row r="12" spans="1:9">
      <c r="A12" s="20" t="s">
        <v>8</v>
      </c>
      <c r="B12" s="21">
        <v>0.1</v>
      </c>
      <c r="C12" s="47" t="s">
        <v>58</v>
      </c>
      <c r="D12" s="21">
        <v>0.1</v>
      </c>
      <c r="E12" s="47" t="s">
        <v>58</v>
      </c>
      <c r="F12" s="47">
        <v>0.1</v>
      </c>
      <c r="G12" s="22" t="s">
        <v>58</v>
      </c>
      <c r="H12" s="47">
        <v>0.1</v>
      </c>
      <c r="I12" s="22" t="s">
        <v>58</v>
      </c>
    </row>
    <row r="13" spans="1:9">
      <c r="A13" s="20" t="s">
        <v>91</v>
      </c>
      <c r="B13" s="33">
        <f>B10/(B42*(4+2*11/14+1/14)/10)</f>
        <v>0.65101476793248958</v>
      </c>
      <c r="C13" s="50" t="s">
        <v>58</v>
      </c>
      <c r="D13" s="33">
        <f>D10/(D42*(4+2*11/14+1/14)/10)</f>
        <v>0.65101476793248958</v>
      </c>
      <c r="E13" s="50" t="s">
        <v>58</v>
      </c>
      <c r="F13" s="33">
        <f>F10/(F42*(4+2*2/14+1/14)/10)</f>
        <v>0.35803278688524592</v>
      </c>
      <c r="G13" s="34" t="s">
        <v>58</v>
      </c>
      <c r="H13" s="33">
        <f>H10/(H42*(4+2*2/14+1/14)/10)</f>
        <v>0.35803278688524592</v>
      </c>
      <c r="I13" s="34" t="s">
        <v>58</v>
      </c>
    </row>
    <row r="14" spans="1:9">
      <c r="A14" s="20" t="s">
        <v>92</v>
      </c>
      <c r="B14" s="50" t="s">
        <v>106</v>
      </c>
      <c r="C14" s="50" t="s">
        <v>106</v>
      </c>
      <c r="D14" s="50" t="s">
        <v>107</v>
      </c>
      <c r="E14" s="50" t="s">
        <v>107</v>
      </c>
      <c r="F14" s="50" t="s">
        <v>106</v>
      </c>
      <c r="G14" s="50" t="s">
        <v>106</v>
      </c>
      <c r="H14" s="50" t="s">
        <v>107</v>
      </c>
      <c r="I14" s="50" t="s">
        <v>107</v>
      </c>
    </row>
    <row r="15" spans="1:9">
      <c r="A15" s="20" t="s">
        <v>87</v>
      </c>
      <c r="B15" s="33">
        <v>120</v>
      </c>
      <c r="C15" s="34">
        <v>120</v>
      </c>
      <c r="D15" s="33">
        <v>3</v>
      </c>
      <c r="E15" s="34">
        <v>3</v>
      </c>
      <c r="F15" s="33">
        <v>120</v>
      </c>
      <c r="G15" s="34">
        <v>120</v>
      </c>
      <c r="H15" s="34">
        <v>3</v>
      </c>
      <c r="I15" s="34">
        <v>3</v>
      </c>
    </row>
    <row r="16" spans="1:9">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27.6">
      <c r="A18" s="20" t="s">
        <v>85</v>
      </c>
      <c r="B18" s="33">
        <v>64</v>
      </c>
      <c r="C18" s="50">
        <v>64</v>
      </c>
      <c r="D18" s="33">
        <v>64</v>
      </c>
      <c r="E18" s="50">
        <v>64</v>
      </c>
      <c r="F18" s="34">
        <v>1</v>
      </c>
      <c r="G18" s="50">
        <v>1</v>
      </c>
      <c r="H18" s="34">
        <v>1</v>
      </c>
      <c r="I18" s="50">
        <v>1</v>
      </c>
    </row>
    <row r="19" spans="1:9">
      <c r="A19" s="20" t="s">
        <v>108</v>
      </c>
      <c r="B19" s="33">
        <v>2</v>
      </c>
      <c r="C19" s="50">
        <v>2</v>
      </c>
      <c r="D19" s="33">
        <v>2</v>
      </c>
      <c r="E19" s="50">
        <v>2</v>
      </c>
      <c r="F19" s="34">
        <v>1</v>
      </c>
      <c r="G19" s="50">
        <v>1</v>
      </c>
      <c r="H19" s="34">
        <v>1</v>
      </c>
      <c r="I19" s="50">
        <v>1</v>
      </c>
    </row>
    <row r="20" spans="1:9">
      <c r="A20" s="20" t="s">
        <v>11</v>
      </c>
      <c r="B20" s="33">
        <v>31</v>
      </c>
      <c r="C20" s="50">
        <v>31</v>
      </c>
      <c r="D20" s="33">
        <v>31</v>
      </c>
      <c r="E20" s="50">
        <v>31</v>
      </c>
      <c r="F20" s="34">
        <v>23</v>
      </c>
      <c r="G20" s="50">
        <v>23</v>
      </c>
      <c r="H20" s="34">
        <v>23</v>
      </c>
      <c r="I20" s="50">
        <v>23</v>
      </c>
    </row>
    <row r="21" spans="1:9" ht="30.6">
      <c r="A21" s="41" t="s">
        <v>142</v>
      </c>
      <c r="B21" s="38">
        <f t="shared" ref="B21:I21" si="0">B20+10*LOG10(B18)</f>
        <v>49.061799739838875</v>
      </c>
      <c r="C21" s="38">
        <f t="shared" si="0"/>
        <v>49.061799739838875</v>
      </c>
      <c r="D21" s="38">
        <f t="shared" si="0"/>
        <v>49.061799739838875</v>
      </c>
      <c r="E21" s="38">
        <f t="shared" si="0"/>
        <v>49.061799739838875</v>
      </c>
      <c r="F21" s="38">
        <v>26</v>
      </c>
      <c r="G21" s="38">
        <f t="shared" si="0"/>
        <v>23</v>
      </c>
      <c r="H21" s="38">
        <v>26</v>
      </c>
      <c r="I21" s="38">
        <f t="shared" si="0"/>
        <v>23</v>
      </c>
    </row>
    <row r="22" spans="1:9">
      <c r="A22" s="20" t="s">
        <v>12</v>
      </c>
      <c r="B22" s="33">
        <v>8</v>
      </c>
      <c r="C22" s="50">
        <v>8</v>
      </c>
      <c r="D22" s="33">
        <v>8</v>
      </c>
      <c r="E22" s="50">
        <v>8</v>
      </c>
      <c r="F22" s="34">
        <v>0</v>
      </c>
      <c r="G22" s="50">
        <v>0</v>
      </c>
      <c r="H22" s="34">
        <v>0</v>
      </c>
      <c r="I22" s="50">
        <v>0</v>
      </c>
    </row>
    <row r="23" spans="1:9" ht="27.6">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3">
        <v>3</v>
      </c>
      <c r="D26" s="33">
        <v>3</v>
      </c>
      <c r="E26" s="33">
        <v>3</v>
      </c>
      <c r="F26" s="33">
        <v>1</v>
      </c>
      <c r="G26" s="33">
        <v>1</v>
      </c>
      <c r="H26" s="33">
        <v>1</v>
      </c>
      <c r="I26" s="33">
        <v>1</v>
      </c>
    </row>
    <row r="27" spans="1:9">
      <c r="A27" s="25" t="s">
        <v>17</v>
      </c>
      <c r="B27" s="37">
        <f t="shared" ref="B27:I27" si="2">B21+B22+B23+B24-B26</f>
        <v>69.113299523037938</v>
      </c>
      <c r="C27" s="37">
        <f t="shared" si="2"/>
        <v>69.113299523037938</v>
      </c>
      <c r="D27" s="37">
        <f t="shared" si="2"/>
        <v>69.113299523037938</v>
      </c>
      <c r="E27" s="37">
        <f t="shared" si="2"/>
        <v>69.113299523037938</v>
      </c>
      <c r="F27" s="37">
        <f t="shared" si="2"/>
        <v>25</v>
      </c>
      <c r="G27" s="37">
        <f t="shared" si="2"/>
        <v>22</v>
      </c>
      <c r="H27" s="37">
        <f t="shared" si="2"/>
        <v>25</v>
      </c>
      <c r="I27" s="37">
        <f t="shared" si="2"/>
        <v>22</v>
      </c>
    </row>
    <row r="28" spans="1:9">
      <c r="A28" s="25" t="s">
        <v>18</v>
      </c>
      <c r="B28" s="37">
        <f t="shared" ref="B28:I28" si="3">B21+B22+B23-B25-B26</f>
        <v>69.113299523037938</v>
      </c>
      <c r="C28" s="37">
        <f t="shared" si="3"/>
        <v>69.113299523037938</v>
      </c>
      <c r="D28" s="37">
        <f t="shared" si="3"/>
        <v>69.113299523037938</v>
      </c>
      <c r="E28" s="37">
        <f t="shared" si="3"/>
        <v>69.113299523037938</v>
      </c>
      <c r="F28" s="37">
        <f t="shared" si="3"/>
        <v>25</v>
      </c>
      <c r="G28" s="37">
        <f t="shared" si="3"/>
        <v>22</v>
      </c>
      <c r="H28" s="37">
        <f t="shared" si="3"/>
        <v>25</v>
      </c>
      <c r="I28" s="37">
        <f t="shared" si="3"/>
        <v>22</v>
      </c>
    </row>
    <row r="29" spans="1:9">
      <c r="A29" s="19" t="s">
        <v>19</v>
      </c>
      <c r="B29" s="49"/>
      <c r="C29" s="49"/>
      <c r="D29" s="49"/>
      <c r="E29" s="49"/>
      <c r="F29" s="49"/>
      <c r="G29" s="49"/>
      <c r="H29" s="49"/>
      <c r="I29" s="49"/>
    </row>
    <row r="30" spans="1:9" ht="27.6">
      <c r="A30" s="20" t="s">
        <v>84</v>
      </c>
      <c r="B30" s="33">
        <v>2</v>
      </c>
      <c r="C30" s="50">
        <v>2</v>
      </c>
      <c r="D30" s="33">
        <v>2</v>
      </c>
      <c r="E30" s="50">
        <v>2</v>
      </c>
      <c r="F30" s="50">
        <v>64</v>
      </c>
      <c r="G30" s="50">
        <v>64</v>
      </c>
      <c r="H30" s="50">
        <v>64</v>
      </c>
      <c r="I30" s="50">
        <v>64</v>
      </c>
    </row>
    <row r="31" spans="1:9">
      <c r="A31" s="20" t="s">
        <v>127</v>
      </c>
      <c r="B31" s="33">
        <v>2</v>
      </c>
      <c r="C31" s="50">
        <v>2</v>
      </c>
      <c r="D31" s="33">
        <v>2</v>
      </c>
      <c r="E31" s="50">
        <v>2</v>
      </c>
      <c r="F31" s="50">
        <v>2</v>
      </c>
      <c r="G31" s="50">
        <v>2</v>
      </c>
      <c r="H31" s="50">
        <v>2</v>
      </c>
      <c r="I31" s="50">
        <v>2</v>
      </c>
    </row>
    <row r="32" spans="1:9">
      <c r="A32" s="20" t="s">
        <v>20</v>
      </c>
      <c r="B32" s="33">
        <v>0</v>
      </c>
      <c r="C32" s="50">
        <v>0</v>
      </c>
      <c r="D32" s="33">
        <v>0</v>
      </c>
      <c r="E32" s="50">
        <v>0</v>
      </c>
      <c r="F32" s="50">
        <v>8</v>
      </c>
      <c r="G32" s="50">
        <v>8</v>
      </c>
      <c r="H32" s="50">
        <v>8</v>
      </c>
      <c r="I32" s="50">
        <v>8</v>
      </c>
    </row>
    <row r="33" spans="1:9" ht="27.6">
      <c r="A33" s="26" t="s">
        <v>88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27.6">
      <c r="A34" s="20" t="s">
        <v>21</v>
      </c>
      <c r="B34" s="33">
        <v>1</v>
      </c>
      <c r="C34" s="35">
        <v>1</v>
      </c>
      <c r="D34" s="33">
        <v>1</v>
      </c>
      <c r="E34" s="35">
        <v>1</v>
      </c>
      <c r="F34" s="33">
        <v>3</v>
      </c>
      <c r="G34" s="33">
        <v>3</v>
      </c>
      <c r="H34" s="33">
        <v>3</v>
      </c>
      <c r="I34" s="33">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c r="A37" s="20" t="s">
        <v>147</v>
      </c>
      <c r="B37" s="33" t="s">
        <v>58</v>
      </c>
      <c r="C37" s="34">
        <v>-169.3</v>
      </c>
      <c r="D37" s="33" t="s">
        <v>58</v>
      </c>
      <c r="E37" s="34">
        <v>-169.3</v>
      </c>
      <c r="F37" s="34" t="s">
        <v>58</v>
      </c>
      <c r="G37" s="34">
        <v>-161.69999999999999</v>
      </c>
      <c r="H37" s="34" t="s">
        <v>58</v>
      </c>
      <c r="I37" s="34">
        <v>-161.69999999999999</v>
      </c>
    </row>
    <row r="38" spans="1:9">
      <c r="A38" s="20" t="s">
        <v>24</v>
      </c>
      <c r="B38" s="33">
        <v>-169.3</v>
      </c>
      <c r="C38" s="34" t="s">
        <v>58</v>
      </c>
      <c r="D38" s="33">
        <v>-169.3</v>
      </c>
      <c r="E38" s="34" t="s">
        <v>58</v>
      </c>
      <c r="F38" s="34">
        <v>-165.7</v>
      </c>
      <c r="G38" s="34" t="s">
        <v>58</v>
      </c>
      <c r="H38" s="34">
        <v>-165.7</v>
      </c>
      <c r="I38" s="34" t="s">
        <v>58</v>
      </c>
    </row>
    <row r="39" spans="1:9" ht="27.6">
      <c r="A39" s="27" t="s">
        <v>148</v>
      </c>
      <c r="B39" s="37" t="s">
        <v>58</v>
      </c>
      <c r="C39" s="37">
        <f t="shared" ref="C39:I39" si="5">10*LOG10(10^((C35+C36)/10)+10^(C37/10))</f>
        <v>-164.98918835931039</v>
      </c>
      <c r="D39" s="37" t="s">
        <v>58</v>
      </c>
      <c r="E39" s="37">
        <f t="shared" si="5"/>
        <v>-164.98918835931039</v>
      </c>
      <c r="F39" s="37" t="s">
        <v>58</v>
      </c>
      <c r="G39" s="37">
        <f t="shared" si="5"/>
        <v>-160.9583889004532</v>
      </c>
      <c r="H39" s="37" t="s">
        <v>58</v>
      </c>
      <c r="I39" s="37">
        <f t="shared" si="5"/>
        <v>-160.9583889004532</v>
      </c>
    </row>
    <row r="40" spans="1:9" ht="27.6">
      <c r="A40" s="27" t="s">
        <v>149</v>
      </c>
      <c r="B40" s="37">
        <f t="shared" ref="B40:H40" si="6">10*LOG10(10^((B35+B36)/10)+10^(B38/10))</f>
        <v>-164.98918835931039</v>
      </c>
      <c r="C40" s="37" t="s">
        <v>58</v>
      </c>
      <c r="D40" s="37">
        <f t="shared" si="6"/>
        <v>-164.98918835931039</v>
      </c>
      <c r="E40" s="37" t="s">
        <v>58</v>
      </c>
      <c r="F40" s="37">
        <f t="shared" si="6"/>
        <v>-164.03352307536667</v>
      </c>
      <c r="G40" s="37" t="s">
        <v>58</v>
      </c>
      <c r="H40" s="37">
        <f t="shared" si="6"/>
        <v>-164.03352307536667</v>
      </c>
      <c r="I40" s="37" t="s">
        <v>58</v>
      </c>
    </row>
    <row r="41" spans="1:9" ht="27.6">
      <c r="A41" s="20" t="s">
        <v>25</v>
      </c>
      <c r="B41" s="33" t="s">
        <v>58</v>
      </c>
      <c r="C41" s="33">
        <f>MaxN_RB!F6*12*15*1000</f>
        <v>19080000</v>
      </c>
      <c r="D41" s="33" t="s">
        <v>58</v>
      </c>
      <c r="E41" s="33">
        <f>MaxN_RB!F6*12*15*1000</f>
        <v>19080000</v>
      </c>
      <c r="F41" s="50" t="s">
        <v>58</v>
      </c>
      <c r="G41" s="34">
        <f>1*12*30*1000</f>
        <v>360000</v>
      </c>
      <c r="H41" s="50" t="s">
        <v>58</v>
      </c>
      <c r="I41" s="34">
        <f>1*12*30*1000</f>
        <v>360000</v>
      </c>
    </row>
    <row r="42" spans="1:9" ht="27.6">
      <c r="A42" s="20" t="s">
        <v>26</v>
      </c>
      <c r="B42" s="33">
        <f>MaxN_RB!F7*12*30*1000</f>
        <v>18360000</v>
      </c>
      <c r="C42" s="50" t="s">
        <v>58</v>
      </c>
      <c r="D42" s="33">
        <f>MaxN_RB!F7*12*30*1000</f>
        <v>18360000</v>
      </c>
      <c r="E42" s="50" t="s">
        <v>58</v>
      </c>
      <c r="F42" s="33">
        <f>4*12*30*1000</f>
        <v>1440000</v>
      </c>
      <c r="G42" s="34" t="s">
        <v>58</v>
      </c>
      <c r="H42" s="33">
        <f>4*12*30*1000</f>
        <v>1440000</v>
      </c>
      <c r="I42" s="34" t="s">
        <v>58</v>
      </c>
    </row>
    <row r="43" spans="1:9">
      <c r="A43" s="25" t="s">
        <v>27</v>
      </c>
      <c r="B43" s="37" t="s">
        <v>58</v>
      </c>
      <c r="C43" s="37">
        <f t="shared" ref="B43:I44" si="7">C39+10*LOG10(C41)</f>
        <v>-92.18340465562963</v>
      </c>
      <c r="D43" s="37" t="s">
        <v>58</v>
      </c>
      <c r="E43" s="37">
        <f t="shared" si="7"/>
        <v>-92.18340465562963</v>
      </c>
      <c r="F43" s="37" t="s">
        <v>58</v>
      </c>
      <c r="G43" s="37">
        <f t="shared" si="7"/>
        <v>-105.39536389278032</v>
      </c>
      <c r="H43" s="37" t="s">
        <v>58</v>
      </c>
      <c r="I43" s="37">
        <f t="shared" si="7"/>
        <v>-105.39536389278032</v>
      </c>
    </row>
    <row r="44" spans="1:9">
      <c r="A44" s="25" t="s">
        <v>28</v>
      </c>
      <c r="B44" s="37">
        <f t="shared" si="7"/>
        <v>-92.350461590658156</v>
      </c>
      <c r="C44" s="37" t="s">
        <v>58</v>
      </c>
      <c r="D44" s="37">
        <f t="shared" si="7"/>
        <v>-92.350461590658156</v>
      </c>
      <c r="E44" s="37" t="s">
        <v>58</v>
      </c>
      <c r="F44" s="37">
        <f t="shared" si="7"/>
        <v>-102.44989815441417</v>
      </c>
      <c r="G44" s="37" t="s">
        <v>58</v>
      </c>
      <c r="H44" s="37">
        <f t="shared" si="7"/>
        <v>-102.44989815441417</v>
      </c>
      <c r="I44" s="37" t="s">
        <v>58</v>
      </c>
    </row>
    <row r="45" spans="1:9">
      <c r="A45" s="20" t="s">
        <v>29</v>
      </c>
      <c r="B45" s="33" t="s">
        <v>58</v>
      </c>
      <c r="C45" s="75">
        <v>-4.5999999999999996</v>
      </c>
      <c r="D45" s="75" t="s">
        <v>58</v>
      </c>
      <c r="E45" s="75">
        <v>-4.5</v>
      </c>
      <c r="F45" s="33" t="s">
        <v>58</v>
      </c>
      <c r="G45" s="75">
        <v>-5</v>
      </c>
      <c r="H45" s="75" t="s">
        <v>58</v>
      </c>
      <c r="I45" s="75">
        <v>-7.5</v>
      </c>
    </row>
    <row r="46" spans="1:9">
      <c r="A46" s="20" t="s">
        <v>30</v>
      </c>
      <c r="B46" s="33">
        <v>2.8</v>
      </c>
      <c r="C46" s="33" t="s">
        <v>58</v>
      </c>
      <c r="D46" s="33">
        <v>-0.5</v>
      </c>
      <c r="E46" s="33" t="s">
        <v>58</v>
      </c>
      <c r="F46" s="75">
        <v>1.28</v>
      </c>
      <c r="G46" s="33" t="s">
        <v>58</v>
      </c>
      <c r="H46" s="75">
        <v>0.45</v>
      </c>
      <c r="I46" s="33" t="s">
        <v>58</v>
      </c>
    </row>
    <row r="47" spans="1:9">
      <c r="A47" s="20" t="s">
        <v>31</v>
      </c>
      <c r="B47" s="33">
        <v>2</v>
      </c>
      <c r="C47" s="34">
        <v>2</v>
      </c>
      <c r="D47" s="33">
        <v>2</v>
      </c>
      <c r="E47" s="34">
        <v>2</v>
      </c>
      <c r="F47" s="50">
        <v>2</v>
      </c>
      <c r="G47" s="34">
        <v>2</v>
      </c>
      <c r="H47" s="50">
        <v>2</v>
      </c>
      <c r="I47" s="34">
        <v>2</v>
      </c>
    </row>
    <row r="48" spans="1:9">
      <c r="A48" s="20" t="s">
        <v>32</v>
      </c>
      <c r="B48" s="33" t="s">
        <v>58</v>
      </c>
      <c r="C48" s="34">
        <v>0</v>
      </c>
      <c r="D48" s="33" t="s">
        <v>58</v>
      </c>
      <c r="E48" s="34">
        <v>0</v>
      </c>
      <c r="F48" s="50" t="s">
        <v>58</v>
      </c>
      <c r="G48" s="34">
        <v>0</v>
      </c>
      <c r="H48" s="50" t="s">
        <v>58</v>
      </c>
      <c r="I48" s="34">
        <v>0</v>
      </c>
    </row>
    <row r="49" spans="1:9">
      <c r="A49" s="20" t="s">
        <v>33</v>
      </c>
      <c r="B49" s="33">
        <v>0.5</v>
      </c>
      <c r="C49" s="34" t="s">
        <v>58</v>
      </c>
      <c r="D49" s="33">
        <v>0.5</v>
      </c>
      <c r="E49" s="34" t="s">
        <v>58</v>
      </c>
      <c r="F49" s="50">
        <v>0.5</v>
      </c>
      <c r="G49" s="34" t="s">
        <v>58</v>
      </c>
      <c r="H49" s="50">
        <v>0.5</v>
      </c>
      <c r="I49" s="34" t="s">
        <v>58</v>
      </c>
    </row>
    <row r="50" spans="1:9">
      <c r="A50" s="27" t="s">
        <v>44</v>
      </c>
      <c r="B50" s="37" t="s">
        <v>58</v>
      </c>
      <c r="C50" s="37">
        <f t="shared" ref="C50:I50" si="8">C43+C45+C47-C48</f>
        <v>-94.783404655629624</v>
      </c>
      <c r="D50" s="37" t="s">
        <v>58</v>
      </c>
      <c r="E50" s="37">
        <f t="shared" si="8"/>
        <v>-94.68340465562963</v>
      </c>
      <c r="F50" s="37" t="s">
        <v>58</v>
      </c>
      <c r="G50" s="37">
        <f t="shared" si="8"/>
        <v>-108.39536389278032</v>
      </c>
      <c r="H50" s="37" t="s">
        <v>58</v>
      </c>
      <c r="I50" s="37">
        <f t="shared" si="8"/>
        <v>-110.89536389278032</v>
      </c>
    </row>
    <row r="51" spans="1:9">
      <c r="A51" s="27" t="s">
        <v>45</v>
      </c>
      <c r="B51" s="37">
        <f>B44+B46+B47-B49</f>
        <v>-88.050461590658159</v>
      </c>
      <c r="C51" s="37" t="s">
        <v>58</v>
      </c>
      <c r="D51" s="37">
        <f t="shared" ref="D51:H51" si="9">D44+D46+D47-D49</f>
        <v>-91.350461590658156</v>
      </c>
      <c r="E51" s="37" t="s">
        <v>58</v>
      </c>
      <c r="F51" s="37">
        <f t="shared" si="9"/>
        <v>-99.66989815441417</v>
      </c>
      <c r="G51" s="37" t="s">
        <v>58</v>
      </c>
      <c r="H51" s="37">
        <f t="shared" si="9"/>
        <v>-100.49989815441417</v>
      </c>
      <c r="I51" s="37" t="s">
        <v>58</v>
      </c>
    </row>
    <row r="52" spans="1:9">
      <c r="A52" s="27" t="s">
        <v>101</v>
      </c>
      <c r="B52" s="37" t="s">
        <v>58</v>
      </c>
      <c r="C52" s="37">
        <f t="shared" ref="C52:I52" si="10">C27+C32+C33-C50</f>
        <v>163.89670417866756</v>
      </c>
      <c r="D52" s="37" t="s">
        <v>58</v>
      </c>
      <c r="E52" s="37">
        <f t="shared" si="10"/>
        <v>163.79670417866757</v>
      </c>
      <c r="F52" s="37" t="s">
        <v>58</v>
      </c>
      <c r="G52" s="37">
        <f t="shared" si="10"/>
        <v>153.44686367597939</v>
      </c>
      <c r="H52" s="37" t="s">
        <v>58</v>
      </c>
      <c r="I52" s="37">
        <f t="shared" si="10"/>
        <v>155.94686367597939</v>
      </c>
    </row>
    <row r="53" spans="1:9">
      <c r="A53" s="27" t="s">
        <v>94</v>
      </c>
      <c r="B53" s="37">
        <f t="shared" ref="B53:H53" si="11">B28+B32+B33-B51</f>
        <v>157.1637611136961</v>
      </c>
      <c r="C53" s="37" t="s">
        <v>58</v>
      </c>
      <c r="D53" s="37">
        <f t="shared" si="11"/>
        <v>160.46376111369608</v>
      </c>
      <c r="E53" s="37" t="s">
        <v>58</v>
      </c>
      <c r="F53" s="37">
        <f t="shared" si="11"/>
        <v>147.72139793761323</v>
      </c>
      <c r="G53" s="37" t="s">
        <v>58</v>
      </c>
      <c r="H53" s="37">
        <f t="shared" si="11"/>
        <v>148.55139793761322</v>
      </c>
      <c r="I53" s="37" t="s">
        <v>58</v>
      </c>
    </row>
    <row r="54" spans="1:9">
      <c r="A54" s="19" t="s">
        <v>34</v>
      </c>
      <c r="B54" s="49"/>
      <c r="C54" s="49"/>
      <c r="D54" s="49"/>
      <c r="E54" s="49"/>
      <c r="F54" s="49"/>
      <c r="G54" s="49"/>
      <c r="H54" s="49"/>
      <c r="I54" s="49"/>
    </row>
    <row r="55" spans="1:9">
      <c r="A55" s="20" t="s">
        <v>35</v>
      </c>
      <c r="B55" s="50">
        <v>8</v>
      </c>
      <c r="C55" s="50">
        <v>8</v>
      </c>
      <c r="D55" s="50">
        <v>8</v>
      </c>
      <c r="E55" s="50">
        <v>8</v>
      </c>
      <c r="F55" s="50">
        <v>8</v>
      </c>
      <c r="G55" s="50">
        <v>8</v>
      </c>
      <c r="H55" s="50">
        <v>8</v>
      </c>
      <c r="I55" s="50">
        <v>8</v>
      </c>
    </row>
    <row r="56" spans="1:9" ht="16.8">
      <c r="A56" s="28" t="s">
        <v>95</v>
      </c>
      <c r="B56" s="50"/>
      <c r="C56" s="50"/>
      <c r="D56" s="50"/>
      <c r="E56" s="50"/>
      <c r="F56" s="50"/>
      <c r="G56" s="50"/>
      <c r="H56" s="50"/>
      <c r="I56" s="50"/>
    </row>
    <row r="57" spans="1:9" ht="27.6">
      <c r="A57" s="20" t="s">
        <v>36</v>
      </c>
      <c r="B57" s="50" t="s">
        <v>58</v>
      </c>
      <c r="C57" s="50">
        <v>10.45</v>
      </c>
      <c r="D57" s="50" t="s">
        <v>58</v>
      </c>
      <c r="E57" s="50">
        <v>10</v>
      </c>
      <c r="F57" s="50" t="s">
        <v>58</v>
      </c>
      <c r="G57" s="50">
        <v>10.45</v>
      </c>
      <c r="H57" s="50" t="s">
        <v>58</v>
      </c>
      <c r="I57" s="50">
        <v>10</v>
      </c>
    </row>
    <row r="58" spans="1:9" ht="27.6">
      <c r="A58" s="20" t="s">
        <v>37</v>
      </c>
      <c r="B58" s="50">
        <v>6.61</v>
      </c>
      <c r="C58" s="50" t="s">
        <v>58</v>
      </c>
      <c r="D58" s="50">
        <v>6.3</v>
      </c>
      <c r="E58" s="50" t="s">
        <v>58</v>
      </c>
      <c r="F58" s="50">
        <v>6.61</v>
      </c>
      <c r="G58" s="50" t="s">
        <v>58</v>
      </c>
      <c r="H58" s="50">
        <v>6.3</v>
      </c>
      <c r="I58" s="50" t="s">
        <v>58</v>
      </c>
    </row>
    <row r="59" spans="1:9">
      <c r="A59" s="20" t="s">
        <v>38</v>
      </c>
      <c r="B59" s="50">
        <v>0</v>
      </c>
      <c r="C59" s="50">
        <v>0</v>
      </c>
      <c r="D59" s="50">
        <v>0</v>
      </c>
      <c r="E59" s="50">
        <v>0</v>
      </c>
      <c r="F59" s="50">
        <v>0</v>
      </c>
      <c r="G59" s="50">
        <v>0</v>
      </c>
      <c r="H59" s="50">
        <v>0</v>
      </c>
      <c r="I59" s="50">
        <v>0</v>
      </c>
    </row>
    <row r="60" spans="1:9">
      <c r="A60" s="20" t="s">
        <v>39</v>
      </c>
      <c r="B60" s="33">
        <v>9</v>
      </c>
      <c r="C60" s="33">
        <v>9</v>
      </c>
      <c r="D60" s="35">
        <v>11.9</v>
      </c>
      <c r="E60" s="35">
        <v>11.9</v>
      </c>
      <c r="F60" s="33">
        <v>9</v>
      </c>
      <c r="G60" s="33">
        <v>9</v>
      </c>
      <c r="H60" s="35">
        <v>11.9</v>
      </c>
      <c r="I60" s="35">
        <v>11.9</v>
      </c>
    </row>
    <row r="61" spans="1:9">
      <c r="A61" s="20" t="s">
        <v>40</v>
      </c>
      <c r="B61" s="50">
        <v>0</v>
      </c>
      <c r="C61" s="50">
        <v>0</v>
      </c>
      <c r="D61" s="50">
        <v>0</v>
      </c>
      <c r="E61" s="50">
        <v>0</v>
      </c>
      <c r="F61" s="50">
        <v>0</v>
      </c>
      <c r="G61" s="50">
        <v>0</v>
      </c>
      <c r="H61" s="50">
        <v>0</v>
      </c>
      <c r="I61" s="50">
        <v>0</v>
      </c>
    </row>
    <row r="62" spans="1:9" ht="27.6">
      <c r="A62" s="27" t="s">
        <v>51</v>
      </c>
      <c r="B62" s="37" t="s">
        <v>58</v>
      </c>
      <c r="C62" s="37">
        <f t="shared" ref="C62:I62" si="12">C52-C57+C59-C60+C61-C34</f>
        <v>143.44670417866757</v>
      </c>
      <c r="D62" s="37" t="s">
        <v>58</v>
      </c>
      <c r="E62" s="37">
        <f t="shared" si="12"/>
        <v>140.89670417866756</v>
      </c>
      <c r="F62" s="37" t="s">
        <v>58</v>
      </c>
      <c r="G62" s="37">
        <f t="shared" si="12"/>
        <v>130.9968636759794</v>
      </c>
      <c r="H62" s="37" t="s">
        <v>58</v>
      </c>
      <c r="I62" s="37">
        <f t="shared" si="12"/>
        <v>131.04686367597938</v>
      </c>
    </row>
    <row r="63" spans="1:9" ht="27.6">
      <c r="A63" s="27" t="s">
        <v>46</v>
      </c>
      <c r="B63" s="37">
        <f t="shared" ref="B63:H63" si="13">B53-B58+B59-B60+B61-B34</f>
        <v>140.55376111369608</v>
      </c>
      <c r="C63" s="37" t="s">
        <v>58</v>
      </c>
      <c r="D63" s="37">
        <f t="shared" si="13"/>
        <v>141.26376111369606</v>
      </c>
      <c r="E63" s="37" t="s">
        <v>58</v>
      </c>
      <c r="F63" s="37">
        <f t="shared" si="13"/>
        <v>129.11139793761322</v>
      </c>
      <c r="G63" s="37" t="s">
        <v>58</v>
      </c>
      <c r="H63" s="37">
        <f t="shared" si="13"/>
        <v>127.3513979376132</v>
      </c>
      <c r="I63" s="37" t="s">
        <v>58</v>
      </c>
    </row>
    <row r="64" spans="1:9">
      <c r="A64" s="19" t="s">
        <v>41</v>
      </c>
      <c r="B64" s="49"/>
      <c r="C64" s="49"/>
      <c r="D64" s="49"/>
      <c r="E64" s="49"/>
      <c r="F64" s="49"/>
      <c r="G64" s="49"/>
      <c r="H64" s="49"/>
      <c r="I64" s="49"/>
    </row>
    <row r="65" spans="1:9" ht="27.6">
      <c r="A65" s="29" t="s">
        <v>102</v>
      </c>
      <c r="B65" s="34" t="s">
        <v>90</v>
      </c>
      <c r="C65" s="50">
        <f>10^(3+(C62-161.04+7.1*LOG10(20)-7.5*LOG10(5)+(24.37-3.7*(5/C$5)^2)*LOG10(C$5)-20*LOG10(C$4)+(3.2*(LOG10(11.75*C$6))^2-4.97))/(43.42-3.1*LOG10(C$5)))</f>
        <v>2702.1842092488437</v>
      </c>
      <c r="D65" s="34" t="s">
        <v>90</v>
      </c>
      <c r="E65" s="50">
        <f>10^(3+(E62-161.04+7.1*LOG10(20)-7.5*LOG10(5)+(24.37-3.7*(5/E$5)^2)*LOG10(E$5)-20*LOG10(E$4)+(3.2*(LOG10(11.75*E$6))^2-4.97))/(43.42-3.1*LOG10(E$5)))</f>
        <v>2321.1856130793699</v>
      </c>
      <c r="F65" s="34" t="s">
        <v>90</v>
      </c>
      <c r="G65" s="50">
        <f>10^(3+(G62-161.04+7.1*LOG10(20)-7.5*LOG10(5)+(24.37-3.7*(5/G$5)^2)*LOG10(G$5)-20*LOG10(G$4)+(3.2*(LOG10(11.75*G$6))^2-4.97))/(43.42-3.1*LOG10(G$5)))</f>
        <v>1286.6457081173744</v>
      </c>
      <c r="H65" s="34" t="s">
        <v>90</v>
      </c>
      <c r="I65" s="50">
        <f>10^(3+(I62-161.04+7.1*LOG10(20)-7.5*LOG10(5)+(24.37-3.7*(5/I$5)^2)*LOG10(I$5)-20*LOG10(I$4)+(3.2*(LOG10(11.75*I$6))^2-4.97))/(43.42-3.1*LOG10(I$5)))</f>
        <v>1290.4856896020017</v>
      </c>
    </row>
    <row r="66" spans="1:9" ht="30.6">
      <c r="A66" s="29" t="s">
        <v>143</v>
      </c>
      <c r="B66" s="50">
        <f>10^(3+(B63-161.04+7.1*LOG10(20)-7.5*LOG10(5)+(24.37-3.7*(5/B$5)^2)*LOG10(B$5)-20*LOG10(B$4)+(3.2*(LOG10(11.75*B$6))^2-4.97))/(43.42-3.1*LOG10(B$5)))</f>
        <v>2274.2228211666725</v>
      </c>
      <c r="C66" s="34" t="s">
        <v>90</v>
      </c>
      <c r="D66" s="50">
        <f>10^(3+(D63-161.04+7.1*LOG10(20)-7.5*LOG10(5)+(24.37-3.7*(5/D$5)^2)*LOG10(D$5)-20*LOG10(D$4)+(3.2*(LOG10(11.75*D$6))^2-4.97))/(43.42-3.1*LOG10(D$5)))</f>
        <v>2372.5255534340763</v>
      </c>
      <c r="E66" s="34" t="s">
        <v>90</v>
      </c>
      <c r="F66" s="51">
        <f>10^(3+(F63-161.04+12+7.1*LOG10(20)-7.5*LOG10(5)+(24.37-3.7*(5/F$5)^2)*LOG10(F$5)-20*LOG10(F$4)+(3.2*(LOG10(11.75*F$6))^2-4.97))/(43.42-3.1*LOG10(F$5)))</f>
        <v>2351.0782163024696</v>
      </c>
      <c r="G66" s="34" t="s">
        <v>90</v>
      </c>
      <c r="H66" s="50">
        <f>10^(3+(H63-161.04+12+7.1*LOG10(20)-7.5*LOG10(5)+(24.37-3.7*(5/H$5)^2)*LOG10(H$5)-20*LOG10(H$4)+(3.2*(LOG10(11.75*H$6))^2-4.97))/(43.42-3.1*LOG10(H$5)))</f>
        <v>2116.9501388321091</v>
      </c>
      <c r="I66" s="34" t="s">
        <v>90</v>
      </c>
    </row>
    <row r="67" spans="1:9" ht="16.8">
      <c r="A67" s="29" t="s">
        <v>96</v>
      </c>
      <c r="B67" s="34" t="s">
        <v>58</v>
      </c>
      <c r="C67" s="34">
        <f>PI()*(C65)^2</f>
        <v>22939279.669428088</v>
      </c>
      <c r="D67" s="34" t="s">
        <v>58</v>
      </c>
      <c r="E67" s="34">
        <f>PI()*(E65)^2</f>
        <v>16926595.384648845</v>
      </c>
      <c r="F67" s="34" t="s">
        <v>58</v>
      </c>
      <c r="G67" s="34">
        <f>PI()*(G65)^2</f>
        <v>5200772.1094185757</v>
      </c>
      <c r="H67" s="34" t="s">
        <v>58</v>
      </c>
      <c r="I67" s="34">
        <f>PI()*(I65)^2</f>
        <v>5231861.7402476352</v>
      </c>
    </row>
    <row r="68" spans="1:9" ht="16.8">
      <c r="A68" s="29" t="s">
        <v>97</v>
      </c>
      <c r="B68" s="34">
        <f>PI()*(B66)^2</f>
        <v>16248598.189403888</v>
      </c>
      <c r="C68" s="34" t="s">
        <v>58</v>
      </c>
      <c r="D68" s="34">
        <f>PI()*(D66)^2</f>
        <v>17683640.207290266</v>
      </c>
      <c r="E68" s="34" t="s">
        <v>58</v>
      </c>
      <c r="F68" s="34">
        <f>PI()*(F66)^2</f>
        <v>17365369.468859065</v>
      </c>
      <c r="G68" s="34" t="s">
        <v>58</v>
      </c>
      <c r="H68" s="34">
        <f>PI()*(H66)^2</f>
        <v>14078978.017395606</v>
      </c>
      <c r="I68" s="34" t="s">
        <v>58</v>
      </c>
    </row>
    <row r="70" spans="1:9">
      <c r="A70" s="48"/>
    </row>
  </sheetData>
  <mergeCells count="2">
    <mergeCell ref="B1:E1"/>
    <mergeCell ref="F1:I1"/>
  </mergeCells>
  <dataValidations count="1">
    <dataValidation type="list" allowBlank="1" showInputMessage="1" showErrorMessage="1" sqref="F34:I34 B26:E26">
      <formula1>"0,3"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General Notes</vt:lpstr>
      <vt:lpstr>InH-eMBB (4GHz, NR DDDSU)</vt:lpstr>
      <vt:lpstr>InH-eMBB (4GHz, NR DSUUD)</vt:lpstr>
      <vt:lpstr>DU-eMBB (4GHz, NR DDDSU)</vt:lpstr>
      <vt:lpstr>DU-eMBB (4GHz, NR DSUUD)</vt:lpstr>
      <vt:lpstr>Rural-eMBB (700MHz, NR FDD)</vt:lpstr>
      <vt:lpstr>Rural-eMBB (700MHz, NR DSUUD)</vt:lpstr>
      <vt:lpstr>Rural-eMBB-LMLC (0.7 GHz DSUUD)</vt:lpstr>
      <vt:lpstr>Rural-eMBB-LMLC (2.3 GHz DSUUD)</vt:lpstr>
      <vt:lpstr>Rural-eMBB-LMLC (3.5 GHz DSUUD)</vt:lpstr>
      <vt:lpstr>Rural-eMBB (700MHz, LTE FDD)</vt:lpstr>
      <vt:lpstr>UMa-mMTC (NB-IoT)</vt:lpstr>
      <vt:lpstr>UMa-URLLC (700MHz NR TDD)</vt:lpstr>
      <vt:lpstr>MaxN_RB</vt:lpstr>
      <vt:lpstr>'InH-eMBB (4GHz, NR DDDSU)'!OLE_LINK1</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dingyang</dc:creator>
  <cp:lastModifiedBy>Sir Bosson, Ana</cp:lastModifiedBy>
  <cp:lastPrinted>2006-01-19T03:50:08Z</cp:lastPrinted>
  <dcterms:created xsi:type="dcterms:W3CDTF">2003-11-11T03:59:45Z</dcterms:created>
  <dcterms:modified xsi:type="dcterms:W3CDTF">2019-07-15T07:55:10Z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(3)0Vnmximx9vw5RgOifTVH1ArjH9iGCsR1BGRCACGA4chXrpIy/RjoQeiB7JhmVNLCaKw3G1SI
GticvKVnq7kFSD7tbIFTrBRYuW8nEI/5lGf0yGQyRDkkyrbUYToEg/W5tg6NNZc5T7GgAhIH
DOfAeHL7LIPaEv3Lk/7pqOylXvrhI1d7W9q4/dT+shKXgEhfA1mUPtyLvr6SyiYWqNXP7Fdo
J57U1ndeU67qLOTgap</vt:lpwstr>
  </property>
  <property fmtid="{D5CDD505-2E9C-101B-9397-08002B2CF9AE}" pid="7" name="_2015_ms_pID_7253431">
    <vt:lpwstr>VwODjOdsm+QMfW/li2MvCG4cJz4BxPX8yPeKY7kYzybDrmA8tszUDE
RSKIIKGZz1Gd0+vdxJ+UMir02vodUy6g+IsIHsR4rhGuaL20RzfjSAaf9Zwg8z5GUfzIonyV
m0OV/O7lKcgHIGIFMvTxiAFzE92FWNxqP6I2J1PDvAwMuuLjv6quJlfK2tHbTTHne6FDvQxx
zLtqbjyZd1JA9Kd5OFQp7Hmzq64062l4pboQ</vt:lpwstr>
  </property>
  <property fmtid="{D5CDD505-2E9C-101B-9397-08002B2CF9AE}" pid="8" name="_2015_ms_pID_7253432">
    <vt:lpwstr>Ng==</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1536759033</vt:lpwstr>
  </property>
</Properties>
</file>