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BRSGD\TEXT2018\SG05\WP5D\1000\"/>
    </mc:Choice>
  </mc:AlternateContent>
  <bookViews>
    <workbookView xWindow="0" yWindow="0" windowWidth="19200" windowHeight="10836" firstSheet="4" activeTab="5"/>
  </bookViews>
  <sheets>
    <sheet name="General note" sheetId="15" r:id="rId1"/>
    <sheet name="InH-eMBB (4GHz, NR DDDSU)" sheetId="1" r:id="rId2"/>
    <sheet name="InH-eMBB (4GHz, NR DSUUD)" sheetId="12" r:id="rId3"/>
    <sheet name="DU-eMBB (4GHz, NR DDDSU)" sheetId="2" r:id="rId4"/>
    <sheet name="DU-eMBB (4GHz, NR DSUUD)" sheetId="13" r:id="rId5"/>
    <sheet name="Rural-eMBB (700MHz, NR FDD)" sheetId="6" r:id="rId6"/>
    <sheet name="Rural-eMBB (700 MHz, NR DSUUD)" sheetId="14" r:id="rId7"/>
    <sheet name="Rural-eMBB (700MHz, LTE FDD)" sheetId="16" r:id="rId8"/>
    <sheet name="UMa-mMTC (NB-IoT)" sheetId="7" r:id="rId9"/>
    <sheet name="UMa-mMTC (eMTC)" sheetId="11" r:id="rId10"/>
    <sheet name="UMa-URLLC (700MHz NR)" sheetId="3" r:id="rId11"/>
    <sheet name="MaxN_RB" sheetId="10" r:id="rId12"/>
  </sheets>
  <externalReferences>
    <externalReference r:id="rId13"/>
    <externalReference r:id="rId14"/>
  </externalReferences>
  <definedNames>
    <definedName name="OLE_LINK1" localSheetId="1">'InH-eMBB (4GHz, NR DDDSU)'!$A$62</definedName>
  </definedNames>
  <calcPr calcId="152511"/>
</workbook>
</file>

<file path=xl/calcChain.xml><?xml version="1.0" encoding="utf-8"?>
<calcChain xmlns="http://schemas.openxmlformats.org/spreadsheetml/2006/main">
  <c r="I59" i="6" l="1"/>
  <c r="C23" i="16"/>
  <c r="E23" i="16" l="1"/>
  <c r="E9" i="16"/>
  <c r="C9" i="16"/>
  <c r="E41" i="16"/>
  <c r="D42" i="16"/>
  <c r="C41" i="16"/>
  <c r="B42" i="16"/>
  <c r="I59" i="16"/>
  <c r="H59" i="16"/>
  <c r="E59" i="16"/>
  <c r="D59" i="16"/>
  <c r="H42" i="16"/>
  <c r="F42" i="16"/>
  <c r="I41" i="16"/>
  <c r="G41" i="16"/>
  <c r="H40" i="16"/>
  <c r="H44" i="16" s="1"/>
  <c r="H51" i="16" s="1"/>
  <c r="F40" i="16"/>
  <c r="F44" i="16" s="1"/>
  <c r="F51" i="16" s="1"/>
  <c r="D40" i="16"/>
  <c r="B40" i="16"/>
  <c r="I39" i="16"/>
  <c r="G39" i="16"/>
  <c r="G43" i="16" s="1"/>
  <c r="G50" i="16" s="1"/>
  <c r="E39" i="16"/>
  <c r="C39" i="16"/>
  <c r="I33" i="16"/>
  <c r="H33" i="16"/>
  <c r="G33" i="16"/>
  <c r="F33" i="16"/>
  <c r="E33" i="16"/>
  <c r="D33" i="16"/>
  <c r="C33" i="16"/>
  <c r="B33" i="16"/>
  <c r="I23" i="16"/>
  <c r="H23" i="16"/>
  <c r="G23" i="16"/>
  <c r="F23" i="16"/>
  <c r="D23" i="16"/>
  <c r="B23" i="16"/>
  <c r="I21" i="16"/>
  <c r="I28" i="16" s="1"/>
  <c r="H21" i="16"/>
  <c r="G21" i="16"/>
  <c r="F21" i="16"/>
  <c r="F28" i="16" s="1"/>
  <c r="E21" i="16"/>
  <c r="D21" i="16"/>
  <c r="D28" i="16" s="1"/>
  <c r="C21" i="16"/>
  <c r="C28" i="16" s="1"/>
  <c r="B21" i="16"/>
  <c r="B28" i="16" s="1"/>
  <c r="H10" i="16"/>
  <c r="H13" i="16" s="1"/>
  <c r="F10" i="16"/>
  <c r="F13" i="16" s="1"/>
  <c r="D10" i="16"/>
  <c r="B10" i="16"/>
  <c r="I9" i="16"/>
  <c r="G9" i="16"/>
  <c r="F33" i="13"/>
  <c r="B23" i="12"/>
  <c r="H42" i="14"/>
  <c r="F42" i="14"/>
  <c r="D42" i="14"/>
  <c r="B42" i="14"/>
  <c r="I41" i="14"/>
  <c r="G41" i="14"/>
  <c r="E41" i="14"/>
  <c r="C41" i="14"/>
  <c r="H40" i="14"/>
  <c r="H44" i="14" s="1"/>
  <c r="H51" i="14" s="1"/>
  <c r="F40" i="14"/>
  <c r="F44" i="14" s="1"/>
  <c r="F51" i="14" s="1"/>
  <c r="D40" i="14"/>
  <c r="B40" i="14"/>
  <c r="B44" i="14" s="1"/>
  <c r="B51" i="14" s="1"/>
  <c r="I39" i="14"/>
  <c r="I43" i="14" s="1"/>
  <c r="I50" i="14" s="1"/>
  <c r="G39" i="14"/>
  <c r="G43" i="14" s="1"/>
  <c r="G50" i="14" s="1"/>
  <c r="E39" i="14"/>
  <c r="C39" i="14"/>
  <c r="I33" i="14"/>
  <c r="H33" i="14"/>
  <c r="G33" i="14"/>
  <c r="F33" i="14"/>
  <c r="E33" i="14"/>
  <c r="D33" i="14"/>
  <c r="C33" i="14"/>
  <c r="B33" i="14"/>
  <c r="I23" i="14"/>
  <c r="H23" i="14"/>
  <c r="G23" i="14"/>
  <c r="F23" i="14"/>
  <c r="E23" i="14"/>
  <c r="D23" i="14"/>
  <c r="C23" i="14"/>
  <c r="B23" i="14"/>
  <c r="I21" i="14"/>
  <c r="I28" i="14" s="1"/>
  <c r="H21" i="14"/>
  <c r="H28" i="14" s="1"/>
  <c r="H53" i="14" s="1"/>
  <c r="H62" i="14" s="1"/>
  <c r="H65" i="14" s="1"/>
  <c r="H67" i="14" s="1"/>
  <c r="G21" i="14"/>
  <c r="G28" i="14" s="1"/>
  <c r="F21" i="14"/>
  <c r="F28" i="14" s="1"/>
  <c r="F53" i="14" s="1"/>
  <c r="F62" i="14" s="1"/>
  <c r="F65" i="14" s="1"/>
  <c r="F67" i="14" s="1"/>
  <c r="E21" i="14"/>
  <c r="E28" i="14" s="1"/>
  <c r="D21" i="14"/>
  <c r="D28" i="14" s="1"/>
  <c r="C21" i="14"/>
  <c r="C28" i="14" s="1"/>
  <c r="B21" i="14"/>
  <c r="B28" i="14" s="1"/>
  <c r="H10" i="14"/>
  <c r="H13" i="14" s="1"/>
  <c r="F10" i="14"/>
  <c r="F13" i="14" s="1"/>
  <c r="D10" i="14"/>
  <c r="D13" i="14" s="1"/>
  <c r="B10" i="14"/>
  <c r="B13" i="14" s="1"/>
  <c r="I9" i="14"/>
  <c r="G9" i="14"/>
  <c r="E9" i="14"/>
  <c r="C9" i="14"/>
  <c r="H42" i="13"/>
  <c r="F42" i="13"/>
  <c r="D42" i="13"/>
  <c r="B42" i="13"/>
  <c r="I41" i="13"/>
  <c r="G41" i="13"/>
  <c r="E41" i="13"/>
  <c r="C41" i="13"/>
  <c r="H40" i="13"/>
  <c r="H44" i="13" s="1"/>
  <c r="H51" i="13" s="1"/>
  <c r="F40" i="13"/>
  <c r="F44" i="13" s="1"/>
  <c r="F51" i="13" s="1"/>
  <c r="D40" i="13"/>
  <c r="B40" i="13"/>
  <c r="B44" i="13" s="1"/>
  <c r="B51" i="13" s="1"/>
  <c r="I39" i="13"/>
  <c r="I43" i="13" s="1"/>
  <c r="I50" i="13" s="1"/>
  <c r="G39" i="13"/>
  <c r="G43" i="13" s="1"/>
  <c r="G50" i="13" s="1"/>
  <c r="E39" i="13"/>
  <c r="C39" i="13"/>
  <c r="I33" i="13"/>
  <c r="H33" i="13"/>
  <c r="G33" i="13"/>
  <c r="E33" i="13"/>
  <c r="D33" i="13"/>
  <c r="C33" i="13"/>
  <c r="B33" i="13"/>
  <c r="I23" i="13"/>
  <c r="H23" i="13"/>
  <c r="G23" i="13"/>
  <c r="F23" i="13"/>
  <c r="E23" i="13"/>
  <c r="D23" i="13"/>
  <c r="C23" i="13"/>
  <c r="B23" i="13"/>
  <c r="I21" i="13"/>
  <c r="I28" i="13" s="1"/>
  <c r="H21" i="13"/>
  <c r="H28" i="13" s="1"/>
  <c r="G21" i="13"/>
  <c r="G28" i="13" s="1"/>
  <c r="F21" i="13"/>
  <c r="F28" i="13" s="1"/>
  <c r="E21" i="13"/>
  <c r="E28" i="13" s="1"/>
  <c r="D21" i="13"/>
  <c r="D28" i="13" s="1"/>
  <c r="C21" i="13"/>
  <c r="C28" i="13" s="1"/>
  <c r="B21" i="13"/>
  <c r="B28" i="13" s="1"/>
  <c r="H10" i="13"/>
  <c r="H13" i="13" s="1"/>
  <c r="F10" i="13"/>
  <c r="F13" i="13" s="1"/>
  <c r="D10" i="13"/>
  <c r="D13" i="13" s="1"/>
  <c r="B10" i="13"/>
  <c r="I9" i="13"/>
  <c r="G9" i="13"/>
  <c r="E9" i="13"/>
  <c r="C9" i="13"/>
  <c r="D42" i="12"/>
  <c r="B42" i="12"/>
  <c r="E41" i="12"/>
  <c r="C41" i="12"/>
  <c r="D40" i="12"/>
  <c r="B40" i="12"/>
  <c r="E39" i="12"/>
  <c r="E43" i="12" s="1"/>
  <c r="E50" i="12" s="1"/>
  <c r="C39" i="12"/>
  <c r="E33" i="12"/>
  <c r="D33" i="12"/>
  <c r="C33" i="12"/>
  <c r="B33" i="12"/>
  <c r="E23" i="12"/>
  <c r="D23" i="12"/>
  <c r="C23" i="12"/>
  <c r="E21" i="12"/>
  <c r="D21" i="12"/>
  <c r="D28" i="12" s="1"/>
  <c r="C21" i="12"/>
  <c r="B21" i="12"/>
  <c r="B13" i="12"/>
  <c r="D10" i="12"/>
  <c r="D13" i="12" s="1"/>
  <c r="B10" i="12"/>
  <c r="E9" i="12"/>
  <c r="C9" i="12"/>
  <c r="G28" i="16" l="1"/>
  <c r="I43" i="16"/>
  <c r="I50" i="16" s="1"/>
  <c r="B28" i="12"/>
  <c r="B53" i="12" s="1"/>
  <c r="B62" i="12" s="1"/>
  <c r="B65" i="12" s="1"/>
  <c r="B67" i="12" s="1"/>
  <c r="C28" i="12"/>
  <c r="H53" i="13"/>
  <c r="H62" i="13" s="1"/>
  <c r="H65" i="13" s="1"/>
  <c r="H67" i="13" s="1"/>
  <c r="H28" i="16"/>
  <c r="E28" i="12"/>
  <c r="F53" i="13"/>
  <c r="F62" i="13" s="1"/>
  <c r="F65" i="13" s="1"/>
  <c r="F67" i="13" s="1"/>
  <c r="E28" i="16"/>
  <c r="E43" i="16"/>
  <c r="E50" i="16" s="1"/>
  <c r="D13" i="16"/>
  <c r="D44" i="16"/>
  <c r="D51" i="16" s="1"/>
  <c r="D53" i="16" s="1"/>
  <c r="D62" i="16" s="1"/>
  <c r="D65" i="16" s="1"/>
  <c r="D67" i="16" s="1"/>
  <c r="C43" i="16"/>
  <c r="C50" i="16" s="1"/>
  <c r="B13" i="16"/>
  <c r="B44" i="16"/>
  <c r="B51" i="16" s="1"/>
  <c r="B53" i="16" s="1"/>
  <c r="B62" i="16" s="1"/>
  <c r="B65" i="16" s="1"/>
  <c r="B67" i="16" s="1"/>
  <c r="H53" i="16"/>
  <c r="H62" i="16" s="1"/>
  <c r="H65" i="16" s="1"/>
  <c r="H67" i="16" s="1"/>
  <c r="F53" i="16"/>
  <c r="F62" i="16" s="1"/>
  <c r="F65" i="16" s="1"/>
  <c r="F67" i="16" s="1"/>
  <c r="E27" i="16"/>
  <c r="I27" i="16"/>
  <c r="I52" i="16" s="1"/>
  <c r="I61" i="16" s="1"/>
  <c r="I64" i="16" s="1"/>
  <c r="I66" i="16" s="1"/>
  <c r="D27" i="16"/>
  <c r="H27" i="16"/>
  <c r="C27" i="16"/>
  <c r="G27" i="16"/>
  <c r="G52" i="16" s="1"/>
  <c r="G61" i="16" s="1"/>
  <c r="G64" i="16" s="1"/>
  <c r="G66" i="16" s="1"/>
  <c r="B27" i="16"/>
  <c r="F27" i="16"/>
  <c r="B13" i="13"/>
  <c r="B53" i="13"/>
  <c r="B62" i="13" s="1"/>
  <c r="B65" i="13" s="1"/>
  <c r="B67" i="13" s="1"/>
  <c r="C43" i="14"/>
  <c r="C50" i="14" s="1"/>
  <c r="E43" i="13"/>
  <c r="E50" i="13" s="1"/>
  <c r="D44" i="13"/>
  <c r="D51" i="13" s="1"/>
  <c r="D53" i="13" s="1"/>
  <c r="D62" i="13" s="1"/>
  <c r="D65" i="13" s="1"/>
  <c r="D67" i="13" s="1"/>
  <c r="B53" i="14"/>
  <c r="B62" i="14" s="1"/>
  <c r="B65" i="14" s="1"/>
  <c r="B67" i="14" s="1"/>
  <c r="E43" i="14"/>
  <c r="E50" i="14" s="1"/>
  <c r="D44" i="14"/>
  <c r="D51" i="14" s="1"/>
  <c r="D53" i="14" s="1"/>
  <c r="D62" i="14" s="1"/>
  <c r="D65" i="14" s="1"/>
  <c r="D67" i="14" s="1"/>
  <c r="C43" i="13"/>
  <c r="C50" i="13" s="1"/>
  <c r="C43" i="12"/>
  <c r="C50" i="12" s="1"/>
  <c r="D53" i="12"/>
  <c r="D62" i="12" s="1"/>
  <c r="D65" i="12" s="1"/>
  <c r="D67" i="12" s="1"/>
  <c r="D44" i="12"/>
  <c r="D51" i="12" s="1"/>
  <c r="B44" i="12"/>
  <c r="B51" i="12" s="1"/>
  <c r="D27" i="14"/>
  <c r="C27" i="14"/>
  <c r="E27" i="14"/>
  <c r="I27" i="14"/>
  <c r="I52" i="14" s="1"/>
  <c r="I61" i="14" s="1"/>
  <c r="I64" i="14" s="1"/>
  <c r="I66" i="14" s="1"/>
  <c r="H27" i="14"/>
  <c r="G27" i="14"/>
  <c r="G52" i="14" s="1"/>
  <c r="G61" i="14" s="1"/>
  <c r="G64" i="14" s="1"/>
  <c r="G66" i="14" s="1"/>
  <c r="B27" i="14"/>
  <c r="F27" i="14"/>
  <c r="E27" i="13"/>
  <c r="E52" i="13" s="1"/>
  <c r="E61" i="13" s="1"/>
  <c r="E64" i="13" s="1"/>
  <c r="E66" i="13" s="1"/>
  <c r="I27" i="13"/>
  <c r="I52" i="13" s="1"/>
  <c r="I61" i="13" s="1"/>
  <c r="I64" i="13" s="1"/>
  <c r="I66" i="13" s="1"/>
  <c r="D27" i="13"/>
  <c r="H27" i="13"/>
  <c r="C27" i="13"/>
  <c r="C52" i="13" s="1"/>
  <c r="C61" i="13" s="1"/>
  <c r="C64" i="13" s="1"/>
  <c r="C66" i="13" s="1"/>
  <c r="G27" i="13"/>
  <c r="G52" i="13" s="1"/>
  <c r="G61" i="13" s="1"/>
  <c r="G64" i="13" s="1"/>
  <c r="G66" i="13" s="1"/>
  <c r="B27" i="13"/>
  <c r="F27" i="13"/>
  <c r="C27" i="12"/>
  <c r="E27" i="12"/>
  <c r="E52" i="12" s="1"/>
  <c r="E61" i="12" s="1"/>
  <c r="E64" i="12" s="1"/>
  <c r="E66" i="12" s="1"/>
  <c r="D27" i="12"/>
  <c r="B27" i="12"/>
  <c r="E52" i="16" l="1"/>
  <c r="E61" i="16" s="1"/>
  <c r="E64" i="16" s="1"/>
  <c r="E66" i="16" s="1"/>
  <c r="C52" i="16"/>
  <c r="C61" i="16" s="1"/>
  <c r="C64" i="16" s="1"/>
  <c r="C66" i="16" s="1"/>
  <c r="C52" i="14"/>
  <c r="C61" i="14" s="1"/>
  <c r="C64" i="14" s="1"/>
  <c r="C66" i="14" s="1"/>
  <c r="E52" i="14"/>
  <c r="E61" i="14" s="1"/>
  <c r="E64" i="14" s="1"/>
  <c r="E66" i="14" s="1"/>
  <c r="C52" i="12"/>
  <c r="C61" i="12" s="1"/>
  <c r="C64" i="12" s="1"/>
  <c r="C66" i="12" s="1"/>
  <c r="I9" i="6" l="1"/>
  <c r="G9" i="6"/>
  <c r="E9" i="6"/>
  <c r="C9" i="6"/>
  <c r="J40" i="11" l="1"/>
  <c r="J44" i="11" s="1"/>
  <c r="J51" i="11" s="1"/>
  <c r="K39" i="11"/>
  <c r="K43" i="11" s="1"/>
  <c r="K50" i="11" s="1"/>
  <c r="K33" i="11"/>
  <c r="J33" i="11"/>
  <c r="K23" i="11"/>
  <c r="J23" i="11"/>
  <c r="K20" i="11"/>
  <c r="K21" i="11" s="1"/>
  <c r="K28" i="11" s="1"/>
  <c r="J20" i="11"/>
  <c r="J21" i="11" s="1"/>
  <c r="J28" i="11" s="1"/>
  <c r="J13" i="11"/>
  <c r="F40" i="11"/>
  <c r="F44" i="11" s="1"/>
  <c r="F51" i="11" s="1"/>
  <c r="G39" i="11"/>
  <c r="G43" i="11" s="1"/>
  <c r="G50" i="11" s="1"/>
  <c r="G33" i="11"/>
  <c r="F33" i="11"/>
  <c r="G23" i="11"/>
  <c r="F23" i="11"/>
  <c r="G22" i="11"/>
  <c r="F22" i="11"/>
  <c r="G21" i="11"/>
  <c r="G28" i="11" s="1"/>
  <c r="F21" i="11"/>
  <c r="F28" i="11" s="1"/>
  <c r="F53" i="11" s="1"/>
  <c r="F13" i="11"/>
  <c r="D40" i="11"/>
  <c r="E39" i="11"/>
  <c r="E33" i="11"/>
  <c r="D33" i="11"/>
  <c r="E23" i="11"/>
  <c r="D23" i="11"/>
  <c r="E22" i="11"/>
  <c r="D22" i="11"/>
  <c r="E21" i="11"/>
  <c r="D21" i="11"/>
  <c r="D27" i="11" s="1"/>
  <c r="D13" i="11"/>
  <c r="M59" i="11"/>
  <c r="L59" i="11"/>
  <c r="G59" i="11"/>
  <c r="F59" i="11"/>
  <c r="L40" i="11"/>
  <c r="L44" i="11" s="1"/>
  <c r="L51" i="11" s="1"/>
  <c r="H40" i="11"/>
  <c r="H44" i="11" s="1"/>
  <c r="H51" i="11" s="1"/>
  <c r="D44" i="11"/>
  <c r="D51" i="11" s="1"/>
  <c r="B40" i="11"/>
  <c r="B44" i="11" s="1"/>
  <c r="M39" i="11"/>
  <c r="M43" i="11" s="1"/>
  <c r="M50" i="11" s="1"/>
  <c r="I39" i="11"/>
  <c r="I43" i="11" s="1"/>
  <c r="I50" i="11" s="1"/>
  <c r="E43" i="11"/>
  <c r="E50" i="11" s="1"/>
  <c r="C39" i="11"/>
  <c r="C43" i="11" s="1"/>
  <c r="C50" i="11" s="1"/>
  <c r="M33" i="11"/>
  <c r="L33" i="11"/>
  <c r="I33" i="11"/>
  <c r="H33" i="11"/>
  <c r="C33" i="11"/>
  <c r="B33" i="11"/>
  <c r="M23" i="11"/>
  <c r="L23" i="11"/>
  <c r="I23" i="11"/>
  <c r="H23" i="11"/>
  <c r="C23" i="11"/>
  <c r="B23" i="11"/>
  <c r="C22" i="11"/>
  <c r="B22" i="11"/>
  <c r="C21" i="11"/>
  <c r="C28" i="11" s="1"/>
  <c r="B21" i="11"/>
  <c r="M20" i="11"/>
  <c r="M21" i="11" s="1"/>
  <c r="L20" i="11"/>
  <c r="L21" i="11" s="1"/>
  <c r="I20" i="11"/>
  <c r="I21" i="11" s="1"/>
  <c r="H20" i="11"/>
  <c r="H21" i="11" s="1"/>
  <c r="L13" i="11"/>
  <c r="H13" i="11"/>
  <c r="B13" i="11"/>
  <c r="B28" i="11" l="1"/>
  <c r="G27" i="11"/>
  <c r="G52" i="11" s="1"/>
  <c r="E28" i="11"/>
  <c r="F27" i="11"/>
  <c r="K27" i="11"/>
  <c r="K52" i="11" s="1"/>
  <c r="K61" i="11" s="1"/>
  <c r="K65" i="11" s="1"/>
  <c r="K67" i="11" s="1"/>
  <c r="J27" i="11"/>
  <c r="D28" i="11"/>
  <c r="D53" i="11" s="1"/>
  <c r="D62" i="11" s="1"/>
  <c r="D66" i="11" s="1"/>
  <c r="D68" i="11" s="1"/>
  <c r="E27" i="11"/>
  <c r="B51" i="11"/>
  <c r="I28" i="11"/>
  <c r="I27" i="11"/>
  <c r="I52" i="11" s="1"/>
  <c r="I61" i="11" s="1"/>
  <c r="I65" i="11" s="1"/>
  <c r="M28" i="11"/>
  <c r="M27" i="11"/>
  <c r="M52" i="11" s="1"/>
  <c r="M61" i="11" s="1"/>
  <c r="M65" i="11" s="1"/>
  <c r="M67" i="11" s="1"/>
  <c r="H28" i="11"/>
  <c r="H53" i="11" s="1"/>
  <c r="H62" i="11" s="1"/>
  <c r="H66" i="11" s="1"/>
  <c r="H27" i="11"/>
  <c r="J53" i="11"/>
  <c r="J62" i="11" s="1"/>
  <c r="J66" i="11" s="1"/>
  <c r="J68" i="11" s="1"/>
  <c r="B53" i="11"/>
  <c r="B62" i="11" s="1"/>
  <c r="F62" i="11"/>
  <c r="F66" i="11" s="1"/>
  <c r="F68" i="11" s="1"/>
  <c r="L28" i="11"/>
  <c r="L27" i="11"/>
  <c r="E52" i="11"/>
  <c r="E61" i="11" s="1"/>
  <c r="E65" i="11" s="1"/>
  <c r="E67" i="11" s="1"/>
  <c r="C27" i="11"/>
  <c r="C52" i="11" s="1"/>
  <c r="C61" i="11" s="1"/>
  <c r="C65" i="11" s="1"/>
  <c r="G61" i="11"/>
  <c r="G65" i="11" s="1"/>
  <c r="G67" i="11" s="1"/>
  <c r="B27" i="11"/>
  <c r="M33" i="7"/>
  <c r="L33" i="7"/>
  <c r="M23" i="7"/>
  <c r="L23" i="7"/>
  <c r="L21" i="7"/>
  <c r="L28" i="7" s="1"/>
  <c r="M20" i="7"/>
  <c r="M21" i="7" s="1"/>
  <c r="M28" i="7" s="1"/>
  <c r="L20" i="7"/>
  <c r="J40" i="7"/>
  <c r="K39" i="7"/>
  <c r="K33" i="7"/>
  <c r="J33" i="7"/>
  <c r="K23" i="7"/>
  <c r="J23" i="7"/>
  <c r="K20" i="7"/>
  <c r="K21" i="7" s="1"/>
  <c r="K28" i="7" s="1"/>
  <c r="J20" i="7"/>
  <c r="J21" i="7" s="1"/>
  <c r="J28" i="7" s="1"/>
  <c r="I41" i="7"/>
  <c r="I39" i="7"/>
  <c r="I33" i="7"/>
  <c r="I23" i="7"/>
  <c r="I27" i="7" s="1"/>
  <c r="H23" i="7"/>
  <c r="I20" i="7"/>
  <c r="I21" i="7" s="1"/>
  <c r="I28" i="7" s="1"/>
  <c r="H42" i="7"/>
  <c r="H40" i="7"/>
  <c r="H33" i="7"/>
  <c r="H20" i="7"/>
  <c r="H21" i="7" s="1"/>
  <c r="C21" i="7"/>
  <c r="B21" i="7"/>
  <c r="C39" i="7"/>
  <c r="C43" i="7" s="1"/>
  <c r="C50" i="7" s="1"/>
  <c r="B33" i="7"/>
  <c r="C33" i="7"/>
  <c r="C23" i="7"/>
  <c r="B23" i="7"/>
  <c r="C22" i="7"/>
  <c r="B46" i="7"/>
  <c r="B40" i="7"/>
  <c r="B44" i="7" s="1"/>
  <c r="B22" i="7"/>
  <c r="B13" i="7"/>
  <c r="H27" i="7" l="1"/>
  <c r="H28" i="7"/>
  <c r="H53" i="7" s="1"/>
  <c r="H62" i="7" s="1"/>
  <c r="H66" i="7" s="1"/>
  <c r="C27" i="7"/>
  <c r="C52" i="7" s="1"/>
  <c r="C61" i="7" s="1"/>
  <c r="L66" i="11"/>
  <c r="L68" i="11" s="1"/>
  <c r="L53" i="11"/>
  <c r="L62" i="11" s="1"/>
  <c r="H44" i="7"/>
  <c r="H51" i="7" s="1"/>
  <c r="I43" i="7"/>
  <c r="I50" i="7" s="1"/>
  <c r="I52" i="7" s="1"/>
  <c r="I61" i="7" s="1"/>
  <c r="I65" i="7" s="1"/>
  <c r="B68" i="11"/>
  <c r="B66" i="11"/>
  <c r="C67" i="11"/>
  <c r="I67" i="11"/>
  <c r="H13" i="7"/>
  <c r="M27" i="7"/>
  <c r="L27" i="7"/>
  <c r="K27" i="7"/>
  <c r="J27" i="7"/>
  <c r="B51" i="7"/>
  <c r="C28" i="7"/>
  <c r="B28" i="7"/>
  <c r="B27" i="7"/>
  <c r="C65" i="7" l="1"/>
  <c r="C67" i="7" s="1"/>
  <c r="H68" i="7"/>
  <c r="I67" i="7"/>
  <c r="B53" i="7"/>
  <c r="B62" i="7" s="1"/>
  <c r="B66" i="7" l="1"/>
  <c r="B68" i="7" s="1"/>
  <c r="I61" i="3"/>
  <c r="H61" i="3"/>
  <c r="G61" i="3"/>
  <c r="F61" i="3"/>
  <c r="M59" i="7"/>
  <c r="L59" i="7"/>
  <c r="G59" i="7"/>
  <c r="F59" i="7"/>
  <c r="H59" i="6"/>
  <c r="E59" i="6"/>
  <c r="D59" i="6"/>
  <c r="I59" i="2"/>
  <c r="H59" i="2"/>
  <c r="E59" i="2"/>
  <c r="D59" i="2"/>
  <c r="F43" i="3" l="1"/>
  <c r="B43" i="3"/>
  <c r="M41" i="7" l="1"/>
  <c r="K41" i="7"/>
  <c r="I42" i="3" l="1"/>
  <c r="E42" i="3"/>
  <c r="G42" i="3"/>
  <c r="C42" i="3"/>
  <c r="F11" i="3"/>
  <c r="B11" i="3"/>
  <c r="H43" i="3"/>
  <c r="D43" i="3"/>
  <c r="H11" i="3"/>
  <c r="D11" i="3"/>
  <c r="L42" i="7"/>
  <c r="L13" i="7" s="1"/>
  <c r="J42" i="7"/>
  <c r="J13" i="7" s="1"/>
  <c r="G41" i="7"/>
  <c r="E41" i="7"/>
  <c r="F42" i="7"/>
  <c r="F13" i="7" s="1"/>
  <c r="D42" i="7"/>
  <c r="D13" i="7" s="1"/>
  <c r="I22" i="3"/>
  <c r="H22" i="3"/>
  <c r="G22" i="3"/>
  <c r="F22" i="3"/>
  <c r="E22" i="3"/>
  <c r="D22" i="3"/>
  <c r="C22" i="3"/>
  <c r="B22" i="3"/>
  <c r="G21" i="7"/>
  <c r="F21" i="7"/>
  <c r="E21" i="7"/>
  <c r="D21" i="7"/>
  <c r="F14" i="3" l="1"/>
  <c r="B14" i="3"/>
  <c r="H14" i="3"/>
  <c r="D14" i="3"/>
  <c r="I41" i="6" l="1"/>
  <c r="G41" i="6"/>
  <c r="H42" i="6"/>
  <c r="F42" i="6"/>
  <c r="H10" i="6"/>
  <c r="F10" i="6"/>
  <c r="I34" i="3"/>
  <c r="H34" i="3"/>
  <c r="G34" i="3"/>
  <c r="F34" i="3"/>
  <c r="E34" i="3"/>
  <c r="D34" i="3"/>
  <c r="C34" i="3"/>
  <c r="B34" i="3"/>
  <c r="G33" i="7"/>
  <c r="F33" i="7"/>
  <c r="E33" i="7"/>
  <c r="D33" i="7"/>
  <c r="I33" i="6"/>
  <c r="H33" i="6"/>
  <c r="G33" i="6"/>
  <c r="F33" i="6"/>
  <c r="E33" i="6"/>
  <c r="D33" i="6"/>
  <c r="C33" i="6"/>
  <c r="B33" i="6"/>
  <c r="I33" i="2"/>
  <c r="H33" i="2"/>
  <c r="G33" i="2"/>
  <c r="F33" i="2"/>
  <c r="E33" i="2"/>
  <c r="D33" i="2"/>
  <c r="C33" i="2"/>
  <c r="B33" i="2"/>
  <c r="E33" i="1"/>
  <c r="D33" i="1"/>
  <c r="C33" i="1"/>
  <c r="B33" i="1"/>
  <c r="I24" i="3"/>
  <c r="H24" i="3"/>
  <c r="G24" i="3"/>
  <c r="F24" i="3"/>
  <c r="E24" i="3"/>
  <c r="D24" i="3"/>
  <c r="C24" i="3"/>
  <c r="B24" i="3"/>
  <c r="G23" i="7"/>
  <c r="F23" i="7"/>
  <c r="D23" i="7"/>
  <c r="E23" i="7"/>
  <c r="B23" i="6"/>
  <c r="C23" i="6"/>
  <c r="D23" i="6"/>
  <c r="E23" i="6"/>
  <c r="I23" i="6"/>
  <c r="H23" i="6"/>
  <c r="G23" i="6"/>
  <c r="F23" i="6"/>
  <c r="E23" i="1"/>
  <c r="D23" i="1"/>
  <c r="C23" i="1"/>
  <c r="B23" i="1"/>
  <c r="I23" i="2"/>
  <c r="H23" i="2"/>
  <c r="G23" i="2"/>
  <c r="F23" i="2"/>
  <c r="E23" i="2"/>
  <c r="D23" i="2"/>
  <c r="C23" i="2"/>
  <c r="B23" i="2"/>
  <c r="E41" i="6"/>
  <c r="C41" i="6"/>
  <c r="D42" i="6"/>
  <c r="B42" i="6"/>
  <c r="D10" i="6"/>
  <c r="B10" i="6"/>
  <c r="I21" i="6"/>
  <c r="H21" i="6"/>
  <c r="G21" i="6"/>
  <c r="F21" i="6"/>
  <c r="E21" i="6"/>
  <c r="D21" i="6"/>
  <c r="C21" i="6"/>
  <c r="B21" i="6"/>
  <c r="E41" i="1"/>
  <c r="E9" i="1"/>
  <c r="D42" i="1"/>
  <c r="D10" i="1"/>
  <c r="C41" i="1"/>
  <c r="C9" i="1"/>
  <c r="B42" i="1"/>
  <c r="B13" i="1" s="1"/>
  <c r="E21" i="1"/>
  <c r="D21" i="1"/>
  <c r="C21" i="1"/>
  <c r="B21" i="1"/>
  <c r="B10" i="1"/>
  <c r="I41" i="2"/>
  <c r="G41" i="2"/>
  <c r="H42" i="2"/>
  <c r="F42" i="2"/>
  <c r="H10" i="2"/>
  <c r="F10" i="2"/>
  <c r="E41" i="2"/>
  <c r="C41" i="2"/>
  <c r="I21" i="2"/>
  <c r="G21" i="2"/>
  <c r="E21" i="2"/>
  <c r="C21" i="2"/>
  <c r="I9" i="2"/>
  <c r="G9" i="2"/>
  <c r="E9" i="2"/>
  <c r="C9" i="2"/>
  <c r="H21" i="2"/>
  <c r="F21" i="2"/>
  <c r="D42" i="2"/>
  <c r="B42" i="2"/>
  <c r="D21" i="2"/>
  <c r="B21" i="2"/>
  <c r="D10" i="2"/>
  <c r="D13" i="2" s="1"/>
  <c r="B10" i="2"/>
  <c r="B13" i="2" s="1"/>
  <c r="D13" i="1" l="1"/>
  <c r="F28" i="7"/>
  <c r="F27" i="7"/>
  <c r="E27" i="7"/>
  <c r="E28" i="7"/>
  <c r="G27" i="7"/>
  <c r="G28" i="7"/>
  <c r="H13" i="2"/>
  <c r="D28" i="7"/>
  <c r="D27" i="7"/>
  <c r="F13" i="2"/>
  <c r="B13" i="6"/>
  <c r="H13" i="6"/>
  <c r="F13" i="6"/>
  <c r="D13" i="6"/>
  <c r="H41" i="3" l="1"/>
  <c r="H45" i="3" s="1"/>
  <c r="H52" i="3" s="1"/>
  <c r="F41" i="3"/>
  <c r="F45" i="3" s="1"/>
  <c r="F52" i="3" s="1"/>
  <c r="D41" i="3"/>
  <c r="D45" i="3" s="1"/>
  <c r="D52" i="3" s="1"/>
  <c r="I40" i="3"/>
  <c r="I44" i="3" s="1"/>
  <c r="I51" i="3" s="1"/>
  <c r="G40" i="3"/>
  <c r="G44" i="3" s="1"/>
  <c r="G51" i="3" s="1"/>
  <c r="E40" i="3"/>
  <c r="E44" i="3" s="1"/>
  <c r="E51" i="3" s="1"/>
  <c r="I29" i="3"/>
  <c r="H29" i="3"/>
  <c r="G29" i="3"/>
  <c r="F29" i="3"/>
  <c r="E29" i="3"/>
  <c r="D29" i="3"/>
  <c r="I28" i="3"/>
  <c r="H28" i="3"/>
  <c r="G28" i="3"/>
  <c r="F28" i="3"/>
  <c r="E28" i="3"/>
  <c r="D28" i="3"/>
  <c r="L40" i="7"/>
  <c r="L44" i="7" s="1"/>
  <c r="L51" i="7" s="1"/>
  <c r="J44" i="7"/>
  <c r="J51" i="7" s="1"/>
  <c r="M39" i="7"/>
  <c r="M43" i="7" s="1"/>
  <c r="M50" i="7" s="1"/>
  <c r="K43" i="7"/>
  <c r="K50" i="7" s="1"/>
  <c r="B40" i="6"/>
  <c r="B44" i="6" s="1"/>
  <c r="B51" i="6" s="1"/>
  <c r="D40" i="6"/>
  <c r="D44" i="6" s="1"/>
  <c r="D51" i="6" s="1"/>
  <c r="F40" i="6"/>
  <c r="F44" i="6" s="1"/>
  <c r="F51" i="6" s="1"/>
  <c r="H40" i="6"/>
  <c r="H44" i="6" s="1"/>
  <c r="H51" i="6" s="1"/>
  <c r="C39" i="6"/>
  <c r="C43" i="6" s="1"/>
  <c r="C50" i="6" s="1"/>
  <c r="E39" i="6"/>
  <c r="E43" i="6" s="1"/>
  <c r="E50" i="6" s="1"/>
  <c r="G39" i="6"/>
  <c r="G43" i="6" s="1"/>
  <c r="G50" i="6" s="1"/>
  <c r="I39" i="6"/>
  <c r="I43" i="6" s="1"/>
  <c r="I50" i="6" s="1"/>
  <c r="B28" i="6"/>
  <c r="C28" i="6"/>
  <c r="D28" i="6"/>
  <c r="E28" i="6"/>
  <c r="F28" i="6"/>
  <c r="G28" i="6"/>
  <c r="H28" i="6"/>
  <c r="I28" i="6"/>
  <c r="B27" i="6"/>
  <c r="C27" i="6"/>
  <c r="D27" i="6"/>
  <c r="E27" i="6"/>
  <c r="F27" i="6"/>
  <c r="G27" i="6"/>
  <c r="H27" i="6"/>
  <c r="I27" i="6"/>
  <c r="B40" i="2"/>
  <c r="B44" i="2" s="1"/>
  <c r="B51" i="2" s="1"/>
  <c r="D40" i="2"/>
  <c r="D44" i="2" s="1"/>
  <c r="D51" i="2" s="1"/>
  <c r="F40" i="2"/>
  <c r="F44" i="2" s="1"/>
  <c r="F51" i="2" s="1"/>
  <c r="H40" i="2"/>
  <c r="H44" i="2" s="1"/>
  <c r="H51" i="2" s="1"/>
  <c r="C39" i="2"/>
  <c r="C43" i="2" s="1"/>
  <c r="C50" i="2" s="1"/>
  <c r="E39" i="2"/>
  <c r="E43" i="2" s="1"/>
  <c r="E50" i="2" s="1"/>
  <c r="G39" i="2"/>
  <c r="G43" i="2" s="1"/>
  <c r="G50" i="2" s="1"/>
  <c r="I39" i="2"/>
  <c r="I43" i="2" s="1"/>
  <c r="I50" i="2" s="1"/>
  <c r="B28" i="2"/>
  <c r="C28" i="2"/>
  <c r="D28" i="2"/>
  <c r="E28" i="2"/>
  <c r="F28" i="2"/>
  <c r="G28" i="2"/>
  <c r="H28" i="2"/>
  <c r="I28" i="2"/>
  <c r="B27" i="2"/>
  <c r="C27" i="2"/>
  <c r="D27" i="2"/>
  <c r="E27" i="2"/>
  <c r="F27" i="2"/>
  <c r="G27" i="2"/>
  <c r="H27" i="2"/>
  <c r="I27" i="2"/>
  <c r="B40" i="1"/>
  <c r="B44" i="1" s="1"/>
  <c r="B51" i="1" s="1"/>
  <c r="D40" i="1"/>
  <c r="D44" i="1" s="1"/>
  <c r="D51" i="1" s="1"/>
  <c r="C39" i="1"/>
  <c r="C43" i="1" s="1"/>
  <c r="C50" i="1" s="1"/>
  <c r="E39" i="1"/>
  <c r="E43" i="1" s="1"/>
  <c r="E50" i="1" s="1"/>
  <c r="D27" i="1"/>
  <c r="B28" i="1"/>
  <c r="C28" i="1"/>
  <c r="D28" i="1"/>
  <c r="E28" i="1"/>
  <c r="B27" i="1"/>
  <c r="C27" i="1"/>
  <c r="E27" i="1"/>
  <c r="H54" i="3" l="1"/>
  <c r="H64" i="3" s="1"/>
  <c r="H67" i="3" s="1"/>
  <c r="H69" i="3" s="1"/>
  <c r="C52" i="1"/>
  <c r="C62" i="1" s="1"/>
  <c r="C65" i="1" s="1"/>
  <c r="C67" i="1" s="1"/>
  <c r="B53" i="1"/>
  <c r="B63" i="1" s="1"/>
  <c r="B66" i="1" s="1"/>
  <c r="B68" i="1" s="1"/>
  <c r="D53" i="1"/>
  <c r="D63" i="1" s="1"/>
  <c r="D66" i="1" s="1"/>
  <c r="D68" i="1" s="1"/>
  <c r="F54" i="3"/>
  <c r="D54" i="3"/>
  <c r="E52" i="1"/>
  <c r="E62" i="1" s="1"/>
  <c r="E65" i="1" s="1"/>
  <c r="E67" i="1" s="1"/>
  <c r="I52" i="2"/>
  <c r="I61" i="2" s="1"/>
  <c r="I64" i="2" s="1"/>
  <c r="I66" i="2" s="1"/>
  <c r="G52" i="2"/>
  <c r="G61" i="2" s="1"/>
  <c r="G64" i="2" s="1"/>
  <c r="G66" i="2" s="1"/>
  <c r="E52" i="2"/>
  <c r="E61" i="2" s="1"/>
  <c r="E64" i="2" s="1"/>
  <c r="E66" i="2" s="1"/>
  <c r="C52" i="2"/>
  <c r="C61" i="2" s="1"/>
  <c r="C64" i="2" s="1"/>
  <c r="C66" i="2" s="1"/>
  <c r="M52" i="7"/>
  <c r="M61" i="7" s="1"/>
  <c r="K52" i="7"/>
  <c r="K61" i="7" s="1"/>
  <c r="E53" i="3"/>
  <c r="E63" i="3" s="1"/>
  <c r="E66" i="3" s="1"/>
  <c r="E68" i="3" s="1"/>
  <c r="I53" i="3"/>
  <c r="I63" i="3" s="1"/>
  <c r="I66" i="3" s="1"/>
  <c r="I68" i="3" s="1"/>
  <c r="G53" i="3"/>
  <c r="G63" i="3" s="1"/>
  <c r="G66" i="3" s="1"/>
  <c r="G68" i="3" s="1"/>
  <c r="B53" i="6"/>
  <c r="B62" i="6" s="1"/>
  <c r="B65" i="6" s="1"/>
  <c r="B67" i="6" s="1"/>
  <c r="L53" i="7"/>
  <c r="L62" i="7" s="1"/>
  <c r="J53" i="7"/>
  <c r="J62" i="7" s="1"/>
  <c r="I52" i="6"/>
  <c r="I61" i="6" s="1"/>
  <c r="I64" i="6" s="1"/>
  <c r="I66" i="6" s="1"/>
  <c r="H53" i="6"/>
  <c r="H62" i="6" s="1"/>
  <c r="H65" i="6" s="1"/>
  <c r="H67" i="6" s="1"/>
  <c r="G52" i="6"/>
  <c r="G61" i="6" s="1"/>
  <c r="G64" i="6" s="1"/>
  <c r="G66" i="6" s="1"/>
  <c r="F53" i="6"/>
  <c r="F62" i="6" s="1"/>
  <c r="F65" i="6" s="1"/>
  <c r="F67" i="6" s="1"/>
  <c r="C52" i="6"/>
  <c r="C61" i="6" s="1"/>
  <c r="C64" i="6" s="1"/>
  <c r="C66" i="6" s="1"/>
  <c r="E52" i="6"/>
  <c r="E61" i="6" s="1"/>
  <c r="E64" i="6" s="1"/>
  <c r="E66" i="6" s="1"/>
  <c r="D53" i="6"/>
  <c r="D62" i="6" s="1"/>
  <c r="D65" i="6" s="1"/>
  <c r="D67" i="6" s="1"/>
  <c r="H53" i="2"/>
  <c r="H62" i="2" s="1"/>
  <c r="H65" i="2" s="1"/>
  <c r="H67" i="2" s="1"/>
  <c r="F53" i="2"/>
  <c r="D53" i="2"/>
  <c r="D62" i="2" s="1"/>
  <c r="D65" i="2" s="1"/>
  <c r="D67" i="2" s="1"/>
  <c r="B53" i="2"/>
  <c r="B62" i="2" s="1"/>
  <c r="F64" i="3"/>
  <c r="F67" i="3" s="1"/>
  <c r="F69" i="3" s="1"/>
  <c r="D64" i="3"/>
  <c r="D67" i="3" s="1"/>
  <c r="D69" i="3" s="1"/>
  <c r="M65" i="7" l="1"/>
  <c r="M67" i="7" s="1"/>
  <c r="K65" i="7"/>
  <c r="K67" i="7" s="1"/>
  <c r="L66" i="7"/>
  <c r="L68" i="7" s="1"/>
  <c r="J66" i="7"/>
  <c r="J68" i="7" s="1"/>
  <c r="B65" i="2"/>
  <c r="B67" i="2" s="1"/>
  <c r="F62" i="2"/>
  <c r="F65" i="2" s="1"/>
  <c r="F67" i="2" s="1"/>
  <c r="B41" i="3"/>
  <c r="B45" i="3" s="1"/>
  <c r="B52" i="3" s="1"/>
  <c r="C40" i="3"/>
  <c r="C44" i="3" s="1"/>
  <c r="C51" i="3" s="1"/>
  <c r="C29" i="3"/>
  <c r="B29" i="3"/>
  <c r="C28" i="3"/>
  <c r="B28" i="3"/>
  <c r="F40" i="7"/>
  <c r="F44" i="7" s="1"/>
  <c r="F51" i="7" s="1"/>
  <c r="D40" i="7"/>
  <c r="D44" i="7" s="1"/>
  <c r="D51" i="7" s="1"/>
  <c r="G39" i="7"/>
  <c r="G43" i="7" s="1"/>
  <c r="G50" i="7" s="1"/>
  <c r="E39" i="7"/>
  <c r="E43" i="7" s="1"/>
  <c r="E50" i="7" s="1"/>
  <c r="C53" i="3" l="1"/>
  <c r="C63" i="3" s="1"/>
  <c r="C66" i="3" s="1"/>
  <c r="C68" i="3" s="1"/>
  <c r="B54" i="3"/>
  <c r="B64" i="3" s="1"/>
  <c r="B67" i="3" s="1"/>
  <c r="B69" i="3" s="1"/>
  <c r="G52" i="7"/>
  <c r="G61" i="7" s="1"/>
  <c r="E52" i="7"/>
  <c r="E61" i="7" s="1"/>
  <c r="F53" i="7"/>
  <c r="F62" i="7" s="1"/>
  <c r="D53" i="7"/>
  <c r="D62" i="7" s="1"/>
  <c r="G65" i="7" l="1"/>
  <c r="G67" i="7" s="1"/>
  <c r="F66" i="7"/>
  <c r="F68" i="7" s="1"/>
  <c r="E65" i="7"/>
  <c r="E67" i="7" s="1"/>
  <c r="D66" i="7"/>
  <c r="D68" i="7" s="1"/>
</calcChain>
</file>

<file path=xl/sharedStrings.xml><?xml version="1.0" encoding="utf-8"?>
<sst xmlns="http://schemas.openxmlformats.org/spreadsheetml/2006/main" count="2138" uniqueCount="272">
  <si>
    <t>Item</t>
  </si>
  <si>
    <t>System configuration</t>
  </si>
  <si>
    <t>Carrier frequency (GHz)</t>
  </si>
  <si>
    <t>BS antenna heights (m)</t>
  </si>
  <si>
    <t>UT antenna heights (m)</t>
  </si>
  <si>
    <t>Transmission bit rate for control channel (bit/s)</t>
  </si>
  <si>
    <t>Transmission bit rate for data channel (bit/s)</t>
  </si>
  <si>
    <t>Target packet error rate for the required SNR in item (19a) for control channel</t>
  </si>
  <si>
    <t>Target packet error rate for the required SNR in item (19b) for data channel</t>
  </si>
  <si>
    <t>Feeder loss (dB)</t>
  </si>
  <si>
    <t>Transmitter</t>
  </si>
  <si>
    <t>(2) Maximal transmit power per antenna (dBm)</t>
  </si>
  <si>
    <t>(4) Transmitter antenna gain (dBi)</t>
  </si>
  <si>
    <t>(5) Transmitter array gain (depends on transmitter array configurations and technologies such as adaptive beam forming, CDD (cyclic delay diversity), etc.) (dB)</t>
  </si>
  <si>
    <t>(6) Control channel power boosting gain (dB)</t>
  </si>
  <si>
    <t>(7) Data channel power loss due to pilot/control boosting (dB)</t>
  </si>
  <si>
    <t>(8) Cable, connector, combiner, body losses, etc. (enumerate sources) (dB) (feeder loss must be included for and only for downlink)</t>
  </si>
  <si>
    <t>(9a) Control channel EIRP = (3) + (4) + (5) + (6) – (8) dBm</t>
  </si>
  <si>
    <t>(9b) Data channel EIRP = (3) + (4) + (5) – (7) – (8)  dBm</t>
  </si>
  <si>
    <t>Receiver</t>
  </si>
  <si>
    <t>(11) Receiver antenna gain (dBi)</t>
  </si>
  <si>
    <t>(12) Cable, connector, combiner, body losses, etc. (enumerate sources) (dB) (feeder loss must be included for and only for uplink)</t>
  </si>
  <si>
    <t>(13) Receiver noise figure (dB)</t>
  </si>
  <si>
    <t>(14) Thermal noise density (dBm/Hz)</t>
  </si>
  <si>
    <t>(15a) Receiver interference density for control channel (dBm/Hz) (See 3GPP note at bottom of the table (i) )</t>
  </si>
  <si>
    <t xml:space="preserve">(15b) Receiver interference density for data channel (dBm/Hz) </t>
  </si>
  <si>
    <t>(17a) Occupied channel bandwidth for control channel (for meeting the requirements of the traffic type) (Hz)</t>
  </si>
  <si>
    <t>(17b) Occupied channel bandwidth for data channel (for meeting the requirements of the traffic type) (Hz)</t>
  </si>
  <si>
    <t>(18a) Effective noise power for control channel = (16a) + 10 log((17a)) dBm</t>
  </si>
  <si>
    <t>(18b) Effective noise power for data channel = (16b) + 10 log((17b)) dBm</t>
  </si>
  <si>
    <t xml:space="preserve">(19a) Required SNR for the control channel (dB) </t>
  </si>
  <si>
    <t xml:space="preserve">(19b) Required SNR for the data channel (dB) </t>
  </si>
  <si>
    <t>(20) Receiver implementation margin (dB)</t>
  </si>
  <si>
    <t>(21a) H-ARQ gain for control channel (dB)</t>
  </si>
  <si>
    <t>(21b) H-ARQ gain for data channel (dB)</t>
  </si>
  <si>
    <t>Calculation of available pathloss</t>
  </si>
  <si>
    <t>(24) Lognormal shadow fading std deviation (dB)</t>
  </si>
  <si>
    <t>(25a) Shadow fading margin for control channel (function of the cell area reliability and (24)) (dB)</t>
  </si>
  <si>
    <t xml:space="preserve">(25b) Shadow fading margin for data channel (function of the cell area reliability and (24)) (dB) </t>
  </si>
  <si>
    <t>(26) BS selection/macro-diversity gain (dB)</t>
  </si>
  <si>
    <t>(27) Penetration margin (dB)</t>
  </si>
  <si>
    <t>(28) Other gains (dB) (if any please specify)</t>
  </si>
  <si>
    <t>Range/coverage efficiency calculation</t>
  </si>
  <si>
    <t>(30a) Maximum range for control channel (based on (29a) and according to the system configuration section of the link budget) (m)</t>
  </si>
  <si>
    <t>(30b) Maximum range for data channel (based on (29b) and according to the system configuration section of the link budget) (m)</t>
  </si>
  <si>
    <t>(16a) Total noise plus interference density for control channel        = 10 log (10^(((13) + (14))/10) + 10^((15a)/10))  dBm/Hz  (See 3GPP note at bottom of the table (i) )</t>
  </si>
  <si>
    <t>(16b) Total noise plus interference density for data channel        = 10 log (10^(((13) + (14))/10) + 10^((15b)/10))  dBm/Hz  (See 3GPP note at bottom of the table (i) )</t>
  </si>
  <si>
    <t>(22a) Receiver sensitivity for control channel         = (18a) + (19a) + (20) – (21a)  dBm</t>
  </si>
  <si>
    <t>(22b) Receiver sensitivity for data channel          = (18b) + (19b) + (20) – (21b)  dBm</t>
  </si>
  <si>
    <t>(29b) Available path loss for data channel           = (23b) – (25b) + (26) – (27) + (28) – (12)   dB</t>
  </si>
  <si>
    <t>DL</t>
    <phoneticPr fontId="1" type="noConversion"/>
  </si>
  <si>
    <t>UL</t>
    <phoneticPr fontId="1" type="noConversion"/>
  </si>
  <si>
    <t>NR PUSCH (NLOS)</t>
    <phoneticPr fontId="1" type="noConversion"/>
  </si>
  <si>
    <t>(29a) Available path loss for control channel          = (23a) – (25a) + (26) – (27) + (28) – (12)   dB</t>
    <phoneticPr fontId="1" type="noConversion"/>
  </si>
  <si>
    <t>NR PDSCH (NLOS O-to-I)</t>
    <phoneticPr fontId="1" type="noConversion"/>
  </si>
  <si>
    <t>NR PDCCH (NLOS O-to-I)</t>
    <phoneticPr fontId="1" type="noConversion"/>
  </si>
  <si>
    <t>NR PDCCH (NLOS)</t>
    <phoneticPr fontId="1" type="noConversion"/>
  </si>
  <si>
    <t>NR PDSCH (NLOS)</t>
    <phoneticPr fontId="1" type="noConversion"/>
  </si>
  <si>
    <t>NR PUCCH (NLOS)</t>
    <phoneticPr fontId="1" type="noConversion"/>
  </si>
  <si>
    <t>NR PUSCH (NLOS O-to-I)</t>
    <phoneticPr fontId="1" type="noConversion"/>
  </si>
  <si>
    <t>NR PUCCH (NLOS O-to-I)</t>
    <phoneticPr fontId="1" type="noConversion"/>
  </si>
  <si>
    <t>-</t>
    <phoneticPr fontId="1" type="noConversion"/>
  </si>
  <si>
    <t>-</t>
    <phoneticPr fontId="1" type="noConversion"/>
  </si>
  <si>
    <t>-</t>
    <phoneticPr fontId="1" type="noConversion"/>
  </si>
  <si>
    <t>FR1</t>
    <phoneticPr fontId="7" type="noConversion"/>
  </si>
  <si>
    <t>SCS (kHz)</t>
  </si>
  <si>
    <t>5MHz</t>
  </si>
  <si>
    <t>10MHz</t>
  </si>
  <si>
    <t>15MHz</t>
  </si>
  <si>
    <t>20 MHz</t>
  </si>
  <si>
    <t>25 MHz</t>
  </si>
  <si>
    <t>30 MHz</t>
  </si>
  <si>
    <t>40 MHz</t>
  </si>
  <si>
    <t>50MHz</t>
  </si>
  <si>
    <t>60 MHz</t>
  </si>
  <si>
    <t>80 MHz</t>
  </si>
  <si>
    <t>90 MHz</t>
  </si>
  <si>
    <t>100 MHz</t>
  </si>
  <si>
    <t>MHz</t>
  </si>
  <si>
    <r>
      <t>N</t>
    </r>
    <r>
      <rPr>
        <b/>
        <vertAlign val="subscript"/>
        <sz val="9"/>
        <color theme="1"/>
        <rFont val="Arial"/>
        <family val="2"/>
      </rPr>
      <t>RB</t>
    </r>
  </si>
  <si>
    <t>N/A</t>
  </si>
  <si>
    <t>N.A</t>
  </si>
  <si>
    <t>FR2</t>
    <phoneticPr fontId="7" type="noConversion"/>
  </si>
  <si>
    <t>SCS [kHz]</t>
  </si>
  <si>
    <t>50 MHz</t>
  </si>
  <si>
    <t>100 MHz</t>
  </si>
  <si>
    <t>200 MHz</t>
  </si>
  <si>
    <t>400 MHz</t>
  </si>
  <si>
    <t>(10) Number of receive antennas (The number shall be within the indicated range in § 8.4 of Report ITU-R M.2412-0)</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</si>
  <si>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</si>
  <si>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</si>
  <si>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UE speed (km/h)</t>
    <phoneticPr fontId="1" type="noConversion"/>
  </si>
  <si>
    <t>NLOS</t>
    <phoneticPr fontId="1" type="noConversion"/>
  </si>
  <si>
    <t>NLOS O-to-I</t>
    <phoneticPr fontId="1" type="noConversion"/>
  </si>
  <si>
    <t>-</t>
    <phoneticPr fontId="1" type="noConversion"/>
  </si>
  <si>
    <t>-</t>
    <phoneticPr fontId="1" type="noConversion"/>
  </si>
  <si>
    <t>-</t>
    <phoneticPr fontId="1" type="noConversion"/>
  </si>
  <si>
    <t>-</t>
    <phoneticPr fontId="1" type="noConversion"/>
  </si>
  <si>
    <t>-</t>
    <phoneticPr fontId="1" type="noConversion"/>
  </si>
  <si>
    <t>NLOS</t>
    <phoneticPr fontId="1" type="noConversion"/>
  </si>
  <si>
    <t>NLOS O-to-I</t>
    <phoneticPr fontId="1" type="noConversion"/>
  </si>
  <si>
    <t>-</t>
    <phoneticPr fontId="1" type="noConversion"/>
  </si>
  <si>
    <t>-</t>
    <phoneticPr fontId="1" type="noConversion"/>
  </si>
  <si>
    <t>-</t>
    <phoneticPr fontId="1" type="noConversion"/>
  </si>
  <si>
    <t>-</t>
    <phoneticPr fontId="1" type="noConversion"/>
  </si>
  <si>
    <t>-</t>
    <phoneticPr fontId="1" type="noConversion"/>
  </si>
  <si>
    <t>-</t>
    <phoneticPr fontId="1" type="noConversion"/>
  </si>
  <si>
    <t>(23a) Hardware link budget for control channel          = (9a) + (11) + (11bis) − (22a)   dB</t>
  </si>
  <si>
    <t>(23b) Hardware link budget for data channel           = (9b) + (11) + (11bis) − (22b)  dB</t>
  </si>
  <si>
    <r>
      <t>Cell area reliability</t>
    </r>
    <r>
      <rPr>
        <vertAlign val="superscript"/>
        <sz val="10"/>
        <color theme="1"/>
        <rFont val="Times New Roman"/>
        <family val="1"/>
      </rPr>
      <t>(1)</t>
    </r>
    <r>
      <rPr>
        <sz val="11"/>
        <color theme="1"/>
        <rFont val="Times New Roman"/>
        <family val="1"/>
      </rPr>
      <t xml:space="preserve"> for control channel  (%) (Please specify how it is calculated.) (See 3GPP note at bottom of the table (i) )</t>
    </r>
  </si>
  <si>
    <r>
      <t>Cell area reliability</t>
    </r>
    <r>
      <rPr>
        <vertAlign val="superscript"/>
        <sz val="10"/>
        <color theme="1"/>
        <rFont val="Times New Roman"/>
        <family val="1"/>
      </rPr>
      <t>(1)</t>
    </r>
    <r>
      <rPr>
        <sz val="11"/>
        <color theme="1"/>
        <rFont val="Times New Roman"/>
        <family val="1"/>
      </rPr>
      <t xml:space="preserve"> for data channel (%) (Please specify how it is calculated.) (See 3GPP note at bottom of the table (i) )</t>
    </r>
  </si>
  <si>
    <r>
      <t>Spectral efficiency</t>
    </r>
    <r>
      <rPr>
        <vertAlign val="superscript"/>
        <sz val="10"/>
        <color theme="1"/>
        <rFont val="Times New Roman"/>
        <family val="1"/>
      </rPr>
      <t>(2)</t>
    </r>
    <r>
      <rPr>
        <sz val="11"/>
        <color theme="1"/>
        <rFont val="Times New Roman"/>
        <family val="1"/>
      </rPr>
      <t xml:space="preserve"> (bit/s/Hz)</t>
    </r>
  </si>
  <si>
    <r>
      <t>Pathloss model</t>
    </r>
    <r>
      <rPr>
        <vertAlign val="superscript"/>
        <sz val="10"/>
        <color theme="1"/>
        <rFont val="Times New Roman"/>
        <family val="1"/>
      </rPr>
      <t>(3)</t>
    </r>
    <r>
      <rPr>
        <sz val="11"/>
        <color theme="1"/>
        <rFont val="Times New Roman"/>
        <family val="1"/>
      </rPr>
      <t xml:space="preserve"> (select from LoS or NLoS)</t>
    </r>
  </si>
  <si>
    <r>
      <t>Penetration Loss std deviation (dB)</t>
    </r>
    <r>
      <rPr>
        <vertAlign val="superscript"/>
        <sz val="11"/>
        <color theme="1"/>
        <rFont val="Times New Roman"/>
        <family val="1"/>
      </rPr>
      <t>(ii)</t>
    </r>
  </si>
  <si>
    <r>
      <t>(31a) Coverage Area for control channel = (π (30a)</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</si>
  <si>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r>
      <t>(31b) Coverage Area for data channel = (π (30b)</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</si>
  <si>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</si>
  <si>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</si>
  <si>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</si>
  <si>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</si>
  <si>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(22b) Receiver sensitivity for data channel          = (18b) + (19b) + (20) – (21b)  dBm</t>
    <phoneticPr fontId="1" type="noConversion"/>
  </si>
  <si>
    <t>(23a) Hardware link budget for control channel          = (9a) + (11) + (11bis) − (22a)   dB</t>
    <phoneticPr fontId="1" type="noConversion"/>
  </si>
  <si>
    <t>(23b) Hardware link budget for data channel           = (9b) + (11) + (11bis) − (22b)  dB</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</si>
  <si>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</si>
  <si>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</si>
  <si>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</si>
  <si>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</si>
  <si>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</si>
  <si>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</si>
  <si>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PUSCH format2  (NLOS)</t>
    <phoneticPr fontId="1" type="noConversion"/>
  </si>
  <si>
    <t>-</t>
    <phoneticPr fontId="1" type="noConversion"/>
  </si>
  <si>
    <t>-</t>
    <phoneticPr fontId="1" type="noConversion"/>
  </si>
  <si>
    <t>DL</t>
  </si>
  <si>
    <t>UL</t>
  </si>
  <si>
    <t>NPDCCH (LOS)</t>
    <phoneticPr fontId="1" type="noConversion"/>
  </si>
  <si>
    <t>(1bis) Number of transmit antenna ports</t>
    <phoneticPr fontId="1" type="noConversion"/>
  </si>
  <si>
    <r>
      <t xml:space="preserve">(1) Number of transmit antennas. (The number shall be within the indicated range in  § 8.4 of Report ITU-R M.2412-0) </t>
    </r>
    <r>
      <rPr>
        <sz val="11"/>
        <color rgb="FFFF0000"/>
        <rFont val="Times New Roman"/>
        <family val="1"/>
      </rPr>
      <t>NOTE1</t>
    </r>
    <phoneticPr fontId="1" type="noConversion"/>
  </si>
  <si>
    <r>
      <t xml:space="preserve">(3) Total transmit power = function of (1) and (2) (dBm) (The value shall not exceed the indicated value in § 8.4 of Report ITU-R M.2412-0) </t>
    </r>
    <r>
      <rPr>
        <sz val="11"/>
        <color rgb="FFFF0000"/>
        <rFont val="Times New Roman"/>
        <family val="1"/>
      </rPr>
      <t>NOTE2</t>
    </r>
    <phoneticPr fontId="1" type="noConversion"/>
  </si>
  <si>
    <t>NPDSCH (NLOS)</t>
    <phoneticPr fontId="1" type="noConversion"/>
  </si>
  <si>
    <t>NPDCCH (NLOS)</t>
    <phoneticPr fontId="1" type="noConversion"/>
  </si>
  <si>
    <t>NPDSCH (NLOS O-to-I)</t>
    <phoneticPr fontId="1" type="noConversion"/>
  </si>
  <si>
    <t>NPDCCH (NLOS O-to-I)</t>
    <phoneticPr fontId="1" type="noConversion"/>
  </si>
  <si>
    <t>PUSCH format2 (NLOS O-to-I)</t>
    <phoneticPr fontId="1" type="noConversion"/>
  </si>
  <si>
    <r>
      <t>Cell area reliability</t>
    </r>
    <r>
      <rPr>
        <vertAlign val="superscript"/>
        <sz val="10"/>
        <rFont val="Times New Roman"/>
        <family val="1"/>
      </rPr>
      <t>(1)</t>
    </r>
    <r>
      <rPr>
        <sz val="11"/>
        <rFont val="Times New Roman"/>
        <family val="1"/>
      </rPr>
      <t xml:space="preserve"> for control channel  (%) (Please specify how it is calculated.) (See 3GPP note at bottom of the table (i) )</t>
    </r>
  </si>
  <si>
    <r>
      <t>Cell area reliability</t>
    </r>
    <r>
      <rPr>
        <vertAlign val="superscript"/>
        <sz val="10"/>
        <rFont val="Times New Roman"/>
        <family val="1"/>
      </rPr>
      <t>(1)</t>
    </r>
    <r>
      <rPr>
        <sz val="11"/>
        <rFont val="Times New Roman"/>
        <family val="1"/>
      </rPr>
      <t xml:space="preserve"> for data channel (%) (Please specify how it is calculated.) (See 3GPP note at bottom of the table (i) )</t>
    </r>
  </si>
  <si>
    <t>Transmission bit rate for control channel (bit/s)</t>
    <phoneticPr fontId="1" type="noConversion"/>
  </si>
  <si>
    <t>Transmission bit rate for data channel (bit/s)</t>
    <phoneticPr fontId="1" type="noConversion"/>
  </si>
  <si>
    <t>Target packet error rate for the required SNR in item (19b) for data channel</t>
    <phoneticPr fontId="1" type="noConversion"/>
  </si>
  <si>
    <r>
      <t>Spectral efficiency</t>
    </r>
    <r>
      <rPr>
        <vertAlign val="superscript"/>
        <sz val="10"/>
        <rFont val="Times New Roman"/>
        <family val="1"/>
      </rPr>
      <t>(2)</t>
    </r>
    <r>
      <rPr>
        <sz val="11"/>
        <rFont val="Times New Roman"/>
        <family val="1"/>
      </rPr>
      <t xml:space="preserve"> (bit/s/Hz)</t>
    </r>
  </si>
  <si>
    <r>
      <t>Pathloss model</t>
    </r>
    <r>
      <rPr>
        <vertAlign val="superscript"/>
        <sz val="10"/>
        <rFont val="Times New Roman"/>
        <family val="1"/>
      </rPr>
      <t>(3)</t>
    </r>
    <r>
      <rPr>
        <sz val="11"/>
        <rFont val="Times New Roman"/>
        <family val="1"/>
      </rPr>
      <t xml:space="preserve"> (select from LoS or NLoS)</t>
    </r>
  </si>
  <si>
    <t>LOS</t>
    <phoneticPr fontId="1" type="noConversion"/>
  </si>
  <si>
    <t>UE speed (km/h)</t>
    <phoneticPr fontId="1" type="noConversion"/>
  </si>
  <si>
    <t>(4) Transmitter antenna gain (dBi)</t>
    <phoneticPr fontId="1" type="noConversion"/>
  </si>
  <si>
    <t>(9b) Data channel EIRP = (3) + (4) + (5) – (7) – (8)  dBm</t>
    <phoneticPr fontId="1" type="noConversion"/>
  </si>
  <si>
    <t>(10) Number of receive antennas (The number shall be within the indicated range in § 8.4 of Report ITU-R M.2412-0)</t>
    <phoneticPr fontId="1" type="noConversion"/>
  </si>
  <si>
    <t>(15a) Receiver interference density for control channel (dBm/Hz) (See 3GPP note at bottom of the table (i) )</t>
    <phoneticPr fontId="1" type="noConversion"/>
  </si>
  <si>
    <t xml:space="preserve">(15b) Receiver interference density for data channel (dBm/Hz) </t>
    <phoneticPr fontId="1" type="noConversion"/>
  </si>
  <si>
    <t>(16b) Total noise plus interference density for data channel        = 10 log (10^(((13) + (14))/10) + 10^((15b)/10))  dBm/Hz  (See 3GPP note at bottom of the table (i) )</t>
    <phoneticPr fontId="1" type="noConversion"/>
  </si>
  <si>
    <t>(18b) Effective noise power for data channel = (16b) + 10 log((17b)) dBm</t>
    <phoneticPr fontId="1" type="noConversion"/>
  </si>
  <si>
    <t xml:space="preserve">(19b) Required SNR for the data channel (dB) </t>
    <phoneticPr fontId="1" type="noConversion"/>
  </si>
  <si>
    <t>(22b) Receiver sensitivity for data channel          = (18b) + (19b) + (20) – (21b)  dBm</t>
    <phoneticPr fontId="1" type="noConversion"/>
  </si>
  <si>
    <t>(29a) Available path loss for control channel          = (23a) – (25a) + (26) – (27) + (28) – (12)   dB</t>
    <phoneticPr fontId="1" type="noConversion"/>
  </si>
  <si>
    <r>
      <t>(31a) Coverage Area for control channel = (π (30a)</t>
    </r>
    <r>
      <rPr>
        <vertAlign val="superscript"/>
        <sz val="11"/>
        <rFont val="Times New Roman"/>
        <family val="1"/>
      </rPr>
      <t>2</t>
    </r>
    <r>
      <rPr>
        <sz val="11"/>
        <rFont val="Times New Roman"/>
        <family val="1"/>
      </rPr>
      <t>) (m</t>
    </r>
    <r>
      <rPr>
        <vertAlign val="superscript"/>
        <sz val="11"/>
        <rFont val="Times New Roman"/>
        <family val="1"/>
      </rPr>
      <t>2</t>
    </r>
    <r>
      <rPr>
        <sz val="11"/>
        <rFont val="Times New Roman"/>
        <family val="1"/>
      </rPr>
      <t>/site)</t>
    </r>
  </si>
  <si>
    <r>
      <t>(31b) Coverage Area for data channel = (π (30b)</t>
    </r>
    <r>
      <rPr>
        <vertAlign val="superscript"/>
        <sz val="11"/>
        <rFont val="Times New Roman"/>
        <family val="1"/>
      </rPr>
      <t>2</t>
    </r>
    <r>
      <rPr>
        <sz val="11"/>
        <rFont val="Times New Roman"/>
        <family val="1"/>
      </rPr>
      <t>) (m</t>
    </r>
    <r>
      <rPr>
        <vertAlign val="superscript"/>
        <sz val="11"/>
        <rFont val="Times New Roman"/>
        <family val="1"/>
      </rPr>
      <t>2</t>
    </r>
    <r>
      <rPr>
        <sz val="11"/>
        <rFont val="Times New Roman"/>
        <family val="1"/>
      </rPr>
      <t>/site)</t>
    </r>
  </si>
  <si>
    <t>NOTE1: The term "antenna" is understood as antenna elements.</t>
    <phoneticPr fontId="1" type="noConversion"/>
  </si>
  <si>
    <t>NOTE2: In-band mode is assumed for NB-IoT, which results in 35dBm transmission power.</t>
    <phoneticPr fontId="1" type="noConversion"/>
  </si>
  <si>
    <t>NPUSCH format 1 (NLOS)</t>
    <phoneticPr fontId="1" type="noConversion"/>
  </si>
  <si>
    <t>NPUSCH format 1 (NLOS O-to-I)</t>
    <phoneticPr fontId="1" type="noConversion"/>
  </si>
  <si>
    <t>NPUSCH format 1 (LOS)</t>
    <phoneticPr fontId="1" type="noConversion"/>
  </si>
  <si>
    <t>PUSCH format2  (LOS)</t>
    <phoneticPr fontId="1" type="noConversion"/>
  </si>
  <si>
    <t>(10bis) Number of receive antenna ports</t>
    <phoneticPr fontId="1" type="noConversion"/>
  </si>
  <si>
    <t>PDSCH (LOS)</t>
    <phoneticPr fontId="1" type="noConversion"/>
  </si>
  <si>
    <t>PDCCH (LOS)</t>
    <phoneticPr fontId="1" type="noConversion"/>
  </si>
  <si>
    <t>PDSCH (NLOS)</t>
    <phoneticPr fontId="1" type="noConversion"/>
  </si>
  <si>
    <t>PDCCH (NLOS)</t>
    <phoneticPr fontId="1" type="noConversion"/>
  </si>
  <si>
    <t>PDSCH (NLOS O-to-I)</t>
    <phoneticPr fontId="1" type="noConversion"/>
  </si>
  <si>
    <t>PDCCH (NLOS O-to-I)</t>
    <phoneticPr fontId="1" type="noConversion"/>
  </si>
  <si>
    <t>PUSCH (LOS)</t>
    <phoneticPr fontId="1" type="noConversion"/>
  </si>
  <si>
    <t>PUCCH   (LOS)</t>
    <phoneticPr fontId="1" type="noConversion"/>
  </si>
  <si>
    <t>PUSCH  (NLOS)</t>
    <phoneticPr fontId="1" type="noConversion"/>
  </si>
  <si>
    <t>PUCCH   (NLOS)</t>
    <phoneticPr fontId="1" type="noConversion"/>
  </si>
  <si>
    <t>PUSCH  (NLOS O-to-I)</t>
    <phoneticPr fontId="1" type="noConversion"/>
  </si>
  <si>
    <t>PUCCH  (NLOS O-to-I)</t>
    <phoneticPr fontId="1" type="noConversion"/>
  </si>
  <si>
    <t>NR PDCCH 
(30 kHz)
(NLOS)</t>
    <phoneticPr fontId="1" type="noConversion"/>
  </si>
  <si>
    <t>NR PDSCH 
(NLOS)</t>
    <phoneticPr fontId="1" type="noConversion"/>
  </si>
  <si>
    <t>NR PUSCH
(NLOS)</t>
    <phoneticPr fontId="1" type="noConversion"/>
  </si>
  <si>
    <t>NR PUCCH
 (NLOS)</t>
    <phoneticPr fontId="1" type="noConversion"/>
  </si>
  <si>
    <t>NR PDCCH 
(NLOS)</t>
    <phoneticPr fontId="1" type="noConversion"/>
  </si>
  <si>
    <t>NR PDSCH
(NLOS O-to-I)</t>
    <phoneticPr fontId="1" type="noConversion"/>
  </si>
  <si>
    <t>NR PDCCH 
(NLOS O-to-I)</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</si>
  <si>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</si>
  <si>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</si>
  <si>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</si>
  <si>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</si>
  <si>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t>NR PDSCH
 (NLOS)</t>
    <phoneticPr fontId="1" type="noConversion"/>
  </si>
  <si>
    <t>NR PDSCH
 (NLOS O-to-I)</t>
    <phoneticPr fontId="1" type="noConversion"/>
  </si>
  <si>
    <t>NR PDCCH  (NLOS O-to-I)</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</si>
  <si>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</si>
  <si>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</si>
  <si>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</si>
  <si>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</si>
  <si>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t>NR PDSCH (NLOS)</t>
    <phoneticPr fontId="1" type="noConversion"/>
  </si>
  <si>
    <t>NR PDCCH (NLOS)</t>
    <phoneticPr fontId="1" type="noConversion"/>
  </si>
  <si>
    <t>NR PUSCH (NLOS)</t>
    <phoneticPr fontId="1" type="noConversion"/>
  </si>
  <si>
    <t>NR PUCCH (NLOS)</t>
    <phoneticPr fontId="1" type="noConversion"/>
  </si>
  <si>
    <t>-</t>
    <phoneticPr fontId="1" type="noConversion"/>
  </si>
  <si>
    <t>NLOS</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</si>
  <si>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</si>
  <si>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</si>
  <si>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</si>
  <si>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(29a) Available path loss for control channel          = (23a) – (25a) + (26) – (27) + (28) – (12)   dB</t>
    <phoneticPr fontId="1" type="noConversion"/>
  </si>
  <si>
    <t>DL</t>
    <phoneticPr fontId="1" type="noConversion"/>
  </si>
  <si>
    <t>UL</t>
    <phoneticPr fontId="1" type="noConversion"/>
  </si>
  <si>
    <t>DL</t>
    <phoneticPr fontId="1" type="noConversion"/>
  </si>
  <si>
    <t>UL</t>
    <phoneticPr fontId="1" type="noConversion"/>
  </si>
  <si>
    <t xml:space="preserve">NR PDCCH (NLOS) </t>
    <phoneticPr fontId="1" type="noConversion"/>
  </si>
  <si>
    <t>NR PDSCH (NLOS O-to-I)</t>
    <phoneticPr fontId="1" type="noConversion"/>
  </si>
  <si>
    <t xml:space="preserve">NR PDCCH (NLOS O-to-I) </t>
    <phoneticPr fontId="1" type="noConversion"/>
  </si>
  <si>
    <t>NR PUSCH (NLOS O-to-I)</t>
    <phoneticPr fontId="1" type="noConversion"/>
  </si>
  <si>
    <t>NR PUCCH (NLOS O-to-I)</t>
    <phoneticPr fontId="1" type="noConversion"/>
  </si>
  <si>
    <t>NLOS O-to-I</t>
    <phoneticPr fontId="1" type="noConversion"/>
  </si>
  <si>
    <t>(22b) Receiver sensitivity for data channel          = (18b) + (19b) + (20) – (21b)  dBm</t>
    <phoneticPr fontId="1" type="noConversion"/>
  </si>
  <si>
    <t>(23a) Hardware link budget for control channel          = (9a) + (11) + (11bis) − (22a)   dB</t>
    <phoneticPr fontId="1" type="noConversion"/>
  </si>
  <si>
    <t>(23b) Hardware link budget for data channel           = (9b) + (11) + (11bis) − (22b)  dB</t>
    <phoneticPr fontId="1" type="noConversion"/>
  </si>
  <si>
    <t>DL</t>
    <phoneticPr fontId="1" type="noConversion"/>
  </si>
  <si>
    <t>UL</t>
    <phoneticPr fontId="1" type="noConversion"/>
  </si>
  <si>
    <t>NR PDSCH 
(NLOS)</t>
    <phoneticPr fontId="1" type="noConversion"/>
  </si>
  <si>
    <t xml:space="preserve">NR PDCCH
(NLOS) </t>
    <phoneticPr fontId="1" type="noConversion"/>
  </si>
  <si>
    <t>NR PDSCH 
(NLOS O-to-I)</t>
    <phoneticPr fontId="1" type="noConversion"/>
  </si>
  <si>
    <t xml:space="preserve">NR PDCCH
 (NLOS O-to-I) </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</si>
  <si>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</si>
  <si>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</si>
  <si>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</si>
  <si>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</si>
  <si>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r>
      <t>Cell area reliability</t>
    </r>
    <r>
      <rPr>
        <vertAlign val="superscript"/>
        <sz val="10"/>
        <color theme="1"/>
        <rFont val="Times New Roman"/>
        <family val="1"/>
      </rPr>
      <t>(1)</t>
    </r>
    <r>
      <rPr>
        <sz val="11"/>
        <color theme="1"/>
        <rFont val="Times New Roman"/>
        <family val="1"/>
      </rPr>
      <t xml:space="preserve"> for control channel  (%) (Please specify how it is calculated.) (See 3GPP note at bottom of the table (i) )</t>
    </r>
    <phoneticPr fontId="1" type="noConversion"/>
  </si>
  <si>
    <t>-</t>
    <phoneticPr fontId="1" type="noConversion"/>
  </si>
  <si>
    <t>NLOS</t>
    <phoneticPr fontId="1" type="noConversion"/>
  </si>
  <si>
    <t>NLOS O-to-I</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</si>
  <si>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</si>
  <si>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</si>
  <si>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</si>
  <si>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</si>
  <si>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(29a) Available path loss for control channel          = (23a) – (25a) + (26) – (27) + (28) – (12)   dB</t>
    <phoneticPr fontId="1" type="noConversion"/>
  </si>
  <si>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</si>
  <si>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</si>
  <si>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(1bis) Number of  transmit antenna ports</t>
    <phoneticPr fontId="1" type="noConversion"/>
  </si>
  <si>
    <t>(10bis) Number of receive antenna ports</t>
    <phoneticPr fontId="1" type="noConversion"/>
  </si>
  <si>
    <t>(1bis) Number of transmit antenna ports</t>
    <phoneticPr fontId="1" type="noConversion"/>
  </si>
  <si>
    <t>(10bis) Number of receive antenna ports</t>
    <phoneticPr fontId="1" type="noConversion"/>
  </si>
  <si>
    <t>(11bis) Receiver array gain (depends on receive array configurations and technologies such as adaptive beam forming, etc.) (dB)</t>
    <phoneticPr fontId="1" type="noConversion"/>
  </si>
  <si>
    <t>(11bis) Receiver array gain (depends on receive array configurations and technologies such as adaptive beam forming, etc.) (dB)</t>
    <phoneticPr fontId="1" type="noConversion"/>
  </si>
  <si>
    <t>(1bis) Number of antenna ports</t>
    <phoneticPr fontId="1" type="noConversion"/>
  </si>
  <si>
    <t>(1bis) Number of transmit antenna ports</t>
    <phoneticPr fontId="1" type="noConversion"/>
  </si>
  <si>
    <t>(10bis) Number of  receive antenna ports</t>
    <phoneticPr fontId="1" type="noConversion"/>
  </si>
  <si>
    <t>-</t>
    <phoneticPr fontId="1" type="noConversion"/>
  </si>
  <si>
    <t>(12) Cable, connector, combiner, body losses, etc. (enumerate sources) (dB) (feeder loss must be included for and only for uplink)</t>
    <phoneticPr fontId="1" type="noConversion"/>
  </si>
  <si>
    <t>-</t>
    <phoneticPr fontId="1" type="noConversion"/>
  </si>
  <si>
    <t>s</t>
    <phoneticPr fontId="1" type="noConversion"/>
  </si>
  <si>
    <t>s</t>
    <phoneticPr fontId="1" type="noConversion"/>
  </si>
  <si>
    <r>
      <t>Transmission bandwidth configuration N</t>
    </r>
    <r>
      <rPr>
        <b/>
        <vertAlign val="subscript"/>
        <sz val="10"/>
        <color theme="1"/>
        <rFont val="Arial"/>
        <family val="2"/>
      </rPr>
      <t>RB</t>
    </r>
    <r>
      <rPr>
        <b/>
        <sz val="10"/>
        <color theme="1"/>
        <rFont val="Arial"/>
        <family val="2"/>
      </rPr>
      <t xml:space="preserve"> in NR</t>
    </r>
    <phoneticPr fontId="1" type="noConversion"/>
  </si>
  <si>
    <r>
      <t>Transmission bandwidth configuration N</t>
    </r>
    <r>
      <rPr>
        <b/>
        <vertAlign val="subscript"/>
        <sz val="10"/>
        <color theme="1"/>
        <rFont val="Arial"/>
        <family val="2"/>
      </rPr>
      <t>RB</t>
    </r>
    <r>
      <rPr>
        <b/>
        <sz val="10"/>
        <color theme="1"/>
        <rFont val="Arial"/>
        <family val="2"/>
      </rPr>
      <t xml:space="preserve">  in LTE </t>
    </r>
    <phoneticPr fontId="1" type="noConversion"/>
  </si>
  <si>
    <t>LTE PDSCH
 (NLOS)</t>
    <phoneticPr fontId="1" type="noConversion"/>
  </si>
  <si>
    <t>LTE PDCCH (NLOS)</t>
    <phoneticPr fontId="1" type="noConversion"/>
  </si>
  <si>
    <t>LTE PDSCH
 (NLOS O-to-I)</t>
    <phoneticPr fontId="1" type="noConversion"/>
  </si>
  <si>
    <t>LTE PDCCH  (NLOS O-to-I)</t>
    <phoneticPr fontId="1" type="noConversion"/>
  </si>
  <si>
    <t>LTE PUSCH
 (NLOS)</t>
    <phoneticPr fontId="1" type="noConversion"/>
  </si>
  <si>
    <t>LTE PUCCH
(NLOS)</t>
    <phoneticPr fontId="1" type="noConversion"/>
  </si>
  <si>
    <t>LTE PUSCH
 (NLOS O-to-I)</t>
    <phoneticPr fontId="1" type="noConversion"/>
  </si>
  <si>
    <t>LTE PUCCH
 (NLOS O-to-I)</t>
    <phoneticPr fontId="1" type="noConversion"/>
  </si>
  <si>
    <t>-</t>
    <phoneticPr fontId="1" type="noConversion"/>
  </si>
  <si>
    <t>-</t>
    <phoneticPr fontId="1" type="noConversion"/>
  </si>
  <si>
    <t>General notes:
1. Item "(1bis) Number of transmit antenna ports" is added, which indicates the number of transmit antenna ports for the transmission link. One transmit antenna port may map to 1 or multiple transmit antenna elements. Beamforming is assumed for the transmit antenna element(s) that generate one transmit antenna port, which results in transmitter array gain. 
2. Item "(5) Transmitter array gain" is calculated as 10*log10( (1)/(1bis) )
3. Item "(10bis) Number of  receive antenna ports" is added, which indicates the number of receive antenna ports for the transmission link. One receive antenna port may map to 1 or multiple transmit antenna elements. Beamforming is assumed for the receive antenna element(s) that generate one receive antenna port, which results in receive array gain. 
4. Item "(11bis) Receiver array gain" is added. It is calculated as 10*log10( (10)/(10bis) )
5. For Urban Macro - mMTC test environment, item "(15a/b) Receiver interference density" is assumed to be -177dB due to the assumption of low cell load when the large coverage area of  mMTC is considered.
6. If item "(30a/b) Maximum range" exceeds the maximum supportable range of the channel model defined in Report ITU-R M.2412, the item "(30a/b) Maximum range" will be given by the  maximum supportable range of the related  channel model. As a consequence, item "(31a/b) Coverage Area" will be calculated by the maximum supportable range.
7. For LTE PDCCH, the broad beam is assumed to be applied to the horizontal array, which results in approximately 1.25dB loss compared to horizontal beamforming.
8. In applying the link budget template, it was noted that the template calculates valuations for the control channel and the data channel separately.  In particular, it was necessary to provide separate values for the data channel and the control channel in the following entries: cell area reliability, items 15, 16, 17, 18 and 25 for the reason that the control channel link budget is based on a set of different parameters from those for the data channel, e.g. the bandwidth, cell area reliability, receiver interference density, shadow fading margin, etc.  Therefore we have provided an “a) (control channel)” and “b) (data channel)” set of answers for these values even though the ITU-R template did not specifically request separate values for these items.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</si>
</sst>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00000_ "/>
    <numFmt numFmtId="165" formatCode="0.00_ "/>
    <numFmt numFmtId="166" formatCode="0.00_);[Red]\(0.00\)"/>
    <numFmt numFmtId="167" formatCode="0.000%"/>
    <numFmt numFmtId="168" formatCode="0.000_ "/>
    <numFmt numFmtId="169" formatCode="0.000E+00"/>
    <numFmt numFmtId="170" formatCode="0.00000_ "/>
  </numFmts>
  <fonts count="25">
    <font>
      <sz val="12"/>
      <name val="宋体"/>
      <charset val="134"/>
    </font>
    <font>
      <sz val="9"/>
      <name val="宋体"/>
      <family val="3"/>
      <charset val="134"/>
    </font>
    <font>
      <sz val="11"/>
      <name val="Times New Roman"/>
      <family val="1"/>
    </font>
    <font>
      <sz val="12"/>
      <name val="宋体"/>
      <family val="3"/>
      <charset val="134"/>
    </font>
    <font>
      <b/>
      <sz val="10"/>
      <color theme="1"/>
      <name val="Arial"/>
      <family val="2"/>
    </font>
    <font>
      <b/>
      <vertAlign val="subscript"/>
      <sz val="10"/>
      <color theme="1"/>
      <name val="Arial"/>
      <family val="2"/>
    </font>
    <font>
      <sz val="11"/>
      <color theme="1"/>
      <name val="Arial"/>
      <family val="2"/>
    </font>
    <font>
      <sz val="9"/>
      <name val="Calibri"/>
      <family val="3"/>
      <charset val="134"/>
      <scheme val="minor"/>
    </font>
    <font>
      <b/>
      <sz val="9"/>
      <color theme="1"/>
      <name val="Arial"/>
      <family val="2"/>
    </font>
    <font>
      <b/>
      <sz val="8"/>
      <color theme="1"/>
      <name val="Arial"/>
      <family val="2"/>
    </font>
    <font>
      <b/>
      <vertAlign val="subscript"/>
      <sz val="9"/>
      <color theme="1"/>
      <name val="Arial"/>
      <family val="2"/>
    </font>
    <font>
      <sz val="9"/>
      <color theme="1"/>
      <name val="Arial"/>
      <family val="2"/>
    </font>
    <font>
      <b/>
      <sz val="11"/>
      <color theme="1"/>
      <name val="Times New Roman"/>
      <family val="1"/>
    </font>
    <font>
      <sz val="11"/>
      <color theme="1"/>
      <name val="Times New Roman"/>
      <family val="1"/>
    </font>
    <font>
      <vertAlign val="superscript"/>
      <sz val="10"/>
      <color theme="1"/>
      <name val="Times New Roman"/>
      <family val="1"/>
    </font>
    <font>
      <vertAlign val="superscript"/>
      <sz val="11"/>
      <color theme="1"/>
      <name val="Times New Roman"/>
      <family val="1"/>
    </font>
    <font>
      <sz val="12"/>
      <color theme="1"/>
      <name val="宋体"/>
      <family val="3"/>
      <charset val="134"/>
    </font>
    <font>
      <sz val="11"/>
      <color rgb="FF3F3F76"/>
      <name val="Calibri"/>
      <family val="2"/>
      <charset val="134"/>
      <scheme val="minor"/>
    </font>
    <font>
      <sz val="12"/>
      <name val="Times New Roman"/>
      <family val="1"/>
    </font>
    <font>
      <sz val="11"/>
      <color rgb="FFFF0000"/>
      <name val="Times New Roman"/>
      <family val="1"/>
    </font>
    <font>
      <b/>
      <sz val="11"/>
      <name val="Times New Roman"/>
      <family val="1"/>
    </font>
    <font>
      <vertAlign val="superscript"/>
      <sz val="10"/>
      <name val="Times New Roman"/>
      <family val="1"/>
    </font>
    <font>
      <vertAlign val="superscript"/>
      <sz val="11"/>
      <name val="Times New Roman"/>
      <family val="1"/>
    </font>
    <font>
      <sz val="12"/>
      <color rgb="FFFF0000"/>
      <name val="宋体"/>
      <family val="3"/>
      <charset val="134"/>
    </font>
    <font>
      <sz val="10"/>
      <name val="Arial"/>
      <family val="2"/>
    </font>
  </fonts>
  <fills count="11">
    <fill>
      <patternFill patternType="none"/>
    </fill>
    <fill>
      <patternFill patternType="gray125"/>
    </fill>
    <fill>
      <patternFill patternType="solid">
        <fgColor rgb="FFE6E6E6"/>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D9D9D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C99"/>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7F7F7F"/>
      </left>
      <right style="thin">
        <color rgb="FF7F7F7F"/>
      </right>
      <top style="thin">
        <color rgb="FF7F7F7F"/>
      </top>
      <bottom style="thin">
        <color rgb="FF7F7F7F"/>
      </bottom>
      <diagonal/>
    </border>
  </borders>
  <cellStyleXfs count="3">
    <xf numFmtId="0" fontId="0" fillId="0" borderId="0">
      <alignment vertical="center"/>
    </xf>
    <xf numFmtId="0" fontId="3" fillId="0" borderId="0">
      <alignment vertical="center"/>
    </xf>
    <xf numFmtId="0" fontId="17" fillId="9" borderId="16" applyNumberFormat="0" applyAlignment="0" applyProtection="0">
      <alignment vertical="center"/>
    </xf>
  </cellStyleXfs>
  <cellXfs count="156">
    <xf numFmtId="0" fontId="0" fillId="0" borderId="0" xfId="0">
      <alignment vertical="center"/>
    </xf>
    <xf numFmtId="0" fontId="0" fillId="0" borderId="0" xfId="0" applyAlignment="1">
      <alignment vertical="center" wrapText="1"/>
    </xf>
    <xf numFmtId="0" fontId="3" fillId="0" borderId="0" xfId="1">
      <alignment vertical="center"/>
    </xf>
    <xf numFmtId="0" fontId="4" fillId="0" borderId="0" xfId="0" applyFont="1">
      <alignment vertical="center"/>
    </xf>
    <xf numFmtId="0" fontId="6" fillId="0" borderId="0" xfId="0" applyFont="1">
      <alignment vertical="center"/>
    </xf>
    <xf numFmtId="0" fontId="9" fillId="6" borderId="9"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1" xfId="0" applyFont="1" applyBorder="1" applyAlignment="1">
      <alignment horizontal="center" vertical="center" wrapText="1"/>
    </xf>
    <xf numFmtId="0" fontId="8" fillId="6" borderId="13"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164" fontId="0" fillId="0" borderId="0" xfId="0" applyNumberFormat="1">
      <alignment vertical="center"/>
    </xf>
    <xf numFmtId="0" fontId="3" fillId="0" borderId="0" xfId="0" applyFont="1" applyAlignment="1">
      <alignment vertical="center" wrapText="1"/>
    </xf>
    <xf numFmtId="0" fontId="2" fillId="0" borderId="0" xfId="0" applyFont="1">
      <alignment vertical="center"/>
    </xf>
    <xf numFmtId="167" fontId="0" fillId="0" borderId="0" xfId="0" applyNumberFormat="1" applyAlignment="1">
      <alignment vertical="center" wrapText="1"/>
    </xf>
    <xf numFmtId="0" fontId="12" fillId="2" borderId="1" xfId="0" applyFont="1" applyFill="1" applyBorder="1" applyAlignment="1">
      <alignment horizontal="justify"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3" fillId="3" borderId="1" xfId="0" applyFont="1" applyFill="1" applyBorder="1" applyAlignment="1">
      <alignment horizontal="justify" vertical="center" wrapText="1"/>
    </xf>
    <xf numFmtId="9" fontId="13" fillId="0" borderId="1" xfId="0" applyNumberFormat="1" applyFont="1" applyFill="1" applyBorder="1" applyAlignment="1">
      <alignment horizontal="center" vertical="center" wrapText="1"/>
    </xf>
    <xf numFmtId="9" fontId="13" fillId="0" borderId="1" xfId="0" applyNumberFormat="1" applyFont="1" applyBorder="1" applyAlignment="1">
      <alignment horizontal="center" vertical="center" wrapText="1"/>
    </xf>
    <xf numFmtId="0" fontId="13" fillId="7" borderId="2" xfId="0" applyFont="1" applyFill="1" applyBorder="1" applyAlignment="1">
      <alignment vertical="center" wrapText="1"/>
    </xf>
    <xf numFmtId="0" fontId="13" fillId="7" borderId="1" xfId="0"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2" fillId="8" borderId="1" xfId="0" applyFont="1" applyFill="1" applyBorder="1" applyAlignment="1">
      <alignment horizontal="justify" vertical="center" wrapText="1"/>
    </xf>
    <xf numFmtId="0" fontId="13" fillId="4" borderId="1" xfId="0" applyFont="1" applyFill="1" applyBorder="1" applyAlignment="1">
      <alignment horizontal="justify" vertical="center"/>
    </xf>
    <xf numFmtId="0" fontId="13" fillId="0" borderId="1" xfId="0" applyFont="1" applyBorder="1">
      <alignment vertical="center"/>
    </xf>
    <xf numFmtId="0" fontId="13" fillId="0" borderId="1" xfId="0" applyFont="1" applyBorder="1" applyAlignment="1">
      <alignment horizontal="justify" vertical="center" wrapText="1"/>
    </xf>
    <xf numFmtId="0" fontId="16" fillId="0" borderId="0" xfId="0" applyFont="1">
      <alignment vertical="center"/>
    </xf>
    <xf numFmtId="166" fontId="12" fillId="2" borderId="1" xfId="0" applyNumberFormat="1" applyFont="1" applyFill="1" applyBorder="1" applyAlignment="1">
      <alignment vertical="center" wrapText="1"/>
    </xf>
    <xf numFmtId="166" fontId="16" fillId="0" borderId="0" xfId="0" applyNumberFormat="1" applyFont="1" applyAlignment="1">
      <alignment horizontal="center" vertical="center"/>
    </xf>
    <xf numFmtId="166" fontId="16" fillId="0" borderId="0" xfId="0" applyNumberFormat="1" applyFont="1">
      <alignment vertical="center"/>
    </xf>
    <xf numFmtId="11" fontId="13" fillId="0" borderId="1" xfId="0" applyNumberFormat="1" applyFont="1" applyBorder="1" applyAlignment="1">
      <alignment horizontal="center" vertical="center" wrapText="1"/>
    </xf>
    <xf numFmtId="165" fontId="13" fillId="0" borderId="1"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13" fillId="0" borderId="1" xfId="0" applyNumberFormat="1" applyFont="1" applyFill="1" applyBorder="1" applyAlignment="1">
      <alignment horizontal="center" vertical="center"/>
    </xf>
    <xf numFmtId="165" fontId="12" fillId="2" borderId="1" xfId="0" applyNumberFormat="1" applyFont="1" applyFill="1" applyBorder="1" applyAlignment="1">
      <alignment vertical="center" wrapText="1"/>
    </xf>
    <xf numFmtId="165" fontId="13" fillId="7" borderId="1" xfId="0" applyNumberFormat="1" applyFont="1" applyFill="1" applyBorder="1" applyAlignment="1">
      <alignment horizontal="center" vertical="center" wrapText="1"/>
    </xf>
    <xf numFmtId="165" fontId="13" fillId="4" borderId="1" xfId="0" applyNumberFormat="1" applyFont="1" applyFill="1" applyBorder="1" applyAlignment="1">
      <alignment horizontal="center" vertical="center"/>
    </xf>
    <xf numFmtId="165" fontId="13" fillId="8" borderId="1" xfId="0" applyNumberFormat="1" applyFont="1" applyFill="1" applyBorder="1" applyAlignment="1">
      <alignment horizontal="center" vertical="center" wrapText="1"/>
    </xf>
    <xf numFmtId="165" fontId="16" fillId="0" borderId="1" xfId="0" applyNumberFormat="1" applyFont="1" applyBorder="1" applyAlignment="1">
      <alignment horizontal="center" vertical="center"/>
    </xf>
    <xf numFmtId="165" fontId="16" fillId="0" borderId="0" xfId="0" applyNumberFormat="1" applyFont="1" applyAlignment="1">
      <alignment horizontal="center" vertical="center"/>
    </xf>
    <xf numFmtId="165" fontId="2" fillId="0" borderId="0" xfId="0" applyNumberFormat="1" applyFont="1" applyAlignment="1">
      <alignment horizontal="center" vertical="center"/>
    </xf>
    <xf numFmtId="165" fontId="2" fillId="0" borderId="0" xfId="0" applyNumberFormat="1" applyFont="1">
      <alignment vertical="center"/>
    </xf>
    <xf numFmtId="165" fontId="12" fillId="2" borderId="1" xfId="0" applyNumberFormat="1" applyFont="1" applyFill="1" applyBorder="1" applyAlignment="1">
      <alignment horizontal="center" vertical="center" wrapText="1"/>
    </xf>
    <xf numFmtId="0" fontId="13" fillId="8" borderId="2" xfId="0" applyFont="1" applyFill="1" applyBorder="1" applyAlignment="1">
      <alignment vertical="center" wrapText="1"/>
    </xf>
    <xf numFmtId="0" fontId="13" fillId="8" borderId="1" xfId="0" applyFont="1" applyFill="1" applyBorder="1" applyAlignment="1">
      <alignment horizontal="justify" vertical="center" wrapText="1"/>
    </xf>
    <xf numFmtId="165" fontId="16" fillId="0" borderId="0" xfId="0" applyNumberFormat="1" applyFont="1">
      <alignment vertical="center"/>
    </xf>
    <xf numFmtId="0" fontId="13" fillId="0" borderId="0" xfId="0" applyFont="1">
      <alignment vertical="center"/>
    </xf>
    <xf numFmtId="165" fontId="13" fillId="0" borderId="0" xfId="0" applyNumberFormat="1" applyFont="1" applyAlignment="1">
      <alignment horizontal="center" vertical="center"/>
    </xf>
    <xf numFmtId="165" fontId="13" fillId="0" borderId="0" xfId="0" applyNumberFormat="1" applyFont="1">
      <alignment vertical="center"/>
    </xf>
    <xf numFmtId="9" fontId="13" fillId="0" borderId="1" xfId="0" applyNumberFormat="1" applyFont="1" applyBorder="1" applyAlignment="1">
      <alignment horizontal="center" vertical="center"/>
    </xf>
    <xf numFmtId="0" fontId="13" fillId="0" borderId="0" xfId="0" applyFont="1" applyAlignment="1">
      <alignment horizontal="center" vertical="center"/>
    </xf>
    <xf numFmtId="165" fontId="12" fillId="2" borderId="1" xfId="0" applyNumberFormat="1" applyFont="1" applyFill="1" applyBorder="1" applyAlignment="1">
      <alignment horizontal="justify" vertical="center"/>
    </xf>
    <xf numFmtId="165" fontId="12" fillId="2" borderId="1" xfId="0" applyNumberFormat="1" applyFont="1" applyFill="1" applyBorder="1" applyAlignment="1">
      <alignment horizontal="justify" vertical="center" wrapText="1"/>
    </xf>
    <xf numFmtId="165" fontId="12" fillId="2" borderId="1" xfId="0" applyNumberFormat="1" applyFont="1" applyFill="1" applyBorder="1" applyAlignment="1">
      <alignment vertical="center"/>
    </xf>
    <xf numFmtId="165" fontId="13" fillId="3" borderId="1" xfId="0" applyNumberFormat="1" applyFont="1" applyFill="1" applyBorder="1" applyAlignment="1">
      <alignment horizontal="justify" vertical="center" wrapText="1"/>
    </xf>
    <xf numFmtId="165" fontId="13" fillId="0" borderId="1" xfId="0" applyNumberFormat="1" applyFont="1" applyBorder="1" applyAlignment="1">
      <alignment horizontal="center" vertical="center"/>
    </xf>
    <xf numFmtId="165" fontId="13" fillId="8" borderId="2" xfId="0" applyNumberFormat="1" applyFont="1" applyFill="1" applyBorder="1" applyAlignment="1">
      <alignment vertical="center" wrapText="1"/>
    </xf>
    <xf numFmtId="165" fontId="13" fillId="8" borderId="1" xfId="0" applyNumberFormat="1" applyFont="1" applyFill="1" applyBorder="1" applyAlignment="1">
      <alignment horizontal="justify" vertical="center" wrapText="1"/>
    </xf>
    <xf numFmtId="165" fontId="13" fillId="4" borderId="1" xfId="0" applyNumberFormat="1" applyFont="1" applyFill="1" applyBorder="1" applyAlignment="1">
      <alignment horizontal="justify" vertical="center" wrapText="1"/>
    </xf>
    <xf numFmtId="165" fontId="12" fillId="8" borderId="1" xfId="0" applyNumberFormat="1" applyFont="1" applyFill="1" applyBorder="1" applyAlignment="1">
      <alignment horizontal="justify" vertical="center" wrapText="1"/>
    </xf>
    <xf numFmtId="165" fontId="13" fillId="4" borderId="1" xfId="0" applyNumberFormat="1" applyFont="1" applyFill="1" applyBorder="1" applyAlignment="1">
      <alignment horizontal="justify" vertical="center"/>
    </xf>
    <xf numFmtId="165" fontId="13" fillId="0" borderId="1" xfId="0" applyNumberFormat="1" applyFont="1" applyBorder="1" applyAlignment="1">
      <alignment horizontal="justify" vertical="center" wrapText="1"/>
    </xf>
    <xf numFmtId="165" fontId="16" fillId="0" borderId="0" xfId="0" applyNumberFormat="1" applyFont="1" applyAlignment="1">
      <alignment vertical="center"/>
    </xf>
    <xf numFmtId="167" fontId="13" fillId="3" borderId="1" xfId="0" applyNumberFormat="1" applyFont="1" applyFill="1" applyBorder="1" applyAlignment="1">
      <alignment horizontal="justify" vertical="center" wrapText="1"/>
    </xf>
    <xf numFmtId="167" fontId="13" fillId="0" borderId="1" xfId="0" applyNumberFormat="1" applyFont="1" applyFill="1" applyBorder="1" applyAlignment="1">
      <alignment horizontal="center" vertical="center" wrapText="1"/>
    </xf>
    <xf numFmtId="167" fontId="13"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165" fontId="13" fillId="4"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xf>
    <xf numFmtId="165" fontId="2" fillId="0" borderId="1" xfId="0" applyNumberFormat="1" applyFont="1" applyBorder="1" applyAlignment="1">
      <alignment horizontal="center" vertical="center"/>
    </xf>
    <xf numFmtId="9" fontId="2" fillId="0" borderId="1" xfId="0" applyNumberFormat="1" applyFont="1" applyFill="1" applyBorder="1" applyAlignment="1">
      <alignment horizontal="center" vertical="center"/>
    </xf>
    <xf numFmtId="9" fontId="2" fillId="0" borderId="1" xfId="0" applyNumberFormat="1" applyFont="1" applyBorder="1" applyAlignment="1">
      <alignment horizontal="center" vertical="center"/>
    </xf>
    <xf numFmtId="0" fontId="18" fillId="0" borderId="1" xfId="0" applyFont="1" applyBorder="1">
      <alignment vertical="center"/>
    </xf>
    <xf numFmtId="0" fontId="2" fillId="0" borderId="1" xfId="0" applyFont="1" applyBorder="1" applyAlignment="1">
      <alignment horizontal="center" vertical="center"/>
    </xf>
    <xf numFmtId="0" fontId="18" fillId="0" borderId="1" xfId="0" applyFont="1" applyFill="1" applyBorder="1">
      <alignment vertical="center"/>
    </xf>
    <xf numFmtId="0" fontId="20" fillId="2" borderId="1" xfId="0" applyFont="1" applyFill="1" applyBorder="1" applyAlignment="1">
      <alignment horizontal="justify" vertical="center"/>
    </xf>
    <xf numFmtId="165" fontId="20" fillId="2" borderId="1" xfId="0" applyNumberFormat="1" applyFont="1" applyFill="1" applyBorder="1" applyAlignment="1">
      <alignment horizontal="center" vertical="center"/>
    </xf>
    <xf numFmtId="165" fontId="20" fillId="2" borderId="1" xfId="0" applyNumberFormat="1" applyFont="1" applyFill="1" applyBorder="1" applyAlignment="1">
      <alignment horizontal="center" vertical="center" wrapText="1"/>
    </xf>
    <xf numFmtId="0" fontId="20" fillId="2" borderId="1" xfId="0" applyFont="1" applyFill="1" applyBorder="1" applyAlignment="1">
      <alignment vertical="center" wrapText="1"/>
    </xf>
    <xf numFmtId="0" fontId="2" fillId="3" borderId="1" xfId="0" applyFont="1" applyFill="1" applyBorder="1" applyAlignment="1">
      <alignment horizontal="justify" vertical="center" wrapText="1"/>
    </xf>
    <xf numFmtId="168" fontId="2" fillId="0" borderId="1" xfId="0" applyNumberFormat="1" applyFont="1" applyFill="1" applyBorder="1" applyAlignment="1">
      <alignment horizontal="center" vertical="center" wrapText="1"/>
    </xf>
    <xf numFmtId="168" fontId="2" fillId="0" borderId="1" xfId="0" applyNumberFormat="1" applyFont="1" applyBorder="1" applyAlignment="1">
      <alignment horizontal="center" vertical="center"/>
    </xf>
    <xf numFmtId="0" fontId="2" fillId="8" borderId="1" xfId="0" applyFont="1" applyFill="1" applyBorder="1" applyAlignment="1">
      <alignment vertical="center" wrapText="1"/>
    </xf>
    <xf numFmtId="0" fontId="2" fillId="8" borderId="1" xfId="0" applyFont="1" applyFill="1" applyBorder="1" applyAlignment="1">
      <alignment horizontal="justify" vertical="center" wrapText="1"/>
    </xf>
    <xf numFmtId="0" fontId="2" fillId="4" borderId="1" xfId="0" applyFont="1" applyFill="1" applyBorder="1" applyAlignment="1">
      <alignment horizontal="justify" vertical="center" wrapText="1"/>
    </xf>
    <xf numFmtId="0" fontId="20" fillId="8" borderId="1" xfId="0" applyFont="1" applyFill="1" applyBorder="1" applyAlignment="1">
      <alignment horizontal="justify" vertical="center" wrapText="1"/>
    </xf>
    <xf numFmtId="0" fontId="2" fillId="4" borderId="1" xfId="0" applyFont="1" applyFill="1" applyBorder="1" applyAlignment="1">
      <alignment horizontal="justify" vertical="center"/>
    </xf>
    <xf numFmtId="0" fontId="2" fillId="0" borderId="1" xfId="0" applyFont="1" applyBorder="1" applyAlignment="1">
      <alignment horizontal="justify" vertical="center" wrapText="1"/>
    </xf>
    <xf numFmtId="0" fontId="18" fillId="0" borderId="1" xfId="0" applyFont="1" applyBorder="1" applyAlignment="1">
      <alignment vertical="center"/>
    </xf>
    <xf numFmtId="0" fontId="2" fillId="0" borderId="1" xfId="0" applyFont="1" applyBorder="1">
      <alignment vertical="center"/>
    </xf>
    <xf numFmtId="0" fontId="20" fillId="2"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65" fontId="20" fillId="0"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170" fontId="2" fillId="0" borderId="1" xfId="0" applyNumberFormat="1" applyFont="1" applyFill="1" applyBorder="1" applyAlignment="1">
      <alignment horizontal="center" vertical="center" wrapText="1"/>
    </xf>
    <xf numFmtId="170" fontId="2" fillId="0" borderId="1" xfId="0" applyNumberFormat="1" applyFont="1" applyBorder="1" applyAlignment="1">
      <alignment horizontal="center" vertical="center"/>
    </xf>
    <xf numFmtId="166" fontId="12" fillId="2" borderId="1" xfId="0" applyNumberFormat="1" applyFont="1" applyFill="1" applyBorder="1" applyAlignment="1">
      <alignment horizontal="center" vertical="center" wrapText="1"/>
    </xf>
    <xf numFmtId="0" fontId="23" fillId="0" borderId="0" xfId="0" applyFont="1">
      <alignment vertical="center"/>
    </xf>
    <xf numFmtId="0" fontId="3" fillId="0" borderId="0" xfId="0" applyFont="1">
      <alignment vertical="center"/>
    </xf>
    <xf numFmtId="0" fontId="13" fillId="0" borderId="1" xfId="0" applyFont="1" applyFill="1" applyBorder="1" applyAlignment="1">
      <alignment horizontal="justify" vertical="center" wrapText="1"/>
    </xf>
    <xf numFmtId="165" fontId="16" fillId="0" borderId="0" xfId="0" applyNumberFormat="1" applyFont="1" applyFill="1" applyAlignment="1">
      <alignment horizontal="center" vertical="center"/>
    </xf>
    <xf numFmtId="165" fontId="16" fillId="0" borderId="1" xfId="0" applyNumberFormat="1" applyFont="1" applyFill="1" applyBorder="1" applyAlignment="1">
      <alignment horizontal="center" vertical="center"/>
    </xf>
    <xf numFmtId="0" fontId="23" fillId="0" borderId="0" xfId="0" applyFont="1" applyFill="1">
      <alignment vertical="center"/>
    </xf>
    <xf numFmtId="0" fontId="0" fillId="0" borderId="0" xfId="0" applyFill="1">
      <alignment vertical="center"/>
    </xf>
    <xf numFmtId="165" fontId="0" fillId="0" borderId="0" xfId="0" applyNumberFormat="1">
      <alignment vertical="center"/>
    </xf>
    <xf numFmtId="165" fontId="13" fillId="10" borderId="1" xfId="0" applyNumberFormat="1" applyFont="1" applyFill="1" applyBorder="1" applyAlignment="1">
      <alignment horizontal="justify" vertical="center" wrapText="1"/>
    </xf>
    <xf numFmtId="166" fontId="2" fillId="0" borderId="1" xfId="0" applyNumberFormat="1" applyFont="1" applyBorder="1" applyAlignment="1">
      <alignment horizontal="center" vertical="center"/>
    </xf>
    <xf numFmtId="166" fontId="2" fillId="0" borderId="1" xfId="2" applyNumberFormat="1" applyFont="1" applyFill="1" applyBorder="1" applyAlignment="1">
      <alignment horizontal="center" vertical="center"/>
    </xf>
    <xf numFmtId="166" fontId="2" fillId="0" borderId="1" xfId="0" applyNumberFormat="1" applyFont="1" applyFill="1" applyBorder="1" applyAlignment="1">
      <alignment horizontal="center" vertical="center"/>
    </xf>
    <xf numFmtId="166" fontId="2" fillId="8"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2" fillId="4" borderId="1" xfId="0" applyNumberFormat="1" applyFont="1" applyFill="1" applyBorder="1" applyAlignment="1">
      <alignment horizontal="center" vertical="center"/>
    </xf>
    <xf numFmtId="166" fontId="20" fillId="2" borderId="1" xfId="0" applyNumberFormat="1" applyFont="1" applyFill="1" applyBorder="1" applyAlignment="1">
      <alignment horizontal="center" vertical="center" wrapText="1"/>
    </xf>
    <xf numFmtId="166" fontId="20" fillId="2" borderId="1" xfId="0" applyNumberFormat="1" applyFont="1" applyFill="1" applyBorder="1" applyAlignment="1">
      <alignment horizontal="center" vertical="center"/>
    </xf>
    <xf numFmtId="165" fontId="13" fillId="0" borderId="1" xfId="1" applyNumberFormat="1" applyFont="1" applyFill="1" applyBorder="1" applyAlignment="1">
      <alignment horizontal="center" vertical="center" wrapText="1"/>
    </xf>
    <xf numFmtId="165" fontId="2" fillId="4" borderId="1" xfId="0" applyNumberFormat="1" applyFont="1" applyFill="1" applyBorder="1" applyAlignment="1">
      <alignment horizontal="center" vertical="center"/>
    </xf>
    <xf numFmtId="165" fontId="2" fillId="0" borderId="1" xfId="2" applyNumberFormat="1" applyFont="1" applyFill="1" applyBorder="1" applyAlignment="1">
      <alignment horizontal="center" vertical="center"/>
    </xf>
    <xf numFmtId="165" fontId="20" fillId="0" borderId="1" xfId="0" applyNumberFormat="1" applyFont="1" applyFill="1" applyBorder="1" applyAlignment="1">
      <alignment horizontal="center" vertical="center" wrapText="1"/>
    </xf>
    <xf numFmtId="169" fontId="2" fillId="0" borderId="1" xfId="0" applyNumberFormat="1" applyFont="1" applyBorder="1" applyAlignment="1">
      <alignment horizontal="center" vertical="center"/>
    </xf>
    <xf numFmtId="0" fontId="24" fillId="0" borderId="0" xfId="0" applyFont="1" applyAlignment="1">
      <alignment vertical="top" wrapText="1"/>
    </xf>
    <xf numFmtId="0" fontId="4" fillId="0" borderId="0" xfId="1" applyFont="1">
      <alignment vertical="center"/>
    </xf>
    <xf numFmtId="0" fontId="6" fillId="0" borderId="0" xfId="1" applyFont="1">
      <alignment vertical="center"/>
    </xf>
    <xf numFmtId="0" fontId="8" fillId="6" borderId="11" xfId="1" applyFont="1" applyFill="1" applyBorder="1" applyAlignment="1">
      <alignment horizontal="center" vertical="center" wrapText="1"/>
    </xf>
    <xf numFmtId="0" fontId="11" fillId="0" borderId="3" xfId="1" applyFont="1" applyBorder="1" applyAlignment="1">
      <alignment horizontal="center" vertical="center" wrapText="1"/>
    </xf>
    <xf numFmtId="0" fontId="11" fillId="0" borderId="11" xfId="1" applyFont="1" applyBorder="1" applyAlignment="1">
      <alignment horizontal="center" vertical="center" wrapText="1"/>
    </xf>
    <xf numFmtId="165" fontId="13" fillId="0" borderId="1" xfId="0" applyNumberFormat="1" applyFont="1" applyFill="1" applyBorder="1" applyAlignment="1">
      <alignment horizontal="justify" vertical="center" wrapText="1"/>
    </xf>
    <xf numFmtId="166" fontId="12" fillId="2" borderId="5" xfId="0" applyNumberFormat="1" applyFont="1" applyFill="1" applyBorder="1" applyAlignment="1">
      <alignment horizontal="center" vertical="center" wrapText="1"/>
    </xf>
    <xf numFmtId="166" fontId="12" fillId="2" borderId="6" xfId="0" applyNumberFormat="1" applyFont="1" applyFill="1" applyBorder="1" applyAlignment="1">
      <alignment horizontal="center" vertical="center" wrapText="1"/>
    </xf>
    <xf numFmtId="165" fontId="12" fillId="2" borderId="5" xfId="0" applyNumberFormat="1" applyFont="1" applyFill="1" applyBorder="1" applyAlignment="1">
      <alignment horizontal="center" vertical="center" wrapText="1"/>
    </xf>
    <xf numFmtId="165" fontId="12" fillId="2" borderId="6" xfId="0" applyNumberFormat="1" applyFont="1" applyFill="1" applyBorder="1" applyAlignment="1">
      <alignment horizontal="center" vertical="center" wrapText="1"/>
    </xf>
    <xf numFmtId="165" fontId="12" fillId="2" borderId="7" xfId="0" applyNumberFormat="1" applyFont="1" applyFill="1" applyBorder="1" applyAlignment="1">
      <alignment horizontal="center" vertical="center" wrapText="1"/>
    </xf>
    <xf numFmtId="165" fontId="20" fillId="2" borderId="4" xfId="0" applyNumberFormat="1" applyFont="1" applyFill="1" applyBorder="1" applyAlignment="1">
      <alignment horizontal="center" vertical="center"/>
    </xf>
    <xf numFmtId="165" fontId="20" fillId="2" borderId="5" xfId="0" applyNumberFormat="1" applyFont="1" applyFill="1" applyBorder="1" applyAlignment="1">
      <alignment horizontal="center" vertical="center"/>
    </xf>
    <xf numFmtId="165" fontId="20" fillId="2" borderId="6" xfId="0" applyNumberFormat="1" applyFont="1" applyFill="1" applyBorder="1" applyAlignment="1">
      <alignment horizontal="center" vertical="center"/>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8" fillId="6" borderId="3" xfId="1"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0" xfId="0" applyFont="1" applyFill="1" applyBorder="1" applyAlignment="1">
      <alignment horizontal="center" vertical="center" wrapText="1"/>
    </xf>
  </cellXfs>
  <cellStyles count="3">
    <cellStyle name="Input" xfId="2" builtinId="20"/>
    <cellStyle name="Normal"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ong\AppData\Local\Temp\Temp1_2-2_Description_Template_link%20budget.zip\RP-181764%20Att.%201%20-%20link%20budget%20template%20-%20Channel%20Model%20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ong\AppData\Local\Temp\Temp1_2-2_Description_Template_link%20budget.zip\RP-182003%20-%20IMT-2020%20self%20evaluation%20-%20mMTC%20link%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eMBB (4GHz, DSUUD)"/>
      <sheetName val="DenseUrban-eMBB (4GHz, DSUUD)"/>
      <sheetName val="Rural-eMBB(700MHz, DSUUD)"/>
      <sheetName val="NR MaxN_RB"/>
    </sheetNames>
    <sheetDataSet>
      <sheetData sheetId="0" refreshError="1"/>
      <sheetData sheetId="1" refreshError="1"/>
      <sheetData sheetId="2" refreshError="1"/>
      <sheetData sheetId="3">
        <row r="6">
          <cell r="F6">
            <v>106</v>
          </cell>
        </row>
        <row r="7">
          <cell r="F7">
            <v>51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E-M LL"/>
      <sheetName val="NB-IoT LL"/>
      <sheetName val="IMT-2020 mMTC"/>
    </sheetNames>
    <sheetDataSet>
      <sheetData sheetId="0"/>
      <sheetData sheetId="1">
        <row r="7">
          <cell r="D7">
            <v>15000</v>
          </cell>
        </row>
        <row r="15">
          <cell r="B15">
            <v>-16.899999999999999</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6"/>
  <cols>
    <col min="1" max="1" width="118.09765625" customWidth="1"/>
  </cols>
  <sheetData>
    <row r="1" spans="1:1" ht="264.75" customHeight="1">
      <c r="A1" s="130" t="s">
        <v>271</v>
      </c>
    </row>
  </sheetData>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zoomScale="85" zoomScaleNormal="85" workbookViewId="0">
      <pane xSplit="1" ySplit="3" topLeftCell="B64" activePane="bottomRight" state="frozen"/>
      <selection pane="topRight" activeCell="B1" sqref="B1"/>
      <selection pane="bottomLeft" activeCell="A4" sqref="A4"/>
      <selection pane="bottomRight" activeCell="A73" sqref="A73:XFD73"/>
    </sheetView>
  </sheetViews>
  <sheetFormatPr defaultColWidth="9" defaultRowHeight="15.6"/>
  <cols>
    <col min="1" max="1" width="42.5" style="81" customWidth="1"/>
    <col min="2" max="2" width="13.59765625" style="82" customWidth="1"/>
    <col min="3" max="3" width="12.19921875" style="82" customWidth="1"/>
    <col min="4" max="4" width="12.69921875" style="78" customWidth="1"/>
    <col min="5" max="5" width="13.3984375" style="78" bestFit="1" customWidth="1"/>
    <col min="6" max="6" width="13.59765625" style="78" customWidth="1"/>
    <col min="7" max="7" width="14.8984375" style="78" bestFit="1" customWidth="1"/>
    <col min="8" max="8" width="13.69921875" style="78" customWidth="1"/>
    <col min="9" max="9" width="14" style="78" customWidth="1"/>
    <col min="10" max="10" width="13.19921875" style="78" customWidth="1"/>
    <col min="11" max="11" width="12.59765625" style="78" bestFit="1" customWidth="1"/>
    <col min="12" max="12" width="12.3984375" style="78" customWidth="1"/>
    <col min="13" max="13" width="11" style="78" customWidth="1"/>
    <col min="14" max="16384" width="9" style="81"/>
  </cols>
  <sheetData>
    <row r="1" spans="1:13">
      <c r="A1" s="84" t="s">
        <v>0</v>
      </c>
      <c r="B1" s="142" t="s">
        <v>132</v>
      </c>
      <c r="C1" s="143"/>
      <c r="D1" s="143"/>
      <c r="E1" s="143"/>
      <c r="F1" s="143"/>
      <c r="G1" s="144"/>
      <c r="H1" s="142" t="s">
        <v>133</v>
      </c>
      <c r="I1" s="143"/>
      <c r="J1" s="143"/>
      <c r="K1" s="143"/>
      <c r="L1" s="143"/>
      <c r="M1" s="144"/>
    </row>
    <row r="2" spans="1:13" ht="41.4">
      <c r="A2" s="84"/>
      <c r="B2" s="86" t="s">
        <v>171</v>
      </c>
      <c r="C2" s="86" t="s">
        <v>172</v>
      </c>
      <c r="D2" s="86" t="s">
        <v>173</v>
      </c>
      <c r="E2" s="86" t="s">
        <v>174</v>
      </c>
      <c r="F2" s="86" t="s">
        <v>175</v>
      </c>
      <c r="G2" s="86" t="s">
        <v>176</v>
      </c>
      <c r="H2" s="86" t="s">
        <v>177</v>
      </c>
      <c r="I2" s="86" t="s">
        <v>178</v>
      </c>
      <c r="J2" s="86" t="s">
        <v>179</v>
      </c>
      <c r="K2" s="86" t="s">
        <v>180</v>
      </c>
      <c r="L2" s="86" t="s">
        <v>181</v>
      </c>
      <c r="M2" s="86" t="s">
        <v>182</v>
      </c>
    </row>
    <row r="3" spans="1:13">
      <c r="A3" s="87" t="s">
        <v>1</v>
      </c>
      <c r="B3" s="99"/>
      <c r="C3" s="99"/>
      <c r="D3" s="85"/>
      <c r="E3" s="85"/>
      <c r="F3" s="85"/>
      <c r="G3" s="85"/>
      <c r="H3" s="85"/>
      <c r="I3" s="85"/>
      <c r="J3" s="85"/>
      <c r="K3" s="85"/>
      <c r="L3" s="85"/>
      <c r="M3" s="85"/>
    </row>
    <row r="4" spans="1:13">
      <c r="A4" s="88" t="s">
        <v>2</v>
      </c>
      <c r="B4" s="78">
        <v>0.7</v>
      </c>
      <c r="C4" s="78">
        <v>0.7</v>
      </c>
      <c r="D4" s="78">
        <v>0.7</v>
      </c>
      <c r="E4" s="78">
        <v>0.7</v>
      </c>
      <c r="F4" s="78">
        <v>0.7</v>
      </c>
      <c r="G4" s="78">
        <v>0.7</v>
      </c>
      <c r="H4" s="78">
        <v>0.7</v>
      </c>
      <c r="I4" s="78">
        <v>0.7</v>
      </c>
      <c r="J4" s="78">
        <v>0.7</v>
      </c>
      <c r="K4" s="78">
        <v>0.7</v>
      </c>
      <c r="L4" s="78">
        <v>0.7</v>
      </c>
      <c r="M4" s="78">
        <v>0.7</v>
      </c>
    </row>
    <row r="5" spans="1:13">
      <c r="A5" s="88" t="s">
        <v>3</v>
      </c>
      <c r="B5" s="78">
        <v>25</v>
      </c>
      <c r="C5" s="78">
        <v>25</v>
      </c>
      <c r="D5" s="78">
        <v>25</v>
      </c>
      <c r="E5" s="78">
        <v>25</v>
      </c>
      <c r="F5" s="78">
        <v>25</v>
      </c>
      <c r="G5" s="78">
        <v>25</v>
      </c>
      <c r="H5" s="78">
        <v>25</v>
      </c>
      <c r="I5" s="78">
        <v>25</v>
      </c>
      <c r="J5" s="78">
        <v>25</v>
      </c>
      <c r="K5" s="78">
        <v>25</v>
      </c>
      <c r="L5" s="78">
        <v>25</v>
      </c>
      <c r="M5" s="78">
        <v>25</v>
      </c>
    </row>
    <row r="6" spans="1:13">
      <c r="A6" s="88" t="s">
        <v>4</v>
      </c>
      <c r="B6" s="78">
        <v>1.5</v>
      </c>
      <c r="C6" s="78">
        <v>1.5</v>
      </c>
      <c r="D6" s="78">
        <v>1.5</v>
      </c>
      <c r="E6" s="78">
        <v>1.5</v>
      </c>
      <c r="F6" s="78">
        <v>1.5</v>
      </c>
      <c r="G6" s="78">
        <v>1.5</v>
      </c>
      <c r="H6" s="78">
        <v>1.5</v>
      </c>
      <c r="I6" s="78">
        <v>1.5</v>
      </c>
      <c r="J6" s="78">
        <v>1.5</v>
      </c>
      <c r="K6" s="78">
        <v>1.5</v>
      </c>
      <c r="L6" s="78">
        <v>1.5</v>
      </c>
      <c r="M6" s="78">
        <v>1.5</v>
      </c>
    </row>
    <row r="7" spans="1:13" ht="43.2">
      <c r="A7" s="88" t="s">
        <v>143</v>
      </c>
      <c r="B7" s="80" t="s">
        <v>61</v>
      </c>
      <c r="C7" s="80">
        <v>0.99</v>
      </c>
      <c r="D7" s="80" t="s">
        <v>61</v>
      </c>
      <c r="E7" s="80">
        <v>0.99</v>
      </c>
      <c r="F7" s="80" t="s">
        <v>61</v>
      </c>
      <c r="G7" s="80">
        <v>0.99</v>
      </c>
      <c r="H7" s="80" t="s">
        <v>61</v>
      </c>
      <c r="I7" s="80">
        <v>0.99</v>
      </c>
      <c r="J7" s="80" t="s">
        <v>61</v>
      </c>
      <c r="K7" s="80">
        <v>0.99</v>
      </c>
      <c r="L7" s="80" t="s">
        <v>61</v>
      </c>
      <c r="M7" s="80">
        <v>0.99</v>
      </c>
    </row>
    <row r="8" spans="1:13" ht="43.2">
      <c r="A8" s="88" t="s">
        <v>144</v>
      </c>
      <c r="B8" s="100">
        <v>0.99</v>
      </c>
      <c r="C8" s="100" t="s">
        <v>61</v>
      </c>
      <c r="D8" s="100">
        <v>0.99</v>
      </c>
      <c r="E8" s="100" t="s">
        <v>61</v>
      </c>
      <c r="F8" s="100">
        <v>0.99</v>
      </c>
      <c r="G8" s="100" t="s">
        <v>61</v>
      </c>
      <c r="H8" s="100">
        <v>0.99</v>
      </c>
      <c r="I8" s="100" t="s">
        <v>61</v>
      </c>
      <c r="J8" s="100">
        <v>0.99</v>
      </c>
      <c r="K8" s="100" t="s">
        <v>61</v>
      </c>
      <c r="L8" s="100">
        <v>0.99</v>
      </c>
      <c r="M8" s="100" t="s">
        <v>61</v>
      </c>
    </row>
    <row r="9" spans="1:13">
      <c r="A9" s="88" t="s">
        <v>145</v>
      </c>
      <c r="B9" s="118" t="s">
        <v>61</v>
      </c>
      <c r="C9" s="118">
        <v>70</v>
      </c>
      <c r="D9" s="118" t="s">
        <v>61</v>
      </c>
      <c r="E9" s="118">
        <v>70</v>
      </c>
      <c r="F9" s="118" t="s">
        <v>61</v>
      </c>
      <c r="G9" s="118">
        <v>70</v>
      </c>
      <c r="H9" s="118"/>
      <c r="I9" s="118">
        <v>62</v>
      </c>
      <c r="J9" s="118"/>
      <c r="K9" s="118">
        <v>15</v>
      </c>
      <c r="L9" s="118"/>
      <c r="M9" s="118">
        <v>15</v>
      </c>
    </row>
    <row r="10" spans="1:13">
      <c r="A10" s="88" t="s">
        <v>146</v>
      </c>
      <c r="B10" s="118">
        <v>183</v>
      </c>
      <c r="C10" s="118" t="s">
        <v>61</v>
      </c>
      <c r="D10" s="118">
        <v>183</v>
      </c>
      <c r="E10" s="118" t="s">
        <v>61</v>
      </c>
      <c r="F10" s="118">
        <v>183</v>
      </c>
      <c r="G10" s="118" t="s">
        <v>61</v>
      </c>
      <c r="H10" s="119">
        <v>457</v>
      </c>
      <c r="I10" s="119" t="s">
        <v>61</v>
      </c>
      <c r="J10" s="119">
        <v>320</v>
      </c>
      <c r="K10" s="119" t="s">
        <v>61</v>
      </c>
      <c r="L10" s="119">
        <v>320</v>
      </c>
      <c r="M10" s="119" t="s">
        <v>61</v>
      </c>
    </row>
    <row r="11" spans="1:13" ht="27.6">
      <c r="A11" s="88" t="s">
        <v>7</v>
      </c>
      <c r="B11" s="82" t="s">
        <v>61</v>
      </c>
      <c r="C11" s="80">
        <v>0.01</v>
      </c>
      <c r="D11" s="82" t="s">
        <v>61</v>
      </c>
      <c r="E11" s="80">
        <v>0.01</v>
      </c>
      <c r="F11" s="82" t="s">
        <v>61</v>
      </c>
      <c r="G11" s="80">
        <v>0.01</v>
      </c>
      <c r="H11" s="79" t="s">
        <v>61</v>
      </c>
      <c r="I11" s="80">
        <v>0.01</v>
      </c>
      <c r="J11" s="79" t="s">
        <v>61</v>
      </c>
      <c r="K11" s="80">
        <v>0.01</v>
      </c>
      <c r="L11" s="79" t="s">
        <v>61</v>
      </c>
      <c r="M11" s="80">
        <v>0.01</v>
      </c>
    </row>
    <row r="12" spans="1:13" ht="27.6">
      <c r="A12" s="88" t="s">
        <v>147</v>
      </c>
      <c r="B12" s="80">
        <v>0.1</v>
      </c>
      <c r="C12" s="101" t="s">
        <v>61</v>
      </c>
      <c r="D12" s="80">
        <v>0.1</v>
      </c>
      <c r="E12" s="101" t="s">
        <v>61</v>
      </c>
      <c r="F12" s="80">
        <v>0.1</v>
      </c>
      <c r="G12" s="101" t="s">
        <v>61</v>
      </c>
      <c r="H12" s="79">
        <v>0.1</v>
      </c>
      <c r="I12" s="80" t="s">
        <v>61</v>
      </c>
      <c r="J12" s="79">
        <v>0.1</v>
      </c>
      <c r="K12" s="80" t="s">
        <v>61</v>
      </c>
      <c r="L12" s="79">
        <v>0.1</v>
      </c>
      <c r="M12" s="80" t="s">
        <v>61</v>
      </c>
    </row>
    <row r="13" spans="1:13">
      <c r="A13" s="88" t="s">
        <v>148</v>
      </c>
      <c r="B13" s="129">
        <f>B10/B42</f>
        <v>1.6944444444444445E-4</v>
      </c>
      <c r="C13" s="101" t="s">
        <v>61</v>
      </c>
      <c r="D13" s="129">
        <f>D10/D42</f>
        <v>1.6944444444444445E-4</v>
      </c>
      <c r="E13" s="101" t="s">
        <v>61</v>
      </c>
      <c r="F13" s="129">
        <f>F10/F42</f>
        <v>1.6944444444444445E-4</v>
      </c>
      <c r="G13" s="101" t="s">
        <v>61</v>
      </c>
      <c r="H13" s="105">
        <f>H10/H42</f>
        <v>2.5388888888888887E-3</v>
      </c>
      <c r="I13" s="106" t="s">
        <v>61</v>
      </c>
      <c r="J13" s="105">
        <f>J10/J42</f>
        <v>1.7777777777777779E-3</v>
      </c>
      <c r="K13" s="106" t="s">
        <v>61</v>
      </c>
      <c r="L13" s="105">
        <f>L10/L42</f>
        <v>1.7777777777777779E-3</v>
      </c>
      <c r="M13" s="90" t="s">
        <v>61</v>
      </c>
    </row>
    <row r="14" spans="1:13">
      <c r="A14" s="88" t="s">
        <v>149</v>
      </c>
      <c r="B14" s="82" t="s">
        <v>150</v>
      </c>
      <c r="C14" s="82" t="s">
        <v>150</v>
      </c>
      <c r="D14" s="78" t="s">
        <v>92</v>
      </c>
      <c r="E14" s="78" t="s">
        <v>92</v>
      </c>
      <c r="F14" s="78" t="s">
        <v>93</v>
      </c>
      <c r="G14" s="78" t="s">
        <v>93</v>
      </c>
      <c r="H14" s="78" t="s">
        <v>150</v>
      </c>
      <c r="I14" s="78" t="s">
        <v>150</v>
      </c>
      <c r="J14" s="78" t="s">
        <v>150</v>
      </c>
      <c r="K14" s="78" t="s">
        <v>150</v>
      </c>
      <c r="L14" s="78" t="s">
        <v>93</v>
      </c>
      <c r="M14" s="78" t="s">
        <v>93</v>
      </c>
    </row>
    <row r="15" spans="1:13">
      <c r="A15" s="88" t="s">
        <v>151</v>
      </c>
      <c r="B15" s="117">
        <v>3</v>
      </c>
      <c r="C15" s="117">
        <v>3</v>
      </c>
      <c r="D15" s="117">
        <v>3</v>
      </c>
      <c r="E15" s="117">
        <v>3</v>
      </c>
      <c r="F15" s="117">
        <v>3</v>
      </c>
      <c r="G15" s="117">
        <v>3</v>
      </c>
      <c r="H15" s="117">
        <v>3</v>
      </c>
      <c r="I15" s="117">
        <v>3</v>
      </c>
      <c r="J15" s="117">
        <v>3</v>
      </c>
      <c r="K15" s="117">
        <v>3</v>
      </c>
      <c r="L15" s="117">
        <v>3</v>
      </c>
      <c r="M15" s="117">
        <v>3</v>
      </c>
    </row>
    <row r="16" spans="1:13">
      <c r="A16" s="88" t="s">
        <v>9</v>
      </c>
      <c r="B16" s="117">
        <v>3</v>
      </c>
      <c r="C16" s="117">
        <v>3</v>
      </c>
      <c r="D16" s="117">
        <v>3</v>
      </c>
      <c r="E16" s="117">
        <v>3</v>
      </c>
      <c r="F16" s="117">
        <v>3</v>
      </c>
      <c r="G16" s="117">
        <v>3</v>
      </c>
      <c r="H16" s="117">
        <v>3</v>
      </c>
      <c r="I16" s="117">
        <v>3</v>
      </c>
      <c r="J16" s="117">
        <v>3</v>
      </c>
      <c r="K16" s="117">
        <v>3</v>
      </c>
      <c r="L16" s="117">
        <v>3</v>
      </c>
      <c r="M16" s="117">
        <v>3</v>
      </c>
    </row>
    <row r="17" spans="1:13">
      <c r="A17" s="87" t="s">
        <v>10</v>
      </c>
      <c r="B17" s="123"/>
      <c r="C17" s="123"/>
      <c r="D17" s="123"/>
      <c r="E17" s="123"/>
      <c r="F17" s="123"/>
      <c r="G17" s="123"/>
      <c r="H17" s="124"/>
      <c r="I17" s="124"/>
      <c r="J17" s="124"/>
      <c r="K17" s="124"/>
      <c r="L17" s="124"/>
      <c r="M17" s="124"/>
    </row>
    <row r="18" spans="1:13" ht="41.4">
      <c r="A18" s="88" t="s">
        <v>136</v>
      </c>
      <c r="B18" s="117">
        <v>16</v>
      </c>
      <c r="C18" s="117">
        <v>16</v>
      </c>
      <c r="D18" s="117">
        <v>16</v>
      </c>
      <c r="E18" s="117">
        <v>16</v>
      </c>
      <c r="F18" s="117">
        <v>16</v>
      </c>
      <c r="G18" s="117">
        <v>16</v>
      </c>
      <c r="H18" s="117">
        <v>1</v>
      </c>
      <c r="I18" s="117">
        <v>1</v>
      </c>
      <c r="J18" s="117">
        <v>1</v>
      </c>
      <c r="K18" s="117">
        <v>1</v>
      </c>
      <c r="L18" s="117">
        <v>1</v>
      </c>
      <c r="M18" s="117">
        <v>1</v>
      </c>
    </row>
    <row r="19" spans="1:13">
      <c r="A19" s="88" t="s">
        <v>135</v>
      </c>
      <c r="B19" s="117">
        <v>2</v>
      </c>
      <c r="C19" s="117">
        <v>2</v>
      </c>
      <c r="D19" s="117">
        <v>2</v>
      </c>
      <c r="E19" s="117">
        <v>2</v>
      </c>
      <c r="F19" s="117">
        <v>2</v>
      </c>
      <c r="G19" s="117">
        <v>2</v>
      </c>
      <c r="H19" s="117">
        <v>23</v>
      </c>
      <c r="I19" s="117">
        <v>23</v>
      </c>
      <c r="J19" s="117">
        <v>23</v>
      </c>
      <c r="K19" s="117">
        <v>23</v>
      </c>
      <c r="L19" s="117">
        <v>23</v>
      </c>
      <c r="M19" s="117">
        <v>23</v>
      </c>
    </row>
    <row r="20" spans="1:13">
      <c r="A20" s="88" t="s">
        <v>11</v>
      </c>
      <c r="B20" s="117">
        <v>24.76</v>
      </c>
      <c r="C20" s="117">
        <v>24.76</v>
      </c>
      <c r="D20" s="117">
        <v>24.76</v>
      </c>
      <c r="E20" s="117">
        <v>24.76</v>
      </c>
      <c r="F20" s="117">
        <v>24.76</v>
      </c>
      <c r="G20" s="117">
        <v>24.76</v>
      </c>
      <c r="H20" s="117">
        <f t="shared" ref="H20:M20" si="0">H19+10*LOG10(H18)</f>
        <v>23</v>
      </c>
      <c r="I20" s="117">
        <f t="shared" si="0"/>
        <v>23</v>
      </c>
      <c r="J20" s="117">
        <f t="shared" ref="J20:K20" si="1">J19+10*LOG10(J18)</f>
        <v>23</v>
      </c>
      <c r="K20" s="117">
        <f t="shared" si="1"/>
        <v>23</v>
      </c>
      <c r="L20" s="117">
        <f t="shared" si="0"/>
        <v>23</v>
      </c>
      <c r="M20" s="117">
        <f t="shared" si="0"/>
        <v>23</v>
      </c>
    </row>
    <row r="21" spans="1:13" ht="41.4">
      <c r="A21" s="91" t="s">
        <v>137</v>
      </c>
      <c r="B21" s="120">
        <f t="shared" ref="B21:M21" si="2">B20+10*LOG10(B18)</f>
        <v>36.801199826559248</v>
      </c>
      <c r="C21" s="120">
        <f t="shared" si="2"/>
        <v>36.801199826559248</v>
      </c>
      <c r="D21" s="120">
        <f t="shared" ref="D21:E21" si="3">D20+10*LOG10(D18)</f>
        <v>36.801199826559248</v>
      </c>
      <c r="E21" s="120">
        <f t="shared" si="3"/>
        <v>36.801199826559248</v>
      </c>
      <c r="F21" s="120">
        <f t="shared" ref="F21:G21" si="4">F20+10*LOG10(F18)</f>
        <v>36.801199826559248</v>
      </c>
      <c r="G21" s="120">
        <f t="shared" si="4"/>
        <v>36.801199826559248</v>
      </c>
      <c r="H21" s="120">
        <f t="shared" si="2"/>
        <v>23</v>
      </c>
      <c r="I21" s="120">
        <f t="shared" si="2"/>
        <v>23</v>
      </c>
      <c r="J21" s="120">
        <f t="shared" ref="J21:K21" si="5">J20+10*LOG10(J18)</f>
        <v>23</v>
      </c>
      <c r="K21" s="120">
        <f t="shared" si="5"/>
        <v>23</v>
      </c>
      <c r="L21" s="120">
        <f t="shared" si="2"/>
        <v>23</v>
      </c>
      <c r="M21" s="120">
        <f t="shared" si="2"/>
        <v>23</v>
      </c>
    </row>
    <row r="22" spans="1:13">
      <c r="A22" s="88" t="s">
        <v>152</v>
      </c>
      <c r="B22" s="117">
        <f>8</f>
        <v>8</v>
      </c>
      <c r="C22" s="117">
        <f>8</f>
        <v>8</v>
      </c>
      <c r="D22" s="117">
        <f>8</f>
        <v>8</v>
      </c>
      <c r="E22" s="117">
        <f>8</f>
        <v>8</v>
      </c>
      <c r="F22" s="117">
        <f>8</f>
        <v>8</v>
      </c>
      <c r="G22" s="117">
        <f>8</f>
        <v>8</v>
      </c>
      <c r="H22" s="117">
        <v>0</v>
      </c>
      <c r="I22" s="117">
        <v>0</v>
      </c>
      <c r="J22" s="117">
        <v>0</v>
      </c>
      <c r="K22" s="117">
        <v>0</v>
      </c>
      <c r="L22" s="117">
        <v>0</v>
      </c>
      <c r="M22" s="117">
        <v>0</v>
      </c>
    </row>
    <row r="23" spans="1:13" ht="41.4">
      <c r="A23" s="92" t="s">
        <v>13</v>
      </c>
      <c r="B23" s="120">
        <f t="shared" ref="B23:G23" si="6">IF(B18&gt;=2, 10*LOG10(B18/B19), 0)</f>
        <v>9.0308998699194358</v>
      </c>
      <c r="C23" s="120">
        <f t="shared" si="6"/>
        <v>9.0308998699194358</v>
      </c>
      <c r="D23" s="120">
        <f t="shared" si="6"/>
        <v>9.0308998699194358</v>
      </c>
      <c r="E23" s="120">
        <f t="shared" si="6"/>
        <v>9.0308998699194358</v>
      </c>
      <c r="F23" s="120">
        <f t="shared" si="6"/>
        <v>9.0308998699194358</v>
      </c>
      <c r="G23" s="120">
        <f t="shared" si="6"/>
        <v>9.0308998699194358</v>
      </c>
      <c r="H23" s="120">
        <f t="shared" ref="H23:M23" si="7">IF(H18&gt;=2, 10*LOG10(H18/2), 0)</f>
        <v>0</v>
      </c>
      <c r="I23" s="120">
        <f t="shared" si="7"/>
        <v>0</v>
      </c>
      <c r="J23" s="120">
        <f t="shared" ref="J23:K23" si="8">IF(J18&gt;=2, 10*LOG10(J18/2), 0)</f>
        <v>0</v>
      </c>
      <c r="K23" s="120">
        <f t="shared" si="8"/>
        <v>0</v>
      </c>
      <c r="L23" s="120">
        <f t="shared" si="7"/>
        <v>0</v>
      </c>
      <c r="M23" s="120">
        <f t="shared" si="7"/>
        <v>0</v>
      </c>
    </row>
    <row r="24" spans="1:13">
      <c r="A24" s="88" t="s">
        <v>14</v>
      </c>
      <c r="B24" s="117">
        <v>0</v>
      </c>
      <c r="C24" s="117">
        <v>0</v>
      </c>
      <c r="D24" s="117">
        <v>0</v>
      </c>
      <c r="E24" s="117">
        <v>0</v>
      </c>
      <c r="F24" s="117">
        <v>0</v>
      </c>
      <c r="G24" s="117">
        <v>0</v>
      </c>
      <c r="H24" s="117">
        <v>0</v>
      </c>
      <c r="I24" s="117">
        <v>0</v>
      </c>
      <c r="J24" s="117">
        <v>0</v>
      </c>
      <c r="K24" s="117">
        <v>0</v>
      </c>
      <c r="L24" s="117">
        <v>0</v>
      </c>
      <c r="M24" s="117">
        <v>0</v>
      </c>
    </row>
    <row r="25" spans="1:13" ht="27.6">
      <c r="A25" s="88" t="s">
        <v>15</v>
      </c>
      <c r="B25" s="117">
        <v>0</v>
      </c>
      <c r="C25" s="117">
        <v>0</v>
      </c>
      <c r="D25" s="117">
        <v>0</v>
      </c>
      <c r="E25" s="117">
        <v>0</v>
      </c>
      <c r="F25" s="117">
        <v>0</v>
      </c>
      <c r="G25" s="117">
        <v>0</v>
      </c>
      <c r="H25" s="117">
        <v>0</v>
      </c>
      <c r="I25" s="117">
        <v>0</v>
      </c>
      <c r="J25" s="117">
        <v>0</v>
      </c>
      <c r="K25" s="117">
        <v>0</v>
      </c>
      <c r="L25" s="117">
        <v>0</v>
      </c>
      <c r="M25" s="117">
        <v>0</v>
      </c>
    </row>
    <row r="26" spans="1:13" ht="41.4">
      <c r="A26" s="88" t="s">
        <v>16</v>
      </c>
      <c r="B26" s="117">
        <v>3</v>
      </c>
      <c r="C26" s="117">
        <v>3</v>
      </c>
      <c r="D26" s="117">
        <v>3</v>
      </c>
      <c r="E26" s="117">
        <v>3</v>
      </c>
      <c r="F26" s="117">
        <v>3</v>
      </c>
      <c r="G26" s="117">
        <v>3</v>
      </c>
      <c r="H26" s="117">
        <v>0</v>
      </c>
      <c r="I26" s="117">
        <v>0</v>
      </c>
      <c r="J26" s="117">
        <v>0</v>
      </c>
      <c r="K26" s="117">
        <v>0</v>
      </c>
      <c r="L26" s="117">
        <v>0</v>
      </c>
      <c r="M26" s="117">
        <v>0</v>
      </c>
    </row>
    <row r="27" spans="1:13" ht="27.6">
      <c r="A27" s="93" t="s">
        <v>17</v>
      </c>
      <c r="B27" s="122">
        <f t="shared" ref="B27:M27" si="9">B21+B22+B23+B24-B26</f>
        <v>50.832099696478686</v>
      </c>
      <c r="C27" s="122">
        <f t="shared" si="9"/>
        <v>50.832099696478686</v>
      </c>
      <c r="D27" s="122">
        <f t="shared" ref="D27:E27" si="10">D21+D22+D23+D24-D26</f>
        <v>50.832099696478686</v>
      </c>
      <c r="E27" s="122">
        <f t="shared" si="10"/>
        <v>50.832099696478686</v>
      </c>
      <c r="F27" s="122">
        <f t="shared" ref="F27:G27" si="11">F21+F22+F23+F24-F26</f>
        <v>50.832099696478686</v>
      </c>
      <c r="G27" s="122">
        <f t="shared" si="11"/>
        <v>50.832099696478686</v>
      </c>
      <c r="H27" s="122">
        <f t="shared" si="9"/>
        <v>23</v>
      </c>
      <c r="I27" s="122">
        <f t="shared" si="9"/>
        <v>23</v>
      </c>
      <c r="J27" s="122">
        <f t="shared" ref="J27:K27" si="12">J21+J22+J23+J24-J26</f>
        <v>23</v>
      </c>
      <c r="K27" s="122">
        <f t="shared" si="12"/>
        <v>23</v>
      </c>
      <c r="L27" s="122">
        <f t="shared" si="9"/>
        <v>23</v>
      </c>
      <c r="M27" s="122">
        <f t="shared" si="9"/>
        <v>23</v>
      </c>
    </row>
    <row r="28" spans="1:13" ht="27.6">
      <c r="A28" s="93" t="s">
        <v>153</v>
      </c>
      <c r="B28" s="122">
        <f t="shared" ref="B28:M28" si="13">B21+B22+B23-B25-B26</f>
        <v>50.832099696478686</v>
      </c>
      <c r="C28" s="122">
        <f t="shared" si="13"/>
        <v>50.832099696478686</v>
      </c>
      <c r="D28" s="122">
        <f t="shared" ref="D28:E28" si="14">D21+D22+D23-D25-D26</f>
        <v>50.832099696478686</v>
      </c>
      <c r="E28" s="122">
        <f t="shared" si="14"/>
        <v>50.832099696478686</v>
      </c>
      <c r="F28" s="122">
        <f t="shared" ref="F28:G28" si="15">F21+F22+F23-F25-F26</f>
        <v>50.832099696478686</v>
      </c>
      <c r="G28" s="122">
        <f t="shared" si="15"/>
        <v>50.832099696478686</v>
      </c>
      <c r="H28" s="122">
        <f t="shared" si="13"/>
        <v>23</v>
      </c>
      <c r="I28" s="122">
        <f t="shared" si="13"/>
        <v>23</v>
      </c>
      <c r="J28" s="122">
        <f t="shared" ref="J28:K28" si="16">J21+J22+J23-J25-J26</f>
        <v>23</v>
      </c>
      <c r="K28" s="122">
        <f t="shared" si="16"/>
        <v>23</v>
      </c>
      <c r="L28" s="122">
        <f t="shared" si="13"/>
        <v>23</v>
      </c>
      <c r="M28" s="122">
        <f t="shared" si="13"/>
        <v>23</v>
      </c>
    </row>
    <row r="29" spans="1:13">
      <c r="A29" s="87" t="s">
        <v>19</v>
      </c>
      <c r="B29" s="123"/>
      <c r="C29" s="123"/>
      <c r="D29" s="123"/>
      <c r="E29" s="123"/>
      <c r="F29" s="123"/>
      <c r="G29" s="123"/>
      <c r="H29" s="124"/>
      <c r="I29" s="124"/>
      <c r="J29" s="124"/>
      <c r="K29" s="124"/>
      <c r="L29" s="124"/>
      <c r="M29" s="124"/>
    </row>
    <row r="30" spans="1:13" ht="41.4">
      <c r="A30" s="88" t="s">
        <v>154</v>
      </c>
      <c r="B30" s="117">
        <v>1</v>
      </c>
      <c r="C30" s="117">
        <v>1</v>
      </c>
      <c r="D30" s="117">
        <v>1</v>
      </c>
      <c r="E30" s="117">
        <v>1</v>
      </c>
      <c r="F30" s="117">
        <v>1</v>
      </c>
      <c r="G30" s="117">
        <v>1</v>
      </c>
      <c r="H30" s="117">
        <v>32</v>
      </c>
      <c r="I30" s="117">
        <v>32</v>
      </c>
      <c r="J30" s="117">
        <v>32</v>
      </c>
      <c r="K30" s="117">
        <v>32</v>
      </c>
      <c r="L30" s="117">
        <v>32</v>
      </c>
      <c r="M30" s="117">
        <v>32</v>
      </c>
    </row>
    <row r="31" spans="1:13">
      <c r="A31" s="88" t="s">
        <v>170</v>
      </c>
      <c r="B31" s="117">
        <v>1</v>
      </c>
      <c r="C31" s="117">
        <v>1</v>
      </c>
      <c r="D31" s="117">
        <v>1</v>
      </c>
      <c r="E31" s="117">
        <v>1</v>
      </c>
      <c r="F31" s="117">
        <v>1</v>
      </c>
      <c r="G31" s="117">
        <v>1</v>
      </c>
      <c r="H31" s="117">
        <v>4</v>
      </c>
      <c r="I31" s="117">
        <v>4</v>
      </c>
      <c r="J31" s="117">
        <v>4</v>
      </c>
      <c r="K31" s="117">
        <v>4</v>
      </c>
      <c r="L31" s="117">
        <v>4</v>
      </c>
      <c r="M31" s="117">
        <v>4</v>
      </c>
    </row>
    <row r="32" spans="1:13">
      <c r="A32" s="88" t="s">
        <v>20</v>
      </c>
      <c r="B32" s="117">
        <v>0</v>
      </c>
      <c r="C32" s="117">
        <v>0</v>
      </c>
      <c r="D32" s="117">
        <v>0</v>
      </c>
      <c r="E32" s="117">
        <v>0</v>
      </c>
      <c r="F32" s="117">
        <v>0</v>
      </c>
      <c r="G32" s="117">
        <v>0</v>
      </c>
      <c r="H32" s="117">
        <v>8</v>
      </c>
      <c r="I32" s="117">
        <v>8</v>
      </c>
      <c r="J32" s="117">
        <v>8</v>
      </c>
      <c r="K32" s="117">
        <v>8</v>
      </c>
      <c r="L32" s="117">
        <v>8</v>
      </c>
      <c r="M32" s="117">
        <v>8</v>
      </c>
    </row>
    <row r="33" spans="1:13" ht="41.4">
      <c r="A33" s="94" t="s">
        <v>249</v>
      </c>
      <c r="B33" s="120">
        <f t="shared" ref="B33:C33" si="17">IF(B30&gt;=2, 10*LOG10(B30/2), 0)</f>
        <v>0</v>
      </c>
      <c r="C33" s="120">
        <f t="shared" si="17"/>
        <v>0</v>
      </c>
      <c r="D33" s="120">
        <f t="shared" ref="D33:E33" si="18">IF(D30&gt;=2, 10*LOG10(D30/2), 0)</f>
        <v>0</v>
      </c>
      <c r="E33" s="120">
        <f t="shared" si="18"/>
        <v>0</v>
      </c>
      <c r="F33" s="120">
        <f t="shared" ref="F33:G33" si="19">IF(F30&gt;=2, 10*LOG10(F30/2), 0)</f>
        <v>0</v>
      </c>
      <c r="G33" s="120">
        <f t="shared" si="19"/>
        <v>0</v>
      </c>
      <c r="H33" s="120">
        <f t="shared" ref="H33:M33" si="20">IF(H30/H31&gt;=2, 10*LOG10(H30/H31), 0)</f>
        <v>9.0308998699194358</v>
      </c>
      <c r="I33" s="120">
        <f t="shared" si="20"/>
        <v>9.0308998699194358</v>
      </c>
      <c r="J33" s="120">
        <f t="shared" ref="J33:K33" si="21">IF(J30/J31&gt;=2, 10*LOG10(J30/J31), 0)</f>
        <v>9.0308998699194358</v>
      </c>
      <c r="K33" s="120">
        <f t="shared" si="21"/>
        <v>9.0308998699194358</v>
      </c>
      <c r="L33" s="120">
        <f t="shared" si="20"/>
        <v>9.0308998699194358</v>
      </c>
      <c r="M33" s="120">
        <f t="shared" si="20"/>
        <v>9.0308998699194358</v>
      </c>
    </row>
    <row r="34" spans="1:13" ht="41.4">
      <c r="A34" s="88" t="s">
        <v>21</v>
      </c>
      <c r="B34" s="117">
        <v>0</v>
      </c>
      <c r="C34" s="117">
        <v>0</v>
      </c>
      <c r="D34" s="117">
        <v>0</v>
      </c>
      <c r="E34" s="117">
        <v>0</v>
      </c>
      <c r="F34" s="117">
        <v>0</v>
      </c>
      <c r="G34" s="117">
        <v>0</v>
      </c>
      <c r="H34" s="117">
        <v>3</v>
      </c>
      <c r="I34" s="117">
        <v>3</v>
      </c>
      <c r="J34" s="117">
        <v>3</v>
      </c>
      <c r="K34" s="117">
        <v>3</v>
      </c>
      <c r="L34" s="117">
        <v>3</v>
      </c>
      <c r="M34" s="117">
        <v>3</v>
      </c>
    </row>
    <row r="35" spans="1:13">
      <c r="A35" s="88" t="s">
        <v>22</v>
      </c>
      <c r="B35" s="117">
        <v>7</v>
      </c>
      <c r="C35" s="117">
        <v>7</v>
      </c>
      <c r="D35" s="117">
        <v>7</v>
      </c>
      <c r="E35" s="117">
        <v>7</v>
      </c>
      <c r="F35" s="117">
        <v>7</v>
      </c>
      <c r="G35" s="117">
        <v>7</v>
      </c>
      <c r="H35" s="117">
        <v>5</v>
      </c>
      <c r="I35" s="117">
        <v>5</v>
      </c>
      <c r="J35" s="117">
        <v>5</v>
      </c>
      <c r="K35" s="117">
        <v>5</v>
      </c>
      <c r="L35" s="117">
        <v>5</v>
      </c>
      <c r="M35" s="117">
        <v>5</v>
      </c>
    </row>
    <row r="36" spans="1:13">
      <c r="A36" s="88" t="s">
        <v>23</v>
      </c>
      <c r="B36" s="78">
        <v>-174</v>
      </c>
      <c r="C36" s="78">
        <v>-174</v>
      </c>
      <c r="D36" s="78">
        <v>-174</v>
      </c>
      <c r="E36" s="78">
        <v>-174</v>
      </c>
      <c r="F36" s="78">
        <v>-174</v>
      </c>
      <c r="G36" s="78">
        <v>-174</v>
      </c>
      <c r="H36" s="78">
        <v>-174</v>
      </c>
      <c r="I36" s="78">
        <v>-174</v>
      </c>
      <c r="J36" s="78">
        <v>-174</v>
      </c>
      <c r="K36" s="78">
        <v>-174</v>
      </c>
      <c r="L36" s="78">
        <v>-174</v>
      </c>
      <c r="M36" s="78">
        <v>-174</v>
      </c>
    </row>
    <row r="37" spans="1:13" ht="27.6">
      <c r="A37" s="88" t="s">
        <v>155</v>
      </c>
      <c r="B37" s="78" t="s">
        <v>61</v>
      </c>
      <c r="C37" s="76">
        <v>-177</v>
      </c>
      <c r="D37" s="78" t="s">
        <v>61</v>
      </c>
      <c r="E37" s="76">
        <v>-177</v>
      </c>
      <c r="F37" s="78" t="s">
        <v>61</v>
      </c>
      <c r="G37" s="76">
        <v>-177</v>
      </c>
      <c r="H37" s="78" t="s">
        <v>61</v>
      </c>
      <c r="I37" s="76">
        <v>-177</v>
      </c>
      <c r="J37" s="78" t="s">
        <v>61</v>
      </c>
      <c r="K37" s="76">
        <v>-177</v>
      </c>
      <c r="L37" s="78" t="s">
        <v>61</v>
      </c>
      <c r="M37" s="76">
        <v>-177</v>
      </c>
    </row>
    <row r="38" spans="1:13" ht="27.6">
      <c r="A38" s="88" t="s">
        <v>156</v>
      </c>
      <c r="B38" s="78">
        <v>-177</v>
      </c>
      <c r="C38" s="76" t="s">
        <v>61</v>
      </c>
      <c r="D38" s="78">
        <v>-177</v>
      </c>
      <c r="E38" s="76" t="s">
        <v>61</v>
      </c>
      <c r="F38" s="78">
        <v>-177</v>
      </c>
      <c r="G38" s="76" t="s">
        <v>61</v>
      </c>
      <c r="H38" s="75">
        <v>-177</v>
      </c>
      <c r="I38" s="75" t="s">
        <v>61</v>
      </c>
      <c r="J38" s="75">
        <v>-177</v>
      </c>
      <c r="K38" s="75" t="s">
        <v>61</v>
      </c>
      <c r="L38" s="75">
        <v>-177</v>
      </c>
      <c r="M38" s="75" t="s">
        <v>61</v>
      </c>
    </row>
    <row r="39" spans="1:13" ht="55.2">
      <c r="A39" s="95" t="s">
        <v>45</v>
      </c>
      <c r="B39" s="126" t="s">
        <v>254</v>
      </c>
      <c r="C39" s="126">
        <f t="shared" ref="C39:M39" si="22">10*LOG10(10^((C35+C36)/10)+10^(C37/10))</f>
        <v>-166.58607314841777</v>
      </c>
      <c r="D39" s="126" t="s">
        <v>254</v>
      </c>
      <c r="E39" s="126">
        <f t="shared" ref="E39" si="23">10*LOG10(10^((E35+E36)/10)+10^(E37/10))</f>
        <v>-166.58607314841777</v>
      </c>
      <c r="F39" s="126" t="s">
        <v>254</v>
      </c>
      <c r="G39" s="126">
        <f t="shared" ref="G39" si="24">10*LOG10(10^((G35+G36)/10)+10^(G37/10))</f>
        <v>-166.58607314841777</v>
      </c>
      <c r="H39" s="126" t="s">
        <v>254</v>
      </c>
      <c r="I39" s="126">
        <f t="shared" si="22"/>
        <v>-168.36107965856621</v>
      </c>
      <c r="J39" s="126" t="s">
        <v>254</v>
      </c>
      <c r="K39" s="126">
        <f t="shared" ref="K39" si="25">10*LOG10(10^((K35+K36)/10)+10^(K37/10))</f>
        <v>-168.36107965856621</v>
      </c>
      <c r="L39" s="126" t="s">
        <v>254</v>
      </c>
      <c r="M39" s="126">
        <f t="shared" si="22"/>
        <v>-168.36107965856621</v>
      </c>
    </row>
    <row r="40" spans="1:13" ht="55.2">
      <c r="A40" s="95" t="s">
        <v>157</v>
      </c>
      <c r="B40" s="126">
        <f t="shared" ref="B40:L40" si="26">10*LOG10(10^((B35+B36)/10)+10^(B38/10))</f>
        <v>-166.58607314841777</v>
      </c>
      <c r="C40" s="126" t="s">
        <v>254</v>
      </c>
      <c r="D40" s="126">
        <f t="shared" ref="D40" si="27">10*LOG10(10^((D35+D36)/10)+10^(D38/10))</f>
        <v>-166.58607314841777</v>
      </c>
      <c r="E40" s="126" t="s">
        <v>254</v>
      </c>
      <c r="F40" s="126">
        <f t="shared" ref="F40" si="28">10*LOG10(10^((F35+F36)/10)+10^(F38/10))</f>
        <v>-166.58607314841777</v>
      </c>
      <c r="G40" s="126" t="s">
        <v>254</v>
      </c>
      <c r="H40" s="126">
        <f t="shared" si="26"/>
        <v>-168.36107965856621</v>
      </c>
      <c r="I40" s="126" t="s">
        <v>254</v>
      </c>
      <c r="J40" s="126">
        <f t="shared" ref="J40" si="29">10*LOG10(10^((J35+J36)/10)+10^(J38/10))</f>
        <v>-168.36107965856621</v>
      </c>
      <c r="K40" s="126" t="s">
        <v>254</v>
      </c>
      <c r="L40" s="126">
        <f t="shared" si="26"/>
        <v>-168.36107965856621</v>
      </c>
      <c r="M40" s="126" t="s">
        <v>254</v>
      </c>
    </row>
    <row r="41" spans="1:13" ht="27.6">
      <c r="A41" s="88" t="s">
        <v>26</v>
      </c>
      <c r="B41" s="127" t="s">
        <v>61</v>
      </c>
      <c r="C41" s="127">
        <v>1080000</v>
      </c>
      <c r="D41" s="127" t="s">
        <v>61</v>
      </c>
      <c r="E41" s="127">
        <v>1080000</v>
      </c>
      <c r="F41" s="127" t="s">
        <v>61</v>
      </c>
      <c r="G41" s="127">
        <v>1080000</v>
      </c>
      <c r="H41" s="76" t="s">
        <v>61</v>
      </c>
      <c r="I41" s="127">
        <v>180000</v>
      </c>
      <c r="J41" s="76" t="s">
        <v>61</v>
      </c>
      <c r="K41" s="127">
        <v>180000</v>
      </c>
      <c r="L41" s="76" t="s">
        <v>61</v>
      </c>
      <c r="M41" s="127">
        <v>180000</v>
      </c>
    </row>
    <row r="42" spans="1:13" ht="27.6">
      <c r="A42" s="88" t="s">
        <v>27</v>
      </c>
      <c r="B42" s="127">
        <v>1080000</v>
      </c>
      <c r="C42" s="76" t="s">
        <v>61</v>
      </c>
      <c r="D42" s="127">
        <v>1080000</v>
      </c>
      <c r="E42" s="76" t="s">
        <v>61</v>
      </c>
      <c r="F42" s="127">
        <v>1080000</v>
      </c>
      <c r="G42" s="76" t="s">
        <v>61</v>
      </c>
      <c r="H42" s="127">
        <v>180000</v>
      </c>
      <c r="I42" s="77" t="s">
        <v>61</v>
      </c>
      <c r="J42" s="127">
        <v>180000</v>
      </c>
      <c r="K42" s="77" t="s">
        <v>61</v>
      </c>
      <c r="L42" s="127">
        <v>180000</v>
      </c>
      <c r="M42" s="77" t="s">
        <v>61</v>
      </c>
    </row>
    <row r="43" spans="1:13" ht="27.6">
      <c r="A43" s="93" t="s">
        <v>28</v>
      </c>
      <c r="B43" s="126" t="s">
        <v>254</v>
      </c>
      <c r="C43" s="126">
        <f t="shared" ref="C43:M44" si="30">C39+10*LOG10(C41)</f>
        <v>-106.25183559354826</v>
      </c>
      <c r="D43" s="126" t="s">
        <v>254</v>
      </c>
      <c r="E43" s="126">
        <f t="shared" si="30"/>
        <v>-106.25183559354826</v>
      </c>
      <c r="F43" s="126" t="s">
        <v>254</v>
      </c>
      <c r="G43" s="126">
        <f t="shared" ref="G43" si="31">G39+10*LOG10(G41)</f>
        <v>-106.25183559354826</v>
      </c>
      <c r="H43" s="126" t="s">
        <v>254</v>
      </c>
      <c r="I43" s="126">
        <f t="shared" si="30"/>
        <v>-115.80835460753315</v>
      </c>
      <c r="J43" s="126" t="s">
        <v>254</v>
      </c>
      <c r="K43" s="126">
        <f t="shared" ref="K43" si="32">K39+10*LOG10(K41)</f>
        <v>-115.80835460753315</v>
      </c>
      <c r="L43" s="126" t="s">
        <v>254</v>
      </c>
      <c r="M43" s="126">
        <f t="shared" si="30"/>
        <v>-115.80835460753315</v>
      </c>
    </row>
    <row r="44" spans="1:13" ht="27.6">
      <c r="A44" s="93" t="s">
        <v>158</v>
      </c>
      <c r="B44" s="126">
        <f>B40+10*LOG10(B42)</f>
        <v>-106.25183559354826</v>
      </c>
      <c r="C44" s="126" t="s">
        <v>254</v>
      </c>
      <c r="D44" s="126">
        <f t="shared" si="30"/>
        <v>-106.25183559354826</v>
      </c>
      <c r="E44" s="126" t="s">
        <v>254</v>
      </c>
      <c r="F44" s="126">
        <f t="shared" ref="F44" si="33">F40+10*LOG10(F42)</f>
        <v>-106.25183559354826</v>
      </c>
      <c r="G44" s="126" t="s">
        <v>254</v>
      </c>
      <c r="H44" s="126">
        <f t="shared" si="30"/>
        <v>-115.80835460753315</v>
      </c>
      <c r="I44" s="126" t="s">
        <v>254</v>
      </c>
      <c r="J44" s="126">
        <f t="shared" ref="J44" si="34">J40+10*LOG10(J42)</f>
        <v>-115.80835460753315</v>
      </c>
      <c r="K44" s="126" t="s">
        <v>254</v>
      </c>
      <c r="L44" s="126">
        <f t="shared" si="30"/>
        <v>-115.80835460753315</v>
      </c>
      <c r="M44" s="126" t="s">
        <v>254</v>
      </c>
    </row>
    <row r="45" spans="1:13">
      <c r="A45" s="88" t="s">
        <v>30</v>
      </c>
      <c r="B45" s="78" t="s">
        <v>61</v>
      </c>
      <c r="C45" s="76">
        <v>-21</v>
      </c>
      <c r="D45" s="76" t="s">
        <v>61</v>
      </c>
      <c r="E45" s="77">
        <v>-20.8</v>
      </c>
      <c r="F45" s="76" t="s">
        <v>61</v>
      </c>
      <c r="G45" s="77">
        <v>-20.8</v>
      </c>
      <c r="H45" s="77" t="s">
        <v>61</v>
      </c>
      <c r="I45" s="77">
        <v>-25.6</v>
      </c>
      <c r="J45" s="77" t="s">
        <v>61</v>
      </c>
      <c r="K45" s="77">
        <v>-26</v>
      </c>
      <c r="L45" s="77" t="s">
        <v>61</v>
      </c>
      <c r="M45" s="77">
        <v>-26</v>
      </c>
    </row>
    <row r="46" spans="1:13">
      <c r="A46" s="88" t="s">
        <v>159</v>
      </c>
      <c r="B46" s="127">
        <v>-24.1</v>
      </c>
      <c r="C46" s="76" t="s">
        <v>61</v>
      </c>
      <c r="D46" s="76">
        <v>-21.9</v>
      </c>
      <c r="E46" s="77" t="s">
        <v>61</v>
      </c>
      <c r="F46" s="76">
        <v>-21.9</v>
      </c>
      <c r="G46" s="77" t="s">
        <v>61</v>
      </c>
      <c r="H46" s="77">
        <v>-24.6</v>
      </c>
      <c r="I46" s="77" t="s">
        <v>61</v>
      </c>
      <c r="J46" s="77">
        <v>-24.6</v>
      </c>
      <c r="K46" s="77" t="s">
        <v>61</v>
      </c>
      <c r="L46" s="77">
        <v>-24.6</v>
      </c>
      <c r="M46" s="77" t="s">
        <v>61</v>
      </c>
    </row>
    <row r="47" spans="1:13">
      <c r="A47" s="88" t="s">
        <v>32</v>
      </c>
      <c r="B47" s="78">
        <v>2</v>
      </c>
      <c r="C47" s="76">
        <v>2</v>
      </c>
      <c r="D47" s="76">
        <v>2</v>
      </c>
      <c r="E47" s="78">
        <v>2</v>
      </c>
      <c r="F47" s="76">
        <v>2</v>
      </c>
      <c r="G47" s="78">
        <v>2</v>
      </c>
      <c r="H47" s="78">
        <v>2</v>
      </c>
      <c r="I47" s="78">
        <v>2</v>
      </c>
      <c r="J47" s="78">
        <v>2</v>
      </c>
      <c r="K47" s="78">
        <v>2</v>
      </c>
      <c r="L47" s="78">
        <v>2</v>
      </c>
      <c r="M47" s="78">
        <v>2</v>
      </c>
    </row>
    <row r="48" spans="1:13">
      <c r="A48" s="88" t="s">
        <v>33</v>
      </c>
      <c r="B48" s="78" t="s">
        <v>61</v>
      </c>
      <c r="C48" s="76">
        <v>0</v>
      </c>
      <c r="D48" s="76" t="s">
        <v>61</v>
      </c>
      <c r="E48" s="78">
        <v>0</v>
      </c>
      <c r="F48" s="76" t="s">
        <v>61</v>
      </c>
      <c r="G48" s="78">
        <v>0</v>
      </c>
      <c r="H48" s="78" t="s">
        <v>61</v>
      </c>
      <c r="I48" s="78">
        <v>0</v>
      </c>
      <c r="J48" s="78" t="s">
        <v>61</v>
      </c>
      <c r="K48" s="78">
        <v>0</v>
      </c>
      <c r="L48" s="78" t="s">
        <v>61</v>
      </c>
      <c r="M48" s="78">
        <v>0</v>
      </c>
    </row>
    <row r="49" spans="1:14">
      <c r="A49" s="88" t="s">
        <v>34</v>
      </c>
      <c r="B49" s="78">
        <v>0</v>
      </c>
      <c r="C49" s="76" t="s">
        <v>61</v>
      </c>
      <c r="D49" s="76">
        <v>0</v>
      </c>
      <c r="E49" s="78" t="s">
        <v>61</v>
      </c>
      <c r="F49" s="76">
        <v>0</v>
      </c>
      <c r="G49" s="78" t="s">
        <v>61</v>
      </c>
      <c r="H49" s="78">
        <v>0</v>
      </c>
      <c r="I49" s="78" t="s">
        <v>61</v>
      </c>
      <c r="J49" s="76">
        <v>0</v>
      </c>
      <c r="K49" s="78" t="s">
        <v>61</v>
      </c>
      <c r="L49" s="76">
        <v>0</v>
      </c>
      <c r="M49" s="78" t="s">
        <v>61</v>
      </c>
    </row>
    <row r="50" spans="1:14" ht="27.6">
      <c r="A50" s="95" t="s">
        <v>47</v>
      </c>
      <c r="B50" s="126" t="s">
        <v>254</v>
      </c>
      <c r="C50" s="126">
        <f>C43+C45+C47-C48</f>
        <v>-125.25183559354826</v>
      </c>
      <c r="D50" s="126" t="s">
        <v>254</v>
      </c>
      <c r="E50" s="126">
        <f t="shared" ref="E50:M50" si="35">E43+E45+E47-E48</f>
        <v>-125.05183559354826</v>
      </c>
      <c r="F50" s="126" t="s">
        <v>254</v>
      </c>
      <c r="G50" s="126">
        <f t="shared" ref="G50" si="36">G43+G45+G47-G48</f>
        <v>-125.05183559354826</v>
      </c>
      <c r="H50" s="126" t="s">
        <v>254</v>
      </c>
      <c r="I50" s="126">
        <f t="shared" si="35"/>
        <v>-139.40835460753314</v>
      </c>
      <c r="J50" s="126" t="s">
        <v>254</v>
      </c>
      <c r="K50" s="126">
        <f t="shared" si="35"/>
        <v>-139.80835460753315</v>
      </c>
      <c r="L50" s="126" t="s">
        <v>254</v>
      </c>
      <c r="M50" s="126">
        <f t="shared" si="35"/>
        <v>-139.80835460753315</v>
      </c>
    </row>
    <row r="51" spans="1:14" ht="27.6">
      <c r="A51" s="95" t="s">
        <v>160</v>
      </c>
      <c r="B51" s="126">
        <f>B44+B46+B47-B49</f>
        <v>-128.35183559354826</v>
      </c>
      <c r="C51" s="126" t="s">
        <v>254</v>
      </c>
      <c r="D51" s="126">
        <f>D44+D46+D47-D49</f>
        <v>-126.15183559354827</v>
      </c>
      <c r="E51" s="126" t="s">
        <v>254</v>
      </c>
      <c r="F51" s="126">
        <f>F44+F46+F47-F49</f>
        <v>-126.15183559354827</v>
      </c>
      <c r="G51" s="126" t="s">
        <v>254</v>
      </c>
      <c r="H51" s="126">
        <f t="shared" ref="H51:L51" si="37">H44+H46+H47-H49</f>
        <v>-138.40835460753314</v>
      </c>
      <c r="I51" s="126" t="s">
        <v>254</v>
      </c>
      <c r="J51" s="126">
        <f>J44+J46+J47-J49</f>
        <v>-138.40835460753314</v>
      </c>
      <c r="K51" s="126" t="s">
        <v>254</v>
      </c>
      <c r="L51" s="126">
        <f t="shared" si="37"/>
        <v>-138.40835460753314</v>
      </c>
      <c r="M51" s="126" t="s">
        <v>254</v>
      </c>
    </row>
    <row r="52" spans="1:14" ht="27.6">
      <c r="A52" s="95" t="s">
        <v>107</v>
      </c>
      <c r="B52" s="126" t="s">
        <v>254</v>
      </c>
      <c r="C52" s="126">
        <f t="shared" ref="C52:M52" si="38">C27+C32+C33-C50</f>
        <v>176.08393529002694</v>
      </c>
      <c r="D52" s="126" t="s">
        <v>254</v>
      </c>
      <c r="E52" s="126">
        <f t="shared" si="38"/>
        <v>175.88393529002695</v>
      </c>
      <c r="F52" s="126" t="s">
        <v>254</v>
      </c>
      <c r="G52" s="126">
        <f t="shared" ref="G52" si="39">G27+G32+G33-G50</f>
        <v>175.88393529002695</v>
      </c>
      <c r="H52" s="126" t="s">
        <v>254</v>
      </c>
      <c r="I52" s="126">
        <f t="shared" si="38"/>
        <v>179.43925447745258</v>
      </c>
      <c r="J52" s="126" t="s">
        <v>254</v>
      </c>
      <c r="K52" s="126">
        <f t="shared" si="38"/>
        <v>179.83925447745258</v>
      </c>
      <c r="L52" s="126" t="s">
        <v>254</v>
      </c>
      <c r="M52" s="126">
        <f t="shared" si="38"/>
        <v>179.83925447745258</v>
      </c>
    </row>
    <row r="53" spans="1:14" ht="27.6">
      <c r="A53" s="95" t="s">
        <v>108</v>
      </c>
      <c r="B53" s="126">
        <f>B28+B32+B33-B51</f>
        <v>179.18393529002694</v>
      </c>
      <c r="C53" s="126" t="s">
        <v>254</v>
      </c>
      <c r="D53" s="126">
        <f t="shared" ref="D53:J53" si="40">D28+D32+D33-D51</f>
        <v>176.98393529002695</v>
      </c>
      <c r="E53" s="126" t="s">
        <v>254</v>
      </c>
      <c r="F53" s="126">
        <f t="shared" ref="F53" si="41">F28+F32+F33-F51</f>
        <v>176.98393529002695</v>
      </c>
      <c r="G53" s="126" t="s">
        <v>254</v>
      </c>
      <c r="H53" s="126">
        <f t="shared" si="40"/>
        <v>178.43925447745258</v>
      </c>
      <c r="I53" s="126" t="s">
        <v>254</v>
      </c>
      <c r="J53" s="126">
        <f t="shared" si="40"/>
        <v>178.43925447745258</v>
      </c>
      <c r="K53" s="126" t="s">
        <v>254</v>
      </c>
      <c r="L53" s="126">
        <f>L28+L32+L33-L51</f>
        <v>178.43925447745258</v>
      </c>
      <c r="M53" s="126" t="s">
        <v>254</v>
      </c>
    </row>
    <row r="54" spans="1:14">
      <c r="A54" s="87" t="s">
        <v>35</v>
      </c>
      <c r="B54" s="86"/>
      <c r="C54" s="86"/>
      <c r="D54" s="85"/>
      <c r="E54" s="85"/>
      <c r="F54" s="85"/>
      <c r="G54" s="85"/>
      <c r="H54" s="85"/>
      <c r="I54" s="85"/>
      <c r="J54" s="85"/>
      <c r="K54" s="85"/>
      <c r="L54" s="85"/>
      <c r="M54" s="85"/>
    </row>
    <row r="55" spans="1:14">
      <c r="A55" s="88" t="s">
        <v>36</v>
      </c>
      <c r="B55" s="75">
        <v>4</v>
      </c>
      <c r="C55" s="76">
        <v>4</v>
      </c>
      <c r="D55" s="75">
        <v>6</v>
      </c>
      <c r="E55" s="75">
        <v>6</v>
      </c>
      <c r="F55" s="75">
        <v>6</v>
      </c>
      <c r="G55" s="75">
        <v>6</v>
      </c>
      <c r="H55" s="75">
        <v>4</v>
      </c>
      <c r="I55" s="75">
        <v>4</v>
      </c>
      <c r="J55" s="75">
        <v>6</v>
      </c>
      <c r="K55" s="75">
        <v>6</v>
      </c>
      <c r="L55" s="75">
        <v>6</v>
      </c>
      <c r="M55" s="75">
        <v>6</v>
      </c>
    </row>
    <row r="56" spans="1:14" ht="27.6">
      <c r="A56" s="88" t="s">
        <v>37</v>
      </c>
      <c r="B56" s="76" t="s">
        <v>61</v>
      </c>
      <c r="C56" s="76">
        <v>6.3</v>
      </c>
      <c r="D56" s="76" t="s">
        <v>61</v>
      </c>
      <c r="E56" s="76">
        <v>10.26</v>
      </c>
      <c r="F56" s="76" t="s">
        <v>61</v>
      </c>
      <c r="G56" s="76">
        <v>12.22</v>
      </c>
      <c r="H56" s="76" t="s">
        <v>61</v>
      </c>
      <c r="I56" s="76">
        <v>6.3</v>
      </c>
      <c r="J56" s="76" t="s">
        <v>61</v>
      </c>
      <c r="K56" s="76">
        <v>10.26</v>
      </c>
      <c r="L56" s="76" t="s">
        <v>61</v>
      </c>
      <c r="M56" s="76">
        <v>12.22</v>
      </c>
    </row>
    <row r="57" spans="1:14" ht="27.6">
      <c r="A57" s="88" t="s">
        <v>38</v>
      </c>
      <c r="B57" s="76">
        <v>6.3</v>
      </c>
      <c r="C57" s="76" t="s">
        <v>61</v>
      </c>
      <c r="D57" s="76">
        <v>10.26</v>
      </c>
      <c r="E57" s="76" t="s">
        <v>61</v>
      </c>
      <c r="F57" s="76">
        <v>12.22</v>
      </c>
      <c r="G57" s="76" t="s">
        <v>61</v>
      </c>
      <c r="H57" s="76">
        <v>6.3</v>
      </c>
      <c r="I57" s="76" t="s">
        <v>61</v>
      </c>
      <c r="J57" s="76">
        <v>10.26</v>
      </c>
      <c r="K57" s="76" t="s">
        <v>61</v>
      </c>
      <c r="L57" s="76">
        <v>12.22</v>
      </c>
      <c r="M57" s="76" t="s">
        <v>61</v>
      </c>
    </row>
    <row r="58" spans="1:14">
      <c r="A58" s="88" t="s">
        <v>39</v>
      </c>
      <c r="B58" s="76">
        <v>0</v>
      </c>
      <c r="C58" s="76">
        <v>0</v>
      </c>
      <c r="D58" s="77">
        <v>0</v>
      </c>
      <c r="E58" s="77">
        <v>0</v>
      </c>
      <c r="F58" s="77">
        <v>0</v>
      </c>
      <c r="G58" s="77">
        <v>0</v>
      </c>
      <c r="H58" s="77">
        <v>0</v>
      </c>
      <c r="I58" s="77">
        <v>0</v>
      </c>
      <c r="J58" s="77">
        <v>0</v>
      </c>
      <c r="K58" s="77">
        <v>0</v>
      </c>
      <c r="L58" s="77">
        <v>0</v>
      </c>
      <c r="M58" s="77">
        <v>0</v>
      </c>
    </row>
    <row r="59" spans="1:14">
      <c r="A59" s="88" t="s">
        <v>40</v>
      </c>
      <c r="B59" s="76">
        <v>0</v>
      </c>
      <c r="C59" s="76">
        <v>0</v>
      </c>
      <c r="D59" s="76">
        <v>0</v>
      </c>
      <c r="E59" s="76">
        <v>0</v>
      </c>
      <c r="F59" s="76">
        <f>20+0.5*12.5</f>
        <v>26.25</v>
      </c>
      <c r="G59" s="76">
        <f>20+0.5*12.5</f>
        <v>26.25</v>
      </c>
      <c r="H59" s="76">
        <v>0</v>
      </c>
      <c r="I59" s="76">
        <v>0</v>
      </c>
      <c r="J59" s="76">
        <v>0</v>
      </c>
      <c r="K59" s="76">
        <v>0</v>
      </c>
      <c r="L59" s="76">
        <f>20+0.5*12.5</f>
        <v>26.25</v>
      </c>
      <c r="M59" s="76">
        <f>20+0.5*12.5</f>
        <v>26.25</v>
      </c>
    </row>
    <row r="60" spans="1:14">
      <c r="A60" s="88" t="s">
        <v>41</v>
      </c>
      <c r="B60" s="76">
        <v>0</v>
      </c>
      <c r="C60" s="76">
        <v>0</v>
      </c>
      <c r="D60" s="78">
        <v>0</v>
      </c>
      <c r="E60" s="78">
        <v>0</v>
      </c>
      <c r="F60" s="78">
        <v>0</v>
      </c>
      <c r="G60" s="78">
        <v>0</v>
      </c>
      <c r="H60" s="78">
        <v>0</v>
      </c>
      <c r="I60" s="78">
        <v>0</v>
      </c>
      <c r="J60" s="78">
        <v>0</v>
      </c>
      <c r="K60" s="78">
        <v>0</v>
      </c>
      <c r="L60" s="78">
        <v>0</v>
      </c>
      <c r="M60" s="78">
        <v>0</v>
      </c>
    </row>
    <row r="61" spans="1:14" ht="27.6">
      <c r="A61" s="95" t="s">
        <v>161</v>
      </c>
      <c r="B61" s="126" t="s">
        <v>258</v>
      </c>
      <c r="C61" s="126">
        <f t="shared" ref="C61:M61" si="42">C52-C56+C58-C59+C60-C34</f>
        <v>169.78393529002693</v>
      </c>
      <c r="D61" s="126" t="s">
        <v>254</v>
      </c>
      <c r="E61" s="126">
        <f t="shared" si="42"/>
        <v>165.62393529002696</v>
      </c>
      <c r="F61" s="126" t="s">
        <v>254</v>
      </c>
      <c r="G61" s="126">
        <f t="shared" si="42"/>
        <v>137.41393529002696</v>
      </c>
      <c r="H61" s="126" t="s">
        <v>254</v>
      </c>
      <c r="I61" s="126">
        <f t="shared" si="42"/>
        <v>170.13925447745257</v>
      </c>
      <c r="J61" s="126" t="s">
        <v>254</v>
      </c>
      <c r="K61" s="126">
        <f t="shared" si="42"/>
        <v>166.57925447745259</v>
      </c>
      <c r="L61" s="126" t="s">
        <v>254</v>
      </c>
      <c r="M61" s="126">
        <f t="shared" si="42"/>
        <v>138.36925447745259</v>
      </c>
    </row>
    <row r="62" spans="1:14" ht="27.6">
      <c r="A62" s="95" t="s">
        <v>49</v>
      </c>
      <c r="B62" s="126">
        <f t="shared" ref="B62:J62" si="43">B53-B57+B58-B59+B60-B34</f>
        <v>172.88393529002693</v>
      </c>
      <c r="C62" s="126" t="s">
        <v>254</v>
      </c>
      <c r="D62" s="126">
        <f t="shared" si="43"/>
        <v>166.72393529002696</v>
      </c>
      <c r="E62" s="126" t="s">
        <v>254</v>
      </c>
      <c r="F62" s="126">
        <f t="shared" si="43"/>
        <v>138.51393529002695</v>
      </c>
      <c r="G62" s="126" t="s">
        <v>254</v>
      </c>
      <c r="H62" s="126">
        <f t="shared" si="43"/>
        <v>169.13925447745257</v>
      </c>
      <c r="I62" s="126" t="s">
        <v>254</v>
      </c>
      <c r="J62" s="126">
        <f t="shared" si="43"/>
        <v>165.17925447745259</v>
      </c>
      <c r="K62" s="126" t="s">
        <v>254</v>
      </c>
      <c r="L62" s="126">
        <f>L53-L57+L58-L59+L60-L34</f>
        <v>136.96925447745258</v>
      </c>
      <c r="M62" s="126" t="s">
        <v>254</v>
      </c>
    </row>
    <row r="63" spans="1:14">
      <c r="A63" s="87" t="s">
        <v>42</v>
      </c>
      <c r="B63" s="99"/>
      <c r="C63" s="99"/>
      <c r="D63" s="85"/>
      <c r="E63" s="85"/>
      <c r="F63" s="85"/>
      <c r="G63" s="85"/>
      <c r="H63" s="85"/>
      <c r="I63" s="85"/>
      <c r="J63" s="85"/>
      <c r="K63" s="85"/>
      <c r="L63" s="85"/>
      <c r="M63" s="85"/>
    </row>
    <row r="64" spans="1:14">
      <c r="A64" s="96"/>
      <c r="B64" s="102"/>
      <c r="C64" s="102"/>
      <c r="D64" s="103"/>
      <c r="E64" s="103"/>
      <c r="F64" s="103"/>
      <c r="G64" s="103"/>
      <c r="H64" s="103"/>
      <c r="I64" s="103"/>
      <c r="J64" s="103"/>
      <c r="K64" s="103"/>
      <c r="L64" s="103"/>
      <c r="M64" s="103"/>
      <c r="N64" s="83"/>
    </row>
    <row r="65" spans="1:13" ht="41.4">
      <c r="A65" s="96" t="s">
        <v>43</v>
      </c>
      <c r="B65" s="104" t="s">
        <v>61</v>
      </c>
      <c r="C65" s="75">
        <f>SQRT((10^((C61-28-20*LOG10(C$4)+9*LOG10(112^2+(C$5-C$6)^2))/40) )^2-(C$5-C$6)^2)</f>
        <v>35351.458120978328</v>
      </c>
      <c r="D65" s="75" t="s">
        <v>61</v>
      </c>
      <c r="E65" s="75">
        <f>SQRT((10^((E61-161.04+7.1*LOG10(20)-7.5*LOG10(20)+(24.37-3.7*(20/E5)^2)*LOG10(E5)-20*LOG10(E4)+(3.2*(LOG10(17.625))^2-4.97)+0.6*(E6-1.5))/(43.42-3.1*LOG10(E5))+3))^2-(E5-E6)^2)</f>
        <v>9334.8916031009376</v>
      </c>
      <c r="F65" s="75" t="s">
        <v>61</v>
      </c>
      <c r="G65" s="75">
        <f>SQRT((10^((G61-161.04+7.1*LOG10(20)-7.5*LOG10(20)+(24.37-3.7*(20/G5)^2)*LOG10(G5)-20*LOG10(G4)+(3.2*(LOG10(17.625))^2-4.97)+0.6*(G6-1.5))/(43.42-3.1*LOG10(G5))+3))^2-(G5-G6)^2)</f>
        <v>1771.4861958721231</v>
      </c>
      <c r="H65" s="104" t="s">
        <v>61</v>
      </c>
      <c r="I65" s="75">
        <f>SQRT((10^((I61-28-20*LOG10(I$4)+9*LOG10(112^2+(I$5-I$6)^2))/40) )^2-(I$5-I$6)^2)</f>
        <v>36081.976151289549</v>
      </c>
      <c r="J65" s="75" t="s">
        <v>61</v>
      </c>
      <c r="K65" s="75">
        <f>SQRT((10^((K61-161.04+7.1*LOG10(20)-7.5*LOG10(20)+(24.37-3.7*(20/K5)^2)*LOG10(K5)-20*LOG10(K4)+(3.2*(LOG10(17.625))^2-4.97)+0.6*(K6-1.5))/(43.42-3.1*LOG10(K5))+3))^2-(K5-K6)^2)</f>
        <v>9875.3080444553107</v>
      </c>
      <c r="L65" s="75" t="s">
        <v>61</v>
      </c>
      <c r="M65" s="75">
        <f>SQRT((10^((M61-161.04+7.1*LOG10(20)-7.5*LOG10(20)+(24.37-3.7*(20/M5)^2)*LOG10(M5)-20*LOG10(M4)+(3.2*(LOG10(17.625))^2-4.97)+0.6*(M6-1.5))/(43.42-3.1*LOG10(M5))+3))^2-(M5-M6)^2)</f>
        <v>1874.0581662345151</v>
      </c>
    </row>
    <row r="66" spans="1:13" ht="41.4">
      <c r="A66" s="96" t="s">
        <v>44</v>
      </c>
      <c r="B66" s="75">
        <f>SQRT((10^((B62-28-20*LOG10(B$4)+9*LOG10(112^2+(B$5-B$6)^2))/40) )^2-(B$5-B$6)^2)</f>
        <v>42257.846419716792</v>
      </c>
      <c r="C66" s="104" t="s">
        <v>61</v>
      </c>
      <c r="D66" s="75">
        <f>SQRT((10^((D62-161.04+7.1*LOG10(20)-7.5*LOG10(20)+(24.37-3.7*(20/D5)^2)*LOG10(D5)-20*LOG10(D4)+(3.2*(LOG10(17.625))^2-4.97)+0.6*(D6-1.5))/(43.42-3.1*LOG10(D5))+3))^2-(D5-D6)^2)</f>
        <v>9959.837156991045</v>
      </c>
      <c r="E66" s="75" t="s">
        <v>61</v>
      </c>
      <c r="F66" s="75">
        <f>SQRT((10^((F62-161.04+7.1*LOG10(20)-7.5*LOG10(20)+(24.37-3.7*(20/F5)^2)*LOG10(F5)-20*LOG10(F4)+(3.2*(LOG10(17.625))^2-4.97)+0.6*(F6-1.5))/(43.42-3.1*LOG10(F5))+3))^2-(F5-F6)^2)</f>
        <v>1890.1018565135007</v>
      </c>
      <c r="G66" s="75" t="s">
        <v>61</v>
      </c>
      <c r="H66" s="75">
        <f>SQRT((10^((H62-28-20*LOG10(H$4)+9*LOG10(112^2+(H$5-H$6)^2))/40) )^2-(H$5-H$6)^2)</f>
        <v>34063.581141976349</v>
      </c>
      <c r="I66" s="104" t="s">
        <v>61</v>
      </c>
      <c r="J66" s="75">
        <f>SQRT((10^((J62-161.04+7.1*LOG10(20)-7.5*LOG10(20)+(24.37-3.7*(20/J5)^2)*LOG10(J5)-20*LOG10(J4)+(3.2*(LOG10(17.625))^2-4.97)+0.6*(J6-1.5))/(43.42-3.1*LOG10(J5))+3))^2-(J5-J6)^2)</f>
        <v>9093.5264257744893</v>
      </c>
      <c r="K66" s="75" t="s">
        <v>61</v>
      </c>
      <c r="L66" s="75">
        <f>SQRT((10^((L62-161.04+7.1*LOG10(20)-7.5*LOG10(20)+(24.37-3.7*(20/L5)^2)*LOG10(L5)-20*LOG10(L4)+(3.2*(LOG10(17.625))^2-4.97)+0.6*(L6-1.5))/(43.42-3.1*LOG10(L5))+3))^2-(L5-L6)^2)</f>
        <v>1725.6743541633077</v>
      </c>
      <c r="M66" s="75" t="s">
        <v>61</v>
      </c>
    </row>
    <row r="67" spans="1:13" ht="33.6">
      <c r="A67" s="96" t="s">
        <v>162</v>
      </c>
      <c r="B67" s="75" t="s">
        <v>61</v>
      </c>
      <c r="C67" s="75">
        <f>PI()*(C65)^2</f>
        <v>3926128736.5661607</v>
      </c>
      <c r="D67" s="75" t="s">
        <v>61</v>
      </c>
      <c r="E67" s="75">
        <f>PI()*(E65)^2</f>
        <v>273759016.05308622</v>
      </c>
      <c r="F67" s="75" t="s">
        <v>61</v>
      </c>
      <c r="G67" s="75">
        <f>PI()*(G65)^2</f>
        <v>9858830.9015118834</v>
      </c>
      <c r="H67" s="75" t="s">
        <v>61</v>
      </c>
      <c r="I67" s="75">
        <f>PI()*(I65)^2</f>
        <v>4090067759.4113789</v>
      </c>
      <c r="J67" s="75" t="s">
        <v>61</v>
      </c>
      <c r="K67" s="75">
        <f>PI()*(K65)^2</f>
        <v>306373484.47473347</v>
      </c>
      <c r="L67" s="75" t="s">
        <v>61</v>
      </c>
      <c r="M67" s="75">
        <f>PI()*(M65)^2</f>
        <v>11033568.741884461</v>
      </c>
    </row>
    <row r="68" spans="1:13" ht="33.6">
      <c r="A68" s="96" t="s">
        <v>163</v>
      </c>
      <c r="B68" s="75">
        <f>PI()*(B66)^2</f>
        <v>5610022376.1234407</v>
      </c>
      <c r="C68" s="75" t="s">
        <v>61</v>
      </c>
      <c r="D68" s="75">
        <f>PI()*(D66)^2</f>
        <v>311640827.0665611</v>
      </c>
      <c r="E68" s="75" t="s">
        <v>61</v>
      </c>
      <c r="F68" s="75">
        <f>PI()*(F66)^2</f>
        <v>11223292.719011076</v>
      </c>
      <c r="G68" s="75" t="s">
        <v>61</v>
      </c>
      <c r="H68" s="75" t="s">
        <v>258</v>
      </c>
      <c r="I68" s="75" t="s">
        <v>61</v>
      </c>
      <c r="J68" s="75">
        <f>PI()*(J66)^2</f>
        <v>259785279.83423313</v>
      </c>
      <c r="K68" s="75" t="s">
        <v>61</v>
      </c>
      <c r="L68" s="75">
        <f>PI()*(L66)^2</f>
        <v>9355512.052483011</v>
      </c>
      <c r="M68" s="75" t="s">
        <v>61</v>
      </c>
    </row>
    <row r="70" spans="1:13">
      <c r="A70" s="97"/>
    </row>
    <row r="73" spans="1:13">
      <c r="A73" s="98"/>
      <c r="H73" s="82"/>
      <c r="I73" s="82"/>
    </row>
    <row r="75" spans="1:13">
      <c r="A75" s="81" t="s">
        <v>164</v>
      </c>
    </row>
    <row r="76" spans="1:13">
      <c r="A76" s="81" t="s">
        <v>165</v>
      </c>
    </row>
  </sheetData>
  <mergeCells count="2">
    <mergeCell ref="B1:G1"/>
    <mergeCell ref="H1:M1"/>
  </mergeCells>
  <phoneticPr fontId="1" type="noConversion"/>
  <pageMargins left="0.7" right="0.7" top="0.75" bottom="0.75" header="0.3" footer="0.3"/>
  <pageSetup paperSize="9" orientation="portrait" horizontalDpi="180" verticalDpi="18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85" zoomScaleNormal="85" workbookViewId="0">
      <pane xSplit="1" ySplit="3" topLeftCell="B34" activePane="bottomRight" state="frozen"/>
      <selection pane="topRight" activeCell="B1" sqref="B1"/>
      <selection pane="bottomLeft" activeCell="A4" sqref="A4"/>
      <selection pane="bottomRight" activeCell="J41" sqref="J41"/>
    </sheetView>
  </sheetViews>
  <sheetFormatPr defaultColWidth="9" defaultRowHeight="15.6"/>
  <cols>
    <col min="1" max="1" width="69" style="72" customWidth="1"/>
    <col min="2" max="2" width="11.59765625" style="73" bestFit="1" customWidth="1"/>
    <col min="3" max="3" width="14.59765625" style="73" bestFit="1" customWidth="1"/>
    <col min="4" max="4" width="12.59765625" style="72" customWidth="1"/>
    <col min="5" max="5" width="12.09765625" style="72" customWidth="1"/>
    <col min="6" max="6" width="12.59765625" style="72" customWidth="1"/>
    <col min="7" max="7" width="11.5" style="72" customWidth="1"/>
    <col min="8" max="8" width="12" style="72" customWidth="1"/>
    <col min="9" max="9" width="13.09765625" style="72" customWidth="1"/>
    <col min="10" max="16384" width="9" style="1"/>
  </cols>
  <sheetData>
    <row r="1" spans="1:9" ht="15" customHeight="1">
      <c r="A1" s="19"/>
      <c r="B1" s="19"/>
      <c r="C1" s="145" t="s">
        <v>50</v>
      </c>
      <c r="D1" s="146"/>
      <c r="E1" s="147"/>
      <c r="F1" s="19"/>
      <c r="G1" s="145" t="s">
        <v>50</v>
      </c>
      <c r="H1" s="146"/>
      <c r="I1" s="147"/>
    </row>
    <row r="2" spans="1:9">
      <c r="A2" s="18" t="s">
        <v>0</v>
      </c>
      <c r="B2" s="145" t="s">
        <v>51</v>
      </c>
      <c r="C2" s="147"/>
      <c r="D2" s="19"/>
      <c r="E2" s="19"/>
      <c r="F2" s="145" t="s">
        <v>51</v>
      </c>
      <c r="G2" s="147"/>
      <c r="H2" s="19"/>
      <c r="I2" s="19"/>
    </row>
    <row r="3" spans="1:9" ht="41.4">
      <c r="A3" s="18"/>
      <c r="B3" s="19" t="s">
        <v>52</v>
      </c>
      <c r="C3" s="19" t="s">
        <v>56</v>
      </c>
      <c r="D3" s="19" t="s">
        <v>57</v>
      </c>
      <c r="E3" s="19" t="s">
        <v>58</v>
      </c>
      <c r="F3" s="19" t="s">
        <v>59</v>
      </c>
      <c r="G3" s="19" t="s">
        <v>55</v>
      </c>
      <c r="H3" s="19" t="s">
        <v>54</v>
      </c>
      <c r="I3" s="19" t="s">
        <v>60</v>
      </c>
    </row>
    <row r="4" spans="1:9">
      <c r="A4" s="20" t="s">
        <v>1</v>
      </c>
      <c r="B4" s="20"/>
      <c r="C4" s="20"/>
      <c r="D4" s="20"/>
      <c r="E4" s="20"/>
      <c r="F4" s="20"/>
      <c r="G4" s="20"/>
      <c r="H4" s="20"/>
      <c r="I4" s="20"/>
    </row>
    <row r="5" spans="1:9">
      <c r="A5" s="21" t="s">
        <v>2</v>
      </c>
      <c r="B5" s="36">
        <v>0.7</v>
      </c>
      <c r="C5" s="37">
        <v>0.7</v>
      </c>
      <c r="D5" s="36">
        <v>0.7</v>
      </c>
      <c r="E5" s="37">
        <v>0.7</v>
      </c>
      <c r="F5" s="36">
        <v>0.7</v>
      </c>
      <c r="G5" s="37">
        <v>0.7</v>
      </c>
      <c r="H5" s="36">
        <v>0.7</v>
      </c>
      <c r="I5" s="37">
        <v>0.7</v>
      </c>
    </row>
    <row r="6" spans="1:9">
      <c r="A6" s="21" t="s">
        <v>3</v>
      </c>
      <c r="B6" s="36">
        <v>25</v>
      </c>
      <c r="C6" s="37">
        <v>25</v>
      </c>
      <c r="D6" s="37">
        <v>25</v>
      </c>
      <c r="E6" s="37">
        <v>25</v>
      </c>
      <c r="F6" s="36">
        <v>25</v>
      </c>
      <c r="G6" s="37">
        <v>25</v>
      </c>
      <c r="H6" s="37">
        <v>25</v>
      </c>
      <c r="I6" s="37">
        <v>25</v>
      </c>
    </row>
    <row r="7" spans="1:9">
      <c r="A7" s="21" t="s">
        <v>4</v>
      </c>
      <c r="B7" s="36">
        <v>1.5</v>
      </c>
      <c r="C7" s="37">
        <v>1.5</v>
      </c>
      <c r="D7" s="36">
        <v>1.5</v>
      </c>
      <c r="E7" s="37">
        <v>1.5</v>
      </c>
      <c r="F7" s="36">
        <v>1.5</v>
      </c>
      <c r="G7" s="37">
        <v>1.5</v>
      </c>
      <c r="H7" s="36">
        <v>1.5</v>
      </c>
      <c r="I7" s="37">
        <v>1.5</v>
      </c>
    </row>
    <row r="8" spans="1:9" ht="29.4">
      <c r="A8" s="21" t="s">
        <v>109</v>
      </c>
      <c r="B8" s="22" t="s">
        <v>62</v>
      </c>
      <c r="C8" s="22">
        <v>0.95</v>
      </c>
      <c r="D8" s="22" t="s">
        <v>62</v>
      </c>
      <c r="E8" s="22">
        <v>0.95</v>
      </c>
      <c r="F8" s="22" t="s">
        <v>62</v>
      </c>
      <c r="G8" s="22">
        <v>0.95</v>
      </c>
      <c r="H8" s="22" t="s">
        <v>62</v>
      </c>
      <c r="I8" s="22">
        <v>0.95</v>
      </c>
    </row>
    <row r="9" spans="1:9" ht="29.4">
      <c r="A9" s="21" t="s">
        <v>110</v>
      </c>
      <c r="B9" s="22">
        <v>0.9</v>
      </c>
      <c r="C9" s="22" t="s">
        <v>62</v>
      </c>
      <c r="D9" s="22">
        <v>0.9</v>
      </c>
      <c r="E9" s="22" t="s">
        <v>62</v>
      </c>
      <c r="F9" s="22">
        <v>0.9</v>
      </c>
      <c r="G9" s="22" t="s">
        <v>62</v>
      </c>
      <c r="H9" s="22">
        <v>0.9</v>
      </c>
      <c r="I9" s="22" t="s">
        <v>62</v>
      </c>
    </row>
    <row r="10" spans="1:9">
      <c r="A10" s="21" t="s">
        <v>5</v>
      </c>
      <c r="B10" s="36" t="s">
        <v>62</v>
      </c>
      <c r="C10" s="37"/>
      <c r="D10" s="36" t="s">
        <v>62</v>
      </c>
      <c r="E10" s="37"/>
      <c r="F10" s="36" t="s">
        <v>62</v>
      </c>
      <c r="G10" s="37"/>
      <c r="H10" s="36" t="s">
        <v>62</v>
      </c>
      <c r="I10" s="37"/>
    </row>
    <row r="11" spans="1:9">
      <c r="A11" s="21" t="s">
        <v>6</v>
      </c>
      <c r="B11" s="36">
        <f>32*8/0.001</f>
        <v>256000</v>
      </c>
      <c r="C11" s="37" t="s">
        <v>62</v>
      </c>
      <c r="D11" s="36">
        <f>32*8/0.001</f>
        <v>256000</v>
      </c>
      <c r="E11" s="37" t="s">
        <v>63</v>
      </c>
      <c r="F11" s="36">
        <f>32*8/0.001</f>
        <v>256000</v>
      </c>
      <c r="G11" s="37" t="s">
        <v>62</v>
      </c>
      <c r="H11" s="36">
        <f>32*8/0.001</f>
        <v>256000</v>
      </c>
      <c r="I11" s="37" t="s">
        <v>63</v>
      </c>
    </row>
    <row r="12" spans="1:9" s="17" customFormat="1" ht="30" customHeight="1">
      <c r="A12" s="68" t="s">
        <v>7</v>
      </c>
      <c r="B12" s="69" t="s">
        <v>103</v>
      </c>
      <c r="C12" s="69">
        <v>1.0000000000000001E-5</v>
      </c>
      <c r="D12" s="69" t="s">
        <v>103</v>
      </c>
      <c r="E12" s="69">
        <v>1.0000000000000001E-5</v>
      </c>
      <c r="F12" s="69" t="s">
        <v>103</v>
      </c>
      <c r="G12" s="69">
        <v>1.0000000000000001E-5</v>
      </c>
      <c r="H12" s="69" t="s">
        <v>103</v>
      </c>
      <c r="I12" s="69">
        <v>1.0000000000000001E-5</v>
      </c>
    </row>
    <row r="13" spans="1:9" s="17" customFormat="1">
      <c r="A13" s="68" t="s">
        <v>8</v>
      </c>
      <c r="B13" s="69">
        <v>1.0000000000000001E-5</v>
      </c>
      <c r="C13" s="70" t="s">
        <v>62</v>
      </c>
      <c r="D13" s="69">
        <v>1.0000000000000001E-5</v>
      </c>
      <c r="E13" s="70" t="s">
        <v>63</v>
      </c>
      <c r="F13" s="69">
        <v>1.0000000000000001E-5</v>
      </c>
      <c r="G13" s="70" t="s">
        <v>62</v>
      </c>
      <c r="H13" s="69">
        <v>1.0000000000000001E-5</v>
      </c>
      <c r="I13" s="70" t="s">
        <v>63</v>
      </c>
    </row>
    <row r="14" spans="1:9">
      <c r="A14" s="21" t="s">
        <v>111</v>
      </c>
      <c r="B14" s="36">
        <f>B11/B43</f>
        <v>4.4444444444444446E-2</v>
      </c>
      <c r="C14" s="37" t="s">
        <v>62</v>
      </c>
      <c r="D14" s="36">
        <f>D11/D43</f>
        <v>1.3943355119825708E-2</v>
      </c>
      <c r="E14" s="37" t="s">
        <v>97</v>
      </c>
      <c r="F14" s="36">
        <f>F11/F43</f>
        <v>4.4444444444444446E-2</v>
      </c>
      <c r="G14" s="37" t="s">
        <v>62</v>
      </c>
      <c r="H14" s="36">
        <f>H11/H43</f>
        <v>1.3943355119825708E-2</v>
      </c>
      <c r="I14" s="37" t="s">
        <v>97</v>
      </c>
    </row>
    <row r="15" spans="1:9">
      <c r="A15" s="21" t="s">
        <v>112</v>
      </c>
      <c r="B15" s="37" t="s">
        <v>92</v>
      </c>
      <c r="C15" s="37" t="s">
        <v>92</v>
      </c>
      <c r="D15" s="36" t="s">
        <v>92</v>
      </c>
      <c r="E15" s="37" t="s">
        <v>92</v>
      </c>
      <c r="F15" s="37" t="s">
        <v>93</v>
      </c>
      <c r="G15" s="37" t="s">
        <v>93</v>
      </c>
      <c r="H15" s="37" t="s">
        <v>93</v>
      </c>
      <c r="I15" s="37" t="s">
        <v>93</v>
      </c>
    </row>
    <row r="16" spans="1:9">
      <c r="A16" s="21" t="s">
        <v>123</v>
      </c>
      <c r="B16" s="36">
        <v>30</v>
      </c>
      <c r="C16" s="37">
        <v>30</v>
      </c>
      <c r="D16" s="37">
        <v>30</v>
      </c>
      <c r="E16" s="37">
        <v>30</v>
      </c>
      <c r="F16" s="37">
        <v>3</v>
      </c>
      <c r="G16" s="37">
        <v>3</v>
      </c>
      <c r="H16" s="37">
        <v>3</v>
      </c>
      <c r="I16" s="37">
        <v>3</v>
      </c>
    </row>
    <row r="17" spans="1:9">
      <c r="A17" s="21" t="s">
        <v>9</v>
      </c>
      <c r="B17" s="37">
        <v>3</v>
      </c>
      <c r="C17" s="37">
        <v>3</v>
      </c>
      <c r="D17" s="36">
        <v>3</v>
      </c>
      <c r="E17" s="37">
        <v>3</v>
      </c>
      <c r="F17" s="37">
        <v>3</v>
      </c>
      <c r="G17" s="37">
        <v>3</v>
      </c>
      <c r="H17" s="37">
        <v>3</v>
      </c>
      <c r="I17" s="37">
        <v>3</v>
      </c>
    </row>
    <row r="18" spans="1:9">
      <c r="A18" s="20" t="s">
        <v>10</v>
      </c>
      <c r="B18" s="39"/>
      <c r="C18" s="39"/>
      <c r="D18" s="39"/>
      <c r="E18" s="39"/>
      <c r="F18" s="39"/>
      <c r="G18" s="39"/>
      <c r="H18" s="39"/>
      <c r="I18" s="39"/>
    </row>
    <row r="19" spans="1:9" ht="27.6">
      <c r="A19" s="21" t="s">
        <v>124</v>
      </c>
      <c r="B19" s="36">
        <v>1</v>
      </c>
      <c r="C19" s="36">
        <v>64</v>
      </c>
      <c r="D19" s="36">
        <v>64</v>
      </c>
      <c r="E19" s="37">
        <v>1</v>
      </c>
      <c r="F19" s="36">
        <v>1</v>
      </c>
      <c r="G19" s="36">
        <v>64</v>
      </c>
      <c r="H19" s="36">
        <v>64</v>
      </c>
      <c r="I19" s="37">
        <v>1</v>
      </c>
    </row>
    <row r="20" spans="1:9">
      <c r="A20" s="21" t="s">
        <v>247</v>
      </c>
      <c r="B20" s="36">
        <v>1</v>
      </c>
      <c r="C20" s="36">
        <v>2</v>
      </c>
      <c r="D20" s="36">
        <v>2</v>
      </c>
      <c r="E20" s="37">
        <v>1</v>
      </c>
      <c r="F20" s="36">
        <v>1</v>
      </c>
      <c r="G20" s="36">
        <v>2</v>
      </c>
      <c r="H20" s="36">
        <v>2</v>
      </c>
      <c r="I20" s="37">
        <v>1</v>
      </c>
    </row>
    <row r="21" spans="1:9">
      <c r="A21" s="21" t="s">
        <v>11</v>
      </c>
      <c r="B21" s="36">
        <v>23</v>
      </c>
      <c r="C21" s="36">
        <v>28</v>
      </c>
      <c r="D21" s="36">
        <v>28</v>
      </c>
      <c r="E21" s="37">
        <v>23</v>
      </c>
      <c r="F21" s="36">
        <v>23</v>
      </c>
      <c r="G21" s="36">
        <v>28</v>
      </c>
      <c r="H21" s="36">
        <v>28</v>
      </c>
      <c r="I21" s="37">
        <v>23</v>
      </c>
    </row>
    <row r="22" spans="1:9" ht="27.6">
      <c r="A22" s="48" t="s">
        <v>125</v>
      </c>
      <c r="B22" s="42">
        <f t="shared" ref="B22:I22" si="0">B21+10*LOG10(B19)</f>
        <v>23</v>
      </c>
      <c r="C22" s="42">
        <f t="shared" si="0"/>
        <v>46.061799739838875</v>
      </c>
      <c r="D22" s="42">
        <f t="shared" si="0"/>
        <v>46.061799739838875</v>
      </c>
      <c r="E22" s="42">
        <f t="shared" si="0"/>
        <v>23</v>
      </c>
      <c r="F22" s="42">
        <f t="shared" si="0"/>
        <v>23</v>
      </c>
      <c r="G22" s="42">
        <f t="shared" si="0"/>
        <v>46.061799739838875</v>
      </c>
      <c r="H22" s="42">
        <f t="shared" si="0"/>
        <v>46.061799739838875</v>
      </c>
      <c r="I22" s="42">
        <f t="shared" si="0"/>
        <v>23</v>
      </c>
    </row>
    <row r="23" spans="1:9">
      <c r="A23" s="21" t="s">
        <v>12</v>
      </c>
      <c r="B23" s="36">
        <v>0</v>
      </c>
      <c r="C23" s="36">
        <v>8</v>
      </c>
      <c r="D23" s="36">
        <v>8</v>
      </c>
      <c r="E23" s="37">
        <v>0</v>
      </c>
      <c r="F23" s="36">
        <v>0</v>
      </c>
      <c r="G23" s="36">
        <v>8</v>
      </c>
      <c r="H23" s="36">
        <v>8</v>
      </c>
      <c r="I23" s="37">
        <v>0</v>
      </c>
    </row>
    <row r="24" spans="1:9" ht="45" customHeight="1">
      <c r="A24" s="49" t="s">
        <v>13</v>
      </c>
      <c r="B24" s="42">
        <f t="shared" ref="B24:I24" si="1">IF(B19&gt;=2, 10*LOG10(B19/2), 0)</f>
        <v>0</v>
      </c>
      <c r="C24" s="42">
        <f t="shared" si="1"/>
        <v>15.051499783199061</v>
      </c>
      <c r="D24" s="42">
        <f t="shared" si="1"/>
        <v>15.051499783199061</v>
      </c>
      <c r="E24" s="42">
        <f t="shared" si="1"/>
        <v>0</v>
      </c>
      <c r="F24" s="42">
        <f t="shared" si="1"/>
        <v>0</v>
      </c>
      <c r="G24" s="42">
        <f t="shared" si="1"/>
        <v>15.051499783199061</v>
      </c>
      <c r="H24" s="42">
        <f t="shared" si="1"/>
        <v>15.051499783199061</v>
      </c>
      <c r="I24" s="42">
        <f t="shared" si="1"/>
        <v>0</v>
      </c>
    </row>
    <row r="25" spans="1:9">
      <c r="A25" s="21" t="s">
        <v>14</v>
      </c>
      <c r="B25" s="37">
        <v>0</v>
      </c>
      <c r="C25" s="36">
        <v>0</v>
      </c>
      <c r="D25" s="36">
        <v>0</v>
      </c>
      <c r="E25" s="37">
        <v>0</v>
      </c>
      <c r="F25" s="37">
        <v>0</v>
      </c>
      <c r="G25" s="36">
        <v>0</v>
      </c>
      <c r="H25" s="36">
        <v>0</v>
      </c>
      <c r="I25" s="37">
        <v>0</v>
      </c>
    </row>
    <row r="26" spans="1:9">
      <c r="A26" s="21" t="s">
        <v>15</v>
      </c>
      <c r="B26" s="37">
        <v>0</v>
      </c>
      <c r="C26" s="36">
        <v>0</v>
      </c>
      <c r="D26" s="36">
        <v>0</v>
      </c>
      <c r="E26" s="37">
        <v>0</v>
      </c>
      <c r="F26" s="37">
        <v>0</v>
      </c>
      <c r="G26" s="36">
        <v>0</v>
      </c>
      <c r="H26" s="36">
        <v>0</v>
      </c>
      <c r="I26" s="37">
        <v>0</v>
      </c>
    </row>
    <row r="27" spans="1:9" ht="27.6">
      <c r="A27" s="21" t="s">
        <v>16</v>
      </c>
      <c r="B27" s="37">
        <v>1</v>
      </c>
      <c r="C27" s="36">
        <v>3</v>
      </c>
      <c r="D27" s="36">
        <v>3</v>
      </c>
      <c r="E27" s="37">
        <v>1</v>
      </c>
      <c r="F27" s="37">
        <v>1</v>
      </c>
      <c r="G27" s="36">
        <v>3</v>
      </c>
      <c r="H27" s="36">
        <v>3</v>
      </c>
      <c r="I27" s="37">
        <v>1</v>
      </c>
    </row>
    <row r="28" spans="1:9">
      <c r="A28" s="26" t="s">
        <v>17</v>
      </c>
      <c r="B28" s="74">
        <f t="shared" ref="B28:C28" si="2">B22+B23+B24+B25-B27</f>
        <v>22</v>
      </c>
      <c r="C28" s="74">
        <f t="shared" si="2"/>
        <v>66.113299523037938</v>
      </c>
      <c r="D28" s="74">
        <f t="shared" ref="D28:I28" si="3">D22+D23+D24+D25-D27</f>
        <v>66.113299523037938</v>
      </c>
      <c r="E28" s="74">
        <f t="shared" si="3"/>
        <v>22</v>
      </c>
      <c r="F28" s="74">
        <f t="shared" si="3"/>
        <v>22</v>
      </c>
      <c r="G28" s="74">
        <f t="shared" si="3"/>
        <v>66.113299523037938</v>
      </c>
      <c r="H28" s="74">
        <f t="shared" si="3"/>
        <v>66.113299523037938</v>
      </c>
      <c r="I28" s="74">
        <f t="shared" si="3"/>
        <v>22</v>
      </c>
    </row>
    <row r="29" spans="1:9">
      <c r="A29" s="26" t="s">
        <v>18</v>
      </c>
      <c r="B29" s="74">
        <f t="shared" ref="B29:C29" si="4">B22+B23+B24-B26-B27</f>
        <v>22</v>
      </c>
      <c r="C29" s="74">
        <f t="shared" si="4"/>
        <v>66.113299523037938</v>
      </c>
      <c r="D29" s="74">
        <f t="shared" ref="D29:I29" si="5">D22+D23+D24-D26-D27</f>
        <v>66.113299523037938</v>
      </c>
      <c r="E29" s="74">
        <f t="shared" si="5"/>
        <v>22</v>
      </c>
      <c r="F29" s="74">
        <f t="shared" si="5"/>
        <v>22</v>
      </c>
      <c r="G29" s="74">
        <f t="shared" si="5"/>
        <v>66.113299523037938</v>
      </c>
      <c r="H29" s="74">
        <f t="shared" si="5"/>
        <v>66.113299523037938</v>
      </c>
      <c r="I29" s="74">
        <f t="shared" si="5"/>
        <v>22</v>
      </c>
    </row>
    <row r="30" spans="1:9">
      <c r="A30" s="20" t="s">
        <v>19</v>
      </c>
      <c r="B30" s="39"/>
      <c r="C30" s="39"/>
      <c r="D30" s="39"/>
      <c r="E30" s="39"/>
      <c r="F30" s="39"/>
      <c r="G30" s="39"/>
      <c r="H30" s="39"/>
      <c r="I30" s="39"/>
    </row>
    <row r="31" spans="1:9" ht="27.6">
      <c r="A31" s="21" t="s">
        <v>126</v>
      </c>
      <c r="B31" s="36">
        <v>64</v>
      </c>
      <c r="C31" s="36">
        <v>2</v>
      </c>
      <c r="D31" s="36">
        <v>2</v>
      </c>
      <c r="E31" s="37">
        <v>64</v>
      </c>
      <c r="F31" s="36">
        <v>64</v>
      </c>
      <c r="G31" s="36">
        <v>2</v>
      </c>
      <c r="H31" s="36">
        <v>2</v>
      </c>
      <c r="I31" s="37">
        <v>64</v>
      </c>
    </row>
    <row r="32" spans="1:9">
      <c r="A32" s="21" t="s">
        <v>253</v>
      </c>
      <c r="B32" s="36">
        <v>2</v>
      </c>
      <c r="C32" s="36">
        <v>2</v>
      </c>
      <c r="D32" s="36">
        <v>2</v>
      </c>
      <c r="E32" s="37">
        <v>2</v>
      </c>
      <c r="F32" s="36">
        <v>2</v>
      </c>
      <c r="G32" s="36">
        <v>2</v>
      </c>
      <c r="H32" s="36">
        <v>2</v>
      </c>
      <c r="I32" s="37">
        <v>2</v>
      </c>
    </row>
    <row r="33" spans="1:9">
      <c r="A33" s="21" t="s">
        <v>20</v>
      </c>
      <c r="B33" s="36">
        <v>8</v>
      </c>
      <c r="C33" s="36">
        <v>0</v>
      </c>
      <c r="D33" s="36">
        <v>0</v>
      </c>
      <c r="E33" s="37">
        <v>8</v>
      </c>
      <c r="F33" s="36">
        <v>8</v>
      </c>
      <c r="G33" s="36">
        <v>0</v>
      </c>
      <c r="H33" s="36">
        <v>0</v>
      </c>
      <c r="I33" s="37">
        <v>8</v>
      </c>
    </row>
    <row r="34" spans="1:9" ht="27.6">
      <c r="A34" s="27" t="s">
        <v>249</v>
      </c>
      <c r="B34" s="42">
        <f t="shared" ref="B34:I34" si="6">IF(B31&gt;=2, 10*LOG10(B31/2), 0)</f>
        <v>15.051499783199061</v>
      </c>
      <c r="C34" s="42">
        <f t="shared" si="6"/>
        <v>0</v>
      </c>
      <c r="D34" s="42">
        <f t="shared" si="6"/>
        <v>0</v>
      </c>
      <c r="E34" s="42">
        <f t="shared" si="6"/>
        <v>15.051499783199061</v>
      </c>
      <c r="F34" s="42">
        <f t="shared" si="6"/>
        <v>15.051499783199061</v>
      </c>
      <c r="G34" s="42">
        <f t="shared" si="6"/>
        <v>0</v>
      </c>
      <c r="H34" s="42">
        <f t="shared" si="6"/>
        <v>0</v>
      </c>
      <c r="I34" s="42">
        <f t="shared" si="6"/>
        <v>15.051499783199061</v>
      </c>
    </row>
    <row r="35" spans="1:9" ht="27.6">
      <c r="A35" s="21" t="s">
        <v>21</v>
      </c>
      <c r="B35" s="37">
        <v>3</v>
      </c>
      <c r="C35" s="36">
        <v>1</v>
      </c>
      <c r="D35" s="36">
        <v>1</v>
      </c>
      <c r="E35" s="60">
        <v>3</v>
      </c>
      <c r="F35" s="37">
        <v>3</v>
      </c>
      <c r="G35" s="36">
        <v>1</v>
      </c>
      <c r="H35" s="36">
        <v>1</v>
      </c>
      <c r="I35" s="60">
        <v>3</v>
      </c>
    </row>
    <row r="36" spans="1:9">
      <c r="A36" s="21" t="s">
        <v>22</v>
      </c>
      <c r="B36" s="37">
        <v>5</v>
      </c>
      <c r="C36" s="36">
        <v>7</v>
      </c>
      <c r="D36" s="36">
        <v>7</v>
      </c>
      <c r="E36" s="37">
        <v>5</v>
      </c>
      <c r="F36" s="37">
        <v>5</v>
      </c>
      <c r="G36" s="36">
        <v>7</v>
      </c>
      <c r="H36" s="36">
        <v>7</v>
      </c>
      <c r="I36" s="37">
        <v>5</v>
      </c>
    </row>
    <row r="37" spans="1:9">
      <c r="A37" s="21" t="s">
        <v>23</v>
      </c>
      <c r="B37" s="36">
        <v>-174</v>
      </c>
      <c r="C37" s="36">
        <v>-174</v>
      </c>
      <c r="D37" s="36">
        <v>-174</v>
      </c>
      <c r="E37" s="37">
        <v>-174</v>
      </c>
      <c r="F37" s="36">
        <v>-174</v>
      </c>
      <c r="G37" s="36">
        <v>-174</v>
      </c>
      <c r="H37" s="36">
        <v>-174</v>
      </c>
      <c r="I37" s="37">
        <v>-174</v>
      </c>
    </row>
    <row r="38" spans="1:9" ht="27.6">
      <c r="A38" s="21" t="s">
        <v>24</v>
      </c>
      <c r="B38" s="37" t="s">
        <v>63</v>
      </c>
      <c r="C38" s="36">
        <v>-169.3</v>
      </c>
      <c r="D38" s="36" t="s">
        <v>62</v>
      </c>
      <c r="E38" s="37">
        <v>-161.69999999999999</v>
      </c>
      <c r="F38" s="37" t="s">
        <v>63</v>
      </c>
      <c r="G38" s="36">
        <v>-169.3</v>
      </c>
      <c r="H38" s="36" t="s">
        <v>62</v>
      </c>
      <c r="I38" s="37">
        <v>-161.69999999999999</v>
      </c>
    </row>
    <row r="39" spans="1:9">
      <c r="A39" s="21" t="s">
        <v>25</v>
      </c>
      <c r="B39" s="37">
        <v>-165.7</v>
      </c>
      <c r="C39" s="36" t="s">
        <v>62</v>
      </c>
      <c r="D39" s="36">
        <v>-169.3</v>
      </c>
      <c r="E39" s="37" t="s">
        <v>63</v>
      </c>
      <c r="F39" s="37">
        <v>-165.7</v>
      </c>
      <c r="G39" s="36" t="s">
        <v>62</v>
      </c>
      <c r="H39" s="36">
        <v>-169.3</v>
      </c>
      <c r="I39" s="37" t="s">
        <v>63</v>
      </c>
    </row>
    <row r="40" spans="1:9" ht="27.6">
      <c r="A40" s="26" t="s">
        <v>45</v>
      </c>
      <c r="B40" s="74" t="s">
        <v>254</v>
      </c>
      <c r="C40" s="74">
        <f t="shared" ref="C40" si="7">10*LOG10(10^((C36+C37)/10)+10^(C38/10))</f>
        <v>-164.98918835931039</v>
      </c>
      <c r="D40" s="74" t="s">
        <v>254</v>
      </c>
      <c r="E40" s="74">
        <f t="shared" ref="E40:I40" si="8">10*LOG10(10^((E36+E37)/10)+10^(E38/10))</f>
        <v>-160.9583889004532</v>
      </c>
      <c r="F40" s="74" t="s">
        <v>254</v>
      </c>
      <c r="G40" s="74">
        <f t="shared" si="8"/>
        <v>-164.98918835931039</v>
      </c>
      <c r="H40" s="74" t="s">
        <v>254</v>
      </c>
      <c r="I40" s="74">
        <f t="shared" si="8"/>
        <v>-160.9583889004532</v>
      </c>
    </row>
    <row r="41" spans="1:9" ht="27.6">
      <c r="A41" s="26" t="s">
        <v>46</v>
      </c>
      <c r="B41" s="74">
        <f t="shared" ref="B41" si="9">10*LOG10(10^((B36+B37)/10)+10^(B39/10))</f>
        <v>-164.03352307536667</v>
      </c>
      <c r="C41" s="74" t="s">
        <v>254</v>
      </c>
      <c r="D41" s="74">
        <f t="shared" ref="D41:H41" si="10">10*LOG10(10^((D36+D37)/10)+10^(D39/10))</f>
        <v>-164.98918835931039</v>
      </c>
      <c r="E41" s="74" t="s">
        <v>254</v>
      </c>
      <c r="F41" s="74">
        <f t="shared" si="10"/>
        <v>-164.03352307536667</v>
      </c>
      <c r="G41" s="74" t="s">
        <v>254</v>
      </c>
      <c r="H41" s="74">
        <f t="shared" si="10"/>
        <v>-164.98918835931039</v>
      </c>
      <c r="I41" s="74" t="s">
        <v>254</v>
      </c>
    </row>
    <row r="42" spans="1:9" ht="27.6">
      <c r="A42" s="21" t="s">
        <v>26</v>
      </c>
      <c r="B42" s="36" t="s">
        <v>62</v>
      </c>
      <c r="C42" s="36">
        <f>MaxN_RB!$F$7*12*30*1000</f>
        <v>18360000</v>
      </c>
      <c r="D42" s="36" t="s">
        <v>62</v>
      </c>
      <c r="E42" s="36">
        <f>1*12*30*1000</f>
        <v>360000</v>
      </c>
      <c r="F42" s="36" t="s">
        <v>62</v>
      </c>
      <c r="G42" s="36">
        <f>MaxN_RB!$F$7*12*30*1000</f>
        <v>18360000</v>
      </c>
      <c r="H42" s="36" t="s">
        <v>62</v>
      </c>
      <c r="I42" s="36">
        <f>1*12*30*1000</f>
        <v>360000</v>
      </c>
    </row>
    <row r="43" spans="1:9" ht="27.6">
      <c r="A43" s="21" t="s">
        <v>27</v>
      </c>
      <c r="B43" s="36">
        <f>16*12*30*1000</f>
        <v>5760000</v>
      </c>
      <c r="C43" s="36" t="s">
        <v>104</v>
      </c>
      <c r="D43" s="36">
        <f>MaxN_RB!$F$7*12*30*1000</f>
        <v>18360000</v>
      </c>
      <c r="E43" s="36" t="s">
        <v>97</v>
      </c>
      <c r="F43" s="36">
        <f>16*12*30*1000</f>
        <v>5760000</v>
      </c>
      <c r="G43" s="36" t="s">
        <v>104</v>
      </c>
      <c r="H43" s="36">
        <f>MaxN_RB!$F$7*12*30*1000</f>
        <v>18360000</v>
      </c>
      <c r="I43" s="36" t="s">
        <v>97</v>
      </c>
    </row>
    <row r="44" spans="1:9">
      <c r="A44" s="26" t="s">
        <v>28</v>
      </c>
      <c r="B44" s="74" t="s">
        <v>254</v>
      </c>
      <c r="C44" s="74">
        <f t="shared" ref="C44" si="11">C40+10*LOG10(C42)</f>
        <v>-92.350461590658156</v>
      </c>
      <c r="D44" s="74" t="s">
        <v>254</v>
      </c>
      <c r="E44" s="74">
        <f t="shared" ref="E44:I44" si="12">E40+10*LOG10(E42)</f>
        <v>-105.39536389278032</v>
      </c>
      <c r="F44" s="74" t="s">
        <v>254</v>
      </c>
      <c r="G44" s="74">
        <f t="shared" si="12"/>
        <v>-92.350461590658156</v>
      </c>
      <c r="H44" s="74" t="s">
        <v>254</v>
      </c>
      <c r="I44" s="74">
        <f t="shared" si="12"/>
        <v>-105.39536389278032</v>
      </c>
    </row>
    <row r="45" spans="1:9">
      <c r="A45" s="26" t="s">
        <v>29</v>
      </c>
      <c r="B45" s="74">
        <f t="shared" ref="B45" si="13">B41+10*LOG10(B43)</f>
        <v>-96.42929824113456</v>
      </c>
      <c r="C45" s="74" t="s">
        <v>254</v>
      </c>
      <c r="D45" s="74">
        <f>D41+10*LOG10(D43)</f>
        <v>-92.350461590658156</v>
      </c>
      <c r="E45" s="74" t="s">
        <v>254</v>
      </c>
      <c r="F45" s="74">
        <f t="shared" ref="F45:H45" si="14">F41+10*LOG10(F43)</f>
        <v>-96.42929824113456</v>
      </c>
      <c r="G45" s="74" t="s">
        <v>254</v>
      </c>
      <c r="H45" s="74">
        <f t="shared" si="14"/>
        <v>-92.350461590658156</v>
      </c>
      <c r="I45" s="74" t="s">
        <v>254</v>
      </c>
    </row>
    <row r="46" spans="1:9">
      <c r="A46" s="21" t="s">
        <v>30</v>
      </c>
      <c r="B46" s="77" t="s">
        <v>61</v>
      </c>
      <c r="C46" s="77">
        <v>-2.7</v>
      </c>
      <c r="D46" s="76" t="s">
        <v>62</v>
      </c>
      <c r="E46" s="77">
        <v>4.2</v>
      </c>
      <c r="F46" s="78" t="s">
        <v>131</v>
      </c>
      <c r="G46" s="78">
        <v>-2.7</v>
      </c>
      <c r="H46" s="76" t="s">
        <v>131</v>
      </c>
      <c r="I46" s="78">
        <v>4.2</v>
      </c>
    </row>
    <row r="47" spans="1:9">
      <c r="A47" s="21" t="s">
        <v>31</v>
      </c>
      <c r="B47" s="77">
        <v>-2</v>
      </c>
      <c r="C47" s="76" t="s">
        <v>61</v>
      </c>
      <c r="D47" s="77">
        <v>-2.5</v>
      </c>
      <c r="E47" s="76" t="s">
        <v>61</v>
      </c>
      <c r="F47" s="78">
        <v>-1.9</v>
      </c>
      <c r="G47" s="76" t="s">
        <v>131</v>
      </c>
      <c r="H47" s="78">
        <v>-2.4</v>
      </c>
      <c r="I47" s="76" t="s">
        <v>131</v>
      </c>
    </row>
    <row r="48" spans="1:9">
      <c r="A48" s="21" t="s">
        <v>32</v>
      </c>
      <c r="B48" s="60">
        <v>2</v>
      </c>
      <c r="C48" s="36">
        <v>2</v>
      </c>
      <c r="D48" s="36">
        <v>2</v>
      </c>
      <c r="E48" s="36">
        <v>2</v>
      </c>
      <c r="F48" s="60">
        <v>2</v>
      </c>
      <c r="G48" s="36">
        <v>2</v>
      </c>
      <c r="H48" s="36">
        <v>2</v>
      </c>
      <c r="I48" s="36">
        <v>2</v>
      </c>
    </row>
    <row r="49" spans="1:9">
      <c r="A49" s="21" t="s">
        <v>33</v>
      </c>
      <c r="B49" s="60" t="s">
        <v>102</v>
      </c>
      <c r="C49" s="36">
        <v>0</v>
      </c>
      <c r="D49" s="36" t="s">
        <v>62</v>
      </c>
      <c r="E49" s="36">
        <v>0</v>
      </c>
      <c r="F49" s="60" t="s">
        <v>102</v>
      </c>
      <c r="G49" s="36">
        <v>0</v>
      </c>
      <c r="H49" s="36" t="s">
        <v>62</v>
      </c>
      <c r="I49" s="36">
        <v>0</v>
      </c>
    </row>
    <row r="50" spans="1:9">
      <c r="A50" s="21" t="s">
        <v>34</v>
      </c>
      <c r="B50" s="60">
        <v>0.5</v>
      </c>
      <c r="C50" s="36" t="s">
        <v>63</v>
      </c>
      <c r="D50" s="36">
        <v>0.5</v>
      </c>
      <c r="E50" s="36" t="s">
        <v>63</v>
      </c>
      <c r="F50" s="60">
        <v>0.5</v>
      </c>
      <c r="G50" s="36" t="s">
        <v>63</v>
      </c>
      <c r="H50" s="36">
        <v>0.5</v>
      </c>
      <c r="I50" s="36" t="s">
        <v>63</v>
      </c>
    </row>
    <row r="51" spans="1:9">
      <c r="A51" s="26" t="s">
        <v>47</v>
      </c>
      <c r="B51" s="74" t="s">
        <v>254</v>
      </c>
      <c r="C51" s="74">
        <f t="shared" ref="C51" si="15">C44+C46+C48-C49</f>
        <v>-93.050461590658159</v>
      </c>
      <c r="D51" s="74" t="s">
        <v>254</v>
      </c>
      <c r="E51" s="74">
        <f t="shared" ref="E51:I51" si="16">E44+E46+E48-E49</f>
        <v>-99.195363892780321</v>
      </c>
      <c r="F51" s="74" t="s">
        <v>254</v>
      </c>
      <c r="G51" s="74">
        <f t="shared" si="16"/>
        <v>-93.050461590658159</v>
      </c>
      <c r="H51" s="74" t="s">
        <v>254</v>
      </c>
      <c r="I51" s="74">
        <f t="shared" si="16"/>
        <v>-99.195363892780321</v>
      </c>
    </row>
    <row r="52" spans="1:9">
      <c r="A52" s="26" t="s">
        <v>48</v>
      </c>
      <c r="B52" s="74">
        <f t="shared" ref="B52" si="17">B45+B47+B48-B50</f>
        <v>-96.92929824113456</v>
      </c>
      <c r="C52" s="74" t="s">
        <v>254</v>
      </c>
      <c r="D52" s="74">
        <f t="shared" ref="D52:H52" si="18">D45+D47+D48-D50</f>
        <v>-93.350461590658156</v>
      </c>
      <c r="E52" s="74" t="s">
        <v>254</v>
      </c>
      <c r="F52" s="74">
        <f t="shared" si="18"/>
        <v>-96.829298241134566</v>
      </c>
      <c r="G52" s="74" t="s">
        <v>254</v>
      </c>
      <c r="H52" s="74">
        <f t="shared" si="18"/>
        <v>-93.250461590658162</v>
      </c>
      <c r="I52" s="74" t="s">
        <v>254</v>
      </c>
    </row>
    <row r="53" spans="1:9">
      <c r="A53" s="28" t="s">
        <v>107</v>
      </c>
      <c r="B53" s="74" t="s">
        <v>254</v>
      </c>
      <c r="C53" s="74">
        <f t="shared" ref="C53:I53" si="19">C28+C33+C34-C51</f>
        <v>159.1637611136961</v>
      </c>
      <c r="D53" s="74" t="s">
        <v>254</v>
      </c>
      <c r="E53" s="74">
        <f t="shared" si="19"/>
        <v>144.2468636759794</v>
      </c>
      <c r="F53" s="74" t="s">
        <v>254</v>
      </c>
      <c r="G53" s="74">
        <f t="shared" si="19"/>
        <v>159.1637611136961</v>
      </c>
      <c r="H53" s="74" t="s">
        <v>254</v>
      </c>
      <c r="I53" s="74">
        <f t="shared" si="19"/>
        <v>144.2468636759794</v>
      </c>
    </row>
    <row r="54" spans="1:9">
      <c r="A54" s="28" t="s">
        <v>108</v>
      </c>
      <c r="B54" s="74">
        <f t="shared" ref="B54:H54" si="20">B29+B33+B34-B52</f>
        <v>141.98079802433364</v>
      </c>
      <c r="C54" s="74" t="s">
        <v>254</v>
      </c>
      <c r="D54" s="74">
        <f t="shared" si="20"/>
        <v>159.46376111369608</v>
      </c>
      <c r="E54" s="74" t="s">
        <v>254</v>
      </c>
      <c r="F54" s="74">
        <f t="shared" si="20"/>
        <v>141.88079802433361</v>
      </c>
      <c r="G54" s="74" t="s">
        <v>254</v>
      </c>
      <c r="H54" s="74">
        <f t="shared" si="20"/>
        <v>159.36376111369611</v>
      </c>
      <c r="I54" s="74" t="s">
        <v>254</v>
      </c>
    </row>
    <row r="55" spans="1:9">
      <c r="A55" s="20" t="s">
        <v>35</v>
      </c>
      <c r="B55" s="39"/>
      <c r="C55" s="39"/>
      <c r="D55" s="39"/>
      <c r="E55" s="39"/>
      <c r="F55" s="39"/>
      <c r="G55" s="39"/>
      <c r="H55" s="39"/>
      <c r="I55" s="39"/>
    </row>
    <row r="56" spans="1:9">
      <c r="A56" s="21" t="s">
        <v>36</v>
      </c>
      <c r="B56" s="37">
        <v>6</v>
      </c>
      <c r="C56" s="37">
        <v>6</v>
      </c>
      <c r="D56" s="36">
        <v>6</v>
      </c>
      <c r="E56" s="37">
        <v>6</v>
      </c>
      <c r="F56" s="37">
        <v>6</v>
      </c>
      <c r="G56" s="37">
        <v>6</v>
      </c>
      <c r="H56" s="37">
        <v>6</v>
      </c>
      <c r="I56" s="37">
        <v>6</v>
      </c>
    </row>
    <row r="57" spans="1:9" ht="16.8">
      <c r="A57" s="71" t="s">
        <v>113</v>
      </c>
      <c r="B57" s="37"/>
      <c r="C57" s="37"/>
      <c r="D57" s="36"/>
      <c r="E57" s="37"/>
      <c r="F57" s="37"/>
      <c r="G57" s="37"/>
      <c r="H57" s="37"/>
      <c r="I57" s="37"/>
    </row>
    <row r="58" spans="1:9" ht="27.6">
      <c r="A58" s="21" t="s">
        <v>37</v>
      </c>
      <c r="B58" s="36" t="s">
        <v>94</v>
      </c>
      <c r="C58" s="36">
        <v>8.11</v>
      </c>
      <c r="D58" s="36" t="s">
        <v>94</v>
      </c>
      <c r="E58" s="36">
        <v>8.11</v>
      </c>
      <c r="F58" s="36" t="s">
        <v>94</v>
      </c>
      <c r="G58" s="36">
        <v>7</v>
      </c>
      <c r="H58" s="36" t="s">
        <v>94</v>
      </c>
      <c r="I58" s="36">
        <v>7</v>
      </c>
    </row>
    <row r="59" spans="1:9" ht="27.6">
      <c r="A59" s="21" t="s">
        <v>38</v>
      </c>
      <c r="B59" s="37">
        <v>4.8899999999999997</v>
      </c>
      <c r="C59" s="37" t="s">
        <v>94</v>
      </c>
      <c r="D59" s="37">
        <v>4.8899999999999997</v>
      </c>
      <c r="E59" s="37" t="s">
        <v>94</v>
      </c>
      <c r="F59" s="37">
        <v>4.08</v>
      </c>
      <c r="G59" s="37" t="s">
        <v>94</v>
      </c>
      <c r="H59" s="37">
        <v>4.08</v>
      </c>
      <c r="I59" s="37" t="s">
        <v>94</v>
      </c>
    </row>
    <row r="60" spans="1:9">
      <c r="A60" s="21" t="s">
        <v>39</v>
      </c>
      <c r="B60" s="37">
        <v>0</v>
      </c>
      <c r="C60" s="37">
        <v>0</v>
      </c>
      <c r="D60" s="36">
        <v>0</v>
      </c>
      <c r="E60" s="37">
        <v>0</v>
      </c>
      <c r="F60" s="37">
        <v>0</v>
      </c>
      <c r="G60" s="37">
        <v>0</v>
      </c>
      <c r="H60" s="37">
        <v>0</v>
      </c>
      <c r="I60" s="37">
        <v>0</v>
      </c>
    </row>
    <row r="61" spans="1:9">
      <c r="A61" s="21" t="s">
        <v>40</v>
      </c>
      <c r="B61" s="36">
        <v>9</v>
      </c>
      <c r="C61" s="36">
        <v>9</v>
      </c>
      <c r="D61" s="36">
        <v>9</v>
      </c>
      <c r="E61" s="36">
        <v>9</v>
      </c>
      <c r="F61" s="36">
        <f>20+0.5*12.5</f>
        <v>26.25</v>
      </c>
      <c r="G61" s="36">
        <f>20+0.5*12.5</f>
        <v>26.25</v>
      </c>
      <c r="H61" s="36">
        <f>20+0.5*12.5</f>
        <v>26.25</v>
      </c>
      <c r="I61" s="36">
        <f>20+0.5*12.5</f>
        <v>26.25</v>
      </c>
    </row>
    <row r="62" spans="1:9">
      <c r="A62" s="21" t="s">
        <v>41</v>
      </c>
      <c r="B62" s="37">
        <v>0</v>
      </c>
      <c r="C62" s="37">
        <v>0</v>
      </c>
      <c r="D62" s="36">
        <v>0</v>
      </c>
      <c r="E62" s="37">
        <v>0</v>
      </c>
      <c r="F62" s="37">
        <v>0</v>
      </c>
      <c r="G62" s="37">
        <v>0</v>
      </c>
      <c r="H62" s="37">
        <v>0</v>
      </c>
      <c r="I62" s="37">
        <v>0</v>
      </c>
    </row>
    <row r="63" spans="1:9" ht="27.6">
      <c r="A63" s="26" t="s">
        <v>53</v>
      </c>
      <c r="B63" s="74" t="s">
        <v>254</v>
      </c>
      <c r="C63" s="74">
        <f t="shared" ref="C63" si="21">C53-C58+C60-C61+C62-C35</f>
        <v>141.05376111369611</v>
      </c>
      <c r="D63" s="74" t="s">
        <v>254</v>
      </c>
      <c r="E63" s="74">
        <f t="shared" ref="E63:I63" si="22">E53-E58+E60-E61+E62-E35</f>
        <v>124.13686367597938</v>
      </c>
      <c r="F63" s="74" t="s">
        <v>254</v>
      </c>
      <c r="G63" s="74">
        <f t="shared" si="22"/>
        <v>124.9137611136961</v>
      </c>
      <c r="H63" s="74" t="s">
        <v>254</v>
      </c>
      <c r="I63" s="74">
        <f t="shared" si="22"/>
        <v>107.9968636759794</v>
      </c>
    </row>
    <row r="64" spans="1:9" ht="27.6">
      <c r="A64" s="26" t="s">
        <v>49</v>
      </c>
      <c r="B64" s="74">
        <f t="shared" ref="B64" si="23">B54-B59+B60-B61+B62-B35</f>
        <v>125.09079802433365</v>
      </c>
      <c r="C64" s="74" t="s">
        <v>254</v>
      </c>
      <c r="D64" s="74">
        <f t="shared" ref="D64:H64" si="24">D54-D59+D60-D61+D62-D35</f>
        <v>144.57376111369609</v>
      </c>
      <c r="E64" s="74" t="s">
        <v>254</v>
      </c>
      <c r="F64" s="74">
        <f t="shared" si="24"/>
        <v>108.5507980243336</v>
      </c>
      <c r="G64" s="74" t="s">
        <v>254</v>
      </c>
      <c r="H64" s="74">
        <f t="shared" si="24"/>
        <v>128.0337611136961</v>
      </c>
      <c r="I64" s="74" t="s">
        <v>254</v>
      </c>
    </row>
    <row r="65" spans="1:9">
      <c r="A65" s="20" t="s">
        <v>42</v>
      </c>
      <c r="B65" s="39"/>
      <c r="C65" s="39"/>
      <c r="D65" s="39"/>
      <c r="E65" s="39"/>
      <c r="F65" s="39"/>
      <c r="G65" s="39"/>
      <c r="H65" s="39"/>
      <c r="I65" s="39"/>
    </row>
    <row r="66" spans="1:9" ht="27.6">
      <c r="A66" s="30" t="s">
        <v>43</v>
      </c>
      <c r="B66" s="37" t="s">
        <v>63</v>
      </c>
      <c r="C66" s="37">
        <f>10^((C63-161.04+7.1*LOG10(20)-7.5*LOG10(20)+(24.37-3.7*(20/C6)^2)*LOG10(C6)-20*LOG10(C5)+(3.2*(LOG10(17.625))^2-4.97)+0.6*(C7-1.5))/(43.42-3.1*LOG10(C6))+3)</f>
        <v>2195.3237752600162</v>
      </c>
      <c r="D66" s="37" t="s">
        <v>63</v>
      </c>
      <c r="E66" s="37">
        <f>10^((E63-161.04+7.1*LOG10(20)-7.5*LOG10(20)+(24.37-3.7*(20/E6)^2)*LOG10(E6)-20*LOG10(E5)+(3.2*(LOG10(17.625))^2-4.97)+0.6*(E7-1.5))/(43.42-3.1*LOG10(E6))+3)</f>
        <v>810.38363118131178</v>
      </c>
      <c r="F66" s="37" t="s">
        <v>63</v>
      </c>
      <c r="G66" s="37">
        <f>10^((G63-161.04+7.1*LOG10(20)-7.5*LOG10(20)+(24.37-3.7*(20/G6)^2)*LOG10(G6)-20*LOG10(G5)+(3.2*(LOG10(17.625))^2-4.97)+0.6*(G7-1.5))/(43.42-3.1*LOG10(G6))+3)</f>
        <v>848.33440493117007</v>
      </c>
      <c r="H66" s="37" t="s">
        <v>63</v>
      </c>
      <c r="I66" s="37">
        <f>10^((I63-161.04+7.1*LOG10(20)-7.5*LOG10(20)+(24.37-3.7*(20/I6)^2)*LOG10(I6)-20*LOG10(I5)+(3.2*(LOG10(17.625))^2-4.97)+0.6*(I7-1.5))/(43.42-3.1*LOG10(I6))+3)</f>
        <v>313.15486274580832</v>
      </c>
    </row>
    <row r="67" spans="1:9" ht="27.6">
      <c r="A67" s="30" t="s">
        <v>44</v>
      </c>
      <c r="B67" s="37">
        <f>10^((B64-161.04+7.1*LOG10(20)-7.5*LOG10(20)+(24.37-3.7*(20/B6)^2)*LOG10(B6)-20*LOG10(B5)+(3.2*(LOG10(17.625))^2-4.97)+0.6*(B7-1.5))/(43.42-3.1*LOG10(B6))+3)</f>
        <v>857.22821255359554</v>
      </c>
      <c r="C67" s="37" t="s">
        <v>63</v>
      </c>
      <c r="D67" s="37">
        <f>10^((D64-161.04+7.1*LOG10(20)-7.5*LOG10(20)+(24.37-3.7*(20/D6)^2)*LOG10(D6)-20*LOG10(D5)+(3.2*(LOG10(17.625))^2-4.97)+0.6*(D7-1.5))/(43.42-3.1*LOG10(D6))+3)</f>
        <v>2701.1923601244716</v>
      </c>
      <c r="E67" s="37" t="s">
        <v>63</v>
      </c>
      <c r="F67" s="37">
        <f>10^((F64-161.04+7.1*LOG10(20)-7.5*LOG10(20)+(24.37-3.7*(20/F6)^2)*LOG10(F6)-20*LOG10(F5)+(3.2*(LOG10(17.625))^2-4.97)+0.6*(F7-1.5))/(43.42-3.1*LOG10(F6))+3)</f>
        <v>323.54240788466984</v>
      </c>
      <c r="G67" s="37" t="s">
        <v>63</v>
      </c>
      <c r="H67" s="37">
        <f>10^((H64-161.04+7.1*LOG10(20)-7.5*LOG10(20)+(24.37-3.7*(20/H6)^2)*LOG10(H6)-20*LOG10(H5)+(3.2*(LOG10(17.625))^2-4.97)+0.6*(H7-1.5))/(43.42-3.1*LOG10(H6))+3)</f>
        <v>1019.5071365546163</v>
      </c>
      <c r="I67" s="37" t="s">
        <v>63</v>
      </c>
    </row>
    <row r="68" spans="1:9" ht="16.8">
      <c r="A68" s="30" t="s">
        <v>114</v>
      </c>
      <c r="B68" s="35" t="s">
        <v>62</v>
      </c>
      <c r="C68" s="35">
        <f>PI()*(C66)^2</f>
        <v>15140737.650351092</v>
      </c>
      <c r="D68" s="35" t="s">
        <v>62</v>
      </c>
      <c r="E68" s="35">
        <f>PI()*(E66)^2</f>
        <v>2063151.8472769654</v>
      </c>
      <c r="F68" s="35" t="s">
        <v>62</v>
      </c>
      <c r="G68" s="35">
        <f>PI()*(G66)^2</f>
        <v>2260913.9515521913</v>
      </c>
      <c r="H68" s="35" t="s">
        <v>62</v>
      </c>
      <c r="I68" s="35">
        <f>PI()*(I66)^2</f>
        <v>308083.32482869603</v>
      </c>
    </row>
    <row r="69" spans="1:9" ht="16.8">
      <c r="A69" s="30" t="s">
        <v>115</v>
      </c>
      <c r="B69" s="35">
        <f>PI()*(B67)^2</f>
        <v>2308568.6002650228</v>
      </c>
      <c r="C69" s="35" t="s">
        <v>62</v>
      </c>
      <c r="D69" s="35">
        <f>PI()*(D67)^2</f>
        <v>22922442.824103434</v>
      </c>
      <c r="E69" s="35" t="s">
        <v>62</v>
      </c>
      <c r="F69" s="35">
        <f>PI()*(F67)^2</f>
        <v>328860.94414098246</v>
      </c>
      <c r="G69" s="35" t="s">
        <v>62</v>
      </c>
      <c r="H69" s="35">
        <f>PI()*(H67)^2</f>
        <v>3265355.0725271888</v>
      </c>
      <c r="I69" s="35" t="s">
        <v>62</v>
      </c>
    </row>
    <row r="73" spans="1:9">
      <c r="A73" s="51"/>
      <c r="B73" s="55"/>
      <c r="C73" s="55"/>
      <c r="D73" s="55"/>
      <c r="E73" s="55"/>
      <c r="F73" s="51"/>
      <c r="G73" s="51"/>
      <c r="H73" s="51"/>
      <c r="I73" s="51"/>
    </row>
    <row r="74" spans="1:9">
      <c r="A74" s="51"/>
      <c r="B74" s="52"/>
      <c r="C74" s="52"/>
      <c r="D74" s="52"/>
      <c r="E74" s="52"/>
      <c r="F74" s="53"/>
      <c r="G74" s="53"/>
      <c r="H74" s="53"/>
      <c r="I74" s="53"/>
    </row>
  </sheetData>
  <mergeCells count="4">
    <mergeCell ref="G1:I1"/>
    <mergeCell ref="F2:G2"/>
    <mergeCell ref="C1:E1"/>
    <mergeCell ref="B2:C2"/>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opLeftCell="A7" workbookViewId="0">
      <selection activeCell="D23" sqref="D23"/>
    </sheetView>
  </sheetViews>
  <sheetFormatPr defaultColWidth="9" defaultRowHeight="15.6"/>
  <cols>
    <col min="1" max="16384" width="9" style="2"/>
  </cols>
  <sheetData>
    <row r="1" spans="1:16">
      <c r="A1"/>
      <c r="B1" s="3" t="s">
        <v>259</v>
      </c>
      <c r="C1"/>
      <c r="D1"/>
      <c r="E1"/>
      <c r="F1"/>
      <c r="G1"/>
      <c r="H1"/>
      <c r="I1"/>
      <c r="J1"/>
      <c r="K1"/>
      <c r="L1"/>
      <c r="M1"/>
      <c r="N1"/>
      <c r="O1"/>
      <c r="P1"/>
    </row>
    <row r="2" spans="1:16" ht="16.2" thickBot="1">
      <c r="A2"/>
      <c r="B2" s="4" t="s">
        <v>64</v>
      </c>
      <c r="C2"/>
      <c r="D2"/>
      <c r="E2"/>
      <c r="F2"/>
      <c r="G2"/>
      <c r="H2"/>
      <c r="I2"/>
      <c r="J2"/>
      <c r="K2"/>
      <c r="L2"/>
      <c r="M2"/>
      <c r="N2"/>
      <c r="O2"/>
      <c r="P2"/>
    </row>
    <row r="3" spans="1:16">
      <c r="A3"/>
      <c r="B3" s="151" t="s">
        <v>65</v>
      </c>
      <c r="C3" s="151" t="s">
        <v>66</v>
      </c>
      <c r="D3" s="151" t="s">
        <v>67</v>
      </c>
      <c r="E3" s="151" t="s">
        <v>68</v>
      </c>
      <c r="F3" s="151" t="s">
        <v>69</v>
      </c>
      <c r="G3" s="151" t="s">
        <v>70</v>
      </c>
      <c r="H3" s="151" t="s">
        <v>71</v>
      </c>
      <c r="I3" s="151" t="s">
        <v>72</v>
      </c>
      <c r="J3" s="151" t="s">
        <v>73</v>
      </c>
      <c r="K3" s="151" t="s">
        <v>74</v>
      </c>
      <c r="L3" s="5">
        <v>70</v>
      </c>
      <c r="M3" s="151" t="s">
        <v>75</v>
      </c>
      <c r="N3" s="151" t="s">
        <v>76</v>
      </c>
      <c r="O3" s="151" t="s">
        <v>77</v>
      </c>
      <c r="P3"/>
    </row>
    <row r="4" spans="1:16" ht="16.2" thickBot="1">
      <c r="A4"/>
      <c r="B4" s="155"/>
      <c r="C4" s="152"/>
      <c r="D4" s="152"/>
      <c r="E4" s="152"/>
      <c r="F4" s="152"/>
      <c r="G4" s="152"/>
      <c r="H4" s="152"/>
      <c r="I4" s="152"/>
      <c r="J4" s="152"/>
      <c r="K4" s="152"/>
      <c r="L4" s="6" t="s">
        <v>78</v>
      </c>
      <c r="M4" s="152"/>
      <c r="N4" s="152"/>
      <c r="O4" s="152"/>
      <c r="P4"/>
    </row>
    <row r="5" spans="1:16" ht="16.2" thickBot="1">
      <c r="A5"/>
      <c r="B5" s="152"/>
      <c r="C5" s="7" t="s">
        <v>79</v>
      </c>
      <c r="D5" s="7" t="s">
        <v>79</v>
      </c>
      <c r="E5" s="7" t="s">
        <v>79</v>
      </c>
      <c r="F5" s="7" t="s">
        <v>79</v>
      </c>
      <c r="G5" s="7" t="s">
        <v>79</v>
      </c>
      <c r="H5" s="7" t="s">
        <v>79</v>
      </c>
      <c r="I5" s="7" t="s">
        <v>79</v>
      </c>
      <c r="J5" s="7" t="s">
        <v>79</v>
      </c>
      <c r="K5" s="7" t="s">
        <v>79</v>
      </c>
      <c r="L5" s="7" t="s">
        <v>79</v>
      </c>
      <c r="M5" s="7" t="s">
        <v>79</v>
      </c>
      <c r="N5" s="7" t="s">
        <v>79</v>
      </c>
      <c r="O5" s="7" t="s">
        <v>79</v>
      </c>
      <c r="P5"/>
    </row>
    <row r="6" spans="1:16" ht="16.2" thickBot="1">
      <c r="A6"/>
      <c r="B6" s="8">
        <v>15</v>
      </c>
      <c r="C6" s="9">
        <v>25</v>
      </c>
      <c r="D6" s="9">
        <v>52</v>
      </c>
      <c r="E6" s="9">
        <v>79</v>
      </c>
      <c r="F6" s="9">
        <v>106</v>
      </c>
      <c r="G6" s="9">
        <v>133</v>
      </c>
      <c r="H6" s="9">
        <v>160</v>
      </c>
      <c r="I6" s="9">
        <v>216</v>
      </c>
      <c r="J6" s="9">
        <v>270</v>
      </c>
      <c r="K6" s="9" t="s">
        <v>80</v>
      </c>
      <c r="L6" s="9" t="s">
        <v>81</v>
      </c>
      <c r="M6" s="9" t="s">
        <v>80</v>
      </c>
      <c r="N6" s="9" t="s">
        <v>80</v>
      </c>
      <c r="O6" s="9" t="s">
        <v>80</v>
      </c>
      <c r="P6"/>
    </row>
    <row r="7" spans="1:16" ht="16.2" thickBot="1">
      <c r="A7"/>
      <c r="B7" s="8">
        <v>30</v>
      </c>
      <c r="C7" s="9">
        <v>11</v>
      </c>
      <c r="D7" s="9">
        <v>24</v>
      </c>
      <c r="E7" s="9">
        <v>38</v>
      </c>
      <c r="F7" s="9">
        <v>51</v>
      </c>
      <c r="G7" s="9">
        <v>65</v>
      </c>
      <c r="H7" s="9">
        <v>78</v>
      </c>
      <c r="I7" s="9">
        <v>106</v>
      </c>
      <c r="J7" s="9">
        <v>133</v>
      </c>
      <c r="K7" s="9">
        <v>162</v>
      </c>
      <c r="L7" s="9">
        <v>189</v>
      </c>
      <c r="M7" s="9">
        <v>217</v>
      </c>
      <c r="N7" s="9">
        <v>245</v>
      </c>
      <c r="O7" s="9">
        <v>273</v>
      </c>
      <c r="P7"/>
    </row>
    <row r="8" spans="1:16" ht="16.2" thickBot="1">
      <c r="A8"/>
      <c r="B8" s="8">
        <v>60</v>
      </c>
      <c r="C8" s="9" t="s">
        <v>80</v>
      </c>
      <c r="D8" s="9">
        <v>11</v>
      </c>
      <c r="E8" s="9">
        <v>18</v>
      </c>
      <c r="F8" s="9">
        <v>24</v>
      </c>
      <c r="G8" s="9">
        <v>31</v>
      </c>
      <c r="H8" s="9">
        <v>38</v>
      </c>
      <c r="I8" s="9">
        <v>51</v>
      </c>
      <c r="J8" s="9">
        <v>65</v>
      </c>
      <c r="K8" s="9">
        <v>79</v>
      </c>
      <c r="L8" s="9">
        <v>93</v>
      </c>
      <c r="M8" s="9">
        <v>107</v>
      </c>
      <c r="N8" s="9">
        <v>121</v>
      </c>
      <c r="O8" s="9">
        <v>135</v>
      </c>
      <c r="P8"/>
    </row>
    <row r="9" spans="1:16">
      <c r="A9"/>
      <c r="B9"/>
      <c r="C9"/>
      <c r="D9"/>
      <c r="E9"/>
      <c r="F9"/>
      <c r="G9"/>
      <c r="H9"/>
      <c r="I9"/>
      <c r="J9"/>
      <c r="K9"/>
      <c r="L9"/>
      <c r="M9"/>
      <c r="N9"/>
      <c r="O9"/>
      <c r="P9"/>
    </row>
    <row r="10" spans="1:16" ht="16.2" thickBot="1">
      <c r="A10"/>
      <c r="B10" s="4" t="s">
        <v>82</v>
      </c>
      <c r="C10"/>
      <c r="D10"/>
      <c r="E10"/>
      <c r="F10"/>
      <c r="G10"/>
      <c r="H10"/>
      <c r="I10"/>
      <c r="J10"/>
      <c r="K10"/>
      <c r="L10"/>
      <c r="M10"/>
      <c r="N10"/>
      <c r="O10"/>
      <c r="P10"/>
    </row>
    <row r="11" spans="1:16" ht="16.2" thickBot="1">
      <c r="A11"/>
      <c r="B11" s="153" t="s">
        <v>83</v>
      </c>
      <c r="C11" s="10" t="s">
        <v>84</v>
      </c>
      <c r="D11" s="10" t="s">
        <v>85</v>
      </c>
      <c r="E11" s="10" t="s">
        <v>86</v>
      </c>
      <c r="F11" s="10" t="s">
        <v>87</v>
      </c>
      <c r="G11"/>
      <c r="H11"/>
      <c r="I11"/>
      <c r="J11"/>
      <c r="K11"/>
      <c r="L11"/>
      <c r="M11"/>
      <c r="N11"/>
      <c r="O11"/>
      <c r="P11"/>
    </row>
    <row r="12" spans="1:16" ht="16.2" thickBot="1">
      <c r="A12"/>
      <c r="B12" s="154"/>
      <c r="C12" s="11" t="s">
        <v>79</v>
      </c>
      <c r="D12" s="11" t="s">
        <v>79</v>
      </c>
      <c r="E12" s="11" t="s">
        <v>79</v>
      </c>
      <c r="F12" s="11" t="s">
        <v>79</v>
      </c>
      <c r="G12"/>
      <c r="H12"/>
      <c r="I12"/>
      <c r="J12"/>
      <c r="K12"/>
      <c r="L12"/>
      <c r="M12"/>
      <c r="N12"/>
      <c r="O12"/>
      <c r="P12"/>
    </row>
    <row r="13" spans="1:16" ht="16.2" thickBot="1">
      <c r="A13"/>
      <c r="B13" s="12">
        <v>60</v>
      </c>
      <c r="C13" s="13">
        <v>66</v>
      </c>
      <c r="D13" s="13">
        <v>132</v>
      </c>
      <c r="E13" s="13">
        <v>264</v>
      </c>
      <c r="F13" s="13" t="s">
        <v>81</v>
      </c>
      <c r="G13"/>
      <c r="H13"/>
      <c r="I13"/>
      <c r="J13"/>
      <c r="K13"/>
      <c r="L13"/>
      <c r="M13"/>
      <c r="N13"/>
      <c r="O13"/>
      <c r="P13"/>
    </row>
    <row r="14" spans="1:16" ht="16.2" thickBot="1">
      <c r="A14"/>
      <c r="B14" s="12">
        <v>120</v>
      </c>
      <c r="C14" s="13">
        <v>32</v>
      </c>
      <c r="D14" s="13">
        <v>66</v>
      </c>
      <c r="E14" s="13">
        <v>132</v>
      </c>
      <c r="F14" s="13">
        <v>264</v>
      </c>
      <c r="G14"/>
      <c r="H14"/>
      <c r="I14"/>
      <c r="J14"/>
      <c r="K14"/>
      <c r="L14"/>
      <c r="M14"/>
      <c r="N14"/>
      <c r="O14"/>
      <c r="P14"/>
    </row>
    <row r="15" spans="1:16">
      <c r="A15"/>
      <c r="B15"/>
      <c r="C15"/>
      <c r="D15"/>
      <c r="E15"/>
      <c r="F15"/>
      <c r="G15"/>
      <c r="H15"/>
      <c r="I15"/>
      <c r="J15"/>
      <c r="K15"/>
      <c r="L15"/>
      <c r="M15"/>
      <c r="N15"/>
      <c r="O15"/>
      <c r="P15"/>
    </row>
    <row r="16" spans="1:16">
      <c r="A16"/>
      <c r="B16"/>
      <c r="C16"/>
      <c r="D16"/>
      <c r="E16"/>
      <c r="F16"/>
      <c r="G16"/>
      <c r="H16"/>
      <c r="I16"/>
      <c r="J16"/>
      <c r="K16"/>
      <c r="L16"/>
      <c r="M16"/>
      <c r="N16"/>
      <c r="O16"/>
      <c r="P16"/>
    </row>
    <row r="17" spans="1:16">
      <c r="A17"/>
      <c r="B17"/>
      <c r="C17"/>
      <c r="D17"/>
      <c r="E17"/>
      <c r="F17"/>
      <c r="G17"/>
      <c r="H17"/>
      <c r="I17"/>
      <c r="J17"/>
      <c r="K17"/>
      <c r="L17"/>
      <c r="M17"/>
      <c r="N17"/>
      <c r="O17"/>
      <c r="P17"/>
    </row>
    <row r="18" spans="1:16">
      <c r="B18" s="131" t="s">
        <v>260</v>
      </c>
    </row>
    <row r="19" spans="1:16" ht="16.2" thickBot="1">
      <c r="B19" s="132"/>
    </row>
    <row r="20" spans="1:16">
      <c r="B20" s="148" t="s">
        <v>65</v>
      </c>
      <c r="C20" s="148" t="s">
        <v>66</v>
      </c>
      <c r="D20" s="148" t="s">
        <v>67</v>
      </c>
      <c r="E20" s="148" t="s">
        <v>68</v>
      </c>
      <c r="F20" s="148" t="s">
        <v>69</v>
      </c>
    </row>
    <row r="21" spans="1:16" ht="16.2" thickBot="1">
      <c r="B21" s="149"/>
      <c r="C21" s="150"/>
      <c r="D21" s="150"/>
      <c r="E21" s="150"/>
      <c r="F21" s="150"/>
    </row>
    <row r="22" spans="1:16" ht="16.2" thickBot="1">
      <c r="B22" s="150"/>
      <c r="C22" s="133" t="s">
        <v>79</v>
      </c>
      <c r="D22" s="133" t="s">
        <v>79</v>
      </c>
      <c r="E22" s="133" t="s">
        <v>79</v>
      </c>
      <c r="F22" s="133" t="s">
        <v>79</v>
      </c>
    </row>
    <row r="23" spans="1:16" ht="16.2" thickBot="1">
      <c r="B23" s="134">
        <v>15</v>
      </c>
      <c r="C23" s="135">
        <v>25</v>
      </c>
      <c r="D23" s="135">
        <v>50</v>
      </c>
      <c r="E23" s="135">
        <v>75</v>
      </c>
      <c r="F23" s="135">
        <v>100</v>
      </c>
    </row>
  </sheetData>
  <mergeCells count="19">
    <mergeCell ref="O3:O4"/>
    <mergeCell ref="B11:B12"/>
    <mergeCell ref="H3:H4"/>
    <mergeCell ref="I3:I4"/>
    <mergeCell ref="J3:J4"/>
    <mergeCell ref="K3:K4"/>
    <mergeCell ref="M3:M4"/>
    <mergeCell ref="N3:N4"/>
    <mergeCell ref="B3:B5"/>
    <mergeCell ref="C3:C4"/>
    <mergeCell ref="D3:D4"/>
    <mergeCell ref="E3:E4"/>
    <mergeCell ref="F3:F4"/>
    <mergeCell ref="G3:G4"/>
    <mergeCell ref="B20:B22"/>
    <mergeCell ref="C20:C21"/>
    <mergeCell ref="D20:D21"/>
    <mergeCell ref="E20:E21"/>
    <mergeCell ref="F20:F2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zoomScale="85" zoomScaleNormal="85" workbookViewId="0">
      <pane xSplit="1" ySplit="2" topLeftCell="B39" activePane="bottomRight" state="frozen"/>
      <selection pane="topRight" activeCell="B1" sqref="B1"/>
      <selection pane="bottomLeft" activeCell="A3" sqref="A3"/>
      <selection pane="bottomRight" activeCell="H66" sqref="H66"/>
    </sheetView>
  </sheetViews>
  <sheetFormatPr defaultRowHeight="15.6"/>
  <cols>
    <col min="1" max="1" width="62.09765625" style="31" bestFit="1" customWidth="1"/>
    <col min="2" max="2" width="16" style="33" customWidth="1"/>
    <col min="3" max="3" width="15.59765625" style="33" bestFit="1" customWidth="1"/>
    <col min="4" max="4" width="15.19921875" style="34" customWidth="1"/>
    <col min="5" max="5" width="14.69921875" style="34" customWidth="1"/>
  </cols>
  <sheetData>
    <row r="1" spans="1:5">
      <c r="A1" s="18" t="s">
        <v>0</v>
      </c>
      <c r="B1" s="137" t="s">
        <v>132</v>
      </c>
      <c r="C1" s="138"/>
      <c r="D1" s="137" t="s">
        <v>133</v>
      </c>
      <c r="E1" s="138"/>
    </row>
    <row r="2" spans="1:5" ht="41.4">
      <c r="A2" s="18"/>
      <c r="B2" s="47" t="s">
        <v>184</v>
      </c>
      <c r="C2" s="47" t="s">
        <v>183</v>
      </c>
      <c r="D2" s="47" t="s">
        <v>185</v>
      </c>
      <c r="E2" s="47" t="s">
        <v>186</v>
      </c>
    </row>
    <row r="3" spans="1:5" ht="15" customHeight="1">
      <c r="A3" s="20" t="s">
        <v>1</v>
      </c>
      <c r="B3" s="32"/>
      <c r="C3" s="32"/>
      <c r="D3" s="32"/>
      <c r="E3" s="32"/>
    </row>
    <row r="4" spans="1:5">
      <c r="A4" s="21" t="s">
        <v>2</v>
      </c>
      <c r="B4" s="37">
        <v>4</v>
      </c>
      <c r="C4" s="37">
        <v>4</v>
      </c>
      <c r="D4" s="37">
        <v>4</v>
      </c>
      <c r="E4" s="37">
        <v>4</v>
      </c>
    </row>
    <row r="5" spans="1:5">
      <c r="A5" s="21" t="s">
        <v>3</v>
      </c>
      <c r="B5" s="37">
        <v>3</v>
      </c>
      <c r="C5" s="37">
        <v>3</v>
      </c>
      <c r="D5" s="37">
        <v>3</v>
      </c>
      <c r="E5" s="37">
        <v>3</v>
      </c>
    </row>
    <row r="6" spans="1:5">
      <c r="A6" s="21" t="s">
        <v>4</v>
      </c>
      <c r="B6" s="36">
        <v>1.5</v>
      </c>
      <c r="C6" s="36">
        <v>1.5</v>
      </c>
      <c r="D6" s="36">
        <v>1.5</v>
      </c>
      <c r="E6" s="36">
        <v>1.5</v>
      </c>
    </row>
    <row r="7" spans="1:5" ht="29.4">
      <c r="A7" s="21" t="s">
        <v>109</v>
      </c>
      <c r="B7" s="22" t="s">
        <v>61</v>
      </c>
      <c r="C7" s="23">
        <v>0.95</v>
      </c>
      <c r="D7" s="23" t="s">
        <v>98</v>
      </c>
      <c r="E7" s="23">
        <v>0.95</v>
      </c>
    </row>
    <row r="8" spans="1:5" ht="29.4">
      <c r="A8" s="21" t="s">
        <v>110</v>
      </c>
      <c r="B8" s="22">
        <v>0.9</v>
      </c>
      <c r="C8" s="23" t="s">
        <v>61</v>
      </c>
      <c r="D8" s="23">
        <v>0.9</v>
      </c>
      <c r="E8" s="23" t="s">
        <v>62</v>
      </c>
    </row>
    <row r="9" spans="1:5">
      <c r="A9" s="21" t="s">
        <v>5</v>
      </c>
      <c r="B9" s="36" t="s">
        <v>62</v>
      </c>
      <c r="C9" s="37">
        <f>64/(0.5*0.001)</f>
        <v>128000</v>
      </c>
      <c r="D9" s="37" t="s">
        <v>98</v>
      </c>
      <c r="E9" s="37">
        <f>2/(0.5*0.001)</f>
        <v>4000</v>
      </c>
    </row>
    <row r="10" spans="1:5">
      <c r="A10" s="21" t="s">
        <v>6</v>
      </c>
      <c r="B10" s="36">
        <f>4650676*3</f>
        <v>13952028</v>
      </c>
      <c r="C10" s="37" t="s">
        <v>97</v>
      </c>
      <c r="D10" s="38">
        <f>371520*3</f>
        <v>1114560</v>
      </c>
      <c r="E10" s="37" t="s">
        <v>62</v>
      </c>
    </row>
    <row r="11" spans="1:5">
      <c r="A11" s="21" t="s">
        <v>7</v>
      </c>
      <c r="B11" s="22" t="s">
        <v>63</v>
      </c>
      <c r="C11" s="23">
        <v>0.01</v>
      </c>
      <c r="D11" s="23" t="s">
        <v>98</v>
      </c>
      <c r="E11" s="23">
        <v>0.01</v>
      </c>
    </row>
    <row r="12" spans="1:5">
      <c r="A12" s="21" t="s">
        <v>8</v>
      </c>
      <c r="B12" s="22">
        <v>0.1</v>
      </c>
      <c r="C12" s="23" t="s">
        <v>62</v>
      </c>
      <c r="D12" s="23">
        <v>0.1</v>
      </c>
      <c r="E12" s="23" t="s">
        <v>62</v>
      </c>
    </row>
    <row r="13" spans="1:5">
      <c r="A13" s="21" t="s">
        <v>111</v>
      </c>
      <c r="B13" s="36">
        <f>B10/(B42*(3+11/14)/5)</f>
        <v>1.0036605006782588</v>
      </c>
      <c r="C13" s="37" t="s">
        <v>97</v>
      </c>
      <c r="D13" s="36">
        <f>D10/(D42*(1+3/14)/5)</f>
        <v>1.5935294117647061</v>
      </c>
      <c r="E13" s="37" t="s">
        <v>63</v>
      </c>
    </row>
    <row r="14" spans="1:5">
      <c r="A14" s="21" t="s">
        <v>112</v>
      </c>
      <c r="B14" s="37" t="s">
        <v>92</v>
      </c>
      <c r="C14" s="37" t="s">
        <v>92</v>
      </c>
      <c r="D14" s="37" t="s">
        <v>92</v>
      </c>
      <c r="E14" s="37" t="s">
        <v>92</v>
      </c>
    </row>
    <row r="15" spans="1:5">
      <c r="A15" s="21" t="s">
        <v>116</v>
      </c>
      <c r="B15" s="36">
        <v>3</v>
      </c>
      <c r="C15" s="37">
        <v>3</v>
      </c>
      <c r="D15" s="37">
        <v>3</v>
      </c>
      <c r="E15" s="37">
        <v>3</v>
      </c>
    </row>
    <row r="16" spans="1:5">
      <c r="A16" s="21" t="s">
        <v>9</v>
      </c>
      <c r="B16" s="36">
        <v>3</v>
      </c>
      <c r="C16" s="37">
        <v>3</v>
      </c>
      <c r="D16" s="37">
        <v>3</v>
      </c>
      <c r="E16" s="37">
        <v>3</v>
      </c>
    </row>
    <row r="17" spans="1:5" ht="15" customHeight="1">
      <c r="A17" s="20" t="s">
        <v>10</v>
      </c>
      <c r="B17" s="39"/>
      <c r="C17" s="39"/>
      <c r="D17" s="39"/>
      <c r="E17" s="39"/>
    </row>
    <row r="18" spans="1:5" ht="27.6">
      <c r="A18" s="21" t="s">
        <v>117</v>
      </c>
      <c r="B18" s="36">
        <v>32</v>
      </c>
      <c r="C18" s="37">
        <v>32</v>
      </c>
      <c r="D18" s="37">
        <v>2</v>
      </c>
      <c r="E18" s="37">
        <v>2</v>
      </c>
    </row>
    <row r="19" spans="1:5">
      <c r="A19" s="21" t="s">
        <v>247</v>
      </c>
      <c r="B19" s="36">
        <v>2</v>
      </c>
      <c r="C19" s="37">
        <v>2</v>
      </c>
      <c r="D19" s="37">
        <v>2</v>
      </c>
      <c r="E19" s="37">
        <v>2</v>
      </c>
    </row>
    <row r="20" spans="1:5">
      <c r="A20" s="21" t="s">
        <v>11</v>
      </c>
      <c r="B20" s="36">
        <v>9</v>
      </c>
      <c r="C20" s="37">
        <v>9</v>
      </c>
      <c r="D20" s="37">
        <v>20</v>
      </c>
      <c r="E20" s="37">
        <v>20</v>
      </c>
    </row>
    <row r="21" spans="1:5" ht="27.6">
      <c r="A21" s="24" t="s">
        <v>118</v>
      </c>
      <c r="B21" s="40">
        <f t="shared" ref="B21:E21" si="0">B20+10*LOG10(B18)</f>
        <v>24.051499783199063</v>
      </c>
      <c r="C21" s="40">
        <f t="shared" si="0"/>
        <v>24.051499783199063</v>
      </c>
      <c r="D21" s="40">
        <f t="shared" si="0"/>
        <v>23.010299956639813</v>
      </c>
      <c r="E21" s="40">
        <f t="shared" si="0"/>
        <v>23.010299956639813</v>
      </c>
    </row>
    <row r="22" spans="1:5">
      <c r="A22" s="21" t="s">
        <v>12</v>
      </c>
      <c r="B22" s="36">
        <v>5</v>
      </c>
      <c r="C22" s="37">
        <v>5</v>
      </c>
      <c r="D22" s="37">
        <v>0</v>
      </c>
      <c r="E22" s="37">
        <v>0</v>
      </c>
    </row>
    <row r="23" spans="1:5" ht="41.4">
      <c r="A23" s="25" t="s">
        <v>13</v>
      </c>
      <c r="B23" s="40">
        <f t="shared" ref="B23:E23" si="1">IF(B18&gt;=2, 10*LOG10(B18/2), 0)</f>
        <v>12.041199826559248</v>
      </c>
      <c r="C23" s="40">
        <f t="shared" si="1"/>
        <v>12.041199826559248</v>
      </c>
      <c r="D23" s="40">
        <f t="shared" si="1"/>
        <v>0</v>
      </c>
      <c r="E23" s="40">
        <f t="shared" si="1"/>
        <v>0</v>
      </c>
    </row>
    <row r="24" spans="1:5">
      <c r="A24" s="21" t="s">
        <v>14</v>
      </c>
      <c r="B24" s="36">
        <v>0</v>
      </c>
      <c r="C24" s="36">
        <v>0</v>
      </c>
      <c r="D24" s="37">
        <v>0</v>
      </c>
      <c r="E24" s="37">
        <v>0</v>
      </c>
    </row>
    <row r="25" spans="1:5" ht="15.75" customHeight="1">
      <c r="A25" s="21" t="s">
        <v>15</v>
      </c>
      <c r="B25" s="36">
        <v>0</v>
      </c>
      <c r="C25" s="36">
        <v>0</v>
      </c>
      <c r="D25" s="37">
        <v>0</v>
      </c>
      <c r="E25" s="37">
        <v>0</v>
      </c>
    </row>
    <row r="26" spans="1:5" ht="27.6">
      <c r="A26" s="21" t="s">
        <v>16</v>
      </c>
      <c r="B26" s="36">
        <v>3</v>
      </c>
      <c r="C26" s="36">
        <v>3</v>
      </c>
      <c r="D26" s="37">
        <v>1</v>
      </c>
      <c r="E26" s="37">
        <v>1</v>
      </c>
    </row>
    <row r="27" spans="1:5">
      <c r="A27" s="26" t="s">
        <v>17</v>
      </c>
      <c r="B27" s="41">
        <f t="shared" ref="B27:E27" si="2">B21+B22+B23+B24-B26</f>
        <v>38.092699609758313</v>
      </c>
      <c r="C27" s="41">
        <f t="shared" si="2"/>
        <v>38.092699609758313</v>
      </c>
      <c r="D27" s="41">
        <f>D21+D22+D23+D24-D26</f>
        <v>22.010299956639813</v>
      </c>
      <c r="E27" s="41">
        <f t="shared" si="2"/>
        <v>22.010299956639813</v>
      </c>
    </row>
    <row r="28" spans="1:5">
      <c r="A28" s="26" t="s">
        <v>18</v>
      </c>
      <c r="B28" s="41">
        <f t="shared" ref="B28:E28" si="3">B21+B22+B23-B25-B26</f>
        <v>38.092699609758313</v>
      </c>
      <c r="C28" s="41">
        <f t="shared" si="3"/>
        <v>38.092699609758313</v>
      </c>
      <c r="D28" s="41">
        <f t="shared" si="3"/>
        <v>22.010299956639813</v>
      </c>
      <c r="E28" s="41">
        <f t="shared" si="3"/>
        <v>22.010299956639813</v>
      </c>
    </row>
    <row r="29" spans="1:5">
      <c r="A29" s="20" t="s">
        <v>19</v>
      </c>
      <c r="B29" s="39"/>
      <c r="C29" s="39"/>
      <c r="D29" s="39"/>
      <c r="E29" s="39"/>
    </row>
    <row r="30" spans="1:5" ht="27.6">
      <c r="A30" s="21" t="s">
        <v>119</v>
      </c>
      <c r="B30" s="36">
        <v>4</v>
      </c>
      <c r="C30" s="36">
        <v>4</v>
      </c>
      <c r="D30" s="37">
        <v>32</v>
      </c>
      <c r="E30" s="37">
        <v>32</v>
      </c>
    </row>
    <row r="31" spans="1:5">
      <c r="A31" s="21" t="s">
        <v>248</v>
      </c>
      <c r="B31" s="36">
        <v>2</v>
      </c>
      <c r="C31" s="36">
        <v>2</v>
      </c>
      <c r="D31" s="37">
        <v>2</v>
      </c>
      <c r="E31" s="37">
        <v>2</v>
      </c>
    </row>
    <row r="32" spans="1:5">
      <c r="A32" s="21" t="s">
        <v>20</v>
      </c>
      <c r="B32" s="36">
        <v>0</v>
      </c>
      <c r="C32" s="36">
        <v>0</v>
      </c>
      <c r="D32" s="37">
        <v>5</v>
      </c>
      <c r="E32" s="37">
        <v>5</v>
      </c>
    </row>
    <row r="33" spans="1:5" ht="27.6">
      <c r="A33" s="27" t="s">
        <v>250</v>
      </c>
      <c r="B33" s="42">
        <f t="shared" ref="B33:E33" si="4">IF(B30&gt;=2, 10*LOG10(B30/2), 0)</f>
        <v>3.0102999566398121</v>
      </c>
      <c r="C33" s="42">
        <f t="shared" si="4"/>
        <v>3.0102999566398121</v>
      </c>
      <c r="D33" s="42">
        <f t="shared" si="4"/>
        <v>12.041199826559248</v>
      </c>
      <c r="E33" s="42">
        <f t="shared" si="4"/>
        <v>12.041199826559248</v>
      </c>
    </row>
    <row r="34" spans="1:5" ht="27.6">
      <c r="A34" s="21" t="s">
        <v>21</v>
      </c>
      <c r="B34" s="36">
        <v>1</v>
      </c>
      <c r="C34" s="36">
        <v>1</v>
      </c>
      <c r="D34" s="37">
        <v>3</v>
      </c>
      <c r="E34" s="37">
        <v>3</v>
      </c>
    </row>
    <row r="35" spans="1:5">
      <c r="A35" s="21" t="s">
        <v>22</v>
      </c>
      <c r="B35" s="37">
        <v>7</v>
      </c>
      <c r="C35" s="37">
        <v>7</v>
      </c>
      <c r="D35" s="37">
        <v>5</v>
      </c>
      <c r="E35" s="37">
        <v>5</v>
      </c>
    </row>
    <row r="36" spans="1:5">
      <c r="A36" s="21" t="s">
        <v>23</v>
      </c>
      <c r="B36" s="37">
        <v>-174</v>
      </c>
      <c r="C36" s="37">
        <v>-174</v>
      </c>
      <c r="D36" s="37">
        <v>-174</v>
      </c>
      <c r="E36" s="37">
        <v>-174</v>
      </c>
    </row>
    <row r="37" spans="1:5" ht="27.6">
      <c r="A37" s="21" t="s">
        <v>24</v>
      </c>
      <c r="B37" s="36" t="s">
        <v>62</v>
      </c>
      <c r="C37" s="37">
        <v>-174</v>
      </c>
      <c r="D37" s="37" t="s">
        <v>63</v>
      </c>
      <c r="E37" s="37">
        <v>-174.9</v>
      </c>
    </row>
    <row r="38" spans="1:5">
      <c r="A38" s="21" t="s">
        <v>25</v>
      </c>
      <c r="B38" s="36">
        <v>-174</v>
      </c>
      <c r="C38" s="37" t="s">
        <v>63</v>
      </c>
      <c r="D38" s="37">
        <v>-174.9</v>
      </c>
      <c r="E38" s="37" t="s">
        <v>63</v>
      </c>
    </row>
    <row r="39" spans="1:5" ht="41.4">
      <c r="A39" s="28" t="s">
        <v>45</v>
      </c>
      <c r="B39" s="41" t="s">
        <v>254</v>
      </c>
      <c r="C39" s="41">
        <f t="shared" ref="C39:E39" si="5">10*LOG10(10^((C35+C36)/10)+10^(C37/10))</f>
        <v>-166.20990250347435</v>
      </c>
      <c r="D39" s="41" t="s">
        <v>254</v>
      </c>
      <c r="E39" s="41">
        <f t="shared" si="5"/>
        <v>-168.00651048203736</v>
      </c>
    </row>
    <row r="40" spans="1:5" ht="41.4">
      <c r="A40" s="28" t="s">
        <v>46</v>
      </c>
      <c r="B40" s="41">
        <f t="shared" ref="B40:D40" si="6">10*LOG10(10^((B35+B36)/10)+10^(B38/10))</f>
        <v>-166.20990250347435</v>
      </c>
      <c r="C40" s="41" t="s">
        <v>254</v>
      </c>
      <c r="D40" s="41">
        <f t="shared" si="6"/>
        <v>-168.00651048203736</v>
      </c>
      <c r="E40" s="41" t="s">
        <v>254</v>
      </c>
    </row>
    <row r="41" spans="1:5" ht="27.6">
      <c r="A41" s="21" t="s">
        <v>26</v>
      </c>
      <c r="B41" s="36" t="s">
        <v>62</v>
      </c>
      <c r="C41" s="36">
        <f>MaxN_RB!$F$7*12*30*1000</f>
        <v>18360000</v>
      </c>
      <c r="D41" s="37" t="s">
        <v>63</v>
      </c>
      <c r="E41" s="37">
        <f>1*12*30*1000</f>
        <v>360000</v>
      </c>
    </row>
    <row r="42" spans="1:5" ht="27.6">
      <c r="A42" s="21" t="s">
        <v>27</v>
      </c>
      <c r="B42" s="36">
        <f>MaxN_RB!$F$7*12*30*1000</f>
        <v>18360000</v>
      </c>
      <c r="C42" s="37" t="s">
        <v>96</v>
      </c>
      <c r="D42" s="37">
        <f>8*12*30*1000</f>
        <v>2880000</v>
      </c>
      <c r="E42" s="37" t="s">
        <v>63</v>
      </c>
    </row>
    <row r="43" spans="1:5">
      <c r="A43" s="26" t="s">
        <v>28</v>
      </c>
      <c r="B43" s="41" t="s">
        <v>254</v>
      </c>
      <c r="C43" s="41">
        <f t="shared" ref="C43:E43" si="7">C39+10*LOG10(C41)</f>
        <v>-93.57117573482212</v>
      </c>
      <c r="D43" s="41" t="s">
        <v>254</v>
      </c>
      <c r="E43" s="41">
        <f t="shared" si="7"/>
        <v>-112.44348547436448</v>
      </c>
    </row>
    <row r="44" spans="1:5">
      <c r="A44" s="26" t="s">
        <v>29</v>
      </c>
      <c r="B44" s="41">
        <f t="shared" ref="B44:D44" si="8">B40+10*LOG10(B42)</f>
        <v>-93.57117573482212</v>
      </c>
      <c r="C44" s="41" t="s">
        <v>254</v>
      </c>
      <c r="D44" s="41">
        <f t="shared" si="8"/>
        <v>-103.41258560444506</v>
      </c>
      <c r="E44" s="41" t="s">
        <v>254</v>
      </c>
    </row>
    <row r="45" spans="1:5">
      <c r="A45" s="21" t="s">
        <v>30</v>
      </c>
      <c r="B45" s="36" t="s">
        <v>61</v>
      </c>
      <c r="C45" s="75">
        <v>-7.4</v>
      </c>
      <c r="D45" s="36" t="s">
        <v>61</v>
      </c>
      <c r="E45" s="75">
        <v>-7.6</v>
      </c>
    </row>
    <row r="46" spans="1:5">
      <c r="A46" s="21" t="s">
        <v>31</v>
      </c>
      <c r="B46" s="76">
        <v>5.2</v>
      </c>
      <c r="C46" s="37" t="s">
        <v>61</v>
      </c>
      <c r="D46" s="76">
        <v>11.8</v>
      </c>
      <c r="E46" s="37" t="s">
        <v>61</v>
      </c>
    </row>
    <row r="47" spans="1:5">
      <c r="A47" s="21" t="s">
        <v>32</v>
      </c>
      <c r="B47" s="36">
        <v>2</v>
      </c>
      <c r="C47" s="37">
        <v>2</v>
      </c>
      <c r="D47" s="37">
        <v>2</v>
      </c>
      <c r="E47" s="37">
        <v>2</v>
      </c>
    </row>
    <row r="48" spans="1:5">
      <c r="A48" s="21" t="s">
        <v>33</v>
      </c>
      <c r="B48" s="36" t="s">
        <v>63</v>
      </c>
      <c r="C48" s="37">
        <v>0</v>
      </c>
      <c r="D48" s="37" t="s">
        <v>63</v>
      </c>
      <c r="E48" s="37">
        <v>0</v>
      </c>
    </row>
    <row r="49" spans="1:5">
      <c r="A49" s="21" t="s">
        <v>34</v>
      </c>
      <c r="B49" s="36">
        <v>0.5</v>
      </c>
      <c r="C49" s="37" t="s">
        <v>98</v>
      </c>
      <c r="D49" s="37">
        <v>0.5</v>
      </c>
      <c r="E49" s="37" t="s">
        <v>63</v>
      </c>
    </row>
    <row r="50" spans="1:5" ht="27.6">
      <c r="A50" s="28" t="s">
        <v>47</v>
      </c>
      <c r="B50" s="41" t="s">
        <v>254</v>
      </c>
      <c r="C50" s="41">
        <f t="shared" ref="C50:E50" si="9">C43+C45+C47-C48</f>
        <v>-98.971175734822125</v>
      </c>
      <c r="D50" s="41" t="s">
        <v>254</v>
      </c>
      <c r="E50" s="41">
        <f t="shared" si="9"/>
        <v>-118.04348547436447</v>
      </c>
    </row>
    <row r="51" spans="1:5" ht="27.6">
      <c r="A51" s="28" t="s">
        <v>48</v>
      </c>
      <c r="B51" s="41">
        <f t="shared" ref="B51:D51" si="10">B44+B46+B47-B49</f>
        <v>-86.871175734822117</v>
      </c>
      <c r="C51" s="41" t="s">
        <v>254</v>
      </c>
      <c r="D51" s="41">
        <f t="shared" si="10"/>
        <v>-90.112585604445059</v>
      </c>
      <c r="E51" s="41" t="s">
        <v>254</v>
      </c>
    </row>
    <row r="52" spans="1:5" ht="27.6">
      <c r="A52" s="28" t="s">
        <v>107</v>
      </c>
      <c r="B52" s="41" t="s">
        <v>254</v>
      </c>
      <c r="C52" s="41">
        <f t="shared" ref="C52:E52" si="11">C27+C32+C33-C50</f>
        <v>140.07417530122024</v>
      </c>
      <c r="D52" s="41" t="s">
        <v>254</v>
      </c>
      <c r="E52" s="41">
        <f t="shared" si="11"/>
        <v>157.09498525756354</v>
      </c>
    </row>
    <row r="53" spans="1:5" ht="27.6">
      <c r="A53" s="28" t="s">
        <v>108</v>
      </c>
      <c r="B53" s="41">
        <f t="shared" ref="B53:D53" si="12">B28+B32+B33-B51</f>
        <v>127.97417530122024</v>
      </c>
      <c r="C53" s="41" t="s">
        <v>254</v>
      </c>
      <c r="D53" s="41">
        <f t="shared" si="12"/>
        <v>129.16408538764412</v>
      </c>
      <c r="E53" s="41" t="s">
        <v>254</v>
      </c>
    </row>
    <row r="54" spans="1:5">
      <c r="A54" s="20" t="s">
        <v>35</v>
      </c>
      <c r="B54" s="39"/>
      <c r="C54" s="39"/>
      <c r="D54" s="39"/>
      <c r="E54" s="39"/>
    </row>
    <row r="55" spans="1:5">
      <c r="A55" s="21" t="s">
        <v>36</v>
      </c>
      <c r="B55" s="37">
        <v>4</v>
      </c>
      <c r="C55" s="37">
        <v>4</v>
      </c>
      <c r="D55" s="37">
        <v>4</v>
      </c>
      <c r="E55" s="37">
        <v>4</v>
      </c>
    </row>
    <row r="56" spans="1:5" ht="16.8">
      <c r="A56" s="29" t="s">
        <v>113</v>
      </c>
      <c r="B56" s="37"/>
      <c r="C56" s="37"/>
      <c r="D56" s="37"/>
      <c r="E56" s="37"/>
    </row>
    <row r="57" spans="1:5" ht="27.6">
      <c r="A57" s="21" t="s">
        <v>37</v>
      </c>
      <c r="B57" s="44" t="s">
        <v>94</v>
      </c>
      <c r="C57" s="37">
        <v>2.8</v>
      </c>
      <c r="D57" s="44" t="s">
        <v>94</v>
      </c>
      <c r="E57" s="37">
        <v>2.8</v>
      </c>
    </row>
    <row r="58" spans="1:5" ht="27.6">
      <c r="A58" s="21" t="s">
        <v>38</v>
      </c>
      <c r="B58" s="37">
        <v>0.91</v>
      </c>
      <c r="C58" s="44" t="s">
        <v>94</v>
      </c>
      <c r="D58" s="37">
        <v>0.91</v>
      </c>
      <c r="E58" s="43" t="s">
        <v>94</v>
      </c>
    </row>
    <row r="59" spans="1:5" ht="28.5" customHeight="1">
      <c r="A59" s="21" t="s">
        <v>39</v>
      </c>
      <c r="B59" s="37">
        <v>0</v>
      </c>
      <c r="C59" s="37">
        <v>0</v>
      </c>
      <c r="D59" s="37">
        <v>0</v>
      </c>
      <c r="E59" s="37">
        <v>0</v>
      </c>
    </row>
    <row r="60" spans="1:5">
      <c r="A60" s="21" t="s">
        <v>40</v>
      </c>
      <c r="B60" s="37">
        <v>0</v>
      </c>
      <c r="C60" s="37">
        <v>0</v>
      </c>
      <c r="D60" s="37">
        <v>0</v>
      </c>
      <c r="E60" s="37">
        <v>0</v>
      </c>
    </row>
    <row r="61" spans="1:5">
      <c r="A61" s="21" t="s">
        <v>41</v>
      </c>
      <c r="B61" s="37">
        <v>0</v>
      </c>
      <c r="C61" s="37">
        <v>0</v>
      </c>
      <c r="D61" s="37">
        <v>0</v>
      </c>
      <c r="E61" s="37">
        <v>0</v>
      </c>
    </row>
    <row r="62" spans="1:5" ht="27.6">
      <c r="A62" s="28" t="s">
        <v>53</v>
      </c>
      <c r="B62" s="41" t="s">
        <v>254</v>
      </c>
      <c r="C62" s="41">
        <f t="shared" ref="C62:E62" si="13">C52-C57+C59-C60+C61-C34</f>
        <v>136.27417530122023</v>
      </c>
      <c r="D62" s="41" t="s">
        <v>254</v>
      </c>
      <c r="E62" s="41">
        <f t="shared" si="13"/>
        <v>151.29498525756352</v>
      </c>
    </row>
    <row r="63" spans="1:5" ht="27.6">
      <c r="A63" s="28" t="s">
        <v>49</v>
      </c>
      <c r="B63" s="41">
        <f t="shared" ref="B63:D63" si="14">B53-B58+B59-B60+B61-B34</f>
        <v>126.06417530122025</v>
      </c>
      <c r="C63" s="41" t="s">
        <v>254</v>
      </c>
      <c r="D63" s="41">
        <f t="shared" si="14"/>
        <v>125.25408538764412</v>
      </c>
      <c r="E63" s="41" t="s">
        <v>254</v>
      </c>
    </row>
    <row r="64" spans="1:5">
      <c r="A64" s="20" t="s">
        <v>42</v>
      </c>
      <c r="B64" s="39"/>
      <c r="C64" s="39"/>
      <c r="D64" s="39"/>
      <c r="E64" s="39"/>
    </row>
    <row r="65" spans="1:5" ht="27.6">
      <c r="A65" s="30" t="s">
        <v>43</v>
      </c>
      <c r="B65" s="37" t="s">
        <v>62</v>
      </c>
      <c r="C65" s="37">
        <f>10^((C62-11.5-20*LOG10(C$4))/43.3)</f>
        <v>401.35892138303569</v>
      </c>
      <c r="D65" s="37" t="s">
        <v>62</v>
      </c>
      <c r="E65" s="37">
        <f>10^((E62-11.5-20*LOG10(E$4))/43.3)</f>
        <v>892.14170877754509</v>
      </c>
    </row>
    <row r="66" spans="1:5" ht="27.6">
      <c r="A66" s="30" t="s">
        <v>44</v>
      </c>
      <c r="B66" s="37">
        <f>10^((B63-11.5-20*LOG10(B$4))/43.3)</f>
        <v>233.20408528251804</v>
      </c>
      <c r="C66" s="37" t="s">
        <v>62</v>
      </c>
      <c r="D66" s="37">
        <f>10^((D63-11.5-20*LOG10(D$4))/43.3)</f>
        <v>223.37130431800776</v>
      </c>
      <c r="E66" s="37" t="s">
        <v>62</v>
      </c>
    </row>
    <row r="67" spans="1:5" ht="16.8">
      <c r="A67" s="30" t="s">
        <v>114</v>
      </c>
      <c r="B67" s="37" t="s">
        <v>62</v>
      </c>
      <c r="C67" s="37">
        <f>PI()*(C65)^2</f>
        <v>506075.96799787041</v>
      </c>
      <c r="D67" s="37" t="s">
        <v>62</v>
      </c>
      <c r="E67" s="37">
        <f>PI()*(E65)^2</f>
        <v>2500446.4614113783</v>
      </c>
    </row>
    <row r="68" spans="1:5" ht="16.8">
      <c r="A68" s="30" t="s">
        <v>115</v>
      </c>
      <c r="B68" s="37">
        <f>PI()*(B66)^2</f>
        <v>170852.8316366988</v>
      </c>
      <c r="C68" s="37" t="s">
        <v>62</v>
      </c>
      <c r="D68" s="37">
        <f>PI()*(D66)^2</f>
        <v>156748.94735729016</v>
      </c>
      <c r="E68" s="37" t="s">
        <v>62</v>
      </c>
    </row>
    <row r="72" spans="1:5">
      <c r="D72" s="33"/>
    </row>
    <row r="73" spans="1:5">
      <c r="D73" s="33"/>
    </row>
  </sheetData>
  <mergeCells count="2">
    <mergeCell ref="D1:E1"/>
    <mergeCell ref="B1:C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topLeftCell="A55" zoomScale="85" zoomScaleNormal="85" workbookViewId="0">
      <selection activeCell="E67" sqref="B66:E67"/>
    </sheetView>
  </sheetViews>
  <sheetFormatPr defaultRowHeight="15.6"/>
  <cols>
    <col min="1" max="1" width="62.09765625" style="31" bestFit="1" customWidth="1"/>
    <col min="2" max="2" width="16" style="33" customWidth="1"/>
    <col min="3" max="3" width="15.59765625" style="33" bestFit="1" customWidth="1"/>
    <col min="4" max="4" width="15.19921875" style="34" customWidth="1"/>
    <col min="5" max="5" width="14.69921875" style="34" customWidth="1"/>
  </cols>
  <sheetData>
    <row r="1" spans="1:5">
      <c r="A1" s="18" t="s">
        <v>0</v>
      </c>
      <c r="B1" s="137" t="s">
        <v>211</v>
      </c>
      <c r="C1" s="138"/>
      <c r="D1" s="137" t="s">
        <v>212</v>
      </c>
      <c r="E1" s="138"/>
    </row>
    <row r="2" spans="1:5" ht="27.6">
      <c r="A2" s="18"/>
      <c r="B2" s="107" t="s">
        <v>201</v>
      </c>
      <c r="C2" s="47" t="s">
        <v>202</v>
      </c>
      <c r="D2" s="107" t="s">
        <v>203</v>
      </c>
      <c r="E2" s="107" t="s">
        <v>204</v>
      </c>
    </row>
    <row r="3" spans="1:5">
      <c r="A3" s="20" t="s">
        <v>1</v>
      </c>
      <c r="B3" s="32"/>
      <c r="C3" s="32"/>
      <c r="D3" s="32"/>
      <c r="E3" s="32"/>
    </row>
    <row r="4" spans="1:5">
      <c r="A4" s="21" t="s">
        <v>2</v>
      </c>
      <c r="B4" s="37">
        <v>4</v>
      </c>
      <c r="C4" s="37">
        <v>4</v>
      </c>
      <c r="D4" s="37">
        <v>4</v>
      </c>
      <c r="E4" s="37">
        <v>4</v>
      </c>
    </row>
    <row r="5" spans="1:5">
      <c r="A5" s="21" t="s">
        <v>3</v>
      </c>
      <c r="B5" s="37">
        <v>3</v>
      </c>
      <c r="C5" s="37">
        <v>3</v>
      </c>
      <c r="D5" s="37">
        <v>3</v>
      </c>
      <c r="E5" s="37">
        <v>3</v>
      </c>
    </row>
    <row r="6" spans="1:5">
      <c r="A6" s="21" t="s">
        <v>4</v>
      </c>
      <c r="B6" s="36">
        <v>1.5</v>
      </c>
      <c r="C6" s="36">
        <v>1.5</v>
      </c>
      <c r="D6" s="36">
        <v>1.5</v>
      </c>
      <c r="E6" s="36">
        <v>1.5</v>
      </c>
    </row>
    <row r="7" spans="1:5" ht="29.4">
      <c r="A7" s="21" t="s">
        <v>109</v>
      </c>
      <c r="B7" s="22" t="s">
        <v>205</v>
      </c>
      <c r="C7" s="23">
        <v>0.95</v>
      </c>
      <c r="D7" s="23" t="s">
        <v>205</v>
      </c>
      <c r="E7" s="23">
        <v>0.95</v>
      </c>
    </row>
    <row r="8" spans="1:5" ht="29.4">
      <c r="A8" s="21" t="s">
        <v>110</v>
      </c>
      <c r="B8" s="22">
        <v>0.9</v>
      </c>
      <c r="C8" s="23" t="s">
        <v>205</v>
      </c>
      <c r="D8" s="23">
        <v>0.9</v>
      </c>
      <c r="E8" s="23" t="s">
        <v>205</v>
      </c>
    </row>
    <row r="9" spans="1:5">
      <c r="A9" s="21" t="s">
        <v>5</v>
      </c>
      <c r="B9" s="36" t="s">
        <v>205</v>
      </c>
      <c r="C9" s="37">
        <f>64/(0.001)</f>
        <v>64000</v>
      </c>
      <c r="D9" s="37" t="s">
        <v>205</v>
      </c>
      <c r="E9" s="37">
        <f>2/(0.5*0.001)</f>
        <v>4000</v>
      </c>
    </row>
    <row r="10" spans="1:5">
      <c r="A10" s="21" t="s">
        <v>6</v>
      </c>
      <c r="B10" s="36">
        <f>4650676*3</f>
        <v>13952028</v>
      </c>
      <c r="C10" s="37" t="s">
        <v>205</v>
      </c>
      <c r="D10" s="38">
        <f>371520*3</f>
        <v>1114560</v>
      </c>
      <c r="E10" s="37" t="s">
        <v>205</v>
      </c>
    </row>
    <row r="11" spans="1:5">
      <c r="A11" s="21" t="s">
        <v>7</v>
      </c>
      <c r="B11" s="22" t="s">
        <v>205</v>
      </c>
      <c r="C11" s="23">
        <v>0.01</v>
      </c>
      <c r="D11" s="23" t="s">
        <v>205</v>
      </c>
      <c r="E11" s="23">
        <v>0.01</v>
      </c>
    </row>
    <row r="12" spans="1:5">
      <c r="A12" s="21" t="s">
        <v>8</v>
      </c>
      <c r="B12" s="22">
        <v>0.1</v>
      </c>
      <c r="C12" s="23" t="s">
        <v>205</v>
      </c>
      <c r="D12" s="23">
        <v>0.1</v>
      </c>
      <c r="E12" s="23" t="s">
        <v>205</v>
      </c>
    </row>
    <row r="13" spans="1:5">
      <c r="A13" s="21" t="s">
        <v>111</v>
      </c>
      <c r="B13" s="36">
        <f>B10/(B42*(4+2*11/14+1*1/14)/10)</f>
        <v>1.3466837097708284</v>
      </c>
      <c r="C13" s="37" t="s">
        <v>205</v>
      </c>
      <c r="D13" s="36">
        <f>D10/(D42*(4+2*2/14+1*1/14)/10)</f>
        <v>1.7763934426229511</v>
      </c>
      <c r="E13" s="37" t="s">
        <v>205</v>
      </c>
    </row>
    <row r="14" spans="1:5">
      <c r="A14" s="21" t="s">
        <v>112</v>
      </c>
      <c r="B14" s="37" t="s">
        <v>206</v>
      </c>
      <c r="C14" s="37" t="s">
        <v>206</v>
      </c>
      <c r="D14" s="37" t="s">
        <v>206</v>
      </c>
      <c r="E14" s="37" t="s">
        <v>206</v>
      </c>
    </row>
    <row r="15" spans="1:5">
      <c r="A15" s="21" t="s">
        <v>207</v>
      </c>
      <c r="B15" s="36">
        <v>3</v>
      </c>
      <c r="C15" s="37">
        <v>3</v>
      </c>
      <c r="D15" s="37">
        <v>3</v>
      </c>
      <c r="E15" s="37">
        <v>3</v>
      </c>
    </row>
    <row r="16" spans="1:5">
      <c r="A16" s="21" t="s">
        <v>9</v>
      </c>
      <c r="B16" s="36">
        <v>3</v>
      </c>
      <c r="C16" s="37">
        <v>3</v>
      </c>
      <c r="D16" s="37">
        <v>3</v>
      </c>
      <c r="E16" s="37">
        <v>3</v>
      </c>
    </row>
    <row r="17" spans="1:5">
      <c r="A17" s="20" t="s">
        <v>10</v>
      </c>
      <c r="B17" s="39"/>
      <c r="C17" s="39"/>
      <c r="D17" s="39"/>
      <c r="E17" s="39"/>
    </row>
    <row r="18" spans="1:5" ht="27.6">
      <c r="A18" s="21" t="s">
        <v>208</v>
      </c>
      <c r="B18" s="36">
        <v>32</v>
      </c>
      <c r="C18" s="37">
        <v>32</v>
      </c>
      <c r="D18" s="37">
        <v>2</v>
      </c>
      <c r="E18" s="37">
        <v>2</v>
      </c>
    </row>
    <row r="19" spans="1:5">
      <c r="A19" s="21" t="s">
        <v>245</v>
      </c>
      <c r="B19" s="36">
        <v>2</v>
      </c>
      <c r="C19" s="37">
        <v>2</v>
      </c>
      <c r="D19" s="37">
        <v>2</v>
      </c>
      <c r="E19" s="37">
        <v>2</v>
      </c>
    </row>
    <row r="20" spans="1:5">
      <c r="A20" s="21" t="s">
        <v>11</v>
      </c>
      <c r="B20" s="36">
        <v>9</v>
      </c>
      <c r="C20" s="37">
        <v>9</v>
      </c>
      <c r="D20" s="37">
        <v>20</v>
      </c>
      <c r="E20" s="37">
        <v>20</v>
      </c>
    </row>
    <row r="21" spans="1:5" ht="27.6">
      <c r="A21" s="24" t="s">
        <v>209</v>
      </c>
      <c r="B21" s="40">
        <f t="shared" ref="B21:E21" si="0">B20+10*LOG10(B18)</f>
        <v>24.051499783199063</v>
      </c>
      <c r="C21" s="40">
        <f t="shared" si="0"/>
        <v>24.051499783199063</v>
      </c>
      <c r="D21" s="40">
        <f t="shared" si="0"/>
        <v>23.010299956639813</v>
      </c>
      <c r="E21" s="40">
        <f t="shared" si="0"/>
        <v>23.010299956639813</v>
      </c>
    </row>
    <row r="22" spans="1:5">
      <c r="A22" s="21" t="s">
        <v>12</v>
      </c>
      <c r="B22" s="36">
        <v>5</v>
      </c>
      <c r="C22" s="37">
        <v>5</v>
      </c>
      <c r="D22" s="37">
        <v>0</v>
      </c>
      <c r="E22" s="37">
        <v>0</v>
      </c>
    </row>
    <row r="23" spans="1:5" ht="41.4">
      <c r="A23" s="25" t="s">
        <v>13</v>
      </c>
      <c r="B23" s="40">
        <f>IF(B18&gt;=2, 10*LOG10(B18/2), 0)</f>
        <v>12.041199826559248</v>
      </c>
      <c r="C23" s="40">
        <f t="shared" ref="C23:E23" si="1">IF(C18&gt;=2, 10*LOG10(C18/2), 0)</f>
        <v>12.041199826559248</v>
      </c>
      <c r="D23" s="40">
        <f t="shared" si="1"/>
        <v>0</v>
      </c>
      <c r="E23" s="40">
        <f t="shared" si="1"/>
        <v>0</v>
      </c>
    </row>
    <row r="24" spans="1:5">
      <c r="A24" s="21" t="s">
        <v>14</v>
      </c>
      <c r="B24" s="36">
        <v>0</v>
      </c>
      <c r="C24" s="36">
        <v>0</v>
      </c>
      <c r="D24" s="37">
        <v>0</v>
      </c>
      <c r="E24" s="37">
        <v>0</v>
      </c>
    </row>
    <row r="25" spans="1:5">
      <c r="A25" s="21" t="s">
        <v>15</v>
      </c>
      <c r="B25" s="36">
        <v>0</v>
      </c>
      <c r="C25" s="36">
        <v>0</v>
      </c>
      <c r="D25" s="37">
        <v>0</v>
      </c>
      <c r="E25" s="37">
        <v>0</v>
      </c>
    </row>
    <row r="26" spans="1:5" ht="27.6">
      <c r="A26" s="21" t="s">
        <v>16</v>
      </c>
      <c r="B26" s="36">
        <v>3</v>
      </c>
      <c r="C26" s="36">
        <v>3</v>
      </c>
      <c r="D26" s="36">
        <v>1</v>
      </c>
      <c r="E26" s="36">
        <v>1</v>
      </c>
    </row>
    <row r="27" spans="1:5">
      <c r="A27" s="26" t="s">
        <v>17</v>
      </c>
      <c r="B27" s="41">
        <f t="shared" ref="B27:E27" si="2">B21+B22+B23+B24-B26</f>
        <v>38.092699609758313</v>
      </c>
      <c r="C27" s="41">
        <f t="shared" si="2"/>
        <v>38.092699609758313</v>
      </c>
      <c r="D27" s="41">
        <f>D21+D22+D23+D24-D26</f>
        <v>22.010299956639813</v>
      </c>
      <c r="E27" s="41">
        <f t="shared" si="2"/>
        <v>22.010299956639813</v>
      </c>
    </row>
    <row r="28" spans="1:5">
      <c r="A28" s="26" t="s">
        <v>18</v>
      </c>
      <c r="B28" s="41">
        <f t="shared" ref="B28:E28" si="3">B21+B22+B23-B25-B26</f>
        <v>38.092699609758313</v>
      </c>
      <c r="C28" s="41">
        <f t="shared" si="3"/>
        <v>38.092699609758313</v>
      </c>
      <c r="D28" s="41">
        <f t="shared" si="3"/>
        <v>22.010299956639813</v>
      </c>
      <c r="E28" s="41">
        <f t="shared" si="3"/>
        <v>22.010299956639813</v>
      </c>
    </row>
    <row r="29" spans="1:5">
      <c r="A29" s="20" t="s">
        <v>19</v>
      </c>
      <c r="B29" s="39"/>
      <c r="C29" s="39"/>
      <c r="D29" s="39"/>
      <c r="E29" s="39"/>
    </row>
    <row r="30" spans="1:5" ht="27.6">
      <c r="A30" s="21" t="s">
        <v>154</v>
      </c>
      <c r="B30" s="36">
        <v>4</v>
      </c>
      <c r="C30" s="36">
        <v>4</v>
      </c>
      <c r="D30" s="37">
        <v>32</v>
      </c>
      <c r="E30" s="37">
        <v>32</v>
      </c>
    </row>
    <row r="31" spans="1:5">
      <c r="A31" s="21" t="s">
        <v>246</v>
      </c>
      <c r="B31" s="36">
        <v>2</v>
      </c>
      <c r="C31" s="36">
        <v>2</v>
      </c>
      <c r="D31" s="37">
        <v>2</v>
      </c>
      <c r="E31" s="37">
        <v>2</v>
      </c>
    </row>
    <row r="32" spans="1:5">
      <c r="A32" s="21" t="s">
        <v>20</v>
      </c>
      <c r="B32" s="36">
        <v>0</v>
      </c>
      <c r="C32" s="36">
        <v>0</v>
      </c>
      <c r="D32" s="37">
        <v>5</v>
      </c>
      <c r="E32" s="37">
        <v>5</v>
      </c>
    </row>
    <row r="33" spans="1:6" ht="27.6">
      <c r="A33" s="27" t="s">
        <v>250</v>
      </c>
      <c r="B33" s="42">
        <f t="shared" ref="B33:E33" si="4">IF(B30&gt;=2, 10*LOG10(B30/2), 0)</f>
        <v>3.0102999566398121</v>
      </c>
      <c r="C33" s="42">
        <f t="shared" si="4"/>
        <v>3.0102999566398121</v>
      </c>
      <c r="D33" s="42">
        <f t="shared" si="4"/>
        <v>12.041199826559248</v>
      </c>
      <c r="E33" s="42">
        <f t="shared" si="4"/>
        <v>12.041199826559248</v>
      </c>
    </row>
    <row r="34" spans="1:6" ht="27.6">
      <c r="A34" s="21" t="s">
        <v>255</v>
      </c>
      <c r="B34" s="36">
        <v>1</v>
      </c>
      <c r="C34" s="36">
        <v>1</v>
      </c>
      <c r="D34" s="36">
        <v>3</v>
      </c>
      <c r="E34" s="36">
        <v>3</v>
      </c>
    </row>
    <row r="35" spans="1:6">
      <c r="A35" s="21" t="s">
        <v>22</v>
      </c>
      <c r="B35" s="37">
        <v>7</v>
      </c>
      <c r="C35" s="37">
        <v>7</v>
      </c>
      <c r="D35" s="37">
        <v>5</v>
      </c>
      <c r="E35" s="37">
        <v>5</v>
      </c>
    </row>
    <row r="36" spans="1:6">
      <c r="A36" s="21" t="s">
        <v>23</v>
      </c>
      <c r="B36" s="37">
        <v>-174</v>
      </c>
      <c r="C36" s="37">
        <v>-174</v>
      </c>
      <c r="D36" s="37">
        <v>-174</v>
      </c>
      <c r="E36" s="37">
        <v>-174</v>
      </c>
    </row>
    <row r="37" spans="1:6" ht="27.6">
      <c r="A37" s="21" t="s">
        <v>24</v>
      </c>
      <c r="B37" s="36" t="s">
        <v>205</v>
      </c>
      <c r="C37" s="37">
        <v>-174</v>
      </c>
      <c r="D37" s="37" t="s">
        <v>205</v>
      </c>
      <c r="E37" s="37">
        <v>-174.9</v>
      </c>
    </row>
    <row r="38" spans="1:6">
      <c r="A38" s="21" t="s">
        <v>25</v>
      </c>
      <c r="B38" s="36">
        <v>-174</v>
      </c>
      <c r="C38" s="37" t="s">
        <v>205</v>
      </c>
      <c r="D38" s="37">
        <v>-174.9</v>
      </c>
      <c r="E38" s="37" t="s">
        <v>205</v>
      </c>
    </row>
    <row r="39" spans="1:6" ht="41.4">
      <c r="A39" s="28" t="s">
        <v>45</v>
      </c>
      <c r="B39" s="41" t="s">
        <v>256</v>
      </c>
      <c r="C39" s="41">
        <f t="shared" ref="C39:E39" si="5">10*LOG10(10^((C35+C36)/10)+10^(C37/10))</f>
        <v>-166.20990250347435</v>
      </c>
      <c r="D39" s="41" t="s">
        <v>256</v>
      </c>
      <c r="E39" s="41">
        <f t="shared" si="5"/>
        <v>-168.00651048203736</v>
      </c>
    </row>
    <row r="40" spans="1:6" ht="41.4">
      <c r="A40" s="28" t="s">
        <v>46</v>
      </c>
      <c r="B40" s="41">
        <f t="shared" ref="B40:D40" si="6">10*LOG10(10^((B35+B36)/10)+10^(B38/10))</f>
        <v>-166.20990250347435</v>
      </c>
      <c r="C40" s="41" t="s">
        <v>256</v>
      </c>
      <c r="D40" s="41">
        <f t="shared" si="6"/>
        <v>-168.00651048203736</v>
      </c>
      <c r="E40" s="41" t="s">
        <v>256</v>
      </c>
    </row>
    <row r="41" spans="1:6" ht="27.6">
      <c r="A41" s="21" t="s">
        <v>26</v>
      </c>
      <c r="B41" s="36" t="s">
        <v>205</v>
      </c>
      <c r="C41" s="36">
        <f>'[1]NR MaxN_RB'!F6*12*15*1000</f>
        <v>19080000</v>
      </c>
      <c r="D41" s="37" t="s">
        <v>205</v>
      </c>
      <c r="E41" s="37">
        <f>1*12*30*1000</f>
        <v>360000</v>
      </c>
    </row>
    <row r="42" spans="1:6" ht="27.6">
      <c r="A42" s="21" t="s">
        <v>27</v>
      </c>
      <c r="B42" s="36">
        <f>'[1]NR MaxN_RB'!$F$7*12*30*1000</f>
        <v>18360000</v>
      </c>
      <c r="C42" s="37" t="s">
        <v>205</v>
      </c>
      <c r="D42" s="36">
        <f>4*12*30*1000</f>
        <v>1440000</v>
      </c>
      <c r="E42" s="37" t="s">
        <v>205</v>
      </c>
    </row>
    <row r="43" spans="1:6">
      <c r="A43" s="26" t="s">
        <v>28</v>
      </c>
      <c r="B43" s="41" t="s">
        <v>256</v>
      </c>
      <c r="C43" s="41">
        <f t="shared" ref="C43:E43" si="7">C39+10*LOG10(C41)</f>
        <v>-93.404118799793594</v>
      </c>
      <c r="D43" s="41" t="s">
        <v>256</v>
      </c>
      <c r="E43" s="41">
        <f t="shared" si="7"/>
        <v>-112.44348547436448</v>
      </c>
    </row>
    <row r="44" spans="1:6">
      <c r="A44" s="26" t="s">
        <v>29</v>
      </c>
      <c r="B44" s="41">
        <f>B40+10*LOG10(B42)</f>
        <v>-93.57117573482212</v>
      </c>
      <c r="C44" s="41" t="s">
        <v>256</v>
      </c>
      <c r="D44" s="41">
        <f>D40+10*LOG10(D42)</f>
        <v>-106.42288556108485</v>
      </c>
      <c r="E44" s="41" t="s">
        <v>256</v>
      </c>
    </row>
    <row r="45" spans="1:6">
      <c r="A45" s="21" t="s">
        <v>30</v>
      </c>
      <c r="B45" s="36" t="s">
        <v>205</v>
      </c>
      <c r="C45" s="76">
        <v>-4.8</v>
      </c>
      <c r="D45" s="36" t="s">
        <v>205</v>
      </c>
      <c r="E45" s="76">
        <v>-8</v>
      </c>
      <c r="F45" s="108"/>
    </row>
    <row r="46" spans="1:6">
      <c r="A46" s="21" t="s">
        <v>31</v>
      </c>
      <c r="B46" s="76">
        <v>6.3</v>
      </c>
      <c r="C46" s="36" t="s">
        <v>205</v>
      </c>
      <c r="D46" s="76">
        <v>14.24</v>
      </c>
      <c r="E46" s="36" t="s">
        <v>205</v>
      </c>
      <c r="F46" s="108"/>
    </row>
    <row r="47" spans="1:6">
      <c r="A47" s="21" t="s">
        <v>32</v>
      </c>
      <c r="B47" s="36">
        <v>2</v>
      </c>
      <c r="C47" s="37">
        <v>2</v>
      </c>
      <c r="D47" s="37">
        <v>2</v>
      </c>
      <c r="E47" s="37">
        <v>2</v>
      </c>
    </row>
    <row r="48" spans="1:6">
      <c r="A48" s="21" t="s">
        <v>33</v>
      </c>
      <c r="B48" s="36" t="s">
        <v>205</v>
      </c>
      <c r="C48" s="37">
        <v>0</v>
      </c>
      <c r="D48" s="37" t="s">
        <v>205</v>
      </c>
      <c r="E48" s="37">
        <v>0</v>
      </c>
    </row>
    <row r="49" spans="1:8">
      <c r="A49" s="21" t="s">
        <v>34</v>
      </c>
      <c r="B49" s="36">
        <v>0.5</v>
      </c>
      <c r="C49" s="37" t="s">
        <v>205</v>
      </c>
      <c r="D49" s="37">
        <v>0.5</v>
      </c>
      <c r="E49" s="37" t="s">
        <v>205</v>
      </c>
    </row>
    <row r="50" spans="1:8" ht="27.6">
      <c r="A50" s="28" t="s">
        <v>47</v>
      </c>
      <c r="B50" s="41" t="s">
        <v>256</v>
      </c>
      <c r="C50" s="41">
        <f t="shared" ref="C50:E50" si="8">C43+C45+C47-C48</f>
        <v>-96.204118799793591</v>
      </c>
      <c r="D50" s="41" t="s">
        <v>256</v>
      </c>
      <c r="E50" s="41">
        <f t="shared" si="8"/>
        <v>-118.44348547436448</v>
      </c>
      <c r="H50" s="109"/>
    </row>
    <row r="51" spans="1:8" ht="27.6">
      <c r="A51" s="28" t="s">
        <v>48</v>
      </c>
      <c r="B51" s="41">
        <f t="shared" ref="B51:D51" si="9">B44+B46+B47-B49</f>
        <v>-85.771175734822123</v>
      </c>
      <c r="C51" s="41" t="s">
        <v>256</v>
      </c>
      <c r="D51" s="41">
        <f t="shared" si="9"/>
        <v>-90.682885561084859</v>
      </c>
      <c r="E51" s="41" t="s">
        <v>256</v>
      </c>
    </row>
    <row r="52" spans="1:8" ht="27.6">
      <c r="A52" s="28" t="s">
        <v>107</v>
      </c>
      <c r="B52" s="41" t="s">
        <v>256</v>
      </c>
      <c r="C52" s="41">
        <f t="shared" ref="C52:E52" si="10">C27+C32+C33-C50</f>
        <v>137.30711836619173</v>
      </c>
      <c r="D52" s="41" t="s">
        <v>256</v>
      </c>
      <c r="E52" s="41">
        <f t="shared" si="10"/>
        <v>157.49498525756354</v>
      </c>
    </row>
    <row r="53" spans="1:8" ht="27.6">
      <c r="A53" s="28" t="s">
        <v>108</v>
      </c>
      <c r="B53" s="41">
        <f t="shared" ref="B53:D53" si="11">B28+B32+B33-B51</f>
        <v>126.87417530122025</v>
      </c>
      <c r="C53" s="41" t="s">
        <v>256</v>
      </c>
      <c r="D53" s="41">
        <f t="shared" si="11"/>
        <v>129.73438534428391</v>
      </c>
      <c r="E53" s="41" t="s">
        <v>256</v>
      </c>
    </row>
    <row r="54" spans="1:8">
      <c r="A54" s="20" t="s">
        <v>35</v>
      </c>
      <c r="B54" s="39"/>
      <c r="C54" s="39"/>
      <c r="D54" s="39"/>
      <c r="E54" s="39"/>
    </row>
    <row r="55" spans="1:8">
      <c r="A55" s="21" t="s">
        <v>36</v>
      </c>
      <c r="B55" s="37">
        <v>4</v>
      </c>
      <c r="C55" s="37">
        <v>4</v>
      </c>
      <c r="D55" s="37">
        <v>4</v>
      </c>
      <c r="E55" s="37">
        <v>4</v>
      </c>
    </row>
    <row r="56" spans="1:8" ht="27.6">
      <c r="A56" s="110" t="s">
        <v>37</v>
      </c>
      <c r="B56" s="111" t="s">
        <v>205</v>
      </c>
      <c r="C56" s="36">
        <v>2.8</v>
      </c>
      <c r="D56" s="111" t="s">
        <v>205</v>
      </c>
      <c r="E56" s="36">
        <v>2.8</v>
      </c>
      <c r="F56" s="108"/>
    </row>
    <row r="57" spans="1:8" ht="27.6">
      <c r="A57" s="110" t="s">
        <v>38</v>
      </c>
      <c r="B57" s="36">
        <v>0.91</v>
      </c>
      <c r="C57" s="111" t="s">
        <v>205</v>
      </c>
      <c r="D57" s="36">
        <v>0.91</v>
      </c>
      <c r="E57" s="112" t="s">
        <v>205</v>
      </c>
    </row>
    <row r="58" spans="1:8">
      <c r="A58" s="21" t="s">
        <v>39</v>
      </c>
      <c r="B58" s="37">
        <v>0</v>
      </c>
      <c r="C58" s="37">
        <v>0</v>
      </c>
      <c r="D58" s="37">
        <v>0</v>
      </c>
      <c r="E58" s="37">
        <v>0</v>
      </c>
    </row>
    <row r="59" spans="1:8">
      <c r="A59" s="110" t="s">
        <v>40</v>
      </c>
      <c r="B59" s="36">
        <v>0</v>
      </c>
      <c r="C59" s="36">
        <v>0</v>
      </c>
      <c r="D59" s="36">
        <v>0</v>
      </c>
      <c r="E59" s="36">
        <v>0</v>
      </c>
    </row>
    <row r="60" spans="1:8">
      <c r="A60" s="21" t="s">
        <v>41</v>
      </c>
      <c r="B60" s="37">
        <v>0</v>
      </c>
      <c r="C60" s="37">
        <v>0</v>
      </c>
      <c r="D60" s="37">
        <v>0</v>
      </c>
      <c r="E60" s="37">
        <v>0</v>
      </c>
    </row>
    <row r="61" spans="1:8" ht="27.6">
      <c r="A61" s="28" t="s">
        <v>210</v>
      </c>
      <c r="B61" s="41" t="s">
        <v>256</v>
      </c>
      <c r="C61" s="41">
        <f>C52-C56+C58-C59+C60-C34</f>
        <v>133.50711836619172</v>
      </c>
      <c r="D61" s="41" t="s">
        <v>256</v>
      </c>
      <c r="E61" s="41">
        <f>E52-E56+E58-E59+E60-E34</f>
        <v>151.69498525756353</v>
      </c>
    </row>
    <row r="62" spans="1:8" ht="27.6">
      <c r="A62" s="28" t="s">
        <v>49</v>
      </c>
      <c r="B62" s="41">
        <f>B53-B57+B58-B59+B60-B34</f>
        <v>124.96417530122025</v>
      </c>
      <c r="C62" s="41" t="s">
        <v>256</v>
      </c>
      <c r="D62" s="41">
        <f>D53-D57+D58-D59+D60-D34</f>
        <v>125.82438534428391</v>
      </c>
      <c r="E62" s="41" t="s">
        <v>256</v>
      </c>
    </row>
    <row r="63" spans="1:8">
      <c r="A63" s="20" t="s">
        <v>42</v>
      </c>
      <c r="B63" s="39"/>
      <c r="C63" s="39"/>
      <c r="D63" s="39"/>
      <c r="E63" s="39"/>
    </row>
    <row r="64" spans="1:8" ht="27.6">
      <c r="A64" s="30" t="s">
        <v>43</v>
      </c>
      <c r="B64" s="37" t="s">
        <v>205</v>
      </c>
      <c r="C64" s="37">
        <f>10^((C61-11.5-20*LOG10(C$4))/43.3)</f>
        <v>346.44045769166104</v>
      </c>
      <c r="D64" s="37" t="s">
        <v>205</v>
      </c>
      <c r="E64" s="37">
        <f>10^((E61-11.5-20*LOG10(E$4))/43.3)</f>
        <v>911.32171538329658</v>
      </c>
    </row>
    <row r="65" spans="1:5" ht="27.6">
      <c r="A65" s="30" t="s">
        <v>44</v>
      </c>
      <c r="B65" s="37">
        <f>10^((B62-11.5-20*LOG10(B$4))/43.3)</f>
        <v>219.95406726128317</v>
      </c>
      <c r="C65" s="37" t="s">
        <v>205</v>
      </c>
      <c r="D65" s="37">
        <f>10^((D62-11.5-20*LOG10(D$4))/43.3)</f>
        <v>230.24927949247808</v>
      </c>
      <c r="E65" s="37" t="s">
        <v>205</v>
      </c>
    </row>
    <row r="66" spans="1:5" ht="16.8">
      <c r="A66" s="30" t="s">
        <v>114</v>
      </c>
      <c r="B66" s="37" t="s">
        <v>205</v>
      </c>
      <c r="C66" s="37">
        <f>PI()*(C64)^2</f>
        <v>377057.06274013745</v>
      </c>
      <c r="D66" s="37" t="s">
        <v>205</v>
      </c>
      <c r="E66" s="37">
        <f>PI()*(E64)^2</f>
        <v>2609115.5348207536</v>
      </c>
    </row>
    <row r="67" spans="1:5" ht="16.8">
      <c r="A67" s="30" t="s">
        <v>115</v>
      </c>
      <c r="B67" s="37">
        <f>PI()*(B65)^2</f>
        <v>151989.59820194467</v>
      </c>
      <c r="C67" s="37" t="s">
        <v>205</v>
      </c>
      <c r="D67" s="37">
        <f>PI()*(D65)^2</f>
        <v>166550.68852054072</v>
      </c>
      <c r="E67" s="37" t="s">
        <v>205</v>
      </c>
    </row>
  </sheetData>
  <mergeCells count="2">
    <mergeCell ref="B1:C1"/>
    <mergeCell ref="D1:E1"/>
  </mergeCells>
  <phoneticPr fontId="1" type="noConversion"/>
  <dataValidations count="1">
    <dataValidation type="list" allowBlank="1" showInputMessage="1" showErrorMessage="1" sqref="D34:E34 B26:C26">
      <formula1>"0,3"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85" zoomScaleNormal="85" workbookViewId="0">
      <pane xSplit="1" ySplit="2" topLeftCell="B63" activePane="bottomRight" state="frozen"/>
      <selection pane="topRight" activeCell="B1" sqref="B1"/>
      <selection pane="bottomLeft" activeCell="A3" sqref="A3"/>
      <selection pane="bottomRight" activeCell="A72" sqref="A72"/>
    </sheetView>
  </sheetViews>
  <sheetFormatPr defaultRowHeight="15.6"/>
  <cols>
    <col min="1" max="1" width="62.09765625" style="31" bestFit="1" customWidth="1"/>
    <col min="2" max="2" width="15.3984375" style="44" bestFit="1" customWidth="1"/>
    <col min="3" max="3" width="11.8984375" style="44" bestFit="1" customWidth="1"/>
    <col min="4" max="5" width="11.8984375" style="44" customWidth="1"/>
    <col min="6" max="6" width="11" style="50" bestFit="1" customWidth="1"/>
    <col min="7" max="7" width="15.19921875" style="50" customWidth="1"/>
    <col min="8" max="8" width="15.09765625" style="50" customWidth="1"/>
    <col min="9" max="9" width="15.69921875" style="50" customWidth="1"/>
    <col min="11" max="11" width="20.19921875" bestFit="1" customWidth="1"/>
  </cols>
  <sheetData>
    <row r="1" spans="1:9">
      <c r="A1" s="18" t="s">
        <v>0</v>
      </c>
      <c r="B1" s="139" t="s">
        <v>132</v>
      </c>
      <c r="C1" s="139"/>
      <c r="D1" s="139"/>
      <c r="E1" s="140"/>
      <c r="F1" s="141" t="s">
        <v>133</v>
      </c>
      <c r="G1" s="141"/>
      <c r="H1" s="141"/>
      <c r="I1" s="141"/>
    </row>
    <row r="2" spans="1:9" ht="41.4">
      <c r="A2" s="18"/>
      <c r="B2" s="47" t="s">
        <v>184</v>
      </c>
      <c r="C2" s="47" t="s">
        <v>187</v>
      </c>
      <c r="D2" s="47" t="s">
        <v>188</v>
      </c>
      <c r="E2" s="47" t="s">
        <v>189</v>
      </c>
      <c r="F2" s="47" t="s">
        <v>190</v>
      </c>
      <c r="G2" s="47" t="s">
        <v>191</v>
      </c>
      <c r="H2" s="47" t="s">
        <v>192</v>
      </c>
      <c r="I2" s="47" t="s">
        <v>193</v>
      </c>
    </row>
    <row r="3" spans="1:9" ht="15" customHeight="1">
      <c r="A3" s="20" t="s">
        <v>1</v>
      </c>
      <c r="B3" s="39"/>
      <c r="C3" s="39"/>
      <c r="D3" s="39"/>
      <c r="E3" s="39"/>
      <c r="F3" s="39"/>
      <c r="G3" s="39"/>
      <c r="H3" s="39"/>
      <c r="I3" s="39"/>
    </row>
    <row r="4" spans="1:9">
      <c r="A4" s="21" t="s">
        <v>2</v>
      </c>
      <c r="B4" s="37">
        <v>4</v>
      </c>
      <c r="C4" s="37">
        <v>4</v>
      </c>
      <c r="D4" s="37">
        <v>4</v>
      </c>
      <c r="E4" s="37">
        <v>4</v>
      </c>
      <c r="F4" s="37">
        <v>4</v>
      </c>
      <c r="G4" s="37">
        <v>4</v>
      </c>
      <c r="H4" s="37">
        <v>4</v>
      </c>
      <c r="I4" s="37">
        <v>4</v>
      </c>
    </row>
    <row r="5" spans="1:9">
      <c r="A5" s="21" t="s">
        <v>3</v>
      </c>
      <c r="B5" s="37">
        <v>25</v>
      </c>
      <c r="C5" s="37">
        <v>25</v>
      </c>
      <c r="D5" s="37">
        <v>25</v>
      </c>
      <c r="E5" s="37">
        <v>25</v>
      </c>
      <c r="F5" s="37">
        <v>25</v>
      </c>
      <c r="G5" s="37">
        <v>25</v>
      </c>
      <c r="H5" s="37">
        <v>25</v>
      </c>
      <c r="I5" s="37">
        <v>25</v>
      </c>
    </row>
    <row r="6" spans="1:9">
      <c r="A6" s="21" t="s">
        <v>4</v>
      </c>
      <c r="B6" s="37">
        <v>1.5</v>
      </c>
      <c r="C6" s="37">
        <v>1.5</v>
      </c>
      <c r="D6" s="37">
        <v>1.5</v>
      </c>
      <c r="E6" s="37">
        <v>1.5</v>
      </c>
      <c r="F6" s="37">
        <v>1.5</v>
      </c>
      <c r="G6" s="37">
        <v>1.5</v>
      </c>
      <c r="H6" s="37">
        <v>1.5</v>
      </c>
      <c r="I6" s="37">
        <v>1.5</v>
      </c>
    </row>
    <row r="7" spans="1:9" ht="29.4">
      <c r="A7" s="21" t="s">
        <v>109</v>
      </c>
      <c r="B7" s="22" t="s">
        <v>62</v>
      </c>
      <c r="C7" s="23">
        <v>0.95</v>
      </c>
      <c r="D7" s="22" t="s">
        <v>62</v>
      </c>
      <c r="E7" s="23">
        <v>0.95</v>
      </c>
      <c r="F7" s="23" t="s">
        <v>62</v>
      </c>
      <c r="G7" s="23">
        <v>0.95</v>
      </c>
      <c r="H7" s="23" t="s">
        <v>62</v>
      </c>
      <c r="I7" s="23">
        <v>0.95</v>
      </c>
    </row>
    <row r="8" spans="1:9" ht="29.4">
      <c r="A8" s="21" t="s">
        <v>110</v>
      </c>
      <c r="B8" s="22">
        <v>0.9</v>
      </c>
      <c r="C8" s="23" t="s">
        <v>63</v>
      </c>
      <c r="D8" s="22">
        <v>0.9</v>
      </c>
      <c r="E8" s="23" t="s">
        <v>63</v>
      </c>
      <c r="F8" s="23">
        <v>0.9</v>
      </c>
      <c r="G8" s="23" t="s">
        <v>62</v>
      </c>
      <c r="H8" s="23">
        <v>0.9</v>
      </c>
      <c r="I8" s="23" t="s">
        <v>62</v>
      </c>
    </row>
    <row r="9" spans="1:9">
      <c r="A9" s="21" t="s">
        <v>5</v>
      </c>
      <c r="B9" s="36" t="s">
        <v>63</v>
      </c>
      <c r="C9" s="37">
        <f>64/(0.5*0.001)</f>
        <v>128000</v>
      </c>
      <c r="D9" s="36" t="s">
        <v>63</v>
      </c>
      <c r="E9" s="37">
        <f>64/(0.5*0.001)</f>
        <v>128000</v>
      </c>
      <c r="F9" s="37" t="s">
        <v>62</v>
      </c>
      <c r="G9" s="37">
        <f>2/(0.5*0.001)</f>
        <v>4000</v>
      </c>
      <c r="H9" s="37"/>
      <c r="I9" s="37">
        <f>2/(0.5*0.001)</f>
        <v>4000</v>
      </c>
    </row>
    <row r="10" spans="1:9">
      <c r="A10" s="21" t="s">
        <v>6</v>
      </c>
      <c r="B10" s="36">
        <f>2248233*3</f>
        <v>6744699</v>
      </c>
      <c r="C10" s="37" t="s">
        <v>94</v>
      </c>
      <c r="D10" s="36">
        <f>2248233*3</f>
        <v>6744699</v>
      </c>
      <c r="E10" s="37" t="s">
        <v>94</v>
      </c>
      <c r="F10" s="37">
        <f>74880*3</f>
        <v>224640</v>
      </c>
      <c r="G10" s="37" t="s">
        <v>62</v>
      </c>
      <c r="H10" s="37">
        <f>74880*3</f>
        <v>224640</v>
      </c>
      <c r="I10" s="37" t="s">
        <v>62</v>
      </c>
    </row>
    <row r="11" spans="1:9">
      <c r="A11" s="21" t="s">
        <v>7</v>
      </c>
      <c r="B11" s="22" t="s">
        <v>62</v>
      </c>
      <c r="C11" s="23">
        <v>0.01</v>
      </c>
      <c r="D11" s="22" t="s">
        <v>62</v>
      </c>
      <c r="E11" s="23">
        <v>0.01</v>
      </c>
      <c r="F11" s="23" t="s">
        <v>62</v>
      </c>
      <c r="G11" s="23">
        <v>0.01</v>
      </c>
      <c r="H11" s="23" t="s">
        <v>62</v>
      </c>
      <c r="I11" s="23">
        <v>0.01</v>
      </c>
    </row>
    <row r="12" spans="1:9">
      <c r="A12" s="21" t="s">
        <v>8</v>
      </c>
      <c r="B12" s="22">
        <v>0.1</v>
      </c>
      <c r="C12" s="23" t="s">
        <v>62</v>
      </c>
      <c r="D12" s="22">
        <v>0.1</v>
      </c>
      <c r="E12" s="23" t="s">
        <v>62</v>
      </c>
      <c r="F12" s="23">
        <v>0.1</v>
      </c>
      <c r="G12" s="23" t="s">
        <v>62</v>
      </c>
      <c r="H12" s="23">
        <v>0.1</v>
      </c>
      <c r="I12" s="23" t="s">
        <v>62</v>
      </c>
    </row>
    <row r="13" spans="1:9">
      <c r="A13" s="21" t="s">
        <v>111</v>
      </c>
      <c r="B13" s="36">
        <f>B10/(B42*(3+11/14)/5)</f>
        <v>0.48519025157232709</v>
      </c>
      <c r="C13" s="36" t="s">
        <v>95</v>
      </c>
      <c r="D13" s="36">
        <f>D10/(D42*(3+11/14)/5)</f>
        <v>0.48519025157232709</v>
      </c>
      <c r="E13" s="36" t="s">
        <v>95</v>
      </c>
      <c r="F13" s="36">
        <f>F10/(F42*(1+3/14)/5)</f>
        <v>0.64235294117647068</v>
      </c>
      <c r="G13" s="37" t="s">
        <v>63</v>
      </c>
      <c r="H13" s="36">
        <f>H10/(H42*(1+3/14)/5)</f>
        <v>0.64235294117647068</v>
      </c>
      <c r="I13" s="37" t="s">
        <v>63</v>
      </c>
    </row>
    <row r="14" spans="1:9">
      <c r="A14" s="21" t="s">
        <v>112</v>
      </c>
      <c r="B14" s="36" t="s">
        <v>92</v>
      </c>
      <c r="C14" s="36" t="s">
        <v>92</v>
      </c>
      <c r="D14" s="36" t="s">
        <v>93</v>
      </c>
      <c r="E14" s="36" t="s">
        <v>93</v>
      </c>
      <c r="F14" s="36" t="s">
        <v>92</v>
      </c>
      <c r="G14" s="36" t="s">
        <v>92</v>
      </c>
      <c r="H14" s="36" t="s">
        <v>93</v>
      </c>
      <c r="I14" s="36" t="s">
        <v>93</v>
      </c>
    </row>
    <row r="15" spans="1:9">
      <c r="A15" s="21" t="s">
        <v>91</v>
      </c>
      <c r="B15" s="36">
        <v>30</v>
      </c>
      <c r="C15" s="37">
        <v>30</v>
      </c>
      <c r="D15" s="36">
        <v>3</v>
      </c>
      <c r="E15" s="37">
        <v>3</v>
      </c>
      <c r="F15" s="37">
        <v>30</v>
      </c>
      <c r="G15" s="37">
        <v>30</v>
      </c>
      <c r="H15" s="37">
        <v>3</v>
      </c>
      <c r="I15" s="37">
        <v>3</v>
      </c>
    </row>
    <row r="16" spans="1:9">
      <c r="A16" s="21" t="s">
        <v>9</v>
      </c>
      <c r="B16" s="36">
        <v>3</v>
      </c>
      <c r="C16" s="37">
        <v>3</v>
      </c>
      <c r="D16" s="36">
        <v>3</v>
      </c>
      <c r="E16" s="37">
        <v>3</v>
      </c>
      <c r="F16" s="37">
        <v>3</v>
      </c>
      <c r="G16" s="37">
        <v>3</v>
      </c>
      <c r="H16" s="37">
        <v>3</v>
      </c>
      <c r="I16" s="37">
        <v>3</v>
      </c>
    </row>
    <row r="17" spans="1:9" ht="15" customHeight="1">
      <c r="A17" s="20" t="s">
        <v>10</v>
      </c>
      <c r="B17" s="39"/>
      <c r="C17" s="39"/>
      <c r="D17" s="39"/>
      <c r="E17" s="39"/>
      <c r="F17" s="39"/>
      <c r="G17" s="39"/>
      <c r="H17" s="39"/>
      <c r="I17" s="39"/>
    </row>
    <row r="18" spans="1:9" ht="27.6">
      <c r="A18" s="21" t="s">
        <v>89</v>
      </c>
      <c r="B18" s="36">
        <v>128</v>
      </c>
      <c r="C18" s="37">
        <v>128</v>
      </c>
      <c r="D18" s="36">
        <v>128</v>
      </c>
      <c r="E18" s="37">
        <v>128</v>
      </c>
      <c r="F18" s="37">
        <v>2</v>
      </c>
      <c r="G18" s="37">
        <v>2</v>
      </c>
      <c r="H18" s="37">
        <v>2</v>
      </c>
      <c r="I18" s="37">
        <v>2</v>
      </c>
    </row>
    <row r="19" spans="1:9">
      <c r="A19" s="21" t="s">
        <v>247</v>
      </c>
      <c r="B19" s="36">
        <v>2</v>
      </c>
      <c r="C19" s="37">
        <v>2</v>
      </c>
      <c r="D19" s="36">
        <v>2</v>
      </c>
      <c r="E19" s="37">
        <v>2</v>
      </c>
      <c r="F19" s="36">
        <v>2</v>
      </c>
      <c r="G19" s="37">
        <v>2</v>
      </c>
      <c r="H19" s="36">
        <v>2</v>
      </c>
      <c r="I19" s="37">
        <v>2</v>
      </c>
    </row>
    <row r="20" spans="1:9">
      <c r="A20" s="21" t="s">
        <v>11</v>
      </c>
      <c r="B20" s="36">
        <v>23</v>
      </c>
      <c r="C20" s="37">
        <v>23</v>
      </c>
      <c r="D20" s="36">
        <v>23</v>
      </c>
      <c r="E20" s="37">
        <v>23</v>
      </c>
      <c r="F20" s="37">
        <v>20</v>
      </c>
      <c r="G20" s="37">
        <v>20</v>
      </c>
      <c r="H20" s="37">
        <v>20</v>
      </c>
      <c r="I20" s="37">
        <v>20</v>
      </c>
    </row>
    <row r="21" spans="1:9" ht="27.6">
      <c r="A21" s="48" t="s">
        <v>90</v>
      </c>
      <c r="B21" s="42">
        <f t="shared" ref="B21:I21" si="0">B20+10*LOG10(B18)</f>
        <v>44.072099696478688</v>
      </c>
      <c r="C21" s="42">
        <f t="shared" si="0"/>
        <v>44.072099696478688</v>
      </c>
      <c r="D21" s="42">
        <f t="shared" si="0"/>
        <v>44.072099696478688</v>
      </c>
      <c r="E21" s="42">
        <f t="shared" si="0"/>
        <v>44.072099696478688</v>
      </c>
      <c r="F21" s="42">
        <f t="shared" si="0"/>
        <v>23.010299956639813</v>
      </c>
      <c r="G21" s="42">
        <f t="shared" si="0"/>
        <v>23.010299956639813</v>
      </c>
      <c r="H21" s="42">
        <f t="shared" si="0"/>
        <v>23.010299956639813</v>
      </c>
      <c r="I21" s="42">
        <f t="shared" si="0"/>
        <v>23.010299956639813</v>
      </c>
    </row>
    <row r="22" spans="1:9">
      <c r="A22" s="21" t="s">
        <v>12</v>
      </c>
      <c r="B22" s="36">
        <v>8</v>
      </c>
      <c r="C22" s="37">
        <v>8</v>
      </c>
      <c r="D22" s="36">
        <v>8</v>
      </c>
      <c r="E22" s="37">
        <v>8</v>
      </c>
      <c r="F22" s="37">
        <v>0</v>
      </c>
      <c r="G22" s="37">
        <v>0</v>
      </c>
      <c r="H22" s="37">
        <v>0</v>
      </c>
      <c r="I22" s="37">
        <v>0</v>
      </c>
    </row>
    <row r="23" spans="1:9" ht="41.4">
      <c r="A23" s="49" t="s">
        <v>13</v>
      </c>
      <c r="B23" s="42">
        <f t="shared" ref="B23:I23" si="1">IF(B18&gt;=2, 10*LOG10(B18/2), 0)</f>
        <v>18.061799739838872</v>
      </c>
      <c r="C23" s="42">
        <f t="shared" si="1"/>
        <v>18.061799739838872</v>
      </c>
      <c r="D23" s="42">
        <f t="shared" si="1"/>
        <v>18.061799739838872</v>
      </c>
      <c r="E23" s="42">
        <f t="shared" si="1"/>
        <v>18.061799739838872</v>
      </c>
      <c r="F23" s="42">
        <f t="shared" si="1"/>
        <v>0</v>
      </c>
      <c r="G23" s="42">
        <f t="shared" si="1"/>
        <v>0</v>
      </c>
      <c r="H23" s="42">
        <f t="shared" si="1"/>
        <v>0</v>
      </c>
      <c r="I23" s="42">
        <f t="shared" si="1"/>
        <v>0</v>
      </c>
    </row>
    <row r="24" spans="1:9">
      <c r="A24" s="21" t="s">
        <v>14</v>
      </c>
      <c r="B24" s="36">
        <v>0</v>
      </c>
      <c r="C24" s="37">
        <v>0</v>
      </c>
      <c r="D24" s="36">
        <v>0</v>
      </c>
      <c r="E24" s="37">
        <v>0</v>
      </c>
      <c r="F24" s="37">
        <v>0</v>
      </c>
      <c r="G24" s="37">
        <v>0</v>
      </c>
      <c r="H24" s="37">
        <v>0</v>
      </c>
      <c r="I24" s="37">
        <v>0</v>
      </c>
    </row>
    <row r="25" spans="1:9" ht="15.75" customHeight="1">
      <c r="A25" s="21" t="s">
        <v>15</v>
      </c>
      <c r="B25" s="36">
        <v>0</v>
      </c>
      <c r="C25" s="37">
        <v>0</v>
      </c>
      <c r="D25" s="36">
        <v>0</v>
      </c>
      <c r="E25" s="37">
        <v>0</v>
      </c>
      <c r="F25" s="37">
        <v>0</v>
      </c>
      <c r="G25" s="37">
        <v>0</v>
      </c>
      <c r="H25" s="37">
        <v>0</v>
      </c>
      <c r="I25" s="37">
        <v>0</v>
      </c>
    </row>
    <row r="26" spans="1:9" ht="27.6">
      <c r="A26" s="21" t="s">
        <v>16</v>
      </c>
      <c r="B26" s="36">
        <v>3</v>
      </c>
      <c r="C26" s="37">
        <v>3</v>
      </c>
      <c r="D26" s="36">
        <v>3</v>
      </c>
      <c r="E26" s="37">
        <v>3</v>
      </c>
      <c r="F26" s="37">
        <v>1</v>
      </c>
      <c r="G26" s="37">
        <v>1</v>
      </c>
      <c r="H26" s="37">
        <v>1</v>
      </c>
      <c r="I26" s="37">
        <v>1</v>
      </c>
    </row>
    <row r="27" spans="1:9">
      <c r="A27" s="26" t="s">
        <v>17</v>
      </c>
      <c r="B27" s="41">
        <f t="shared" ref="B27:I27" si="2">B21+B22+B23+B24-B26</f>
        <v>67.133899436317563</v>
      </c>
      <c r="C27" s="41">
        <f t="shared" si="2"/>
        <v>67.133899436317563</v>
      </c>
      <c r="D27" s="41">
        <f t="shared" si="2"/>
        <v>67.133899436317563</v>
      </c>
      <c r="E27" s="41">
        <f t="shared" si="2"/>
        <v>67.133899436317563</v>
      </c>
      <c r="F27" s="41">
        <f t="shared" si="2"/>
        <v>22.010299956639813</v>
      </c>
      <c r="G27" s="41">
        <f t="shared" si="2"/>
        <v>22.010299956639813</v>
      </c>
      <c r="H27" s="41">
        <f t="shared" si="2"/>
        <v>22.010299956639813</v>
      </c>
      <c r="I27" s="41">
        <f t="shared" si="2"/>
        <v>22.010299956639813</v>
      </c>
    </row>
    <row r="28" spans="1:9">
      <c r="A28" s="26" t="s">
        <v>18</v>
      </c>
      <c r="B28" s="41">
        <f t="shared" ref="B28:I28" si="3">B21+B22+B23-B25-B26</f>
        <v>67.133899436317563</v>
      </c>
      <c r="C28" s="41">
        <f t="shared" si="3"/>
        <v>67.133899436317563</v>
      </c>
      <c r="D28" s="41">
        <f t="shared" si="3"/>
        <v>67.133899436317563</v>
      </c>
      <c r="E28" s="41">
        <f t="shared" si="3"/>
        <v>67.133899436317563</v>
      </c>
      <c r="F28" s="41">
        <f t="shared" si="3"/>
        <v>22.010299956639813</v>
      </c>
      <c r="G28" s="41">
        <f t="shared" si="3"/>
        <v>22.010299956639813</v>
      </c>
      <c r="H28" s="41">
        <f t="shared" si="3"/>
        <v>22.010299956639813</v>
      </c>
      <c r="I28" s="41">
        <f t="shared" si="3"/>
        <v>22.010299956639813</v>
      </c>
    </row>
    <row r="29" spans="1:9">
      <c r="A29" s="20" t="s">
        <v>19</v>
      </c>
      <c r="B29" s="39"/>
      <c r="C29" s="39"/>
      <c r="D29" s="39"/>
      <c r="E29" s="39"/>
      <c r="F29" s="39"/>
      <c r="G29" s="39"/>
      <c r="H29" s="39"/>
      <c r="I29" s="39"/>
    </row>
    <row r="30" spans="1:9" ht="27.6">
      <c r="A30" s="21" t="s">
        <v>88</v>
      </c>
      <c r="B30" s="36">
        <v>4</v>
      </c>
      <c r="C30" s="37">
        <v>4</v>
      </c>
      <c r="D30" s="36">
        <v>4</v>
      </c>
      <c r="E30" s="37">
        <v>4</v>
      </c>
      <c r="F30" s="37">
        <v>128</v>
      </c>
      <c r="G30" s="37">
        <v>128</v>
      </c>
      <c r="H30" s="37">
        <v>128</v>
      </c>
      <c r="I30" s="37">
        <v>128</v>
      </c>
    </row>
    <row r="31" spans="1:9">
      <c r="A31" s="21" t="s">
        <v>248</v>
      </c>
      <c r="B31" s="36">
        <v>2</v>
      </c>
      <c r="C31" s="37">
        <v>2</v>
      </c>
      <c r="D31" s="36">
        <v>2</v>
      </c>
      <c r="E31" s="37">
        <v>2</v>
      </c>
      <c r="F31" s="37">
        <v>2</v>
      </c>
      <c r="G31" s="37">
        <v>2</v>
      </c>
      <c r="H31" s="37">
        <v>2</v>
      </c>
      <c r="I31" s="37">
        <v>2</v>
      </c>
    </row>
    <row r="32" spans="1:9">
      <c r="A32" s="21" t="s">
        <v>20</v>
      </c>
      <c r="B32" s="36">
        <v>0</v>
      </c>
      <c r="C32" s="37">
        <v>0</v>
      </c>
      <c r="D32" s="36">
        <v>0</v>
      </c>
      <c r="E32" s="37">
        <v>0</v>
      </c>
      <c r="F32" s="37">
        <v>8</v>
      </c>
      <c r="G32" s="37">
        <v>8</v>
      </c>
      <c r="H32" s="37">
        <v>8</v>
      </c>
      <c r="I32" s="37">
        <v>8</v>
      </c>
    </row>
    <row r="33" spans="1:9" ht="27.6">
      <c r="A33" s="27" t="s">
        <v>249</v>
      </c>
      <c r="B33" s="42">
        <f t="shared" ref="B33:I33" si="4">IF(B30&gt;=2, 10*LOG10(B30/2), 0)</f>
        <v>3.0102999566398121</v>
      </c>
      <c r="C33" s="42">
        <f t="shared" si="4"/>
        <v>3.0102999566398121</v>
      </c>
      <c r="D33" s="42">
        <f t="shared" si="4"/>
        <v>3.0102999566398121</v>
      </c>
      <c r="E33" s="42">
        <f t="shared" si="4"/>
        <v>3.0102999566398121</v>
      </c>
      <c r="F33" s="42">
        <f t="shared" si="4"/>
        <v>18.061799739838872</v>
      </c>
      <c r="G33" s="42">
        <f t="shared" si="4"/>
        <v>18.061799739838872</v>
      </c>
      <c r="H33" s="42">
        <f t="shared" si="4"/>
        <v>18.061799739838872</v>
      </c>
      <c r="I33" s="42">
        <f t="shared" si="4"/>
        <v>18.061799739838872</v>
      </c>
    </row>
    <row r="34" spans="1:9" ht="27.6">
      <c r="A34" s="21" t="s">
        <v>21</v>
      </c>
      <c r="B34" s="36">
        <v>1</v>
      </c>
      <c r="C34" s="37">
        <v>1</v>
      </c>
      <c r="D34" s="36">
        <v>1</v>
      </c>
      <c r="E34" s="37">
        <v>1</v>
      </c>
      <c r="F34" s="37">
        <v>3</v>
      </c>
      <c r="G34" s="37">
        <v>3</v>
      </c>
      <c r="H34" s="37">
        <v>3</v>
      </c>
      <c r="I34" s="37">
        <v>3</v>
      </c>
    </row>
    <row r="35" spans="1:9">
      <c r="A35" s="21" t="s">
        <v>22</v>
      </c>
      <c r="B35" s="37">
        <v>7</v>
      </c>
      <c r="C35" s="37">
        <v>7</v>
      </c>
      <c r="D35" s="37">
        <v>7</v>
      </c>
      <c r="E35" s="37">
        <v>7</v>
      </c>
      <c r="F35" s="37">
        <v>5</v>
      </c>
      <c r="G35" s="37">
        <v>5</v>
      </c>
      <c r="H35" s="37">
        <v>5</v>
      </c>
      <c r="I35" s="37">
        <v>5</v>
      </c>
    </row>
    <row r="36" spans="1:9">
      <c r="A36" s="21" t="s">
        <v>23</v>
      </c>
      <c r="B36" s="37">
        <v>-174</v>
      </c>
      <c r="C36" s="37">
        <v>-174</v>
      </c>
      <c r="D36" s="37">
        <v>-174</v>
      </c>
      <c r="E36" s="37">
        <v>-174</v>
      </c>
      <c r="F36" s="36">
        <v>-174</v>
      </c>
      <c r="G36" s="37">
        <v>-174</v>
      </c>
      <c r="H36" s="36">
        <v>-174</v>
      </c>
      <c r="I36" s="37">
        <v>-174</v>
      </c>
    </row>
    <row r="37" spans="1:9" ht="27.6">
      <c r="A37" s="21" t="s">
        <v>24</v>
      </c>
      <c r="B37" s="36" t="s">
        <v>62</v>
      </c>
      <c r="C37" s="37">
        <v>-169.3</v>
      </c>
      <c r="D37" s="36" t="s">
        <v>62</v>
      </c>
      <c r="E37" s="37">
        <v>-169.3</v>
      </c>
      <c r="F37" s="37" t="s">
        <v>63</v>
      </c>
      <c r="G37" s="37">
        <v>-161.69999999999999</v>
      </c>
      <c r="H37" s="37" t="s">
        <v>63</v>
      </c>
      <c r="I37" s="37">
        <v>-161.69999999999999</v>
      </c>
    </row>
    <row r="38" spans="1:9">
      <c r="A38" s="21" t="s">
        <v>25</v>
      </c>
      <c r="B38" s="36">
        <v>-169.3</v>
      </c>
      <c r="C38" s="37" t="s">
        <v>62</v>
      </c>
      <c r="D38" s="36">
        <v>-169.3</v>
      </c>
      <c r="E38" s="37" t="s">
        <v>62</v>
      </c>
      <c r="F38" s="37">
        <v>-165.7</v>
      </c>
      <c r="G38" s="37" t="s">
        <v>63</v>
      </c>
      <c r="H38" s="37">
        <v>-165.7</v>
      </c>
      <c r="I38" s="37" t="s">
        <v>63</v>
      </c>
    </row>
    <row r="39" spans="1:9" ht="41.4">
      <c r="A39" s="28" t="s">
        <v>45</v>
      </c>
      <c r="B39" s="41" t="s">
        <v>254</v>
      </c>
      <c r="C39" s="41">
        <f t="shared" ref="C39:I39" si="5">10*LOG10(10^((C35+C36)/10)+10^(C37/10))</f>
        <v>-164.98918835931039</v>
      </c>
      <c r="D39" s="41" t="s">
        <v>254</v>
      </c>
      <c r="E39" s="41">
        <f t="shared" si="5"/>
        <v>-164.98918835931039</v>
      </c>
      <c r="F39" s="41" t="s">
        <v>254</v>
      </c>
      <c r="G39" s="41">
        <f t="shared" si="5"/>
        <v>-160.9583889004532</v>
      </c>
      <c r="H39" s="41" t="s">
        <v>254</v>
      </c>
      <c r="I39" s="41">
        <f t="shared" si="5"/>
        <v>-160.9583889004532</v>
      </c>
    </row>
    <row r="40" spans="1:9" ht="41.4">
      <c r="A40" s="28" t="s">
        <v>46</v>
      </c>
      <c r="B40" s="41">
        <f t="shared" ref="B40:H40" si="6">10*LOG10(10^((B35+B36)/10)+10^(B38/10))</f>
        <v>-164.98918835931039</v>
      </c>
      <c r="C40" s="41" t="s">
        <v>254</v>
      </c>
      <c r="D40" s="41">
        <f t="shared" si="6"/>
        <v>-164.98918835931039</v>
      </c>
      <c r="E40" s="41" t="s">
        <v>254</v>
      </c>
      <c r="F40" s="41">
        <f t="shared" si="6"/>
        <v>-164.03352307536667</v>
      </c>
      <c r="G40" s="41" t="s">
        <v>254</v>
      </c>
      <c r="H40" s="41">
        <f t="shared" si="6"/>
        <v>-164.03352307536667</v>
      </c>
      <c r="I40" s="41" t="s">
        <v>254</v>
      </c>
    </row>
    <row r="41" spans="1:9" ht="27.6">
      <c r="A41" s="21" t="s">
        <v>26</v>
      </c>
      <c r="B41" s="36" t="s">
        <v>62</v>
      </c>
      <c r="C41" s="36">
        <f>MaxN_RB!$F$7*12*30*1000</f>
        <v>18360000</v>
      </c>
      <c r="D41" s="36" t="s">
        <v>62</v>
      </c>
      <c r="E41" s="36">
        <f>MaxN_RB!$F$7*12*30*1000</f>
        <v>18360000</v>
      </c>
      <c r="F41" s="37" t="s">
        <v>63</v>
      </c>
      <c r="G41" s="37">
        <f>1*12*30*1000</f>
        <v>360000</v>
      </c>
      <c r="H41" s="37" t="s">
        <v>63</v>
      </c>
      <c r="I41" s="37">
        <f>1*12*30*1000</f>
        <v>360000</v>
      </c>
    </row>
    <row r="42" spans="1:9" ht="27.6">
      <c r="A42" s="21" t="s">
        <v>27</v>
      </c>
      <c r="B42" s="36">
        <f>MaxN_RB!$F$7*12*30*1000</f>
        <v>18360000</v>
      </c>
      <c r="C42" s="37" t="s">
        <v>62</v>
      </c>
      <c r="D42" s="36">
        <f>MaxN_RB!$F$7*12*30*1000</f>
        <v>18360000</v>
      </c>
      <c r="E42" s="37" t="s">
        <v>62</v>
      </c>
      <c r="F42" s="37">
        <f>4*12*30*1000</f>
        <v>1440000</v>
      </c>
      <c r="G42" s="37" t="s">
        <v>63</v>
      </c>
      <c r="H42" s="37">
        <f>4*12*30*1000</f>
        <v>1440000</v>
      </c>
      <c r="I42" s="37" t="s">
        <v>63</v>
      </c>
    </row>
    <row r="43" spans="1:9">
      <c r="A43" s="26" t="s">
        <v>28</v>
      </c>
      <c r="B43" s="41" t="s">
        <v>254</v>
      </c>
      <c r="C43" s="41">
        <f t="shared" ref="C43:I43" si="7">C39+10*LOG10(C41)</f>
        <v>-92.350461590658156</v>
      </c>
      <c r="D43" s="41" t="s">
        <v>254</v>
      </c>
      <c r="E43" s="41">
        <f t="shared" si="7"/>
        <v>-92.350461590658156</v>
      </c>
      <c r="F43" s="41" t="s">
        <v>254</v>
      </c>
      <c r="G43" s="41">
        <f t="shared" si="7"/>
        <v>-105.39536389278032</v>
      </c>
      <c r="H43" s="41" t="s">
        <v>254</v>
      </c>
      <c r="I43" s="41">
        <f t="shared" si="7"/>
        <v>-105.39536389278032</v>
      </c>
    </row>
    <row r="44" spans="1:9">
      <c r="A44" s="26" t="s">
        <v>29</v>
      </c>
      <c r="B44" s="41">
        <f t="shared" ref="B44:H44" si="8">B40+10*LOG10(B42)</f>
        <v>-92.350461590658156</v>
      </c>
      <c r="C44" s="41" t="s">
        <v>254</v>
      </c>
      <c r="D44" s="41">
        <f t="shared" si="8"/>
        <v>-92.350461590658156</v>
      </c>
      <c r="E44" s="41" t="s">
        <v>254</v>
      </c>
      <c r="F44" s="41">
        <f t="shared" si="8"/>
        <v>-102.44989815441417</v>
      </c>
      <c r="G44" s="41" t="s">
        <v>254</v>
      </c>
      <c r="H44" s="41">
        <f t="shared" si="8"/>
        <v>-102.44989815441417</v>
      </c>
      <c r="I44" s="41" t="s">
        <v>254</v>
      </c>
    </row>
    <row r="45" spans="1:9">
      <c r="A45" s="21" t="s">
        <v>30</v>
      </c>
      <c r="B45" s="36" t="s">
        <v>61</v>
      </c>
      <c r="C45" s="37">
        <v>-8.3000000000000007</v>
      </c>
      <c r="D45" s="36" t="s">
        <v>61</v>
      </c>
      <c r="E45" s="37">
        <v>-8.5</v>
      </c>
      <c r="F45" s="36" t="s">
        <v>61</v>
      </c>
      <c r="G45" s="37">
        <v>-6.8</v>
      </c>
      <c r="H45" s="36" t="s">
        <v>61</v>
      </c>
      <c r="I45" s="37">
        <v>-6.8</v>
      </c>
    </row>
    <row r="46" spans="1:9">
      <c r="A46" s="21" t="s">
        <v>31</v>
      </c>
      <c r="B46" s="36">
        <v>-0.1</v>
      </c>
      <c r="C46" s="37" t="s">
        <v>61</v>
      </c>
      <c r="D46" s="36">
        <v>-1</v>
      </c>
      <c r="E46" s="37" t="s">
        <v>61</v>
      </c>
      <c r="F46" s="36">
        <v>6</v>
      </c>
      <c r="G46" s="37" t="s">
        <v>61</v>
      </c>
      <c r="H46" s="36">
        <v>3.7</v>
      </c>
      <c r="I46" s="37" t="s">
        <v>61</v>
      </c>
    </row>
    <row r="47" spans="1:9">
      <c r="A47" s="21" t="s">
        <v>32</v>
      </c>
      <c r="B47" s="36">
        <v>2</v>
      </c>
      <c r="C47" s="37">
        <v>2</v>
      </c>
      <c r="D47" s="36">
        <v>2</v>
      </c>
      <c r="E47" s="37">
        <v>2</v>
      </c>
      <c r="F47" s="37">
        <v>2</v>
      </c>
      <c r="G47" s="37">
        <v>2</v>
      </c>
      <c r="H47" s="37">
        <v>2</v>
      </c>
      <c r="I47" s="37">
        <v>2</v>
      </c>
    </row>
    <row r="48" spans="1:9">
      <c r="A48" s="21" t="s">
        <v>33</v>
      </c>
      <c r="B48" s="36" t="s">
        <v>62</v>
      </c>
      <c r="C48" s="37">
        <v>0</v>
      </c>
      <c r="D48" s="36" t="s">
        <v>62</v>
      </c>
      <c r="E48" s="37">
        <v>0</v>
      </c>
      <c r="F48" s="37" t="s">
        <v>63</v>
      </c>
      <c r="G48" s="37">
        <v>0</v>
      </c>
      <c r="H48" s="37" t="s">
        <v>63</v>
      </c>
      <c r="I48" s="37">
        <v>0</v>
      </c>
    </row>
    <row r="49" spans="1:11">
      <c r="A49" s="21" t="s">
        <v>34</v>
      </c>
      <c r="B49" s="36">
        <v>0.5</v>
      </c>
      <c r="C49" s="37" t="s">
        <v>62</v>
      </c>
      <c r="D49" s="36">
        <v>0.5</v>
      </c>
      <c r="E49" s="37" t="s">
        <v>62</v>
      </c>
      <c r="F49" s="37">
        <v>0.5</v>
      </c>
      <c r="G49" s="37" t="s">
        <v>63</v>
      </c>
      <c r="H49" s="37">
        <v>0.5</v>
      </c>
      <c r="I49" s="37" t="s">
        <v>63</v>
      </c>
    </row>
    <row r="50" spans="1:11" ht="27.6">
      <c r="A50" s="28" t="s">
        <v>47</v>
      </c>
      <c r="B50" s="41" t="s">
        <v>254</v>
      </c>
      <c r="C50" s="41">
        <f t="shared" ref="C50:I50" si="9">C43+C45+C47-C48</f>
        <v>-98.650461590658153</v>
      </c>
      <c r="D50" s="41" t="s">
        <v>254</v>
      </c>
      <c r="E50" s="41">
        <f t="shared" si="9"/>
        <v>-98.850461590658156</v>
      </c>
      <c r="F50" s="41" t="s">
        <v>254</v>
      </c>
      <c r="G50" s="41">
        <f t="shared" si="9"/>
        <v>-110.19536389278032</v>
      </c>
      <c r="H50" s="41" t="s">
        <v>254</v>
      </c>
      <c r="I50" s="41">
        <f t="shared" si="9"/>
        <v>-110.19536389278032</v>
      </c>
    </row>
    <row r="51" spans="1:11" ht="27.6">
      <c r="A51" s="28" t="s">
        <v>120</v>
      </c>
      <c r="B51" s="41">
        <f t="shared" ref="B51:H51" si="10">B44+B46+B47-B49</f>
        <v>-90.950461590658151</v>
      </c>
      <c r="C51" s="41" t="s">
        <v>254</v>
      </c>
      <c r="D51" s="41">
        <f t="shared" si="10"/>
        <v>-91.850461590658156</v>
      </c>
      <c r="E51" s="41" t="s">
        <v>254</v>
      </c>
      <c r="F51" s="41">
        <f t="shared" si="10"/>
        <v>-94.949898154414171</v>
      </c>
      <c r="G51" s="41" t="s">
        <v>254</v>
      </c>
      <c r="H51" s="41">
        <f t="shared" si="10"/>
        <v>-97.249898154414169</v>
      </c>
      <c r="I51" s="41" t="s">
        <v>254</v>
      </c>
    </row>
    <row r="52" spans="1:11" ht="27.6">
      <c r="A52" s="28" t="s">
        <v>121</v>
      </c>
      <c r="B52" s="41" t="s">
        <v>254</v>
      </c>
      <c r="C52" s="41">
        <f t="shared" ref="C52:I52" si="11">C27+C32+C33-C50</f>
        <v>168.79466098361553</v>
      </c>
      <c r="D52" s="41" t="s">
        <v>254</v>
      </c>
      <c r="E52" s="41">
        <f t="shared" si="11"/>
        <v>168.99466098361552</v>
      </c>
      <c r="F52" s="41" t="s">
        <v>254</v>
      </c>
      <c r="G52" s="41">
        <f t="shared" si="11"/>
        <v>158.26746358925902</v>
      </c>
      <c r="H52" s="41" t="s">
        <v>254</v>
      </c>
      <c r="I52" s="41">
        <f t="shared" si="11"/>
        <v>158.26746358925902</v>
      </c>
    </row>
    <row r="53" spans="1:11" ht="33.75" customHeight="1">
      <c r="A53" s="28" t="s">
        <v>122</v>
      </c>
      <c r="B53" s="41">
        <f t="shared" ref="B53:H53" si="12">B28+B32+B33-B51</f>
        <v>161.09466098361554</v>
      </c>
      <c r="C53" s="41" t="s">
        <v>254</v>
      </c>
      <c r="D53" s="41">
        <f t="shared" si="12"/>
        <v>161.99466098361552</v>
      </c>
      <c r="E53" s="41" t="s">
        <v>254</v>
      </c>
      <c r="F53" s="41">
        <f t="shared" si="12"/>
        <v>143.02199785089286</v>
      </c>
      <c r="G53" s="41" t="s">
        <v>254</v>
      </c>
      <c r="H53" s="41">
        <f t="shared" si="12"/>
        <v>145.32199785089284</v>
      </c>
      <c r="I53" s="41" t="s">
        <v>254</v>
      </c>
      <c r="K53" s="14"/>
    </row>
    <row r="54" spans="1:11">
      <c r="A54" s="20" t="s">
        <v>35</v>
      </c>
      <c r="B54" s="39"/>
      <c r="C54" s="39"/>
      <c r="D54" s="39"/>
      <c r="E54" s="39"/>
      <c r="F54" s="39"/>
      <c r="G54" s="39"/>
      <c r="H54" s="39"/>
      <c r="I54" s="39"/>
    </row>
    <row r="55" spans="1:11">
      <c r="A55" s="21" t="s">
        <v>36</v>
      </c>
      <c r="B55" s="37">
        <v>6</v>
      </c>
      <c r="C55" s="37">
        <v>6</v>
      </c>
      <c r="D55" s="37">
        <v>6</v>
      </c>
      <c r="E55" s="37">
        <v>6</v>
      </c>
      <c r="F55" s="37">
        <v>6</v>
      </c>
      <c r="G55" s="37">
        <v>6</v>
      </c>
      <c r="H55" s="37">
        <v>6</v>
      </c>
      <c r="I55" s="37">
        <v>6</v>
      </c>
    </row>
    <row r="56" spans="1:11" ht="27.6">
      <c r="A56" s="21" t="s">
        <v>37</v>
      </c>
      <c r="B56" s="44" t="s">
        <v>106</v>
      </c>
      <c r="C56" s="37">
        <v>8.07</v>
      </c>
      <c r="D56" s="44" t="s">
        <v>205</v>
      </c>
      <c r="E56" s="37">
        <v>6.95</v>
      </c>
      <c r="F56" s="44" t="s">
        <v>106</v>
      </c>
      <c r="G56" s="37">
        <v>8.07</v>
      </c>
      <c r="H56" s="44" t="s">
        <v>205</v>
      </c>
      <c r="I56" s="37">
        <v>6.95</v>
      </c>
    </row>
    <row r="57" spans="1:11" ht="27.6">
      <c r="A57" s="21" t="s">
        <v>38</v>
      </c>
      <c r="B57" s="37">
        <v>4.8499999999999996</v>
      </c>
      <c r="C57" s="44" t="s">
        <v>106</v>
      </c>
      <c r="D57" s="37">
        <v>4.03</v>
      </c>
      <c r="E57" s="44" t="s">
        <v>205</v>
      </c>
      <c r="F57" s="37">
        <v>4.8499999999999996</v>
      </c>
      <c r="G57" s="44" t="s">
        <v>106</v>
      </c>
      <c r="H57" s="37">
        <v>4.03</v>
      </c>
      <c r="I57" s="44" t="s">
        <v>205</v>
      </c>
    </row>
    <row r="58" spans="1:11">
      <c r="A58" s="21" t="s">
        <v>39</v>
      </c>
      <c r="B58" s="37">
        <v>0</v>
      </c>
      <c r="C58" s="37">
        <v>0</v>
      </c>
      <c r="D58" s="37">
        <v>0</v>
      </c>
      <c r="E58" s="37">
        <v>0</v>
      </c>
      <c r="F58" s="37">
        <v>0</v>
      </c>
      <c r="G58" s="37">
        <v>0</v>
      </c>
      <c r="H58" s="37">
        <v>0</v>
      </c>
      <c r="I58" s="37">
        <v>0</v>
      </c>
    </row>
    <row r="59" spans="1:11" ht="16.5" customHeight="1">
      <c r="A59" s="21" t="s">
        <v>40</v>
      </c>
      <c r="B59" s="36">
        <v>9</v>
      </c>
      <c r="C59" s="36">
        <v>9</v>
      </c>
      <c r="D59" s="36">
        <f>20+0.5*12.5</f>
        <v>26.25</v>
      </c>
      <c r="E59" s="36">
        <f>20+0.5*12.5</f>
        <v>26.25</v>
      </c>
      <c r="F59" s="36">
        <v>9</v>
      </c>
      <c r="G59" s="36">
        <v>9</v>
      </c>
      <c r="H59" s="36">
        <f>20+0.5*12.5</f>
        <v>26.25</v>
      </c>
      <c r="I59" s="36">
        <f>20+0.5*12.5</f>
        <v>26.25</v>
      </c>
    </row>
    <row r="60" spans="1:11">
      <c r="A60" s="21" t="s">
        <v>41</v>
      </c>
      <c r="B60" s="37">
        <v>0</v>
      </c>
      <c r="C60" s="37">
        <v>0</v>
      </c>
      <c r="D60" s="37">
        <v>0</v>
      </c>
      <c r="E60" s="37">
        <v>0</v>
      </c>
      <c r="F60" s="37">
        <v>0</v>
      </c>
      <c r="G60" s="37">
        <v>0</v>
      </c>
      <c r="H60" s="37">
        <v>0</v>
      </c>
      <c r="I60" s="37">
        <v>0</v>
      </c>
    </row>
    <row r="61" spans="1:11" ht="27.6">
      <c r="A61" s="28" t="s">
        <v>53</v>
      </c>
      <c r="B61" s="41" t="s">
        <v>254</v>
      </c>
      <c r="C61" s="41">
        <f t="shared" ref="C61:I61" si="13">C52-C56+C58-C59+C60-C34</f>
        <v>150.72466098361554</v>
      </c>
      <c r="D61" s="41" t="s">
        <v>254</v>
      </c>
      <c r="E61" s="41">
        <f t="shared" si="13"/>
        <v>134.79466098361553</v>
      </c>
      <c r="F61" s="41" t="s">
        <v>254</v>
      </c>
      <c r="G61" s="41">
        <f t="shared" si="13"/>
        <v>138.19746358925903</v>
      </c>
      <c r="H61" s="41" t="s">
        <v>254</v>
      </c>
      <c r="I61" s="41">
        <f t="shared" si="13"/>
        <v>122.06746358925903</v>
      </c>
    </row>
    <row r="62" spans="1:11" ht="27.6">
      <c r="A62" s="28" t="s">
        <v>49</v>
      </c>
      <c r="B62" s="41">
        <f t="shared" ref="B62:H62" si="14">B53-B57+B58-B59+B60-B34</f>
        <v>146.24466098361555</v>
      </c>
      <c r="C62" s="41" t="s">
        <v>254</v>
      </c>
      <c r="D62" s="41">
        <f t="shared" si="14"/>
        <v>130.71466098361552</v>
      </c>
      <c r="E62" s="41" t="s">
        <v>254</v>
      </c>
      <c r="F62" s="41">
        <f t="shared" si="14"/>
        <v>126.17199785089286</v>
      </c>
      <c r="G62" s="41" t="s">
        <v>254</v>
      </c>
      <c r="H62" s="41">
        <f t="shared" si="14"/>
        <v>112.04199785089284</v>
      </c>
      <c r="I62" s="41" t="s">
        <v>254</v>
      </c>
    </row>
    <row r="63" spans="1:11">
      <c r="A63" s="20" t="s">
        <v>42</v>
      </c>
      <c r="B63" s="39"/>
      <c r="C63" s="39"/>
      <c r="D63" s="39"/>
      <c r="E63" s="39"/>
      <c r="F63" s="39"/>
      <c r="G63" s="39"/>
      <c r="H63" s="39"/>
      <c r="I63" s="39"/>
    </row>
    <row r="64" spans="1:11" ht="27.6">
      <c r="A64" s="30" t="s">
        <v>43</v>
      </c>
      <c r="B64" s="37" t="s">
        <v>63</v>
      </c>
      <c r="C64" s="37">
        <f>10^((C61-161.04+7.1*LOG10(20)-7.5*LOG10(20)+(24.37-3.7*(20/C5)^2)*LOG10(C5)-20*LOG10(C4)+(3.2*(LOG10(17.625))^2-4.97)+0.6*(C6-1.5))/(43.42-3.1*LOG10(C5))+3)</f>
        <v>1590.7233167795055</v>
      </c>
      <c r="D64" s="37" t="s">
        <v>63</v>
      </c>
      <c r="E64" s="37">
        <f>10^((E61-161.04+7.1*LOG10(20)-7.5*LOG10(20)+(24.37-3.7*(20/E5)^2)*LOG10(E5)-20*LOG10(E4)+(3.2*(LOG10(17.625))^2-4.97)+0.6*(E6-1.5))/(43.42-3.1*LOG10(E5))+3)</f>
        <v>622.35167308909809</v>
      </c>
      <c r="F64" s="37" t="s">
        <v>63</v>
      </c>
      <c r="G64" s="37">
        <f>10^((G61-161.04+7.1*LOG10(20)-7.5*LOG10(20)+(24.37-3.7*(20/G5)^2)*LOG10(G5)-20*LOG10(G4)+(3.2*(LOG10(17.625))^2-4.97)+0.6*(G6-1.5))/(43.42-3.1*LOG10(G5))+3)</f>
        <v>760.49151608644365</v>
      </c>
      <c r="H64" s="37" t="s">
        <v>63</v>
      </c>
      <c r="I64" s="37">
        <f>10^((I61-161.04+7.1*LOG10(20)-7.5*LOG10(20)+(24.37-3.7*(20/I5)^2)*LOG10(I5)-20*LOG10(I4)+(3.2*(LOG10(17.625))^2-4.97)+0.6*(I6-1.5))/(43.42-3.1*LOG10(I5))+3)</f>
        <v>294.04832969401315</v>
      </c>
    </row>
    <row r="65" spans="1:11" ht="27.6">
      <c r="A65" s="30" t="s">
        <v>44</v>
      </c>
      <c r="B65" s="37">
        <f>10^((B62-161.04+7.1*LOG10(20)-7.5*LOG10(20)+(24.37-3.7*(20/B5)^2)*LOG10(B5)-20*LOG10(B4)+(3.2*(LOG10(17.625))^2-4.97)+0.6*(B6-1.5))/(43.42-3.1*LOG10(B5))+3)</f>
        <v>1221.734206786535</v>
      </c>
      <c r="C65" s="37" t="s">
        <v>63</v>
      </c>
      <c r="D65" s="37">
        <f>10^((D62-161.04+7.1*LOG10(20)-7.5*LOG10(20)+(24.37-3.7*(20/D5)^2)*LOG10(D5)-20*LOG10(D4)+(3.2*(LOG10(17.625))^2-4.97)+0.6*(D6-1.5))/(43.42-3.1*LOG10(D5))+3)</f>
        <v>489.38616804896247</v>
      </c>
      <c r="E65" s="37" t="s">
        <v>63</v>
      </c>
      <c r="F65" s="37">
        <f>10^((F62-161.04+7.1*LOG10(20)-7.5*LOG10(20)+(24.37-3.7*(20/F5)^2)*LOG10(F5)-20*LOG10(F4)+(3.2*(LOG10(17.625))^2-4.97)+0.6*(F6-1.5))/(43.42-3.1*LOG10(F5))+3)</f>
        <v>374.48168403462097</v>
      </c>
      <c r="G65" s="37" t="s">
        <v>63</v>
      </c>
      <c r="H65" s="37">
        <f>10^((H62-161.04+7.1*LOG10(20)-7.5*LOG10(20)+(24.37-3.7*(20/H5)^2)*LOG10(H5)-20*LOG10(H4)+(3.2*(LOG10(17.625))^2-4.97)+0.6*(H6-1.5))/(43.42-3.1*LOG10(H5))+3)</f>
        <v>162.90095701894307</v>
      </c>
      <c r="I65" s="37" t="s">
        <v>63</v>
      </c>
      <c r="K65" s="15"/>
    </row>
    <row r="66" spans="1:11" ht="16.8">
      <c r="A66" s="30" t="s">
        <v>114</v>
      </c>
      <c r="B66" s="37" t="s">
        <v>62</v>
      </c>
      <c r="C66" s="37">
        <f>PI()*(C64)^2</f>
        <v>7949488.157225972</v>
      </c>
      <c r="D66" s="37" t="s">
        <v>62</v>
      </c>
      <c r="E66" s="37">
        <f>PI()*(E64)^2</f>
        <v>1216806.7088345534</v>
      </c>
      <c r="F66" s="37" t="s">
        <v>62</v>
      </c>
      <c r="G66" s="37">
        <f>PI()*(G64)^2</f>
        <v>1816931.7735407138</v>
      </c>
      <c r="H66" s="37" t="s">
        <v>62</v>
      </c>
      <c r="I66" s="37">
        <f>PI()*(I64)^2</f>
        <v>271635.98728414887</v>
      </c>
    </row>
    <row r="67" spans="1:11" ht="16.8">
      <c r="A67" s="30" t="s">
        <v>115</v>
      </c>
      <c r="B67" s="37">
        <f>PI()*(B65)^2</f>
        <v>4689249.4918316277</v>
      </c>
      <c r="C67" s="37" t="s">
        <v>62</v>
      </c>
      <c r="D67" s="37">
        <f>PI()*(D65)^2</f>
        <v>752407.73809759028</v>
      </c>
      <c r="E67" s="37" t="s">
        <v>62</v>
      </c>
      <c r="F67" s="37">
        <f>PI()*(F65)^2</f>
        <v>440566.05768265005</v>
      </c>
      <c r="G67" s="37" t="s">
        <v>62</v>
      </c>
      <c r="H67" s="37">
        <f>PI()*(H65)^2</f>
        <v>83367.570249971308</v>
      </c>
      <c r="I67" s="37" t="s">
        <v>62</v>
      </c>
    </row>
    <row r="72" spans="1:11" s="16" customFormat="1" ht="13.8">
      <c r="B72" s="45"/>
      <c r="C72" s="45"/>
      <c r="D72" s="45"/>
      <c r="E72" s="45"/>
      <c r="F72" s="46"/>
      <c r="G72" s="46"/>
      <c r="H72" s="46"/>
      <c r="I72" s="46"/>
    </row>
  </sheetData>
  <mergeCells count="2">
    <mergeCell ref="B1:E1"/>
    <mergeCell ref="F1:I1"/>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topLeftCell="A55" zoomScale="85" zoomScaleNormal="85" workbookViewId="0">
      <selection activeCell="E69" sqref="E69"/>
    </sheetView>
  </sheetViews>
  <sheetFormatPr defaultRowHeight="15.6"/>
  <cols>
    <col min="1" max="1" width="62.09765625" style="31" bestFit="1" customWidth="1"/>
    <col min="2" max="2" width="15.3984375" style="44" bestFit="1" customWidth="1"/>
    <col min="3" max="3" width="11.8984375" style="44" bestFit="1" customWidth="1"/>
    <col min="4" max="5" width="11.8984375" style="44" customWidth="1"/>
    <col min="6" max="6" width="11" style="50" bestFit="1" customWidth="1"/>
    <col min="7" max="7" width="15.19921875" style="50" customWidth="1"/>
    <col min="8" max="8" width="15.09765625" style="50" customWidth="1"/>
    <col min="9" max="9" width="15.69921875" style="50" customWidth="1"/>
    <col min="11" max="11" width="20.19921875" bestFit="1" customWidth="1"/>
  </cols>
  <sheetData>
    <row r="1" spans="1:9">
      <c r="A1" s="18" t="s">
        <v>0</v>
      </c>
      <c r="B1" s="139" t="s">
        <v>213</v>
      </c>
      <c r="C1" s="139"/>
      <c r="D1" s="139"/>
      <c r="E1" s="140"/>
      <c r="F1" s="141" t="s">
        <v>214</v>
      </c>
      <c r="G1" s="141"/>
      <c r="H1" s="141"/>
      <c r="I1" s="141"/>
    </row>
    <row r="2" spans="1:9" ht="41.4">
      <c r="A2" s="18"/>
      <c r="B2" s="47" t="s">
        <v>201</v>
      </c>
      <c r="C2" s="47" t="s">
        <v>215</v>
      </c>
      <c r="D2" s="47" t="s">
        <v>216</v>
      </c>
      <c r="E2" s="47" t="s">
        <v>217</v>
      </c>
      <c r="F2" s="47" t="s">
        <v>203</v>
      </c>
      <c r="G2" s="47" t="s">
        <v>204</v>
      </c>
      <c r="H2" s="47" t="s">
        <v>218</v>
      </c>
      <c r="I2" s="47" t="s">
        <v>219</v>
      </c>
    </row>
    <row r="3" spans="1:9">
      <c r="A3" s="20" t="s">
        <v>1</v>
      </c>
      <c r="B3" s="39"/>
      <c r="C3" s="39"/>
      <c r="D3" s="39"/>
      <c r="E3" s="39"/>
      <c r="F3" s="39"/>
      <c r="G3" s="39"/>
      <c r="H3" s="39"/>
      <c r="I3" s="39"/>
    </row>
    <row r="4" spans="1:9">
      <c r="A4" s="21" t="s">
        <v>2</v>
      </c>
      <c r="B4" s="37">
        <v>4</v>
      </c>
      <c r="C4" s="37">
        <v>4</v>
      </c>
      <c r="D4" s="37">
        <v>4</v>
      </c>
      <c r="E4" s="37">
        <v>4</v>
      </c>
      <c r="F4" s="37">
        <v>4</v>
      </c>
      <c r="G4" s="37">
        <v>4</v>
      </c>
      <c r="H4" s="37">
        <v>4</v>
      </c>
      <c r="I4" s="37">
        <v>4</v>
      </c>
    </row>
    <row r="5" spans="1:9">
      <c r="A5" s="21" t="s">
        <v>3</v>
      </c>
      <c r="B5" s="37">
        <v>25</v>
      </c>
      <c r="C5" s="37">
        <v>25</v>
      </c>
      <c r="D5" s="37">
        <v>25</v>
      </c>
      <c r="E5" s="37">
        <v>25</v>
      </c>
      <c r="F5" s="37">
        <v>25</v>
      </c>
      <c r="G5" s="37">
        <v>25</v>
      </c>
      <c r="H5" s="37">
        <v>25</v>
      </c>
      <c r="I5" s="37">
        <v>25</v>
      </c>
    </row>
    <row r="6" spans="1:9">
      <c r="A6" s="21" t="s">
        <v>4</v>
      </c>
      <c r="B6" s="37">
        <v>1.5</v>
      </c>
      <c r="C6" s="37">
        <v>1.5</v>
      </c>
      <c r="D6" s="37">
        <v>1.5</v>
      </c>
      <c r="E6" s="37">
        <v>1.5</v>
      </c>
      <c r="F6" s="37">
        <v>1.5</v>
      </c>
      <c r="G6" s="37">
        <v>1.5</v>
      </c>
      <c r="H6" s="37">
        <v>1.5</v>
      </c>
      <c r="I6" s="37">
        <v>1.5</v>
      </c>
    </row>
    <row r="7" spans="1:9" ht="29.4">
      <c r="A7" s="21" t="s">
        <v>109</v>
      </c>
      <c r="B7" s="22" t="s">
        <v>205</v>
      </c>
      <c r="C7" s="23">
        <v>0.95</v>
      </c>
      <c r="D7" s="22" t="s">
        <v>205</v>
      </c>
      <c r="E7" s="23">
        <v>0.95</v>
      </c>
      <c r="F7" s="23" t="s">
        <v>205</v>
      </c>
      <c r="G7" s="23">
        <v>0.95</v>
      </c>
      <c r="H7" s="23" t="s">
        <v>205</v>
      </c>
      <c r="I7" s="23">
        <v>0.95</v>
      </c>
    </row>
    <row r="8" spans="1:9" ht="29.4">
      <c r="A8" s="21" t="s">
        <v>110</v>
      </c>
      <c r="B8" s="22">
        <v>0.9</v>
      </c>
      <c r="C8" s="23" t="s">
        <v>205</v>
      </c>
      <c r="D8" s="22">
        <v>0.9</v>
      </c>
      <c r="E8" s="23" t="s">
        <v>205</v>
      </c>
      <c r="F8" s="23">
        <v>0.9</v>
      </c>
      <c r="G8" s="23" t="s">
        <v>205</v>
      </c>
      <c r="H8" s="23">
        <v>0.9</v>
      </c>
      <c r="I8" s="23" t="s">
        <v>205</v>
      </c>
    </row>
    <row r="9" spans="1:9">
      <c r="A9" s="21" t="s">
        <v>5</v>
      </c>
      <c r="B9" s="36" t="s">
        <v>205</v>
      </c>
      <c r="C9" s="37">
        <f>64/(0.001)</f>
        <v>64000</v>
      </c>
      <c r="D9" s="36" t="s">
        <v>205</v>
      </c>
      <c r="E9" s="37">
        <f>64/(0.001)</f>
        <v>64000</v>
      </c>
      <c r="F9" s="37" t="s">
        <v>205</v>
      </c>
      <c r="G9" s="37">
        <f>2/(0.5*0.001)</f>
        <v>4000</v>
      </c>
      <c r="H9" s="37"/>
      <c r="I9" s="37">
        <f>2/(0.5*0.001)</f>
        <v>4000</v>
      </c>
    </row>
    <row r="10" spans="1:9">
      <c r="A10" s="21" t="s">
        <v>6</v>
      </c>
      <c r="B10" s="36">
        <f>2248233*3</f>
        <v>6744699</v>
      </c>
      <c r="C10" s="37" t="s">
        <v>205</v>
      </c>
      <c r="D10" s="36">
        <f>2248233*3</f>
        <v>6744699</v>
      </c>
      <c r="E10" s="37" t="s">
        <v>205</v>
      </c>
      <c r="F10" s="37">
        <f>74880*3</f>
        <v>224640</v>
      </c>
      <c r="G10" s="37" t="s">
        <v>205</v>
      </c>
      <c r="H10" s="37">
        <f>74880*3</f>
        <v>224640</v>
      </c>
      <c r="I10" s="37" t="s">
        <v>205</v>
      </c>
    </row>
    <row r="11" spans="1:9">
      <c r="A11" s="21" t="s">
        <v>7</v>
      </c>
      <c r="B11" s="22" t="s">
        <v>205</v>
      </c>
      <c r="C11" s="23">
        <v>0.01</v>
      </c>
      <c r="D11" s="22" t="s">
        <v>205</v>
      </c>
      <c r="E11" s="23">
        <v>0.01</v>
      </c>
      <c r="F11" s="23" t="s">
        <v>205</v>
      </c>
      <c r="G11" s="23">
        <v>0.01</v>
      </c>
      <c r="H11" s="23" t="s">
        <v>205</v>
      </c>
      <c r="I11" s="23">
        <v>0.01</v>
      </c>
    </row>
    <row r="12" spans="1:9">
      <c r="A12" s="21" t="s">
        <v>8</v>
      </c>
      <c r="B12" s="22">
        <v>0.1</v>
      </c>
      <c r="C12" s="23" t="s">
        <v>205</v>
      </c>
      <c r="D12" s="22">
        <v>0.1</v>
      </c>
      <c r="E12" s="23" t="s">
        <v>205</v>
      </c>
      <c r="F12" s="23">
        <v>0.1</v>
      </c>
      <c r="G12" s="23" t="s">
        <v>205</v>
      </c>
      <c r="H12" s="23">
        <v>0.1</v>
      </c>
      <c r="I12" s="23" t="s">
        <v>205</v>
      </c>
    </row>
    <row r="13" spans="1:9">
      <c r="A13" s="21" t="s">
        <v>111</v>
      </c>
      <c r="B13" s="36">
        <f>B10/(B42*(4+2*11/14+1/14)/10)</f>
        <v>0.65101476793248958</v>
      </c>
      <c r="C13" s="36" t="s">
        <v>205</v>
      </c>
      <c r="D13" s="36">
        <f>D10/(D42*(4+2*11/14+1/14)/10)</f>
        <v>0.65101476793248958</v>
      </c>
      <c r="E13" s="36" t="s">
        <v>205</v>
      </c>
      <c r="F13" s="36">
        <f>F10/(F42*(4+2*2/14+1/14)/10)</f>
        <v>0.35803278688524592</v>
      </c>
      <c r="G13" s="36" t="s">
        <v>205</v>
      </c>
      <c r="H13" s="36">
        <f>H10/(H42*(4+2*2/14+1/14)/10)</f>
        <v>0.35803278688524592</v>
      </c>
      <c r="I13" s="37" t="s">
        <v>205</v>
      </c>
    </row>
    <row r="14" spans="1:9">
      <c r="A14" s="21" t="s">
        <v>112</v>
      </c>
      <c r="B14" s="36" t="s">
        <v>206</v>
      </c>
      <c r="C14" s="36" t="s">
        <v>206</v>
      </c>
      <c r="D14" s="36" t="s">
        <v>220</v>
      </c>
      <c r="E14" s="36" t="s">
        <v>220</v>
      </c>
      <c r="F14" s="36" t="s">
        <v>206</v>
      </c>
      <c r="G14" s="36" t="s">
        <v>206</v>
      </c>
      <c r="H14" s="36" t="s">
        <v>220</v>
      </c>
      <c r="I14" s="36" t="s">
        <v>220</v>
      </c>
    </row>
    <row r="15" spans="1:9">
      <c r="A15" s="21" t="s">
        <v>207</v>
      </c>
      <c r="B15" s="36">
        <v>30</v>
      </c>
      <c r="C15" s="37">
        <v>30</v>
      </c>
      <c r="D15" s="36">
        <v>3</v>
      </c>
      <c r="E15" s="37">
        <v>3</v>
      </c>
      <c r="F15" s="37">
        <v>30</v>
      </c>
      <c r="G15" s="37">
        <v>30</v>
      </c>
      <c r="H15" s="37">
        <v>3</v>
      </c>
      <c r="I15" s="37">
        <v>3</v>
      </c>
    </row>
    <row r="16" spans="1:9">
      <c r="A16" s="21" t="s">
        <v>9</v>
      </c>
      <c r="B16" s="36">
        <v>3</v>
      </c>
      <c r="C16" s="37">
        <v>3</v>
      </c>
      <c r="D16" s="36">
        <v>3</v>
      </c>
      <c r="E16" s="37">
        <v>3</v>
      </c>
      <c r="F16" s="37">
        <v>3</v>
      </c>
      <c r="G16" s="37">
        <v>3</v>
      </c>
      <c r="H16" s="37">
        <v>3</v>
      </c>
      <c r="I16" s="37">
        <v>3</v>
      </c>
    </row>
    <row r="17" spans="1:9">
      <c r="A17" s="20" t="s">
        <v>10</v>
      </c>
      <c r="B17" s="39"/>
      <c r="C17" s="39"/>
      <c r="D17" s="39"/>
      <c r="E17" s="39"/>
      <c r="F17" s="39"/>
      <c r="G17" s="39"/>
      <c r="H17" s="39"/>
      <c r="I17" s="39"/>
    </row>
    <row r="18" spans="1:9" ht="27.6">
      <c r="A18" s="21" t="s">
        <v>208</v>
      </c>
      <c r="B18" s="36">
        <v>256</v>
      </c>
      <c r="C18" s="36">
        <v>256</v>
      </c>
      <c r="D18" s="36">
        <v>256</v>
      </c>
      <c r="E18" s="36">
        <v>256</v>
      </c>
      <c r="F18" s="37">
        <v>2</v>
      </c>
      <c r="G18" s="37">
        <v>2</v>
      </c>
      <c r="H18" s="37">
        <v>2</v>
      </c>
      <c r="I18" s="37">
        <v>2</v>
      </c>
    </row>
    <row r="19" spans="1:9">
      <c r="A19" s="21" t="s">
        <v>251</v>
      </c>
      <c r="B19" s="36">
        <v>2</v>
      </c>
      <c r="C19" s="36">
        <v>2</v>
      </c>
      <c r="D19" s="36">
        <v>2</v>
      </c>
      <c r="E19" s="36">
        <v>2</v>
      </c>
      <c r="F19" s="37">
        <v>2</v>
      </c>
      <c r="G19" s="37">
        <v>2</v>
      </c>
      <c r="H19" s="37">
        <v>2</v>
      </c>
      <c r="I19" s="37">
        <v>2</v>
      </c>
    </row>
    <row r="20" spans="1:9">
      <c r="A20" s="21" t="s">
        <v>11</v>
      </c>
      <c r="B20" s="36">
        <v>20</v>
      </c>
      <c r="C20" s="36">
        <v>20</v>
      </c>
      <c r="D20" s="36">
        <v>20</v>
      </c>
      <c r="E20" s="36">
        <v>20</v>
      </c>
      <c r="F20" s="37">
        <v>20</v>
      </c>
      <c r="G20" s="37">
        <v>20</v>
      </c>
      <c r="H20" s="37">
        <v>20</v>
      </c>
      <c r="I20" s="37">
        <v>20</v>
      </c>
    </row>
    <row r="21" spans="1:9" ht="27.6">
      <c r="A21" s="48" t="s">
        <v>209</v>
      </c>
      <c r="B21" s="42">
        <f t="shared" ref="B21:I21" si="0">B20+10*LOG10(B18)</f>
        <v>44.0823996531185</v>
      </c>
      <c r="C21" s="42">
        <f t="shared" si="0"/>
        <v>44.0823996531185</v>
      </c>
      <c r="D21" s="42">
        <f t="shared" si="0"/>
        <v>44.0823996531185</v>
      </c>
      <c r="E21" s="42">
        <f t="shared" si="0"/>
        <v>44.0823996531185</v>
      </c>
      <c r="F21" s="42">
        <f t="shared" si="0"/>
        <v>23.010299956639813</v>
      </c>
      <c r="G21" s="42">
        <f t="shared" si="0"/>
        <v>23.010299956639813</v>
      </c>
      <c r="H21" s="42">
        <f t="shared" si="0"/>
        <v>23.010299956639813</v>
      </c>
      <c r="I21" s="42">
        <f t="shared" si="0"/>
        <v>23.010299956639813</v>
      </c>
    </row>
    <row r="22" spans="1:9">
      <c r="A22" s="21" t="s">
        <v>12</v>
      </c>
      <c r="B22" s="36">
        <v>8</v>
      </c>
      <c r="C22" s="37">
        <v>8</v>
      </c>
      <c r="D22" s="36">
        <v>8</v>
      </c>
      <c r="E22" s="37">
        <v>8</v>
      </c>
      <c r="F22" s="37">
        <v>0</v>
      </c>
      <c r="G22" s="37">
        <v>0</v>
      </c>
      <c r="H22" s="37">
        <v>0</v>
      </c>
      <c r="I22" s="37">
        <v>0</v>
      </c>
    </row>
    <row r="23" spans="1:9" ht="41.4">
      <c r="A23" s="49" t="s">
        <v>13</v>
      </c>
      <c r="B23" s="42">
        <f t="shared" ref="B23:I23" si="1">IF(B18&gt;=2, 10*LOG10(B18/2), 0)</f>
        <v>21.072099696478684</v>
      </c>
      <c r="C23" s="42">
        <f t="shared" si="1"/>
        <v>21.072099696478684</v>
      </c>
      <c r="D23" s="42">
        <f t="shared" si="1"/>
        <v>21.072099696478684</v>
      </c>
      <c r="E23" s="42">
        <f t="shared" si="1"/>
        <v>21.072099696478684</v>
      </c>
      <c r="F23" s="42">
        <f t="shared" si="1"/>
        <v>0</v>
      </c>
      <c r="G23" s="42">
        <f t="shared" si="1"/>
        <v>0</v>
      </c>
      <c r="H23" s="42">
        <f t="shared" si="1"/>
        <v>0</v>
      </c>
      <c r="I23" s="42">
        <f t="shared" si="1"/>
        <v>0</v>
      </c>
    </row>
    <row r="24" spans="1:9">
      <c r="A24" s="21" t="s">
        <v>14</v>
      </c>
      <c r="B24" s="36">
        <v>0</v>
      </c>
      <c r="C24" s="37">
        <v>0</v>
      </c>
      <c r="D24" s="36">
        <v>0</v>
      </c>
      <c r="E24" s="37">
        <v>0</v>
      </c>
      <c r="F24" s="37">
        <v>0</v>
      </c>
      <c r="G24" s="37">
        <v>0</v>
      </c>
      <c r="H24" s="37">
        <v>0</v>
      </c>
      <c r="I24" s="37">
        <v>0</v>
      </c>
    </row>
    <row r="25" spans="1:9">
      <c r="A25" s="21" t="s">
        <v>15</v>
      </c>
      <c r="B25" s="36">
        <v>0</v>
      </c>
      <c r="C25" s="37">
        <v>0</v>
      </c>
      <c r="D25" s="36">
        <v>0</v>
      </c>
      <c r="E25" s="37">
        <v>0</v>
      </c>
      <c r="F25" s="37">
        <v>0</v>
      </c>
      <c r="G25" s="37">
        <v>0</v>
      </c>
      <c r="H25" s="37">
        <v>0</v>
      </c>
      <c r="I25" s="37">
        <v>0</v>
      </c>
    </row>
    <row r="26" spans="1:9" ht="27.6">
      <c r="A26" s="21" t="s">
        <v>16</v>
      </c>
      <c r="B26" s="36">
        <v>3</v>
      </c>
      <c r="C26" s="36">
        <v>3</v>
      </c>
      <c r="D26" s="36">
        <v>3</v>
      </c>
      <c r="E26" s="36">
        <v>3</v>
      </c>
      <c r="F26" s="36">
        <v>1</v>
      </c>
      <c r="G26" s="36">
        <v>1</v>
      </c>
      <c r="H26" s="36">
        <v>1</v>
      </c>
      <c r="I26" s="37">
        <v>1</v>
      </c>
    </row>
    <row r="27" spans="1:9">
      <c r="A27" s="26" t="s">
        <v>17</v>
      </c>
      <c r="B27" s="41">
        <f t="shared" ref="B27:I27" si="2">B21+B22+B23+B24-B26</f>
        <v>70.154499349597188</v>
      </c>
      <c r="C27" s="41">
        <f t="shared" si="2"/>
        <v>70.154499349597188</v>
      </c>
      <c r="D27" s="41">
        <f t="shared" si="2"/>
        <v>70.154499349597188</v>
      </c>
      <c r="E27" s="41">
        <f t="shared" si="2"/>
        <v>70.154499349597188</v>
      </c>
      <c r="F27" s="41">
        <f t="shared" si="2"/>
        <v>22.010299956639813</v>
      </c>
      <c r="G27" s="41">
        <f t="shared" si="2"/>
        <v>22.010299956639813</v>
      </c>
      <c r="H27" s="41">
        <f t="shared" si="2"/>
        <v>22.010299956639813</v>
      </c>
      <c r="I27" s="41">
        <f t="shared" si="2"/>
        <v>22.010299956639813</v>
      </c>
    </row>
    <row r="28" spans="1:9">
      <c r="A28" s="26" t="s">
        <v>18</v>
      </c>
      <c r="B28" s="41">
        <f t="shared" ref="B28:I28" si="3">B21+B22+B23-B25-B26</f>
        <v>70.154499349597188</v>
      </c>
      <c r="C28" s="41">
        <f t="shared" si="3"/>
        <v>70.154499349597188</v>
      </c>
      <c r="D28" s="41">
        <f t="shared" si="3"/>
        <v>70.154499349597188</v>
      </c>
      <c r="E28" s="41">
        <f t="shared" si="3"/>
        <v>70.154499349597188</v>
      </c>
      <c r="F28" s="41">
        <f t="shared" si="3"/>
        <v>22.010299956639813</v>
      </c>
      <c r="G28" s="41">
        <f t="shared" si="3"/>
        <v>22.010299956639813</v>
      </c>
      <c r="H28" s="41">
        <f t="shared" si="3"/>
        <v>22.010299956639813</v>
      </c>
      <c r="I28" s="41">
        <f t="shared" si="3"/>
        <v>22.010299956639813</v>
      </c>
    </row>
    <row r="29" spans="1:9">
      <c r="A29" s="20" t="s">
        <v>19</v>
      </c>
      <c r="B29" s="39"/>
      <c r="C29" s="39"/>
      <c r="D29" s="39"/>
      <c r="E29" s="39"/>
      <c r="F29" s="39"/>
      <c r="G29" s="39"/>
      <c r="H29" s="39"/>
      <c r="I29" s="39"/>
    </row>
    <row r="30" spans="1:9" ht="27.6">
      <c r="A30" s="21" t="s">
        <v>154</v>
      </c>
      <c r="B30" s="36">
        <v>4</v>
      </c>
      <c r="C30" s="37">
        <v>4</v>
      </c>
      <c r="D30" s="36">
        <v>4</v>
      </c>
      <c r="E30" s="37">
        <v>4</v>
      </c>
      <c r="F30" s="37">
        <v>256</v>
      </c>
      <c r="G30" s="37">
        <v>256</v>
      </c>
      <c r="H30" s="37">
        <v>256</v>
      </c>
      <c r="I30" s="37">
        <v>256</v>
      </c>
    </row>
    <row r="31" spans="1:9">
      <c r="A31" s="21" t="s">
        <v>246</v>
      </c>
      <c r="B31" s="36">
        <v>2</v>
      </c>
      <c r="C31" s="37">
        <v>2</v>
      </c>
      <c r="D31" s="36">
        <v>2</v>
      </c>
      <c r="E31" s="37">
        <v>2</v>
      </c>
      <c r="F31" s="37">
        <v>2</v>
      </c>
      <c r="G31" s="37">
        <v>2</v>
      </c>
      <c r="H31" s="37">
        <v>2</v>
      </c>
      <c r="I31" s="37">
        <v>2</v>
      </c>
    </row>
    <row r="32" spans="1:9">
      <c r="A32" s="21" t="s">
        <v>20</v>
      </c>
      <c r="B32" s="36">
        <v>0</v>
      </c>
      <c r="C32" s="37">
        <v>0</v>
      </c>
      <c r="D32" s="36">
        <v>0</v>
      </c>
      <c r="E32" s="37">
        <v>0</v>
      </c>
      <c r="F32" s="37">
        <v>8</v>
      </c>
      <c r="G32" s="37">
        <v>8</v>
      </c>
      <c r="H32" s="37">
        <v>8</v>
      </c>
      <c r="I32" s="37">
        <v>8</v>
      </c>
    </row>
    <row r="33" spans="1:10" ht="27.6">
      <c r="A33" s="27" t="s">
        <v>250</v>
      </c>
      <c r="B33" s="42">
        <f t="shared" ref="B33:I33" si="4">IF(B30&gt;=2, 10*LOG10(B30/2), 0)</f>
        <v>3.0102999566398121</v>
      </c>
      <c r="C33" s="42">
        <f t="shared" si="4"/>
        <v>3.0102999566398121</v>
      </c>
      <c r="D33" s="42">
        <f t="shared" si="4"/>
        <v>3.0102999566398121</v>
      </c>
      <c r="E33" s="42">
        <f t="shared" si="4"/>
        <v>3.0102999566398121</v>
      </c>
      <c r="F33" s="42">
        <f>IF(F30&gt;=2, 10*LOG10(F30/2), 0)</f>
        <v>21.072099696478684</v>
      </c>
      <c r="G33" s="42">
        <f t="shared" si="4"/>
        <v>21.072099696478684</v>
      </c>
      <c r="H33" s="42">
        <f t="shared" si="4"/>
        <v>21.072099696478684</v>
      </c>
      <c r="I33" s="42">
        <f t="shared" si="4"/>
        <v>21.072099696478684</v>
      </c>
    </row>
    <row r="34" spans="1:10" ht="27.6">
      <c r="A34" s="21" t="s">
        <v>21</v>
      </c>
      <c r="B34" s="36">
        <v>1</v>
      </c>
      <c r="C34" s="36">
        <v>1</v>
      </c>
      <c r="D34" s="36">
        <v>1</v>
      </c>
      <c r="E34" s="36">
        <v>1</v>
      </c>
      <c r="F34" s="36">
        <v>3</v>
      </c>
      <c r="G34" s="36">
        <v>3</v>
      </c>
      <c r="H34" s="36">
        <v>3</v>
      </c>
      <c r="I34" s="125">
        <v>3</v>
      </c>
    </row>
    <row r="35" spans="1:10">
      <c r="A35" s="21" t="s">
        <v>22</v>
      </c>
      <c r="B35" s="37">
        <v>7</v>
      </c>
      <c r="C35" s="37">
        <v>7</v>
      </c>
      <c r="D35" s="37">
        <v>7</v>
      </c>
      <c r="E35" s="37">
        <v>7</v>
      </c>
      <c r="F35" s="37">
        <v>5</v>
      </c>
      <c r="G35" s="37">
        <v>5</v>
      </c>
      <c r="H35" s="37">
        <v>5</v>
      </c>
      <c r="I35" s="37">
        <v>5</v>
      </c>
    </row>
    <row r="36" spans="1:10">
      <c r="A36" s="21" t="s">
        <v>23</v>
      </c>
      <c r="B36" s="37">
        <v>-174</v>
      </c>
      <c r="C36" s="37">
        <v>-174</v>
      </c>
      <c r="D36" s="37">
        <v>-174</v>
      </c>
      <c r="E36" s="37">
        <v>-174</v>
      </c>
      <c r="F36" s="36">
        <v>-174</v>
      </c>
      <c r="G36" s="37">
        <v>-174</v>
      </c>
      <c r="H36" s="36">
        <v>-174</v>
      </c>
      <c r="I36" s="37">
        <v>-174</v>
      </c>
    </row>
    <row r="37" spans="1:10" ht="27.6">
      <c r="A37" s="21" t="s">
        <v>24</v>
      </c>
      <c r="B37" s="36" t="s">
        <v>205</v>
      </c>
      <c r="C37" s="37">
        <v>-169.3</v>
      </c>
      <c r="D37" s="36" t="s">
        <v>205</v>
      </c>
      <c r="E37" s="37">
        <v>-169.3</v>
      </c>
      <c r="F37" s="37" t="s">
        <v>205</v>
      </c>
      <c r="G37" s="37">
        <v>-161.69999999999999</v>
      </c>
      <c r="H37" s="37" t="s">
        <v>205</v>
      </c>
      <c r="I37" s="37">
        <v>-161.69999999999999</v>
      </c>
    </row>
    <row r="38" spans="1:10">
      <c r="A38" s="21" t="s">
        <v>25</v>
      </c>
      <c r="B38" s="36">
        <v>-169.3</v>
      </c>
      <c r="C38" s="37" t="s">
        <v>205</v>
      </c>
      <c r="D38" s="36">
        <v>-169.3</v>
      </c>
      <c r="E38" s="37" t="s">
        <v>205</v>
      </c>
      <c r="F38" s="37">
        <v>-165.7</v>
      </c>
      <c r="G38" s="37" t="s">
        <v>205</v>
      </c>
      <c r="H38" s="37">
        <v>-165.7</v>
      </c>
      <c r="I38" s="37" t="s">
        <v>205</v>
      </c>
    </row>
    <row r="39" spans="1:10" ht="41.4">
      <c r="A39" s="28" t="s">
        <v>45</v>
      </c>
      <c r="B39" s="41" t="s">
        <v>256</v>
      </c>
      <c r="C39" s="41">
        <f t="shared" ref="C39:I39" si="5">10*LOG10(10^((C35+C36)/10)+10^(C37/10))</f>
        <v>-164.98918835931039</v>
      </c>
      <c r="D39" s="41" t="s">
        <v>256</v>
      </c>
      <c r="E39" s="41">
        <f t="shared" si="5"/>
        <v>-164.98918835931039</v>
      </c>
      <c r="F39" s="41" t="s">
        <v>256</v>
      </c>
      <c r="G39" s="41">
        <f t="shared" si="5"/>
        <v>-160.9583889004532</v>
      </c>
      <c r="H39" s="41" t="s">
        <v>256</v>
      </c>
      <c r="I39" s="41">
        <f t="shared" si="5"/>
        <v>-160.9583889004532</v>
      </c>
    </row>
    <row r="40" spans="1:10" ht="41.4">
      <c r="A40" s="28" t="s">
        <v>46</v>
      </c>
      <c r="B40" s="41">
        <f t="shared" ref="B40:H40" si="6">10*LOG10(10^((B35+B36)/10)+10^(B38/10))</f>
        <v>-164.98918835931039</v>
      </c>
      <c r="C40" s="41" t="s">
        <v>256</v>
      </c>
      <c r="D40" s="41">
        <f t="shared" si="6"/>
        <v>-164.98918835931039</v>
      </c>
      <c r="E40" s="41" t="s">
        <v>256</v>
      </c>
      <c r="F40" s="41">
        <f t="shared" si="6"/>
        <v>-164.03352307536667</v>
      </c>
      <c r="G40" s="41" t="s">
        <v>256</v>
      </c>
      <c r="H40" s="41">
        <f t="shared" si="6"/>
        <v>-164.03352307536667</v>
      </c>
      <c r="I40" s="41" t="s">
        <v>256</v>
      </c>
    </row>
    <row r="41" spans="1:10" ht="27.6">
      <c r="A41" s="21" t="s">
        <v>26</v>
      </c>
      <c r="B41" s="36" t="s">
        <v>205</v>
      </c>
      <c r="C41" s="36">
        <f>'[1]NR MaxN_RB'!$F$6*12*15*1000</f>
        <v>19080000</v>
      </c>
      <c r="D41" s="36" t="s">
        <v>205</v>
      </c>
      <c r="E41" s="36">
        <f>'[1]NR MaxN_RB'!$F$6*12*15*1000</f>
        <v>19080000</v>
      </c>
      <c r="F41" s="37" t="s">
        <v>205</v>
      </c>
      <c r="G41" s="37">
        <f>1*12*30*1000</f>
        <v>360000</v>
      </c>
      <c r="H41" s="37" t="s">
        <v>205</v>
      </c>
      <c r="I41" s="37">
        <f>1*12*30*1000</f>
        <v>360000</v>
      </c>
    </row>
    <row r="42" spans="1:10" ht="27.6">
      <c r="A42" s="21" t="s">
        <v>27</v>
      </c>
      <c r="B42" s="36">
        <f>'[1]NR MaxN_RB'!$F$7*12*30*1000</f>
        <v>18360000</v>
      </c>
      <c r="C42" s="37" t="s">
        <v>205</v>
      </c>
      <c r="D42" s="36">
        <f>'[1]NR MaxN_RB'!$F$7*12*30*1000</f>
        <v>18360000</v>
      </c>
      <c r="E42" s="37" t="s">
        <v>205</v>
      </c>
      <c r="F42" s="37">
        <f>4*12*30*1000</f>
        <v>1440000</v>
      </c>
      <c r="G42" s="37" t="s">
        <v>205</v>
      </c>
      <c r="H42" s="37">
        <f>4*12*30*1000</f>
        <v>1440000</v>
      </c>
      <c r="I42" s="37" t="s">
        <v>205</v>
      </c>
    </row>
    <row r="43" spans="1:10">
      <c r="A43" s="26" t="s">
        <v>28</v>
      </c>
      <c r="B43" s="41" t="s">
        <v>256</v>
      </c>
      <c r="C43" s="41">
        <f t="shared" ref="B43:I44" si="7">C39+10*LOG10(C41)</f>
        <v>-92.18340465562963</v>
      </c>
      <c r="D43" s="41" t="s">
        <v>256</v>
      </c>
      <c r="E43" s="41">
        <f t="shared" si="7"/>
        <v>-92.18340465562963</v>
      </c>
      <c r="F43" s="41" t="s">
        <v>256</v>
      </c>
      <c r="G43" s="41">
        <f t="shared" si="7"/>
        <v>-105.39536389278032</v>
      </c>
      <c r="H43" s="41" t="s">
        <v>256</v>
      </c>
      <c r="I43" s="41">
        <f t="shared" si="7"/>
        <v>-105.39536389278032</v>
      </c>
    </row>
    <row r="44" spans="1:10">
      <c r="A44" s="26" t="s">
        <v>29</v>
      </c>
      <c r="B44" s="41">
        <f t="shared" si="7"/>
        <v>-92.350461590658156</v>
      </c>
      <c r="C44" s="41" t="s">
        <v>256</v>
      </c>
      <c r="D44" s="41">
        <f t="shared" si="7"/>
        <v>-92.350461590658156</v>
      </c>
      <c r="E44" s="41" t="s">
        <v>256</v>
      </c>
      <c r="F44" s="41">
        <f t="shared" si="7"/>
        <v>-102.44989815441417</v>
      </c>
      <c r="G44" s="41" t="s">
        <v>256</v>
      </c>
      <c r="H44" s="41">
        <f t="shared" si="7"/>
        <v>-102.44989815441417</v>
      </c>
      <c r="I44" s="41" t="s">
        <v>256</v>
      </c>
    </row>
    <row r="45" spans="1:10">
      <c r="A45" s="21" t="s">
        <v>30</v>
      </c>
      <c r="B45" s="36" t="s">
        <v>205</v>
      </c>
      <c r="C45" s="76">
        <v>-5.7</v>
      </c>
      <c r="D45" s="76" t="s">
        <v>205</v>
      </c>
      <c r="E45" s="76">
        <v>-5.9</v>
      </c>
      <c r="F45" s="36" t="s">
        <v>205</v>
      </c>
      <c r="G45" s="76">
        <v>-6</v>
      </c>
      <c r="H45" s="76" t="s">
        <v>205</v>
      </c>
      <c r="I45" s="76">
        <v>-6.7</v>
      </c>
    </row>
    <row r="46" spans="1:10" s="114" customFormat="1">
      <c r="A46" s="21" t="s">
        <v>31</v>
      </c>
      <c r="B46" s="36">
        <v>3</v>
      </c>
      <c r="C46" s="36" t="s">
        <v>205</v>
      </c>
      <c r="D46" s="36">
        <v>-0.1</v>
      </c>
      <c r="E46" s="36" t="s">
        <v>205</v>
      </c>
      <c r="F46" s="76">
        <v>2.29</v>
      </c>
      <c r="G46" s="36" t="s">
        <v>205</v>
      </c>
      <c r="H46" s="76">
        <v>1.27</v>
      </c>
      <c r="I46" s="36" t="s">
        <v>205</v>
      </c>
      <c r="J46" s="113"/>
    </row>
    <row r="47" spans="1:10">
      <c r="A47" s="21" t="s">
        <v>32</v>
      </c>
      <c r="B47" s="36">
        <v>2</v>
      </c>
      <c r="C47" s="37">
        <v>2</v>
      </c>
      <c r="D47" s="36">
        <v>2</v>
      </c>
      <c r="E47" s="37">
        <v>2</v>
      </c>
      <c r="F47" s="37">
        <v>2</v>
      </c>
      <c r="G47" s="37">
        <v>2</v>
      </c>
      <c r="H47" s="37">
        <v>2</v>
      </c>
      <c r="I47" s="37">
        <v>2</v>
      </c>
      <c r="J47" s="108"/>
    </row>
    <row r="48" spans="1:10">
      <c r="A48" s="21" t="s">
        <v>33</v>
      </c>
      <c r="B48" s="36" t="s">
        <v>205</v>
      </c>
      <c r="C48" s="37">
        <v>0</v>
      </c>
      <c r="D48" s="36" t="s">
        <v>205</v>
      </c>
      <c r="E48" s="37">
        <v>0</v>
      </c>
      <c r="F48" s="37" t="s">
        <v>205</v>
      </c>
      <c r="G48" s="37">
        <v>0</v>
      </c>
      <c r="H48" s="37" t="s">
        <v>205</v>
      </c>
      <c r="I48" s="37">
        <v>0</v>
      </c>
    </row>
    <row r="49" spans="1:11">
      <c r="A49" s="21" t="s">
        <v>34</v>
      </c>
      <c r="B49" s="36">
        <v>0.5</v>
      </c>
      <c r="C49" s="37" t="s">
        <v>205</v>
      </c>
      <c r="D49" s="36">
        <v>0.5</v>
      </c>
      <c r="E49" s="37" t="s">
        <v>205</v>
      </c>
      <c r="F49" s="37">
        <v>0.5</v>
      </c>
      <c r="G49" s="37" t="s">
        <v>205</v>
      </c>
      <c r="H49" s="37">
        <v>0.5</v>
      </c>
      <c r="I49" s="37" t="s">
        <v>205</v>
      </c>
    </row>
    <row r="50" spans="1:11" ht="27.6">
      <c r="A50" s="28" t="s">
        <v>47</v>
      </c>
      <c r="B50" s="41" t="s">
        <v>256</v>
      </c>
      <c r="C50" s="41">
        <f t="shared" ref="C50:I50" si="8">C43+C45+C47-C48</f>
        <v>-95.883404655629633</v>
      </c>
      <c r="D50" s="41" t="s">
        <v>256</v>
      </c>
      <c r="E50" s="41">
        <f t="shared" si="8"/>
        <v>-96.083404655629636</v>
      </c>
      <c r="F50" s="41" t="s">
        <v>256</v>
      </c>
      <c r="G50" s="41">
        <f t="shared" si="8"/>
        <v>-109.39536389278032</v>
      </c>
      <c r="H50" s="41" t="s">
        <v>256</v>
      </c>
      <c r="I50" s="41">
        <f t="shared" si="8"/>
        <v>-110.09536389278033</v>
      </c>
    </row>
    <row r="51" spans="1:11" ht="27.6">
      <c r="A51" s="28" t="s">
        <v>221</v>
      </c>
      <c r="B51" s="41">
        <f t="shared" ref="B51:H51" si="9">B44+B46+B47-B49</f>
        <v>-87.850461590658156</v>
      </c>
      <c r="C51" s="41" t="s">
        <v>256</v>
      </c>
      <c r="D51" s="41">
        <f t="shared" si="9"/>
        <v>-90.950461590658151</v>
      </c>
      <c r="E51" s="41" t="s">
        <v>256</v>
      </c>
      <c r="F51" s="41">
        <f t="shared" si="9"/>
        <v>-98.659898154414165</v>
      </c>
      <c r="G51" s="41" t="s">
        <v>256</v>
      </c>
      <c r="H51" s="41">
        <f t="shared" si="9"/>
        <v>-99.679898154414175</v>
      </c>
      <c r="I51" s="41" t="s">
        <v>256</v>
      </c>
    </row>
    <row r="52" spans="1:11" ht="27.6">
      <c r="A52" s="28" t="s">
        <v>222</v>
      </c>
      <c r="B52" s="41" t="s">
        <v>256</v>
      </c>
      <c r="C52" s="41">
        <f t="shared" ref="C52:I52" si="10">C27+C32+C33-C50</f>
        <v>169.04820396186665</v>
      </c>
      <c r="D52" s="41" t="s">
        <v>256</v>
      </c>
      <c r="E52" s="41">
        <f t="shared" si="10"/>
        <v>169.24820396186664</v>
      </c>
      <c r="F52" s="41" t="s">
        <v>256</v>
      </c>
      <c r="G52" s="41">
        <f t="shared" si="10"/>
        <v>160.47776354589882</v>
      </c>
      <c r="H52" s="41" t="s">
        <v>256</v>
      </c>
      <c r="I52" s="41">
        <f t="shared" si="10"/>
        <v>161.17776354589881</v>
      </c>
    </row>
    <row r="53" spans="1:11" ht="33.75" customHeight="1">
      <c r="A53" s="28" t="s">
        <v>223</v>
      </c>
      <c r="B53" s="41">
        <f t="shared" ref="B53:H53" si="11">B28+B32+B33-B51</f>
        <v>161.01526089689514</v>
      </c>
      <c r="C53" s="41" t="s">
        <v>256</v>
      </c>
      <c r="D53" s="41">
        <f t="shared" si="11"/>
        <v>164.11526089689517</v>
      </c>
      <c r="E53" s="41" t="s">
        <v>256</v>
      </c>
      <c r="F53" s="41">
        <f t="shared" si="11"/>
        <v>149.74229780753268</v>
      </c>
      <c r="G53" s="41" t="s">
        <v>256</v>
      </c>
      <c r="H53" s="41">
        <f t="shared" si="11"/>
        <v>150.76229780753266</v>
      </c>
      <c r="I53" s="41" t="s">
        <v>256</v>
      </c>
      <c r="K53" s="14"/>
    </row>
    <row r="54" spans="1:11">
      <c r="A54" s="20" t="s">
        <v>35</v>
      </c>
      <c r="B54" s="39"/>
      <c r="C54" s="39"/>
      <c r="D54" s="39"/>
      <c r="E54" s="39"/>
      <c r="F54" s="39"/>
      <c r="G54" s="39"/>
      <c r="H54" s="39"/>
      <c r="I54" s="39"/>
    </row>
    <row r="55" spans="1:11">
      <c r="A55" s="21" t="s">
        <v>36</v>
      </c>
      <c r="B55" s="37">
        <v>6</v>
      </c>
      <c r="C55" s="37">
        <v>6</v>
      </c>
      <c r="D55" s="37">
        <v>6</v>
      </c>
      <c r="E55" s="37">
        <v>6</v>
      </c>
      <c r="F55" s="37">
        <v>6</v>
      </c>
      <c r="G55" s="37">
        <v>6</v>
      </c>
      <c r="H55" s="37">
        <v>6</v>
      </c>
      <c r="I55" s="37">
        <v>6</v>
      </c>
    </row>
    <row r="56" spans="1:11" ht="27.6">
      <c r="A56" s="21" t="s">
        <v>37</v>
      </c>
      <c r="B56" s="111" t="s">
        <v>205</v>
      </c>
      <c r="C56" s="36">
        <v>8.07</v>
      </c>
      <c r="D56" s="44" t="s">
        <v>205</v>
      </c>
      <c r="E56" s="37">
        <v>6.95</v>
      </c>
      <c r="F56" s="111" t="s">
        <v>205</v>
      </c>
      <c r="G56" s="36">
        <v>8.07</v>
      </c>
      <c r="H56" s="44" t="s">
        <v>205</v>
      </c>
      <c r="I56" s="37">
        <v>6.95</v>
      </c>
    </row>
    <row r="57" spans="1:11" ht="27.6">
      <c r="A57" s="21" t="s">
        <v>38</v>
      </c>
      <c r="B57" s="36">
        <v>4.8499999999999996</v>
      </c>
      <c r="C57" s="111" t="s">
        <v>205</v>
      </c>
      <c r="D57" s="37">
        <v>4.03</v>
      </c>
      <c r="E57" s="44" t="s">
        <v>205</v>
      </c>
      <c r="F57" s="36">
        <v>4.8499999999999996</v>
      </c>
      <c r="G57" s="111" t="s">
        <v>205</v>
      </c>
      <c r="H57" s="37">
        <v>4.03</v>
      </c>
      <c r="I57" s="44" t="s">
        <v>205</v>
      </c>
    </row>
    <row r="58" spans="1:11">
      <c r="A58" s="21" t="s">
        <v>39</v>
      </c>
      <c r="B58" s="36">
        <v>0</v>
      </c>
      <c r="C58" s="36">
        <v>0</v>
      </c>
      <c r="D58" s="36">
        <v>0</v>
      </c>
      <c r="E58" s="36">
        <v>0</v>
      </c>
      <c r="F58" s="36">
        <v>0</v>
      </c>
      <c r="G58" s="36">
        <v>0</v>
      </c>
      <c r="H58" s="36">
        <v>0</v>
      </c>
      <c r="I58" s="36">
        <v>0</v>
      </c>
    </row>
    <row r="59" spans="1:11" ht="16.5" customHeight="1">
      <c r="A59" s="21" t="s">
        <v>40</v>
      </c>
      <c r="B59" s="36">
        <v>9</v>
      </c>
      <c r="C59" s="36">
        <v>9</v>
      </c>
      <c r="D59" s="36">
        <v>26.25</v>
      </c>
      <c r="E59" s="36">
        <v>26.25</v>
      </c>
      <c r="F59" s="36">
        <v>9</v>
      </c>
      <c r="G59" s="36">
        <v>9</v>
      </c>
      <c r="H59" s="36">
        <v>26.25</v>
      </c>
      <c r="I59" s="36">
        <v>26.25</v>
      </c>
      <c r="J59" s="115"/>
    </row>
    <row r="60" spans="1:11">
      <c r="A60" s="21" t="s">
        <v>41</v>
      </c>
      <c r="B60" s="37">
        <v>0</v>
      </c>
      <c r="C60" s="37">
        <v>0</v>
      </c>
      <c r="D60" s="37">
        <v>0</v>
      </c>
      <c r="E60" s="37">
        <v>0</v>
      </c>
      <c r="F60" s="37">
        <v>0</v>
      </c>
      <c r="G60" s="37">
        <v>0</v>
      </c>
      <c r="H60" s="37">
        <v>0</v>
      </c>
      <c r="I60" s="37">
        <v>0</v>
      </c>
    </row>
    <row r="61" spans="1:11" ht="27.6">
      <c r="A61" s="28" t="s">
        <v>210</v>
      </c>
      <c r="B61" s="41" t="s">
        <v>256</v>
      </c>
      <c r="C61" s="41">
        <f t="shared" ref="C61:I61" si="12">C52-C56+C58-C59+C60-C34</f>
        <v>150.97820396186665</v>
      </c>
      <c r="D61" s="41" t="s">
        <v>256</v>
      </c>
      <c r="E61" s="41">
        <f t="shared" si="12"/>
        <v>135.04820396186665</v>
      </c>
      <c r="F61" s="41" t="s">
        <v>256</v>
      </c>
      <c r="G61" s="41">
        <f t="shared" si="12"/>
        <v>140.40776354589883</v>
      </c>
      <c r="H61" s="41" t="s">
        <v>256</v>
      </c>
      <c r="I61" s="41">
        <f t="shared" si="12"/>
        <v>124.97776354589882</v>
      </c>
    </row>
    <row r="62" spans="1:11" ht="27.6">
      <c r="A62" s="28" t="s">
        <v>49</v>
      </c>
      <c r="B62" s="41">
        <f t="shared" ref="B62:H62" si="13">B53-B57+B58-B59+B60-B34</f>
        <v>146.16526089689515</v>
      </c>
      <c r="C62" s="41" t="s">
        <v>256</v>
      </c>
      <c r="D62" s="41">
        <f t="shared" si="13"/>
        <v>132.83526089689516</v>
      </c>
      <c r="E62" s="41" t="s">
        <v>256</v>
      </c>
      <c r="F62" s="41">
        <f t="shared" si="13"/>
        <v>132.89229780753269</v>
      </c>
      <c r="G62" s="41" t="s">
        <v>256</v>
      </c>
      <c r="H62" s="41">
        <f t="shared" si="13"/>
        <v>117.48229780753266</v>
      </c>
      <c r="I62" s="41" t="s">
        <v>256</v>
      </c>
    </row>
    <row r="63" spans="1:11">
      <c r="A63" s="20" t="s">
        <v>42</v>
      </c>
      <c r="B63" s="39"/>
      <c r="C63" s="39"/>
      <c r="D63" s="39"/>
      <c r="E63" s="39"/>
      <c r="F63" s="39"/>
      <c r="G63" s="39"/>
      <c r="H63" s="39"/>
      <c r="I63" s="39"/>
    </row>
    <row r="64" spans="1:11" ht="27.6">
      <c r="A64" s="30" t="s">
        <v>43</v>
      </c>
      <c r="B64" s="37" t="s">
        <v>205</v>
      </c>
      <c r="C64" s="37">
        <f>10^((C61-161.04+7.1*LOG10(20)-7.5*LOG10(20)+(24.37-3.7*(20/C5)^2)*LOG10(C5)-20*LOG10(C4)+(3.2*(LOG10(17.625))^2-4.97)+0.6*(C6-1.5))/(43.42-3.1*LOG10(C5))+3)</f>
        <v>1614.6610934401747</v>
      </c>
      <c r="D64" s="37" t="s">
        <v>205</v>
      </c>
      <c r="E64" s="37">
        <f>10^((E61-161.04+7.1*LOG10(20)-7.5*LOG10(20)+(24.37-3.7*(20/E5)^2)*LOG10(E5)-20*LOG10(E4)+(3.2*(LOG10(17.625))^2-4.97)+0.6*(E6-1.5))/(43.42-3.1*LOG10(E5))+3)</f>
        <v>631.71704492821902</v>
      </c>
      <c r="F64" s="37" t="s">
        <v>205</v>
      </c>
      <c r="G64" s="37">
        <f>10^((G61-161.04+7.1*LOG10(20)-7.5*LOG10(20)+(24.37-3.7*(20/G5)^2)*LOG10(G5)-20*LOG10(G4)+(3.2*(LOG10(17.625))^2-4.97)+0.6*(G6-1.5))/(43.42-3.1*LOG10(G5))+3)</f>
        <v>866.25045093393442</v>
      </c>
      <c r="H64" s="37" t="s">
        <v>205</v>
      </c>
      <c r="I64" s="37">
        <f>10^((I61-161.04+7.1*LOG10(20)-7.5*LOG10(20)+(24.37-3.7*(20/I5)^2)*LOG10(I5)-20*LOG10(I4)+(3.2*(LOG10(17.625))^2-4.97)+0.6*(I6-1.5))/(43.42-3.1*LOG10(I5))+3)</f>
        <v>349.04133892676913</v>
      </c>
    </row>
    <row r="65" spans="1:11" ht="27.6">
      <c r="A65" s="30" t="s">
        <v>44</v>
      </c>
      <c r="B65" s="37">
        <f>10^((B62-161.04+7.1*LOG10(20)-7.5*LOG10(20)+(24.37-3.7*(20/B5)^2)*LOG10(B5)-20*LOG10(B4)+(3.2*(LOG10(17.625))^2-4.97)+0.6*(B6-1.5))/(43.42-3.1*LOG10(B5))+3)</f>
        <v>1216.0329240535029</v>
      </c>
      <c r="C65" s="37" t="s">
        <v>205</v>
      </c>
      <c r="D65" s="37">
        <f>10^((D62-161.04+7.1*LOG10(20)-7.5*LOG10(20)+(24.37-3.7*(20/D5)^2)*LOG10(D5)-20*LOG10(D4)+(3.2*(LOG10(17.625))^2-4.97)+0.6*(D6-1.5))/(43.42-3.1*LOG10(D5))+3)</f>
        <v>554.50551859287646</v>
      </c>
      <c r="E65" s="37" t="s">
        <v>205</v>
      </c>
      <c r="F65" s="37">
        <f>10^((F62-161.04+7.1*LOG10(20)-7.5*LOG10(20)+(24.37-3.7*(20/F5)^2)*LOG10(F5)-20*LOG10(F4)+(3.2*(LOG10(17.625))^2-4.97)+0.6*(F6-1.5))/(43.42-3.1*LOG10(F5))+3)</f>
        <v>556.37182037149205</v>
      </c>
      <c r="G65" s="37" t="s">
        <v>205</v>
      </c>
      <c r="H65" s="37">
        <f>10^((H62-161.04+7.1*LOG10(20)-7.5*LOG10(20)+(24.37-3.7*(20/H5)^2)*LOG10(H5)-20*LOG10(H4)+(3.2*(LOG10(17.625))^2-4.97)+0.6*(H6-1.5))/(43.42-3.1*LOG10(H5))+3)</f>
        <v>224.4451393815888</v>
      </c>
      <c r="I65" s="37" t="s">
        <v>205</v>
      </c>
      <c r="K65" s="15"/>
    </row>
    <row r="66" spans="1:11" ht="16.8">
      <c r="A66" s="30" t="s">
        <v>114</v>
      </c>
      <c r="B66" s="37" t="s">
        <v>205</v>
      </c>
      <c r="C66" s="37">
        <f>PI()*(C64)^2</f>
        <v>8190541.8582069278</v>
      </c>
      <c r="D66" s="37" t="s">
        <v>205</v>
      </c>
      <c r="E66" s="37">
        <f>PI()*(E64)^2</f>
        <v>1253704.1486120301</v>
      </c>
      <c r="F66" s="37" t="s">
        <v>205</v>
      </c>
      <c r="G66" s="37">
        <f>PI()*(G64)^2</f>
        <v>2357419.2204321707</v>
      </c>
      <c r="H66" s="37" t="s">
        <v>205</v>
      </c>
      <c r="I66" s="37">
        <f>PI()*(I64)^2</f>
        <v>382739.78147649398</v>
      </c>
    </row>
    <row r="67" spans="1:11" ht="16.8">
      <c r="A67" s="30" t="s">
        <v>115</v>
      </c>
      <c r="B67" s="37">
        <f>PI()*(B65)^2</f>
        <v>4645586.3815938691</v>
      </c>
      <c r="C67" s="37" t="s">
        <v>205</v>
      </c>
      <c r="D67" s="37">
        <f>PI()*(D65)^2</f>
        <v>965965.50561555417</v>
      </c>
      <c r="E67" s="37" t="s">
        <v>205</v>
      </c>
      <c r="F67" s="37">
        <f>PI()*(F65)^2</f>
        <v>972478.75714659807</v>
      </c>
      <c r="G67" s="37" t="s">
        <v>205</v>
      </c>
      <c r="H67" s="37">
        <f>PI()*(H65)^2</f>
        <v>158259.67957191932</v>
      </c>
      <c r="I67" s="37" t="s">
        <v>205</v>
      </c>
    </row>
  </sheetData>
  <mergeCells count="2">
    <mergeCell ref="B1:E1"/>
    <mergeCell ref="F1:I1"/>
  </mergeCells>
  <phoneticPr fontId="1" type="noConversion"/>
  <dataValidations count="1">
    <dataValidation type="list" allowBlank="1" showInputMessage="1" showErrorMessage="1" sqref="F34:H34 B26:E26">
      <formula1>"0,3"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abSelected="1" zoomScale="70" zoomScaleNormal="70" workbookViewId="0">
      <pane xSplit="1" ySplit="2" topLeftCell="B42" activePane="bottomRight" state="frozen"/>
      <selection pane="topRight" activeCell="B1" sqref="B1"/>
      <selection pane="bottomLeft" activeCell="A3" sqref="A3"/>
      <selection pane="bottomRight" activeCell="I60" sqref="I60"/>
    </sheetView>
  </sheetViews>
  <sheetFormatPr defaultRowHeight="15.6"/>
  <cols>
    <col min="1" max="1" width="69" style="50" customWidth="1"/>
    <col min="2" max="2" width="22.69921875" style="44" bestFit="1" customWidth="1"/>
    <col min="3" max="3" width="18.3984375" style="44" bestFit="1" customWidth="1"/>
    <col min="4" max="4" width="18.69921875" style="44" customWidth="1"/>
    <col min="5" max="5" width="19.3984375" style="44" customWidth="1"/>
    <col min="6" max="6" width="20.09765625" style="50" customWidth="1"/>
    <col min="7" max="8" width="18.09765625" style="50" customWidth="1"/>
    <col min="9" max="9" width="17.3984375" style="50" customWidth="1"/>
  </cols>
  <sheetData>
    <row r="1" spans="1:9">
      <c r="A1" s="56" t="s">
        <v>0</v>
      </c>
      <c r="B1" s="139" t="s">
        <v>132</v>
      </c>
      <c r="C1" s="139"/>
      <c r="D1" s="139"/>
      <c r="E1" s="140"/>
      <c r="F1" s="141" t="s">
        <v>133</v>
      </c>
      <c r="G1" s="141"/>
      <c r="H1" s="141"/>
      <c r="I1" s="141"/>
    </row>
    <row r="2" spans="1:9" ht="27.6">
      <c r="A2" s="57"/>
      <c r="B2" s="47" t="s">
        <v>194</v>
      </c>
      <c r="C2" s="47" t="s">
        <v>56</v>
      </c>
      <c r="D2" s="47" t="s">
        <v>195</v>
      </c>
      <c r="E2" s="47" t="s">
        <v>196</v>
      </c>
      <c r="F2" s="47" t="s">
        <v>197</v>
      </c>
      <c r="G2" s="47" t="s">
        <v>198</v>
      </c>
      <c r="H2" s="47" t="s">
        <v>199</v>
      </c>
      <c r="I2" s="47" t="s">
        <v>200</v>
      </c>
    </row>
    <row r="3" spans="1:9">
      <c r="A3" s="39" t="s">
        <v>1</v>
      </c>
      <c r="B3" s="58"/>
      <c r="C3" s="58"/>
      <c r="D3" s="58"/>
      <c r="E3" s="58"/>
      <c r="F3" s="58"/>
      <c r="G3" s="58"/>
      <c r="H3" s="58"/>
      <c r="I3" s="58"/>
    </row>
    <row r="4" spans="1:9">
      <c r="A4" s="59" t="s">
        <v>2</v>
      </c>
      <c r="B4" s="38">
        <v>0.7</v>
      </c>
      <c r="C4" s="60">
        <v>0.7</v>
      </c>
      <c r="D4" s="38">
        <v>0.7</v>
      </c>
      <c r="E4" s="60">
        <v>0.7</v>
      </c>
      <c r="F4" s="38">
        <v>0.7</v>
      </c>
      <c r="G4" s="60">
        <v>0.7</v>
      </c>
      <c r="H4" s="38">
        <v>0.7</v>
      </c>
      <c r="I4" s="60">
        <v>0.7</v>
      </c>
    </row>
    <row r="5" spans="1:9">
      <c r="A5" s="59" t="s">
        <v>3</v>
      </c>
      <c r="B5" s="60">
        <v>35</v>
      </c>
      <c r="C5" s="60">
        <v>35</v>
      </c>
      <c r="D5" s="60">
        <v>35</v>
      </c>
      <c r="E5" s="60">
        <v>35</v>
      </c>
      <c r="F5" s="60">
        <v>35</v>
      </c>
      <c r="G5" s="60">
        <v>35</v>
      </c>
      <c r="H5" s="60">
        <v>35</v>
      </c>
      <c r="I5" s="60">
        <v>35</v>
      </c>
    </row>
    <row r="6" spans="1:9">
      <c r="A6" s="59" t="s">
        <v>4</v>
      </c>
      <c r="B6" s="38">
        <v>1.5</v>
      </c>
      <c r="C6" s="60">
        <v>1.5</v>
      </c>
      <c r="D6" s="38">
        <v>1.5</v>
      </c>
      <c r="E6" s="60">
        <v>1.5</v>
      </c>
      <c r="F6" s="38">
        <v>1.5</v>
      </c>
      <c r="G6" s="60">
        <v>1.5</v>
      </c>
      <c r="H6" s="38">
        <v>1.5</v>
      </c>
      <c r="I6" s="60">
        <v>1.5</v>
      </c>
    </row>
    <row r="7" spans="1:9" ht="29.4">
      <c r="A7" s="59" t="s">
        <v>109</v>
      </c>
      <c r="B7" s="22" t="s">
        <v>62</v>
      </c>
      <c r="C7" s="54">
        <v>0.95</v>
      </c>
      <c r="D7" s="22" t="s">
        <v>62</v>
      </c>
      <c r="E7" s="54">
        <v>0.95</v>
      </c>
      <c r="F7" s="54" t="s">
        <v>101</v>
      </c>
      <c r="G7" s="23">
        <v>0.95</v>
      </c>
      <c r="H7" s="54" t="s">
        <v>101</v>
      </c>
      <c r="I7" s="23">
        <v>0.95</v>
      </c>
    </row>
    <row r="8" spans="1:9" ht="29.4">
      <c r="A8" s="59" t="s">
        <v>110</v>
      </c>
      <c r="B8" s="22">
        <v>0.9</v>
      </c>
      <c r="C8" s="54" t="s">
        <v>101</v>
      </c>
      <c r="D8" s="22">
        <v>0.9</v>
      </c>
      <c r="E8" s="54" t="s">
        <v>101</v>
      </c>
      <c r="F8" s="54">
        <v>0.9</v>
      </c>
      <c r="G8" s="23" t="s">
        <v>62</v>
      </c>
      <c r="H8" s="54">
        <v>0.9</v>
      </c>
      <c r="I8" s="23" t="s">
        <v>62</v>
      </c>
    </row>
    <row r="9" spans="1:9">
      <c r="A9" s="59" t="s">
        <v>5</v>
      </c>
      <c r="B9" s="36" t="s">
        <v>63</v>
      </c>
      <c r="C9" s="37">
        <f>64/(0.001)</f>
        <v>64000</v>
      </c>
      <c r="D9" s="36" t="s">
        <v>63</v>
      </c>
      <c r="E9" s="37">
        <f>64/(0.001)</f>
        <v>64000</v>
      </c>
      <c r="F9" s="60" t="s">
        <v>101</v>
      </c>
      <c r="G9" s="37">
        <f>2/(0.001)</f>
        <v>2000</v>
      </c>
      <c r="H9" s="60" t="s">
        <v>101</v>
      </c>
      <c r="I9" s="37">
        <f>2/(0.001)</f>
        <v>2000</v>
      </c>
    </row>
    <row r="10" spans="1:9" ht="30" customHeight="1">
      <c r="A10" s="59" t="s">
        <v>6</v>
      </c>
      <c r="B10" s="36">
        <f>1994400*3</f>
        <v>5983200</v>
      </c>
      <c r="C10" s="60" t="s">
        <v>101</v>
      </c>
      <c r="D10" s="36">
        <f>1994400*3</f>
        <v>5983200</v>
      </c>
      <c r="E10" s="60" t="s">
        <v>101</v>
      </c>
      <c r="F10" s="60">
        <f>187200*3</f>
        <v>561600</v>
      </c>
      <c r="G10" s="37" t="s">
        <v>62</v>
      </c>
      <c r="H10" s="60">
        <f>187200*3</f>
        <v>561600</v>
      </c>
      <c r="I10" s="37" t="s">
        <v>62</v>
      </c>
    </row>
    <row r="11" spans="1:9">
      <c r="A11" s="59" t="s">
        <v>7</v>
      </c>
      <c r="B11" s="22" t="s">
        <v>62</v>
      </c>
      <c r="C11" s="54">
        <v>0.01</v>
      </c>
      <c r="D11" s="22" t="s">
        <v>62</v>
      </c>
      <c r="E11" s="54">
        <v>0.01</v>
      </c>
      <c r="F11" s="54" t="s">
        <v>101</v>
      </c>
      <c r="G11" s="23">
        <v>0.01</v>
      </c>
      <c r="H11" s="54" t="s">
        <v>101</v>
      </c>
      <c r="I11" s="23">
        <v>0.01</v>
      </c>
    </row>
    <row r="12" spans="1:9">
      <c r="A12" s="59" t="s">
        <v>8</v>
      </c>
      <c r="B12" s="22">
        <v>0.1</v>
      </c>
      <c r="C12" s="54" t="s">
        <v>101</v>
      </c>
      <c r="D12" s="22">
        <v>0.1</v>
      </c>
      <c r="E12" s="54" t="s">
        <v>101</v>
      </c>
      <c r="F12" s="54">
        <v>0.1</v>
      </c>
      <c r="G12" s="23" t="s">
        <v>62</v>
      </c>
      <c r="H12" s="54">
        <v>0.1</v>
      </c>
      <c r="I12" s="23" t="s">
        <v>62</v>
      </c>
    </row>
    <row r="13" spans="1:9">
      <c r="A13" s="59" t="s">
        <v>111</v>
      </c>
      <c r="B13" s="36">
        <f>B10/B42</f>
        <v>0.63923076923076927</v>
      </c>
      <c r="C13" s="60" t="s">
        <v>101</v>
      </c>
      <c r="D13" s="36">
        <f>D10/D42</f>
        <v>0.63923076923076927</v>
      </c>
      <c r="E13" s="60" t="s">
        <v>101</v>
      </c>
      <c r="F13" s="36">
        <f>F10/F42</f>
        <v>0.78</v>
      </c>
      <c r="G13" s="37" t="s">
        <v>63</v>
      </c>
      <c r="H13" s="36">
        <f>H10/H42</f>
        <v>0.78</v>
      </c>
      <c r="I13" s="37" t="s">
        <v>63</v>
      </c>
    </row>
    <row r="14" spans="1:9">
      <c r="A14" s="59" t="s">
        <v>112</v>
      </c>
      <c r="B14" s="60" t="s">
        <v>99</v>
      </c>
      <c r="C14" s="60" t="s">
        <v>99</v>
      </c>
      <c r="D14" s="60" t="s">
        <v>100</v>
      </c>
      <c r="E14" s="60" t="s">
        <v>100</v>
      </c>
      <c r="F14" s="60" t="s">
        <v>99</v>
      </c>
      <c r="G14" s="60" t="s">
        <v>99</v>
      </c>
      <c r="H14" s="60" t="s">
        <v>100</v>
      </c>
      <c r="I14" s="60" t="s">
        <v>100</v>
      </c>
    </row>
    <row r="15" spans="1:9">
      <c r="A15" s="59" t="s">
        <v>123</v>
      </c>
      <c r="B15" s="36">
        <v>120</v>
      </c>
      <c r="C15" s="37">
        <v>120</v>
      </c>
      <c r="D15" s="36">
        <v>3</v>
      </c>
      <c r="E15" s="37">
        <v>3</v>
      </c>
      <c r="F15" s="36">
        <v>120</v>
      </c>
      <c r="G15" s="37">
        <v>120</v>
      </c>
      <c r="H15" s="37">
        <v>3</v>
      </c>
      <c r="I15" s="37">
        <v>3</v>
      </c>
    </row>
    <row r="16" spans="1:9">
      <c r="A16" s="59" t="s">
        <v>9</v>
      </c>
      <c r="B16" s="36">
        <v>3</v>
      </c>
      <c r="C16" s="60">
        <v>3</v>
      </c>
      <c r="D16" s="36">
        <v>3</v>
      </c>
      <c r="E16" s="60">
        <v>3</v>
      </c>
      <c r="F16" s="60">
        <v>3</v>
      </c>
      <c r="G16" s="37">
        <v>3</v>
      </c>
      <c r="H16" s="60">
        <v>3</v>
      </c>
      <c r="I16" s="37">
        <v>3</v>
      </c>
    </row>
    <row r="17" spans="1:9">
      <c r="A17" s="39" t="s">
        <v>10</v>
      </c>
      <c r="B17" s="58"/>
      <c r="C17" s="58"/>
      <c r="D17" s="58"/>
      <c r="E17" s="58"/>
      <c r="F17" s="58"/>
      <c r="G17" s="58"/>
      <c r="H17" s="58"/>
      <c r="I17" s="58"/>
    </row>
    <row r="18" spans="1:9" ht="27.6">
      <c r="A18" s="59" t="s">
        <v>124</v>
      </c>
      <c r="B18" s="36">
        <v>64</v>
      </c>
      <c r="C18" s="60">
        <v>64</v>
      </c>
      <c r="D18" s="36">
        <v>64</v>
      </c>
      <c r="E18" s="60">
        <v>64</v>
      </c>
      <c r="F18" s="37">
        <v>1</v>
      </c>
      <c r="G18" s="60">
        <v>1</v>
      </c>
      <c r="H18" s="37">
        <v>1</v>
      </c>
      <c r="I18" s="60">
        <v>1</v>
      </c>
    </row>
    <row r="19" spans="1:9">
      <c r="A19" s="59" t="s">
        <v>247</v>
      </c>
      <c r="B19" s="36">
        <v>2</v>
      </c>
      <c r="C19" s="60">
        <v>2</v>
      </c>
      <c r="D19" s="36">
        <v>2</v>
      </c>
      <c r="E19" s="60">
        <v>2</v>
      </c>
      <c r="F19" s="37">
        <v>1</v>
      </c>
      <c r="G19" s="60">
        <v>1</v>
      </c>
      <c r="H19" s="37">
        <v>1</v>
      </c>
      <c r="I19" s="60">
        <v>1</v>
      </c>
    </row>
    <row r="20" spans="1:9">
      <c r="A20" s="59" t="s">
        <v>11</v>
      </c>
      <c r="B20" s="36">
        <v>28</v>
      </c>
      <c r="C20" s="60">
        <v>28</v>
      </c>
      <c r="D20" s="36">
        <v>28</v>
      </c>
      <c r="E20" s="60">
        <v>28</v>
      </c>
      <c r="F20" s="37">
        <v>23</v>
      </c>
      <c r="G20" s="60">
        <v>23</v>
      </c>
      <c r="H20" s="37">
        <v>23</v>
      </c>
      <c r="I20" s="60">
        <v>23</v>
      </c>
    </row>
    <row r="21" spans="1:9" ht="27.6">
      <c r="A21" s="61" t="s">
        <v>125</v>
      </c>
      <c r="B21" s="42">
        <f t="shared" ref="B21:I21" si="0">B20+10*LOG10(B18)</f>
        <v>46.061799739838875</v>
      </c>
      <c r="C21" s="42">
        <f t="shared" si="0"/>
        <v>46.061799739838875</v>
      </c>
      <c r="D21" s="42">
        <f t="shared" si="0"/>
        <v>46.061799739838875</v>
      </c>
      <c r="E21" s="42">
        <f t="shared" si="0"/>
        <v>46.061799739838875</v>
      </c>
      <c r="F21" s="42">
        <f t="shared" si="0"/>
        <v>23</v>
      </c>
      <c r="G21" s="42">
        <f t="shared" si="0"/>
        <v>23</v>
      </c>
      <c r="H21" s="42">
        <f t="shared" si="0"/>
        <v>23</v>
      </c>
      <c r="I21" s="42">
        <f t="shared" si="0"/>
        <v>23</v>
      </c>
    </row>
    <row r="22" spans="1:9" ht="45" customHeight="1">
      <c r="A22" s="59" t="s">
        <v>12</v>
      </c>
      <c r="B22" s="36">
        <v>8</v>
      </c>
      <c r="C22" s="60">
        <v>8</v>
      </c>
      <c r="D22" s="36">
        <v>8</v>
      </c>
      <c r="E22" s="60">
        <v>8</v>
      </c>
      <c r="F22" s="37">
        <v>0</v>
      </c>
      <c r="G22" s="60">
        <v>0</v>
      </c>
      <c r="H22" s="37">
        <v>0</v>
      </c>
      <c r="I22" s="60">
        <v>0</v>
      </c>
    </row>
    <row r="23" spans="1:9" ht="27.6">
      <c r="A23" s="62" t="s">
        <v>13</v>
      </c>
      <c r="B23" s="42">
        <f t="shared" ref="B23:I23" si="1">IF(B18&gt;=2, 10*LOG10(B18/2), 0)</f>
        <v>15.051499783199061</v>
      </c>
      <c r="C23" s="42">
        <f t="shared" si="1"/>
        <v>15.051499783199061</v>
      </c>
      <c r="D23" s="42">
        <f t="shared" si="1"/>
        <v>15.051499783199061</v>
      </c>
      <c r="E23" s="42">
        <f t="shared" si="1"/>
        <v>15.051499783199061</v>
      </c>
      <c r="F23" s="42">
        <f t="shared" si="1"/>
        <v>0</v>
      </c>
      <c r="G23" s="42">
        <f t="shared" si="1"/>
        <v>0</v>
      </c>
      <c r="H23" s="42">
        <f t="shared" si="1"/>
        <v>0</v>
      </c>
      <c r="I23" s="42">
        <f t="shared" si="1"/>
        <v>0</v>
      </c>
    </row>
    <row r="24" spans="1:9">
      <c r="A24" s="59" t="s">
        <v>14</v>
      </c>
      <c r="B24" s="36">
        <v>0</v>
      </c>
      <c r="C24" s="37">
        <v>0</v>
      </c>
      <c r="D24" s="36">
        <v>0</v>
      </c>
      <c r="E24" s="37">
        <v>0</v>
      </c>
      <c r="F24" s="37">
        <v>0</v>
      </c>
      <c r="G24" s="37">
        <v>0</v>
      </c>
      <c r="H24" s="37">
        <v>0</v>
      </c>
      <c r="I24" s="37">
        <v>0</v>
      </c>
    </row>
    <row r="25" spans="1:9">
      <c r="A25" s="59" t="s">
        <v>15</v>
      </c>
      <c r="B25" s="36">
        <v>0</v>
      </c>
      <c r="C25" s="37">
        <v>0</v>
      </c>
      <c r="D25" s="36">
        <v>0</v>
      </c>
      <c r="E25" s="37">
        <v>0</v>
      </c>
      <c r="F25" s="37">
        <v>0</v>
      </c>
      <c r="G25" s="37">
        <v>0</v>
      </c>
      <c r="H25" s="37">
        <v>0</v>
      </c>
      <c r="I25" s="37">
        <v>0</v>
      </c>
    </row>
    <row r="26" spans="1:9" ht="27.6">
      <c r="A26" s="59" t="s">
        <v>16</v>
      </c>
      <c r="B26" s="36">
        <v>3</v>
      </c>
      <c r="C26" s="37">
        <v>3</v>
      </c>
      <c r="D26" s="36">
        <v>3</v>
      </c>
      <c r="E26" s="37">
        <v>3</v>
      </c>
      <c r="F26" s="37">
        <v>1</v>
      </c>
      <c r="G26" s="37">
        <v>1</v>
      </c>
      <c r="H26" s="37">
        <v>1</v>
      </c>
      <c r="I26" s="37">
        <v>1</v>
      </c>
    </row>
    <row r="27" spans="1:9">
      <c r="A27" s="63" t="s">
        <v>17</v>
      </c>
      <c r="B27" s="41">
        <f t="shared" ref="B27:I27" si="2">B21+B22+B23+B24-B26</f>
        <v>66.113299523037938</v>
      </c>
      <c r="C27" s="41">
        <f t="shared" si="2"/>
        <v>66.113299523037938</v>
      </c>
      <c r="D27" s="41">
        <f t="shared" si="2"/>
        <v>66.113299523037938</v>
      </c>
      <c r="E27" s="41">
        <f t="shared" si="2"/>
        <v>66.113299523037938</v>
      </c>
      <c r="F27" s="41">
        <f t="shared" si="2"/>
        <v>22</v>
      </c>
      <c r="G27" s="41">
        <f t="shared" si="2"/>
        <v>22</v>
      </c>
      <c r="H27" s="41">
        <f t="shared" si="2"/>
        <v>22</v>
      </c>
      <c r="I27" s="41">
        <f t="shared" si="2"/>
        <v>22</v>
      </c>
    </row>
    <row r="28" spans="1:9">
      <c r="A28" s="63" t="s">
        <v>18</v>
      </c>
      <c r="B28" s="41">
        <f t="shared" ref="B28:I28" si="3">B21+B22+B23-B25-B26</f>
        <v>66.113299523037938</v>
      </c>
      <c r="C28" s="41">
        <f t="shared" si="3"/>
        <v>66.113299523037938</v>
      </c>
      <c r="D28" s="41">
        <f t="shared" si="3"/>
        <v>66.113299523037938</v>
      </c>
      <c r="E28" s="41">
        <f t="shared" si="3"/>
        <v>66.113299523037938</v>
      </c>
      <c r="F28" s="41">
        <f t="shared" si="3"/>
        <v>22</v>
      </c>
      <c r="G28" s="41">
        <f t="shared" si="3"/>
        <v>22</v>
      </c>
      <c r="H28" s="41">
        <f t="shared" si="3"/>
        <v>22</v>
      </c>
      <c r="I28" s="41">
        <f t="shared" si="3"/>
        <v>22</v>
      </c>
    </row>
    <row r="29" spans="1:9">
      <c r="A29" s="39" t="s">
        <v>19</v>
      </c>
      <c r="B29" s="58"/>
      <c r="C29" s="58"/>
      <c r="D29" s="58"/>
      <c r="E29" s="58"/>
      <c r="F29" s="58"/>
      <c r="G29" s="58"/>
      <c r="H29" s="58"/>
      <c r="I29" s="58"/>
    </row>
    <row r="30" spans="1:9" ht="27.6">
      <c r="A30" s="59" t="s">
        <v>126</v>
      </c>
      <c r="B30" s="36">
        <v>2</v>
      </c>
      <c r="C30" s="60">
        <v>2</v>
      </c>
      <c r="D30" s="36">
        <v>2</v>
      </c>
      <c r="E30" s="60">
        <v>2</v>
      </c>
      <c r="F30" s="60">
        <v>64</v>
      </c>
      <c r="G30" s="60">
        <v>64</v>
      </c>
      <c r="H30" s="60">
        <v>64</v>
      </c>
      <c r="I30" s="60">
        <v>64</v>
      </c>
    </row>
    <row r="31" spans="1:9">
      <c r="A31" s="59" t="s">
        <v>248</v>
      </c>
      <c r="B31" s="36">
        <v>2</v>
      </c>
      <c r="C31" s="60">
        <v>2</v>
      </c>
      <c r="D31" s="36">
        <v>2</v>
      </c>
      <c r="E31" s="60">
        <v>2</v>
      </c>
      <c r="F31" s="60">
        <v>2</v>
      </c>
      <c r="G31" s="60">
        <v>2</v>
      </c>
      <c r="H31" s="60">
        <v>2</v>
      </c>
      <c r="I31" s="60">
        <v>2</v>
      </c>
    </row>
    <row r="32" spans="1:9">
      <c r="A32" s="59" t="s">
        <v>20</v>
      </c>
      <c r="B32" s="36">
        <v>0</v>
      </c>
      <c r="C32" s="60">
        <v>0</v>
      </c>
      <c r="D32" s="36">
        <v>0</v>
      </c>
      <c r="E32" s="60">
        <v>0</v>
      </c>
      <c r="F32" s="60">
        <v>8</v>
      </c>
      <c r="G32" s="60">
        <v>8</v>
      </c>
      <c r="H32" s="60">
        <v>8</v>
      </c>
      <c r="I32" s="60">
        <v>8</v>
      </c>
    </row>
    <row r="33" spans="1:9" ht="27.6">
      <c r="A33" s="64" t="s">
        <v>249</v>
      </c>
      <c r="B33" s="42">
        <f t="shared" ref="B33:I33" si="4">IF(B30&gt;=2, 10*LOG10(B30/2), 0)</f>
        <v>0</v>
      </c>
      <c r="C33" s="42">
        <f t="shared" si="4"/>
        <v>0</v>
      </c>
      <c r="D33" s="42">
        <f t="shared" si="4"/>
        <v>0</v>
      </c>
      <c r="E33" s="42">
        <f t="shared" si="4"/>
        <v>0</v>
      </c>
      <c r="F33" s="42">
        <f t="shared" si="4"/>
        <v>15.051499783199061</v>
      </c>
      <c r="G33" s="42">
        <f t="shared" si="4"/>
        <v>15.051499783199061</v>
      </c>
      <c r="H33" s="42">
        <f t="shared" si="4"/>
        <v>15.051499783199061</v>
      </c>
      <c r="I33" s="42">
        <f t="shared" si="4"/>
        <v>15.051499783199061</v>
      </c>
    </row>
    <row r="34" spans="1:9" ht="27.6">
      <c r="A34" s="59" t="s">
        <v>21</v>
      </c>
      <c r="B34" s="36">
        <v>1</v>
      </c>
      <c r="C34" s="60">
        <v>1</v>
      </c>
      <c r="D34" s="36">
        <v>1</v>
      </c>
      <c r="E34" s="60">
        <v>1</v>
      </c>
      <c r="F34" s="37">
        <v>3</v>
      </c>
      <c r="G34" s="60">
        <v>3</v>
      </c>
      <c r="H34" s="37">
        <v>3</v>
      </c>
      <c r="I34" s="60">
        <v>3</v>
      </c>
    </row>
    <row r="35" spans="1:9">
      <c r="A35" s="59" t="s">
        <v>22</v>
      </c>
      <c r="B35" s="37">
        <v>7</v>
      </c>
      <c r="C35" s="37">
        <v>7</v>
      </c>
      <c r="D35" s="37">
        <v>7</v>
      </c>
      <c r="E35" s="37">
        <v>7</v>
      </c>
      <c r="F35" s="37">
        <v>5</v>
      </c>
      <c r="G35" s="37">
        <v>5</v>
      </c>
      <c r="H35" s="37">
        <v>5</v>
      </c>
      <c r="I35" s="37">
        <v>5</v>
      </c>
    </row>
    <row r="36" spans="1:9">
      <c r="A36" s="59" t="s">
        <v>23</v>
      </c>
      <c r="B36" s="37">
        <v>-174</v>
      </c>
      <c r="C36" s="37">
        <v>-174</v>
      </c>
      <c r="D36" s="37">
        <v>-174</v>
      </c>
      <c r="E36" s="37">
        <v>-174</v>
      </c>
      <c r="F36" s="36">
        <v>-174</v>
      </c>
      <c r="G36" s="37">
        <v>-174</v>
      </c>
      <c r="H36" s="36">
        <v>-174</v>
      </c>
      <c r="I36" s="37">
        <v>-174</v>
      </c>
    </row>
    <row r="37" spans="1:9" ht="27.6">
      <c r="A37" s="59" t="s">
        <v>24</v>
      </c>
      <c r="B37" s="36" t="s">
        <v>62</v>
      </c>
      <c r="C37" s="37">
        <v>-169.3</v>
      </c>
      <c r="D37" s="36" t="s">
        <v>62</v>
      </c>
      <c r="E37" s="37">
        <v>-169.3</v>
      </c>
      <c r="F37" s="37" t="s">
        <v>63</v>
      </c>
      <c r="G37" s="37">
        <v>-161.69999999999999</v>
      </c>
      <c r="H37" s="37" t="s">
        <v>63</v>
      </c>
      <c r="I37" s="37">
        <v>-161.69999999999999</v>
      </c>
    </row>
    <row r="38" spans="1:9">
      <c r="A38" s="59" t="s">
        <v>25</v>
      </c>
      <c r="B38" s="36">
        <v>-169.3</v>
      </c>
      <c r="C38" s="37" t="s">
        <v>62</v>
      </c>
      <c r="D38" s="36">
        <v>-169.3</v>
      </c>
      <c r="E38" s="37" t="s">
        <v>62</v>
      </c>
      <c r="F38" s="37">
        <v>-165.7</v>
      </c>
      <c r="G38" s="37" t="s">
        <v>63</v>
      </c>
      <c r="H38" s="37">
        <v>-165.7</v>
      </c>
      <c r="I38" s="37" t="s">
        <v>63</v>
      </c>
    </row>
    <row r="39" spans="1:9" ht="27.6">
      <c r="A39" s="65" t="s">
        <v>45</v>
      </c>
      <c r="B39" s="41" t="s">
        <v>254</v>
      </c>
      <c r="C39" s="41">
        <f t="shared" ref="C39:I39" si="5">10*LOG10(10^((C35+C36)/10)+10^(C37/10))</f>
        <v>-164.98918835931039</v>
      </c>
      <c r="D39" s="41" t="s">
        <v>254</v>
      </c>
      <c r="E39" s="41">
        <f t="shared" si="5"/>
        <v>-164.98918835931039</v>
      </c>
      <c r="F39" s="41" t="s">
        <v>254</v>
      </c>
      <c r="G39" s="41">
        <f t="shared" si="5"/>
        <v>-160.9583889004532</v>
      </c>
      <c r="H39" s="41" t="s">
        <v>254</v>
      </c>
      <c r="I39" s="41">
        <f t="shared" si="5"/>
        <v>-160.9583889004532</v>
      </c>
    </row>
    <row r="40" spans="1:9" ht="27.6">
      <c r="A40" s="65" t="s">
        <v>46</v>
      </c>
      <c r="B40" s="41">
        <f t="shared" ref="B40:H40" si="6">10*LOG10(10^((B35+B36)/10)+10^(B38/10))</f>
        <v>-164.98918835931039</v>
      </c>
      <c r="C40" s="41" t="s">
        <v>254</v>
      </c>
      <c r="D40" s="41">
        <f t="shared" si="6"/>
        <v>-164.98918835931039</v>
      </c>
      <c r="E40" s="41" t="s">
        <v>254</v>
      </c>
      <c r="F40" s="41">
        <f t="shared" si="6"/>
        <v>-164.03352307536667</v>
      </c>
      <c r="G40" s="41" t="s">
        <v>254</v>
      </c>
      <c r="H40" s="41">
        <f t="shared" si="6"/>
        <v>-164.03352307536667</v>
      </c>
      <c r="I40" s="41" t="s">
        <v>254</v>
      </c>
    </row>
    <row r="41" spans="1:9" ht="27.6">
      <c r="A41" s="59" t="s">
        <v>26</v>
      </c>
      <c r="B41" s="36" t="s">
        <v>62</v>
      </c>
      <c r="C41" s="36">
        <f>MaxN_RB!$D$6*12*15*1000</f>
        <v>9360000</v>
      </c>
      <c r="D41" s="36" t="s">
        <v>62</v>
      </c>
      <c r="E41" s="36">
        <f>MaxN_RB!$D$6*12*15*1000</f>
        <v>9360000</v>
      </c>
      <c r="F41" s="60" t="s">
        <v>102</v>
      </c>
      <c r="G41" s="37">
        <f>1*12*15*1000</f>
        <v>180000</v>
      </c>
      <c r="H41" s="60" t="s">
        <v>102</v>
      </c>
      <c r="I41" s="37">
        <f>1*12*15*1000</f>
        <v>180000</v>
      </c>
    </row>
    <row r="42" spans="1:9" ht="27.6">
      <c r="A42" s="59" t="s">
        <v>27</v>
      </c>
      <c r="B42" s="36">
        <f>MaxN_RB!$D$6*12*15*1000</f>
        <v>9360000</v>
      </c>
      <c r="C42" s="60" t="s">
        <v>101</v>
      </c>
      <c r="D42" s="36">
        <f>MaxN_RB!$D$6*12*15*1000</f>
        <v>9360000</v>
      </c>
      <c r="E42" s="60" t="s">
        <v>101</v>
      </c>
      <c r="F42" s="36">
        <f>4*12*15*1000</f>
        <v>720000</v>
      </c>
      <c r="G42" s="37" t="s">
        <v>63</v>
      </c>
      <c r="H42" s="36">
        <f>4*12*15*1000</f>
        <v>720000</v>
      </c>
      <c r="I42" s="37" t="s">
        <v>63</v>
      </c>
    </row>
    <row r="43" spans="1:9">
      <c r="A43" s="63" t="s">
        <v>28</v>
      </c>
      <c r="B43" s="41" t="s">
        <v>254</v>
      </c>
      <c r="C43" s="41">
        <f t="shared" ref="C43:I43" si="7">C39+10*LOG10(C41)</f>
        <v>-95.276429871929338</v>
      </c>
      <c r="D43" s="41" t="s">
        <v>254</v>
      </c>
      <c r="E43" s="41">
        <f t="shared" si="7"/>
        <v>-95.276429871929338</v>
      </c>
      <c r="F43" s="41" t="s">
        <v>254</v>
      </c>
      <c r="G43" s="41">
        <f t="shared" si="7"/>
        <v>-108.40566384942014</v>
      </c>
      <c r="H43" s="41" t="s">
        <v>254</v>
      </c>
      <c r="I43" s="41">
        <f t="shared" si="7"/>
        <v>-108.40566384942014</v>
      </c>
    </row>
    <row r="44" spans="1:9">
      <c r="A44" s="63" t="s">
        <v>29</v>
      </c>
      <c r="B44" s="41">
        <f t="shared" ref="B44:H44" si="8">B40+10*LOG10(B42)</f>
        <v>-95.276429871929338</v>
      </c>
      <c r="C44" s="41" t="s">
        <v>254</v>
      </c>
      <c r="D44" s="41">
        <f t="shared" si="8"/>
        <v>-95.276429871929338</v>
      </c>
      <c r="E44" s="41" t="s">
        <v>254</v>
      </c>
      <c r="F44" s="41">
        <f t="shared" si="8"/>
        <v>-105.46019811105398</v>
      </c>
      <c r="G44" s="41" t="s">
        <v>254</v>
      </c>
      <c r="H44" s="41">
        <f t="shared" si="8"/>
        <v>-105.46019811105398</v>
      </c>
      <c r="I44" s="41" t="s">
        <v>254</v>
      </c>
    </row>
    <row r="45" spans="1:9">
      <c r="A45" s="59" t="s">
        <v>30</v>
      </c>
      <c r="B45" s="36" t="s">
        <v>61</v>
      </c>
      <c r="C45" s="37">
        <v>-7.4</v>
      </c>
      <c r="D45" s="36" t="s">
        <v>62</v>
      </c>
      <c r="E45" s="37">
        <v>-7.5</v>
      </c>
      <c r="F45" s="36" t="s">
        <v>61</v>
      </c>
      <c r="G45" s="75">
        <v>-6.3</v>
      </c>
      <c r="H45" s="76" t="s">
        <v>62</v>
      </c>
      <c r="I45" s="37">
        <v>-6.3</v>
      </c>
    </row>
    <row r="46" spans="1:9">
      <c r="A46" s="59" t="s">
        <v>31</v>
      </c>
      <c r="B46" s="37">
        <v>4.0999999999999996</v>
      </c>
      <c r="C46" s="37" t="s">
        <v>61</v>
      </c>
      <c r="D46" s="37">
        <v>1.4</v>
      </c>
      <c r="E46" s="37" t="s">
        <v>61</v>
      </c>
      <c r="F46" s="37">
        <v>7.3</v>
      </c>
      <c r="G46" s="37" t="s">
        <v>61</v>
      </c>
      <c r="H46" s="37">
        <v>4.7</v>
      </c>
      <c r="I46" s="37" t="s">
        <v>61</v>
      </c>
    </row>
    <row r="47" spans="1:9">
      <c r="A47" s="59" t="s">
        <v>32</v>
      </c>
      <c r="B47" s="36">
        <v>2</v>
      </c>
      <c r="C47" s="37">
        <v>2</v>
      </c>
      <c r="D47" s="36">
        <v>2</v>
      </c>
      <c r="E47" s="37">
        <v>2</v>
      </c>
      <c r="F47" s="60">
        <v>2</v>
      </c>
      <c r="G47" s="37">
        <v>2</v>
      </c>
      <c r="H47" s="60">
        <v>2</v>
      </c>
      <c r="I47" s="37">
        <v>2</v>
      </c>
    </row>
    <row r="48" spans="1:9">
      <c r="A48" s="59" t="s">
        <v>33</v>
      </c>
      <c r="B48" s="36" t="s">
        <v>62</v>
      </c>
      <c r="C48" s="37">
        <v>0</v>
      </c>
      <c r="D48" s="36" t="s">
        <v>62</v>
      </c>
      <c r="E48" s="37">
        <v>0</v>
      </c>
      <c r="F48" s="60" t="s">
        <v>102</v>
      </c>
      <c r="G48" s="37">
        <v>0</v>
      </c>
      <c r="H48" s="60" t="s">
        <v>102</v>
      </c>
      <c r="I48" s="37">
        <v>0</v>
      </c>
    </row>
    <row r="49" spans="1:9">
      <c r="A49" s="59" t="s">
        <v>34</v>
      </c>
      <c r="B49" s="36">
        <v>0.5</v>
      </c>
      <c r="C49" s="37" t="s">
        <v>62</v>
      </c>
      <c r="D49" s="36">
        <v>0.5</v>
      </c>
      <c r="E49" s="37" t="s">
        <v>62</v>
      </c>
      <c r="F49" s="60">
        <v>0.5</v>
      </c>
      <c r="G49" s="37" t="s">
        <v>63</v>
      </c>
      <c r="H49" s="60">
        <v>0.5</v>
      </c>
      <c r="I49" s="37" t="s">
        <v>63</v>
      </c>
    </row>
    <row r="50" spans="1:9">
      <c r="A50" s="65" t="s">
        <v>47</v>
      </c>
      <c r="B50" s="41" t="s">
        <v>254</v>
      </c>
      <c r="C50" s="41">
        <f t="shared" ref="C50:I50" si="9">C43+C45+C47-C48</f>
        <v>-100.67642987192934</v>
      </c>
      <c r="D50" s="41" t="s">
        <v>254</v>
      </c>
      <c r="E50" s="41">
        <f t="shared" si="9"/>
        <v>-100.77642987192934</v>
      </c>
      <c r="F50" s="41" t="s">
        <v>254</v>
      </c>
      <c r="G50" s="41">
        <f t="shared" si="9"/>
        <v>-112.70566384942013</v>
      </c>
      <c r="H50" s="41" t="s">
        <v>254</v>
      </c>
      <c r="I50" s="41">
        <f t="shared" si="9"/>
        <v>-112.70566384942013</v>
      </c>
    </row>
    <row r="51" spans="1:9">
      <c r="A51" s="65" t="s">
        <v>48</v>
      </c>
      <c r="B51" s="41">
        <f>B44+B46+B47-B49</f>
        <v>-89.676429871929344</v>
      </c>
      <c r="C51" s="41" t="s">
        <v>254</v>
      </c>
      <c r="D51" s="41">
        <f t="shared" ref="D51:H51" si="10">D44+D46+D47-D49</f>
        <v>-92.376429871929332</v>
      </c>
      <c r="E51" s="41" t="s">
        <v>254</v>
      </c>
      <c r="F51" s="41">
        <f t="shared" si="10"/>
        <v>-96.660198111053987</v>
      </c>
      <c r="G51" s="41" t="s">
        <v>254</v>
      </c>
      <c r="H51" s="41">
        <f t="shared" si="10"/>
        <v>-99.260198111053981</v>
      </c>
      <c r="I51" s="41" t="s">
        <v>254</v>
      </c>
    </row>
    <row r="52" spans="1:9">
      <c r="A52" s="65" t="s">
        <v>107</v>
      </c>
      <c r="B52" s="41" t="s">
        <v>254</v>
      </c>
      <c r="C52" s="41">
        <f t="shared" ref="C52:I52" si="11">C27+C32+C33-C50</f>
        <v>166.78972939496728</v>
      </c>
      <c r="D52" s="41" t="s">
        <v>254</v>
      </c>
      <c r="E52" s="41">
        <f t="shared" si="11"/>
        <v>166.88972939496728</v>
      </c>
      <c r="F52" s="41" t="s">
        <v>254</v>
      </c>
      <c r="G52" s="41">
        <f t="shared" si="11"/>
        <v>157.75716363261921</v>
      </c>
      <c r="H52" s="41" t="s">
        <v>254</v>
      </c>
      <c r="I52" s="41">
        <f t="shared" si="11"/>
        <v>157.75716363261921</v>
      </c>
    </row>
    <row r="53" spans="1:9">
      <c r="A53" s="65" t="s">
        <v>108</v>
      </c>
      <c r="B53" s="41">
        <f t="shared" ref="B53:H53" si="12">B28+B32+B33-B51</f>
        <v>155.78972939496728</v>
      </c>
      <c r="C53" s="41" t="s">
        <v>254</v>
      </c>
      <c r="D53" s="41">
        <f t="shared" si="12"/>
        <v>158.48972939496727</v>
      </c>
      <c r="E53" s="41" t="s">
        <v>254</v>
      </c>
      <c r="F53" s="41">
        <f t="shared" si="12"/>
        <v>141.71169789425306</v>
      </c>
      <c r="G53" s="41" t="s">
        <v>254</v>
      </c>
      <c r="H53" s="41">
        <f t="shared" si="12"/>
        <v>144.31169789425303</v>
      </c>
      <c r="I53" s="41" t="s">
        <v>254</v>
      </c>
    </row>
    <row r="54" spans="1:9">
      <c r="A54" s="39" t="s">
        <v>35</v>
      </c>
      <c r="B54" s="58"/>
      <c r="C54" s="58"/>
      <c r="D54" s="58"/>
      <c r="E54" s="58"/>
      <c r="F54" s="58"/>
      <c r="G54" s="58"/>
      <c r="H54" s="58"/>
      <c r="I54" s="58"/>
    </row>
    <row r="55" spans="1:9">
      <c r="A55" s="59" t="s">
        <v>36</v>
      </c>
      <c r="B55" s="60">
        <v>8</v>
      </c>
      <c r="C55" s="60">
        <v>8</v>
      </c>
      <c r="D55" s="60">
        <v>8</v>
      </c>
      <c r="E55" s="60">
        <v>8</v>
      </c>
      <c r="F55" s="60">
        <v>8</v>
      </c>
      <c r="G55" s="60">
        <v>8</v>
      </c>
      <c r="H55" s="60">
        <v>8</v>
      </c>
      <c r="I55" s="60">
        <v>8</v>
      </c>
    </row>
    <row r="56" spans="1:9" ht="27.6">
      <c r="A56" s="59" t="s">
        <v>37</v>
      </c>
      <c r="B56" s="44" t="s">
        <v>130</v>
      </c>
      <c r="C56" s="60">
        <v>10.45</v>
      </c>
      <c r="D56" s="60" t="s">
        <v>94</v>
      </c>
      <c r="E56" s="60">
        <v>8.4499999999999993</v>
      </c>
      <c r="F56" s="44" t="s">
        <v>130</v>
      </c>
      <c r="G56" s="60">
        <v>10.45</v>
      </c>
      <c r="H56" s="60" t="s">
        <v>94</v>
      </c>
      <c r="I56" s="60">
        <v>8.4499999999999993</v>
      </c>
    </row>
    <row r="57" spans="1:9" ht="27.6">
      <c r="A57" s="59" t="s">
        <v>38</v>
      </c>
      <c r="B57" s="60">
        <v>6.61</v>
      </c>
      <c r="C57" s="44" t="s">
        <v>130</v>
      </c>
      <c r="D57" s="60">
        <v>5.13</v>
      </c>
      <c r="E57" s="44" t="s">
        <v>94</v>
      </c>
      <c r="F57" s="60">
        <v>6.61</v>
      </c>
      <c r="G57" s="44" t="s">
        <v>130</v>
      </c>
      <c r="H57" s="60">
        <v>5.13</v>
      </c>
      <c r="I57" s="43" t="s">
        <v>94</v>
      </c>
    </row>
    <row r="58" spans="1:9">
      <c r="A58" s="59" t="s">
        <v>39</v>
      </c>
      <c r="B58" s="60">
        <v>0</v>
      </c>
      <c r="C58" s="60">
        <v>0</v>
      </c>
      <c r="D58" s="60">
        <v>0</v>
      </c>
      <c r="E58" s="60">
        <v>0</v>
      </c>
      <c r="F58" s="60">
        <v>0</v>
      </c>
      <c r="G58" s="60">
        <v>0</v>
      </c>
      <c r="H58" s="60">
        <v>0</v>
      </c>
      <c r="I58" s="60">
        <v>0</v>
      </c>
    </row>
    <row r="59" spans="1:9">
      <c r="A59" s="59" t="s">
        <v>40</v>
      </c>
      <c r="B59" s="38">
        <v>9</v>
      </c>
      <c r="C59" s="38">
        <v>9</v>
      </c>
      <c r="D59" s="38">
        <f>10+0.5*5</f>
        <v>12.5</v>
      </c>
      <c r="E59" s="38">
        <f>10+0.5*5</f>
        <v>12.5</v>
      </c>
      <c r="F59" s="38">
        <v>9</v>
      </c>
      <c r="G59" s="38">
        <v>9</v>
      </c>
      <c r="H59" s="38">
        <f>10+0.5*5</f>
        <v>12.5</v>
      </c>
      <c r="I59" s="38">
        <f>10+0.5*5</f>
        <v>12.5</v>
      </c>
    </row>
    <row r="60" spans="1:9">
      <c r="A60" s="59" t="s">
        <v>41</v>
      </c>
      <c r="B60" s="60">
        <v>0</v>
      </c>
      <c r="C60" s="60">
        <v>0</v>
      </c>
      <c r="D60" s="60">
        <v>0</v>
      </c>
      <c r="E60" s="60">
        <v>0</v>
      </c>
      <c r="F60" s="60">
        <v>0</v>
      </c>
      <c r="G60" s="60">
        <v>0</v>
      </c>
      <c r="H60" s="60">
        <v>0</v>
      </c>
      <c r="I60" s="60">
        <v>0</v>
      </c>
    </row>
    <row r="61" spans="1:9" ht="27.6">
      <c r="A61" s="65" t="s">
        <v>53</v>
      </c>
      <c r="B61" s="41" t="s">
        <v>254</v>
      </c>
      <c r="C61" s="41">
        <f t="shared" ref="C61:I61" si="13">C52-C56+C58-C59+C60-C34</f>
        <v>146.33972939496729</v>
      </c>
      <c r="D61" s="41" t="s">
        <v>254</v>
      </c>
      <c r="E61" s="41">
        <f t="shared" si="13"/>
        <v>144.93972939496729</v>
      </c>
      <c r="F61" s="41" t="s">
        <v>254</v>
      </c>
      <c r="G61" s="41">
        <f t="shared" si="13"/>
        <v>135.30716363261922</v>
      </c>
      <c r="H61" s="41" t="s">
        <v>254</v>
      </c>
      <c r="I61" s="41">
        <f t="shared" si="13"/>
        <v>133.80716363261922</v>
      </c>
    </row>
    <row r="62" spans="1:9" ht="27.6">
      <c r="A62" s="65" t="s">
        <v>49</v>
      </c>
      <c r="B62" s="41">
        <f t="shared" ref="B62:H62" si="14">B53-B57+B58-B59+B60-B34</f>
        <v>139.17972939496727</v>
      </c>
      <c r="C62" s="41" t="s">
        <v>254</v>
      </c>
      <c r="D62" s="41">
        <f t="shared" si="14"/>
        <v>139.85972939496727</v>
      </c>
      <c r="E62" s="41" t="s">
        <v>254</v>
      </c>
      <c r="F62" s="41">
        <f t="shared" si="14"/>
        <v>123.10169789425305</v>
      </c>
      <c r="G62" s="41" t="s">
        <v>254</v>
      </c>
      <c r="H62" s="41">
        <f t="shared" si="14"/>
        <v>123.68169789425303</v>
      </c>
      <c r="I62" s="41" t="s">
        <v>254</v>
      </c>
    </row>
    <row r="63" spans="1:9">
      <c r="A63" s="39" t="s">
        <v>42</v>
      </c>
      <c r="B63" s="58"/>
      <c r="C63" s="58"/>
      <c r="D63" s="58"/>
      <c r="E63" s="58"/>
      <c r="F63" s="58"/>
      <c r="G63" s="58"/>
      <c r="H63" s="58"/>
      <c r="I63" s="58"/>
    </row>
    <row r="64" spans="1:9" ht="27.6">
      <c r="A64" s="66" t="s">
        <v>127</v>
      </c>
      <c r="B64" s="37" t="s">
        <v>105</v>
      </c>
      <c r="C64" s="60">
        <f>10^((C61-161.04+7.1*LOG10(20)-7.5*LOG10(5)+(24.37-3.7*(5/C$5)^2)*LOG10(C$5)-20*LOG10(C$4)+(3.2*(LOG10(11.75*C$6)^2)-4.97))/(43.42-3.1*LOG10(C$5))+3)</f>
        <v>5943.6263858901375</v>
      </c>
      <c r="D64" s="37" t="s">
        <v>105</v>
      </c>
      <c r="E64" s="60">
        <f>10^((E61-161.04+7.1*LOG10(20)-7.5*LOG10(5)+(24.37-3.7*(5/E$5)^2)*LOG10(E$5)-20*LOG10(E$4)+(3.2*(LOG10(11.75*E$6)^2)-4.97))/(43.42-3.1*LOG10(E$5))+3)</f>
        <v>5467.8100382751709</v>
      </c>
      <c r="F64" s="37" t="s">
        <v>61</v>
      </c>
      <c r="G64" s="60">
        <f>10^((G61-161.04+7.1*LOG10(20)-7.5*LOG10(5)+(24.37-3.7*(5/G$5)^2)*LOG10(G$5)-20*LOG10(G$4)+(3.2*(LOG10(11.75*G$6)^2)-4.97))/(43.42-3.1*LOG10(G$5))+3)</f>
        <v>3079.5038779071147</v>
      </c>
      <c r="H64" s="37" t="s">
        <v>61</v>
      </c>
      <c r="I64" s="60">
        <f>10^((I61-161.04+7.1*LOG10(20)-7.5*LOG10(5)+(24.37-3.7*(5/I$5)^2)*LOG10(I$5)-20*LOG10(I$4)+(3.2*(LOG10(11.75*I$6)^2)-4.97))/(43.42-3.1*LOG10(I$5))+3)</f>
        <v>2816.1399702627855</v>
      </c>
    </row>
    <row r="65" spans="1:9" ht="27.6">
      <c r="A65" s="66" t="s">
        <v>128</v>
      </c>
      <c r="B65" s="60">
        <f>10^((B62-161.04+7.1*LOG10(20)-7.5*LOG10(5)+(24.37-3.7*(5/B$5)^2)*LOG10(B$5)-20*LOG10(B$4)+(3.2*(LOG10(11.75*B$6)^2)-4.97))/(43.42-3.1*LOG10(B$5))+3)</f>
        <v>3878.9982748477769</v>
      </c>
      <c r="C65" s="37" t="s">
        <v>105</v>
      </c>
      <c r="D65" s="60">
        <f>10^((D62-161.04+7.1*LOG10(20)-7.5*LOG10(5)+(24.37-3.7*(5/D$5)^2)*LOG10(D$5)-20*LOG10(D$4)+(3.2*(LOG10(11.75*D$6)^2)-4.97))/(43.42-3.1*LOG10(D$5))+3)</f>
        <v>4039.4379524310507</v>
      </c>
      <c r="E65" s="37" t="s">
        <v>105</v>
      </c>
      <c r="F65" s="60">
        <f>10^((F62-161.04+7.1*LOG10(20)-7.5*LOG10(5)+(24.37-3.7*(5/F$5)^2)*LOG10(F$5)-20*LOG10(F$4)+(3.2*(LOG10(11.75*F$6)^2)-4.97))/(43.42-3.1*LOG10(F$5))+3)</f>
        <v>1487.8195467394987</v>
      </c>
      <c r="G65" s="37" t="s">
        <v>61</v>
      </c>
      <c r="H65" s="60">
        <f>10^((H62-161.04+7.1*LOG10(20)-7.5*LOG10(5)+(24.37-3.7*(5/H$5)^2)*LOG10(H$5)-20*LOG10(H$4)+(3.2*(LOG10(11.75*H$6)^2)-4.97))/(43.42-3.1*LOG10(H$5))+3)</f>
        <v>1540.1505690105355</v>
      </c>
      <c r="I65" s="37" t="s">
        <v>61</v>
      </c>
    </row>
    <row r="66" spans="1:9" ht="16.8">
      <c r="A66" s="66" t="s">
        <v>114</v>
      </c>
      <c r="B66" s="37" t="s">
        <v>62</v>
      </c>
      <c r="C66" s="37">
        <f>PI()*(C64)^2</f>
        <v>110982084.27824949</v>
      </c>
      <c r="D66" s="37" t="s">
        <v>62</v>
      </c>
      <c r="E66" s="37">
        <f>PI()*(E64)^2</f>
        <v>93924027.849390656</v>
      </c>
      <c r="F66" s="37" t="s">
        <v>62</v>
      </c>
      <c r="G66" s="37">
        <f>PI()*(G64)^2</f>
        <v>29792804.262979493</v>
      </c>
      <c r="H66" s="37" t="s">
        <v>62</v>
      </c>
      <c r="I66" s="37">
        <f>PI()*(I64)^2</f>
        <v>24914853.971995592</v>
      </c>
    </row>
    <row r="67" spans="1:9" ht="16.8">
      <c r="A67" s="66" t="s">
        <v>115</v>
      </c>
      <c r="B67" s="37">
        <f>PI()*(B65)^2</f>
        <v>47270374.780581504</v>
      </c>
      <c r="C67" s="37" t="s">
        <v>62</v>
      </c>
      <c r="D67" s="37">
        <f>PI()*(D65)^2</f>
        <v>51261552.593182616</v>
      </c>
      <c r="E67" s="37" t="s">
        <v>62</v>
      </c>
      <c r="F67" s="37">
        <f>PI()*(F65)^2</f>
        <v>6954251.5006335713</v>
      </c>
      <c r="G67" s="37" t="s">
        <v>62</v>
      </c>
      <c r="H67" s="37">
        <f>PI()*(H65)^2</f>
        <v>7452058.1300885435</v>
      </c>
      <c r="I67" s="37" t="s">
        <v>62</v>
      </c>
    </row>
    <row r="69" spans="1:9">
      <c r="A69" s="67"/>
    </row>
    <row r="72" spans="1:9">
      <c r="A72" s="53"/>
      <c r="B72" s="52"/>
      <c r="C72" s="52"/>
      <c r="D72" s="52"/>
      <c r="E72" s="52"/>
    </row>
    <row r="73" spans="1:9">
      <c r="A73" s="53"/>
      <c r="B73" s="52"/>
      <c r="C73" s="52"/>
      <c r="D73" s="52"/>
      <c r="E73" s="52"/>
    </row>
    <row r="76" spans="1:9">
      <c r="F76" s="44"/>
    </row>
  </sheetData>
  <mergeCells count="2">
    <mergeCell ref="B1:E1"/>
    <mergeCell ref="F1:I1"/>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opLeftCell="A61" zoomScale="85" zoomScaleNormal="85" workbookViewId="0">
      <selection activeCell="E72" sqref="E72"/>
    </sheetView>
  </sheetViews>
  <sheetFormatPr defaultRowHeight="15.6"/>
  <cols>
    <col min="1" max="1" width="58.19921875" style="50" customWidth="1"/>
    <col min="2" max="3" width="16" style="44" customWidth="1"/>
    <col min="4" max="4" width="15.19921875" style="44" customWidth="1"/>
    <col min="5" max="5" width="14.8984375" style="44" customWidth="1"/>
    <col min="6" max="6" width="15" style="50" customWidth="1"/>
    <col min="7" max="7" width="14.5" style="50" customWidth="1"/>
    <col min="8" max="8" width="14.59765625" style="50" customWidth="1"/>
    <col min="9" max="9" width="13.69921875" style="50" customWidth="1"/>
  </cols>
  <sheetData>
    <row r="1" spans="1:9">
      <c r="A1" s="56" t="s">
        <v>0</v>
      </c>
      <c r="B1" s="139" t="s">
        <v>224</v>
      </c>
      <c r="C1" s="139"/>
      <c r="D1" s="139"/>
      <c r="E1" s="140"/>
      <c r="F1" s="141" t="s">
        <v>225</v>
      </c>
      <c r="G1" s="141"/>
      <c r="H1" s="141"/>
      <c r="I1" s="141"/>
    </row>
    <row r="2" spans="1:9" ht="27.6">
      <c r="A2" s="57"/>
      <c r="B2" s="47" t="s">
        <v>226</v>
      </c>
      <c r="C2" s="47" t="s">
        <v>227</v>
      </c>
      <c r="D2" s="47" t="s">
        <v>228</v>
      </c>
      <c r="E2" s="47" t="s">
        <v>229</v>
      </c>
      <c r="F2" s="47" t="s">
        <v>230</v>
      </c>
      <c r="G2" s="47" t="s">
        <v>231</v>
      </c>
      <c r="H2" s="47" t="s">
        <v>232</v>
      </c>
      <c r="I2" s="47" t="s">
        <v>233</v>
      </c>
    </row>
    <row r="3" spans="1:9">
      <c r="A3" s="39" t="s">
        <v>1</v>
      </c>
      <c r="B3" s="58"/>
      <c r="C3" s="58"/>
      <c r="D3" s="58"/>
      <c r="E3" s="58"/>
      <c r="F3" s="58"/>
      <c r="G3" s="58"/>
      <c r="H3" s="58"/>
      <c r="I3" s="58"/>
    </row>
    <row r="4" spans="1:9">
      <c r="A4" s="59" t="s">
        <v>2</v>
      </c>
      <c r="B4" s="38">
        <v>0.7</v>
      </c>
      <c r="C4" s="60">
        <v>0.7</v>
      </c>
      <c r="D4" s="38">
        <v>0.7</v>
      </c>
      <c r="E4" s="60">
        <v>0.7</v>
      </c>
      <c r="F4" s="38">
        <v>0.7</v>
      </c>
      <c r="G4" s="60">
        <v>0.7</v>
      </c>
      <c r="H4" s="38">
        <v>0.7</v>
      </c>
      <c r="I4" s="60">
        <v>0.7</v>
      </c>
    </row>
    <row r="5" spans="1:9">
      <c r="A5" s="59" t="s">
        <v>3</v>
      </c>
      <c r="B5" s="60">
        <v>35</v>
      </c>
      <c r="C5" s="60">
        <v>35</v>
      </c>
      <c r="D5" s="60">
        <v>35</v>
      </c>
      <c r="E5" s="60">
        <v>35</v>
      </c>
      <c r="F5" s="60">
        <v>35</v>
      </c>
      <c r="G5" s="60">
        <v>35</v>
      </c>
      <c r="H5" s="60">
        <v>35</v>
      </c>
      <c r="I5" s="60">
        <v>35</v>
      </c>
    </row>
    <row r="6" spans="1:9">
      <c r="A6" s="59" t="s">
        <v>4</v>
      </c>
      <c r="B6" s="38">
        <v>1.5</v>
      </c>
      <c r="C6" s="60">
        <v>1.5</v>
      </c>
      <c r="D6" s="38">
        <v>1.5</v>
      </c>
      <c r="E6" s="60">
        <v>1.5</v>
      </c>
      <c r="F6" s="38">
        <v>1.5</v>
      </c>
      <c r="G6" s="60">
        <v>1.5</v>
      </c>
      <c r="H6" s="38">
        <v>1.5</v>
      </c>
      <c r="I6" s="60">
        <v>1.5</v>
      </c>
    </row>
    <row r="7" spans="1:9" ht="29.4">
      <c r="A7" s="59" t="s">
        <v>234</v>
      </c>
      <c r="B7" s="22" t="s">
        <v>235</v>
      </c>
      <c r="C7" s="54">
        <v>0.95</v>
      </c>
      <c r="D7" s="22" t="s">
        <v>235</v>
      </c>
      <c r="E7" s="54">
        <v>0.95</v>
      </c>
      <c r="F7" s="54" t="s">
        <v>235</v>
      </c>
      <c r="G7" s="23">
        <v>0.95</v>
      </c>
      <c r="H7" s="54" t="s">
        <v>235</v>
      </c>
      <c r="I7" s="23">
        <v>0.95</v>
      </c>
    </row>
    <row r="8" spans="1:9" ht="29.4">
      <c r="A8" s="59" t="s">
        <v>110</v>
      </c>
      <c r="B8" s="22">
        <v>0.9</v>
      </c>
      <c r="C8" s="54" t="s">
        <v>235</v>
      </c>
      <c r="D8" s="22">
        <v>0.9</v>
      </c>
      <c r="E8" s="54" t="s">
        <v>235</v>
      </c>
      <c r="F8" s="54">
        <v>0.9</v>
      </c>
      <c r="G8" s="23" t="s">
        <v>235</v>
      </c>
      <c r="H8" s="54">
        <v>0.9</v>
      </c>
      <c r="I8" s="23" t="s">
        <v>235</v>
      </c>
    </row>
    <row r="9" spans="1:9">
      <c r="A9" s="59" t="s">
        <v>5</v>
      </c>
      <c r="B9" s="36" t="s">
        <v>235</v>
      </c>
      <c r="C9" s="37">
        <f>64/(0.001)</f>
        <v>64000</v>
      </c>
      <c r="D9" s="36" t="s">
        <v>235</v>
      </c>
      <c r="E9" s="37">
        <f>64/(0.001)</f>
        <v>64000</v>
      </c>
      <c r="F9" s="60" t="s">
        <v>235</v>
      </c>
      <c r="G9" s="37">
        <f>2/(0.5*0.001)</f>
        <v>4000</v>
      </c>
      <c r="H9" s="60" t="s">
        <v>235</v>
      </c>
      <c r="I9" s="37">
        <f>2/(0.5*0.001)</f>
        <v>4000</v>
      </c>
    </row>
    <row r="10" spans="1:9">
      <c r="A10" s="59" t="s">
        <v>6</v>
      </c>
      <c r="B10" s="36">
        <f>2248233*3</f>
        <v>6744699</v>
      </c>
      <c r="C10" s="60" t="s">
        <v>235</v>
      </c>
      <c r="D10" s="36">
        <f>2248233*3</f>
        <v>6744699</v>
      </c>
      <c r="E10" s="60" t="s">
        <v>235</v>
      </c>
      <c r="F10" s="60">
        <f>74880*3</f>
        <v>224640</v>
      </c>
      <c r="G10" s="37" t="s">
        <v>235</v>
      </c>
      <c r="H10" s="60">
        <f>74880*3</f>
        <v>224640</v>
      </c>
      <c r="I10" s="37" t="s">
        <v>235</v>
      </c>
    </row>
    <row r="11" spans="1:9" ht="27.6">
      <c r="A11" s="59" t="s">
        <v>7</v>
      </c>
      <c r="B11" s="22" t="s">
        <v>235</v>
      </c>
      <c r="C11" s="54">
        <v>0.01</v>
      </c>
      <c r="D11" s="22" t="s">
        <v>235</v>
      </c>
      <c r="E11" s="54">
        <v>0.01</v>
      </c>
      <c r="F11" s="54" t="s">
        <v>235</v>
      </c>
      <c r="G11" s="23">
        <v>0.01</v>
      </c>
      <c r="H11" s="54" t="s">
        <v>235</v>
      </c>
      <c r="I11" s="23">
        <v>0.01</v>
      </c>
    </row>
    <row r="12" spans="1:9">
      <c r="A12" s="59" t="s">
        <v>8</v>
      </c>
      <c r="B12" s="22">
        <v>0.1</v>
      </c>
      <c r="C12" s="54" t="s">
        <v>235</v>
      </c>
      <c r="D12" s="22">
        <v>0.1</v>
      </c>
      <c r="E12" s="54" t="s">
        <v>235</v>
      </c>
      <c r="F12" s="54">
        <v>0.1</v>
      </c>
      <c r="G12" s="23" t="s">
        <v>235</v>
      </c>
      <c r="H12" s="54">
        <v>0.1</v>
      </c>
      <c r="I12" s="23" t="s">
        <v>235</v>
      </c>
    </row>
    <row r="13" spans="1:9">
      <c r="A13" s="59" t="s">
        <v>111</v>
      </c>
      <c r="B13" s="36">
        <f>B10/(B42*(4+2*11/14+1/14)/10)</f>
        <v>0.65101476793248958</v>
      </c>
      <c r="C13" s="60" t="s">
        <v>235</v>
      </c>
      <c r="D13" s="36">
        <f>D10/(D42*(4+2*11/14+1/14)/10)</f>
        <v>0.65101476793248958</v>
      </c>
      <c r="E13" s="60" t="s">
        <v>235</v>
      </c>
      <c r="F13" s="36">
        <f>F10/(F42*(4+2*2/14+1/14)/10)</f>
        <v>0.35803278688524592</v>
      </c>
      <c r="G13" s="37" t="s">
        <v>235</v>
      </c>
      <c r="H13" s="36">
        <f>H10/(H42*(4+2*2/14+1/14)/10)</f>
        <v>0.35803278688524592</v>
      </c>
      <c r="I13" s="37" t="s">
        <v>235</v>
      </c>
    </row>
    <row r="14" spans="1:9">
      <c r="A14" s="59" t="s">
        <v>112</v>
      </c>
      <c r="B14" s="60" t="s">
        <v>236</v>
      </c>
      <c r="C14" s="60" t="s">
        <v>236</v>
      </c>
      <c r="D14" s="60" t="s">
        <v>237</v>
      </c>
      <c r="E14" s="60" t="s">
        <v>237</v>
      </c>
      <c r="F14" s="60" t="s">
        <v>236</v>
      </c>
      <c r="G14" s="60" t="s">
        <v>236</v>
      </c>
      <c r="H14" s="60" t="s">
        <v>237</v>
      </c>
      <c r="I14" s="60" t="s">
        <v>237</v>
      </c>
    </row>
    <row r="15" spans="1:9">
      <c r="A15" s="59" t="s">
        <v>238</v>
      </c>
      <c r="B15" s="36">
        <v>120</v>
      </c>
      <c r="C15" s="37">
        <v>120</v>
      </c>
      <c r="D15" s="36">
        <v>3</v>
      </c>
      <c r="E15" s="37">
        <v>3</v>
      </c>
      <c r="F15" s="36">
        <v>120</v>
      </c>
      <c r="G15" s="37">
        <v>120</v>
      </c>
      <c r="H15" s="37">
        <v>3</v>
      </c>
      <c r="I15" s="37">
        <v>3</v>
      </c>
    </row>
    <row r="16" spans="1:9">
      <c r="A16" s="59" t="s">
        <v>9</v>
      </c>
      <c r="B16" s="36">
        <v>3</v>
      </c>
      <c r="C16" s="60">
        <v>3</v>
      </c>
      <c r="D16" s="36">
        <v>3</v>
      </c>
      <c r="E16" s="60">
        <v>3</v>
      </c>
      <c r="F16" s="60">
        <v>3</v>
      </c>
      <c r="G16" s="37">
        <v>3</v>
      </c>
      <c r="H16" s="60">
        <v>3</v>
      </c>
      <c r="I16" s="37">
        <v>3</v>
      </c>
    </row>
    <row r="17" spans="1:9">
      <c r="A17" s="39" t="s">
        <v>10</v>
      </c>
      <c r="B17" s="58"/>
      <c r="C17" s="58"/>
      <c r="D17" s="58"/>
      <c r="E17" s="58"/>
      <c r="F17" s="58"/>
      <c r="G17" s="58"/>
      <c r="H17" s="58"/>
      <c r="I17" s="58"/>
    </row>
    <row r="18" spans="1:9" ht="27.6">
      <c r="A18" s="59" t="s">
        <v>239</v>
      </c>
      <c r="B18" s="36">
        <v>64</v>
      </c>
      <c r="C18" s="60">
        <v>64</v>
      </c>
      <c r="D18" s="36">
        <v>64</v>
      </c>
      <c r="E18" s="60">
        <v>64</v>
      </c>
      <c r="F18" s="37">
        <v>1</v>
      </c>
      <c r="G18" s="60">
        <v>1</v>
      </c>
      <c r="H18" s="37">
        <v>1</v>
      </c>
      <c r="I18" s="60">
        <v>1</v>
      </c>
    </row>
    <row r="19" spans="1:9">
      <c r="A19" s="59" t="s">
        <v>252</v>
      </c>
      <c r="B19" s="36">
        <v>2</v>
      </c>
      <c r="C19" s="60">
        <v>2</v>
      </c>
      <c r="D19" s="36">
        <v>2</v>
      </c>
      <c r="E19" s="60">
        <v>2</v>
      </c>
      <c r="F19" s="37">
        <v>1</v>
      </c>
      <c r="G19" s="60">
        <v>1</v>
      </c>
      <c r="H19" s="37">
        <v>1</v>
      </c>
      <c r="I19" s="60">
        <v>1</v>
      </c>
    </row>
    <row r="20" spans="1:9">
      <c r="A20" s="59" t="s">
        <v>11</v>
      </c>
      <c r="B20" s="36">
        <v>31</v>
      </c>
      <c r="C20" s="60">
        <v>31</v>
      </c>
      <c r="D20" s="36">
        <v>31</v>
      </c>
      <c r="E20" s="60">
        <v>31</v>
      </c>
      <c r="F20" s="37">
        <v>23</v>
      </c>
      <c r="G20" s="60">
        <v>23</v>
      </c>
      <c r="H20" s="37">
        <v>23</v>
      </c>
      <c r="I20" s="60">
        <v>23</v>
      </c>
    </row>
    <row r="21" spans="1:9" ht="27.6">
      <c r="A21" s="61" t="s">
        <v>240</v>
      </c>
      <c r="B21" s="42">
        <f t="shared" ref="B21:I21" si="0">B20+10*LOG10(B18)</f>
        <v>49.061799739838875</v>
      </c>
      <c r="C21" s="42">
        <f t="shared" si="0"/>
        <v>49.061799739838875</v>
      </c>
      <c r="D21" s="42">
        <f t="shared" si="0"/>
        <v>49.061799739838875</v>
      </c>
      <c r="E21" s="42">
        <f t="shared" si="0"/>
        <v>49.061799739838875</v>
      </c>
      <c r="F21" s="42">
        <f t="shared" si="0"/>
        <v>23</v>
      </c>
      <c r="G21" s="42">
        <f t="shared" si="0"/>
        <v>23</v>
      </c>
      <c r="H21" s="42">
        <f t="shared" si="0"/>
        <v>23</v>
      </c>
      <c r="I21" s="42">
        <f t="shared" si="0"/>
        <v>23</v>
      </c>
    </row>
    <row r="22" spans="1:9">
      <c r="A22" s="59" t="s">
        <v>12</v>
      </c>
      <c r="B22" s="36">
        <v>8</v>
      </c>
      <c r="C22" s="60">
        <v>8</v>
      </c>
      <c r="D22" s="36">
        <v>8</v>
      </c>
      <c r="E22" s="60">
        <v>8</v>
      </c>
      <c r="F22" s="37">
        <v>0</v>
      </c>
      <c r="G22" s="60">
        <v>0</v>
      </c>
      <c r="H22" s="37">
        <v>0</v>
      </c>
      <c r="I22" s="60">
        <v>0</v>
      </c>
    </row>
    <row r="23" spans="1:9" ht="41.4">
      <c r="A23" s="62" t="s">
        <v>13</v>
      </c>
      <c r="B23" s="42">
        <f t="shared" ref="B23:I23" si="1">IF(B18&gt;=2, 10*LOG10(B18/2), 0)</f>
        <v>15.051499783199061</v>
      </c>
      <c r="C23" s="42">
        <f t="shared" si="1"/>
        <v>15.051499783199061</v>
      </c>
      <c r="D23" s="42">
        <f t="shared" si="1"/>
        <v>15.051499783199061</v>
      </c>
      <c r="E23" s="42">
        <f t="shared" si="1"/>
        <v>15.051499783199061</v>
      </c>
      <c r="F23" s="42">
        <f t="shared" si="1"/>
        <v>0</v>
      </c>
      <c r="G23" s="42">
        <f t="shared" si="1"/>
        <v>0</v>
      </c>
      <c r="H23" s="42">
        <f t="shared" si="1"/>
        <v>0</v>
      </c>
      <c r="I23" s="42">
        <f t="shared" si="1"/>
        <v>0</v>
      </c>
    </row>
    <row r="24" spans="1:9">
      <c r="A24" s="59" t="s">
        <v>14</v>
      </c>
      <c r="B24" s="36">
        <v>0</v>
      </c>
      <c r="C24" s="37">
        <v>0</v>
      </c>
      <c r="D24" s="36">
        <v>0</v>
      </c>
      <c r="E24" s="37">
        <v>0</v>
      </c>
      <c r="F24" s="37">
        <v>0</v>
      </c>
      <c r="G24" s="37">
        <v>0</v>
      </c>
      <c r="H24" s="37">
        <v>0</v>
      </c>
      <c r="I24" s="37">
        <v>0</v>
      </c>
    </row>
    <row r="25" spans="1:9">
      <c r="A25" s="59" t="s">
        <v>15</v>
      </c>
      <c r="B25" s="36">
        <v>0</v>
      </c>
      <c r="C25" s="37">
        <v>0</v>
      </c>
      <c r="D25" s="36">
        <v>0</v>
      </c>
      <c r="E25" s="37">
        <v>0</v>
      </c>
      <c r="F25" s="37">
        <v>0</v>
      </c>
      <c r="G25" s="37">
        <v>0</v>
      </c>
      <c r="H25" s="37">
        <v>0</v>
      </c>
      <c r="I25" s="37">
        <v>0</v>
      </c>
    </row>
    <row r="26" spans="1:9" ht="27.6">
      <c r="A26" s="116" t="s">
        <v>16</v>
      </c>
      <c r="B26" s="36">
        <v>3</v>
      </c>
      <c r="C26" s="36">
        <v>3</v>
      </c>
      <c r="D26" s="36">
        <v>3</v>
      </c>
      <c r="E26" s="36">
        <v>3</v>
      </c>
      <c r="F26" s="36">
        <v>1</v>
      </c>
      <c r="G26" s="36">
        <v>1</v>
      </c>
      <c r="H26" s="36">
        <v>1</v>
      </c>
      <c r="I26" s="36">
        <v>1</v>
      </c>
    </row>
    <row r="27" spans="1:9">
      <c r="A27" s="63" t="s">
        <v>17</v>
      </c>
      <c r="B27" s="41">
        <f t="shared" ref="B27:I27" si="2">B21+B22+B23+B24-B26</f>
        <v>69.113299523037938</v>
      </c>
      <c r="C27" s="41">
        <f t="shared" si="2"/>
        <v>69.113299523037938</v>
      </c>
      <c r="D27" s="41">
        <f t="shared" si="2"/>
        <v>69.113299523037938</v>
      </c>
      <c r="E27" s="41">
        <f t="shared" si="2"/>
        <v>69.113299523037938</v>
      </c>
      <c r="F27" s="41">
        <f t="shared" si="2"/>
        <v>22</v>
      </c>
      <c r="G27" s="41">
        <f t="shared" si="2"/>
        <v>22</v>
      </c>
      <c r="H27" s="41">
        <f t="shared" si="2"/>
        <v>22</v>
      </c>
      <c r="I27" s="41">
        <f t="shared" si="2"/>
        <v>22</v>
      </c>
    </row>
    <row r="28" spans="1:9">
      <c r="A28" s="63" t="s">
        <v>18</v>
      </c>
      <c r="B28" s="41">
        <f t="shared" ref="B28:I28" si="3">B21+B22+B23-B25-B26</f>
        <v>69.113299523037938</v>
      </c>
      <c r="C28" s="41">
        <f t="shared" si="3"/>
        <v>69.113299523037938</v>
      </c>
      <c r="D28" s="41">
        <f t="shared" si="3"/>
        <v>69.113299523037938</v>
      </c>
      <c r="E28" s="41">
        <f t="shared" si="3"/>
        <v>69.113299523037938</v>
      </c>
      <c r="F28" s="41">
        <f t="shared" si="3"/>
        <v>22</v>
      </c>
      <c r="G28" s="41">
        <f t="shared" si="3"/>
        <v>22</v>
      </c>
      <c r="H28" s="41">
        <f t="shared" si="3"/>
        <v>22</v>
      </c>
      <c r="I28" s="41">
        <f t="shared" si="3"/>
        <v>22</v>
      </c>
    </row>
    <row r="29" spans="1:9">
      <c r="A29" s="39" t="s">
        <v>19</v>
      </c>
      <c r="B29" s="58"/>
      <c r="C29" s="58"/>
      <c r="D29" s="58"/>
      <c r="E29" s="58"/>
      <c r="F29" s="58"/>
      <c r="G29" s="58"/>
      <c r="H29" s="58"/>
      <c r="I29" s="58"/>
    </row>
    <row r="30" spans="1:9" ht="27.6">
      <c r="A30" s="59" t="s">
        <v>241</v>
      </c>
      <c r="B30" s="36">
        <v>2</v>
      </c>
      <c r="C30" s="60">
        <v>2</v>
      </c>
      <c r="D30" s="36">
        <v>2</v>
      </c>
      <c r="E30" s="60">
        <v>2</v>
      </c>
      <c r="F30" s="60">
        <v>64</v>
      </c>
      <c r="G30" s="60">
        <v>64</v>
      </c>
      <c r="H30" s="60">
        <v>64</v>
      </c>
      <c r="I30" s="60">
        <v>64</v>
      </c>
    </row>
    <row r="31" spans="1:9">
      <c r="A31" s="59" t="s">
        <v>246</v>
      </c>
      <c r="B31" s="36">
        <v>2</v>
      </c>
      <c r="C31" s="60">
        <v>2</v>
      </c>
      <c r="D31" s="36">
        <v>2</v>
      </c>
      <c r="E31" s="60">
        <v>2</v>
      </c>
      <c r="F31" s="60">
        <v>2</v>
      </c>
      <c r="G31" s="60">
        <v>2</v>
      </c>
      <c r="H31" s="60">
        <v>2</v>
      </c>
      <c r="I31" s="60">
        <v>2</v>
      </c>
    </row>
    <row r="32" spans="1:9">
      <c r="A32" s="59" t="s">
        <v>20</v>
      </c>
      <c r="B32" s="36">
        <v>0</v>
      </c>
      <c r="C32" s="60">
        <v>0</v>
      </c>
      <c r="D32" s="36">
        <v>0</v>
      </c>
      <c r="E32" s="60">
        <v>0</v>
      </c>
      <c r="F32" s="60">
        <v>8</v>
      </c>
      <c r="G32" s="60">
        <v>8</v>
      </c>
      <c r="H32" s="60">
        <v>8</v>
      </c>
      <c r="I32" s="60">
        <v>8</v>
      </c>
    </row>
    <row r="33" spans="1:10" ht="27.6">
      <c r="A33" s="64" t="s">
        <v>250</v>
      </c>
      <c r="B33" s="42">
        <f t="shared" ref="B33:I33" si="4">IF(B30&gt;=2, 10*LOG10(B30/2), 0)</f>
        <v>0</v>
      </c>
      <c r="C33" s="42">
        <f t="shared" si="4"/>
        <v>0</v>
      </c>
      <c r="D33" s="42">
        <f t="shared" si="4"/>
        <v>0</v>
      </c>
      <c r="E33" s="42">
        <f t="shared" si="4"/>
        <v>0</v>
      </c>
      <c r="F33" s="42">
        <f t="shared" si="4"/>
        <v>15.051499783199061</v>
      </c>
      <c r="G33" s="42">
        <f t="shared" si="4"/>
        <v>15.051499783199061</v>
      </c>
      <c r="H33" s="42">
        <f t="shared" si="4"/>
        <v>15.051499783199061</v>
      </c>
      <c r="I33" s="42">
        <f t="shared" si="4"/>
        <v>15.051499783199061</v>
      </c>
    </row>
    <row r="34" spans="1:10" ht="27.6">
      <c r="A34" s="116" t="s">
        <v>21</v>
      </c>
      <c r="B34" s="36">
        <v>1</v>
      </c>
      <c r="C34" s="38">
        <v>1</v>
      </c>
      <c r="D34" s="36">
        <v>1</v>
      </c>
      <c r="E34" s="38">
        <v>1</v>
      </c>
      <c r="F34" s="36">
        <v>3</v>
      </c>
      <c r="G34" s="36">
        <v>3</v>
      </c>
      <c r="H34" s="36">
        <v>3</v>
      </c>
      <c r="I34" s="36">
        <v>3</v>
      </c>
    </row>
    <row r="35" spans="1:10">
      <c r="A35" s="59" t="s">
        <v>22</v>
      </c>
      <c r="B35" s="37">
        <v>7</v>
      </c>
      <c r="C35" s="37">
        <v>7</v>
      </c>
      <c r="D35" s="37">
        <v>7</v>
      </c>
      <c r="E35" s="37">
        <v>7</v>
      </c>
      <c r="F35" s="37">
        <v>5</v>
      </c>
      <c r="G35" s="37">
        <v>5</v>
      </c>
      <c r="H35" s="37">
        <v>5</v>
      </c>
      <c r="I35" s="37">
        <v>5</v>
      </c>
    </row>
    <row r="36" spans="1:10">
      <c r="A36" s="59" t="s">
        <v>23</v>
      </c>
      <c r="B36" s="37">
        <v>-174</v>
      </c>
      <c r="C36" s="37">
        <v>-174</v>
      </c>
      <c r="D36" s="37">
        <v>-174</v>
      </c>
      <c r="E36" s="37">
        <v>-174</v>
      </c>
      <c r="F36" s="36">
        <v>-174</v>
      </c>
      <c r="G36" s="37">
        <v>-174</v>
      </c>
      <c r="H36" s="36">
        <v>-174</v>
      </c>
      <c r="I36" s="37">
        <v>-174</v>
      </c>
    </row>
    <row r="37" spans="1:10" ht="27.6">
      <c r="A37" s="59" t="s">
        <v>24</v>
      </c>
      <c r="B37" s="36" t="s">
        <v>235</v>
      </c>
      <c r="C37" s="37">
        <v>-169.3</v>
      </c>
      <c r="D37" s="36" t="s">
        <v>235</v>
      </c>
      <c r="E37" s="37">
        <v>-169.3</v>
      </c>
      <c r="F37" s="37" t="s">
        <v>235</v>
      </c>
      <c r="G37" s="37">
        <v>-161.69999999999999</v>
      </c>
      <c r="H37" s="37" t="s">
        <v>235</v>
      </c>
      <c r="I37" s="37">
        <v>-161.69999999999999</v>
      </c>
    </row>
    <row r="38" spans="1:10">
      <c r="A38" s="59" t="s">
        <v>25</v>
      </c>
      <c r="B38" s="36">
        <v>-169.3</v>
      </c>
      <c r="C38" s="37" t="s">
        <v>235</v>
      </c>
      <c r="D38" s="36">
        <v>-169.3</v>
      </c>
      <c r="E38" s="37" t="s">
        <v>235</v>
      </c>
      <c r="F38" s="37">
        <v>-165.7</v>
      </c>
      <c r="G38" s="37" t="s">
        <v>235</v>
      </c>
      <c r="H38" s="37">
        <v>-165.7</v>
      </c>
      <c r="I38" s="37" t="s">
        <v>235</v>
      </c>
    </row>
    <row r="39" spans="1:10" ht="41.4">
      <c r="A39" s="65" t="s">
        <v>45</v>
      </c>
      <c r="B39" s="41" t="s">
        <v>256</v>
      </c>
      <c r="C39" s="41">
        <f t="shared" ref="C39:I39" si="5">10*LOG10(10^((C35+C36)/10)+10^(C37/10))</f>
        <v>-164.98918835931039</v>
      </c>
      <c r="D39" s="41" t="s">
        <v>256</v>
      </c>
      <c r="E39" s="41">
        <f t="shared" si="5"/>
        <v>-164.98918835931039</v>
      </c>
      <c r="F39" s="41" t="s">
        <v>256</v>
      </c>
      <c r="G39" s="41">
        <f t="shared" si="5"/>
        <v>-160.9583889004532</v>
      </c>
      <c r="H39" s="41" t="s">
        <v>256</v>
      </c>
      <c r="I39" s="41">
        <f t="shared" si="5"/>
        <v>-160.9583889004532</v>
      </c>
    </row>
    <row r="40" spans="1:10" ht="41.4">
      <c r="A40" s="65" t="s">
        <v>46</v>
      </c>
      <c r="B40" s="41">
        <f t="shared" ref="B40:H40" si="6">10*LOG10(10^((B35+B36)/10)+10^(B38/10))</f>
        <v>-164.98918835931039</v>
      </c>
      <c r="C40" s="41" t="s">
        <v>256</v>
      </c>
      <c r="D40" s="41">
        <f t="shared" si="6"/>
        <v>-164.98918835931039</v>
      </c>
      <c r="E40" s="41" t="s">
        <v>256</v>
      </c>
      <c r="F40" s="41">
        <f t="shared" si="6"/>
        <v>-164.03352307536667</v>
      </c>
      <c r="G40" s="41" t="s">
        <v>256</v>
      </c>
      <c r="H40" s="41">
        <f t="shared" si="6"/>
        <v>-164.03352307536667</v>
      </c>
      <c r="I40" s="41" t="s">
        <v>256</v>
      </c>
    </row>
    <row r="41" spans="1:10" ht="27.6">
      <c r="A41" s="59" t="s">
        <v>26</v>
      </c>
      <c r="B41" s="36" t="s">
        <v>235</v>
      </c>
      <c r="C41" s="36">
        <f>'[1]NR MaxN_RB'!$F$6*12*15*1000</f>
        <v>19080000</v>
      </c>
      <c r="D41" s="36" t="s">
        <v>235</v>
      </c>
      <c r="E41" s="36">
        <f>'[1]NR MaxN_RB'!$F$6*12*15*1000</f>
        <v>19080000</v>
      </c>
      <c r="F41" s="60" t="s">
        <v>235</v>
      </c>
      <c r="G41" s="37">
        <f>1*12*30*1000</f>
        <v>360000</v>
      </c>
      <c r="H41" s="60" t="s">
        <v>235</v>
      </c>
      <c r="I41" s="37">
        <f>1*12*30*1000</f>
        <v>360000</v>
      </c>
    </row>
    <row r="42" spans="1:10" ht="27.6">
      <c r="A42" s="59" t="s">
        <v>27</v>
      </c>
      <c r="B42" s="36">
        <f>'[1]NR MaxN_RB'!$F$7*12*30*1000</f>
        <v>18360000</v>
      </c>
      <c r="C42" s="60" t="s">
        <v>235</v>
      </c>
      <c r="D42" s="36">
        <f>'[1]NR MaxN_RB'!$F$7*12*30*1000</f>
        <v>18360000</v>
      </c>
      <c r="E42" s="60" t="s">
        <v>235</v>
      </c>
      <c r="F42" s="36">
        <f>4*12*30*1000</f>
        <v>1440000</v>
      </c>
      <c r="G42" s="37" t="s">
        <v>235</v>
      </c>
      <c r="H42" s="36">
        <f>4*12*30*1000</f>
        <v>1440000</v>
      </c>
      <c r="I42" s="37" t="s">
        <v>235</v>
      </c>
    </row>
    <row r="43" spans="1:10">
      <c r="A43" s="63" t="s">
        <v>28</v>
      </c>
      <c r="B43" s="41" t="s">
        <v>256</v>
      </c>
      <c r="C43" s="41">
        <f t="shared" ref="B43:I44" si="7">C39+10*LOG10(C41)</f>
        <v>-92.18340465562963</v>
      </c>
      <c r="D43" s="41" t="s">
        <v>256</v>
      </c>
      <c r="E43" s="41">
        <f t="shared" si="7"/>
        <v>-92.18340465562963</v>
      </c>
      <c r="F43" s="41" t="s">
        <v>256</v>
      </c>
      <c r="G43" s="41">
        <f t="shared" si="7"/>
        <v>-105.39536389278032</v>
      </c>
      <c r="H43" s="41" t="s">
        <v>256</v>
      </c>
      <c r="I43" s="41">
        <f t="shared" si="7"/>
        <v>-105.39536389278032</v>
      </c>
    </row>
    <row r="44" spans="1:10">
      <c r="A44" s="63" t="s">
        <v>29</v>
      </c>
      <c r="B44" s="41">
        <f t="shared" si="7"/>
        <v>-92.350461590658156</v>
      </c>
      <c r="C44" s="41" t="s">
        <v>256</v>
      </c>
      <c r="D44" s="41">
        <f t="shared" si="7"/>
        <v>-92.350461590658156</v>
      </c>
      <c r="E44" s="41" t="s">
        <v>256</v>
      </c>
      <c r="F44" s="41">
        <f t="shared" si="7"/>
        <v>-102.44989815441417</v>
      </c>
      <c r="G44" s="41" t="s">
        <v>256</v>
      </c>
      <c r="H44" s="41">
        <f t="shared" si="7"/>
        <v>-102.44989815441417</v>
      </c>
      <c r="I44" s="41" t="s">
        <v>256</v>
      </c>
    </row>
    <row r="45" spans="1:10">
      <c r="A45" s="59" t="s">
        <v>30</v>
      </c>
      <c r="B45" s="36" t="s">
        <v>235</v>
      </c>
      <c r="C45" s="76">
        <v>-4.5999999999999996</v>
      </c>
      <c r="D45" s="76" t="s">
        <v>235</v>
      </c>
      <c r="E45" s="76">
        <v>-4.5</v>
      </c>
      <c r="F45" s="36" t="s">
        <v>235</v>
      </c>
      <c r="G45" s="76">
        <v>-5</v>
      </c>
      <c r="H45" s="76" t="s">
        <v>235</v>
      </c>
      <c r="I45" s="76">
        <v>-7.5</v>
      </c>
      <c r="J45" s="108"/>
    </row>
    <row r="46" spans="1:10">
      <c r="A46" s="59" t="s">
        <v>31</v>
      </c>
      <c r="B46" s="36">
        <v>2.8</v>
      </c>
      <c r="C46" s="36" t="s">
        <v>235</v>
      </c>
      <c r="D46" s="36">
        <v>-0.5</v>
      </c>
      <c r="E46" s="36" t="s">
        <v>235</v>
      </c>
      <c r="F46" s="76">
        <v>1.28</v>
      </c>
      <c r="G46" s="36" t="s">
        <v>235</v>
      </c>
      <c r="H46" s="76">
        <v>0.45</v>
      </c>
      <c r="I46" s="36" t="s">
        <v>235</v>
      </c>
      <c r="J46" s="108"/>
    </row>
    <row r="47" spans="1:10">
      <c r="A47" s="59" t="s">
        <v>32</v>
      </c>
      <c r="B47" s="36">
        <v>2</v>
      </c>
      <c r="C47" s="37">
        <v>2</v>
      </c>
      <c r="D47" s="36">
        <v>2</v>
      </c>
      <c r="E47" s="37">
        <v>2</v>
      </c>
      <c r="F47" s="60">
        <v>2</v>
      </c>
      <c r="G47" s="37">
        <v>2</v>
      </c>
      <c r="H47" s="60">
        <v>2</v>
      </c>
      <c r="I47" s="37">
        <v>2</v>
      </c>
    </row>
    <row r="48" spans="1:10">
      <c r="A48" s="59" t="s">
        <v>33</v>
      </c>
      <c r="B48" s="36" t="s">
        <v>235</v>
      </c>
      <c r="C48" s="37">
        <v>0</v>
      </c>
      <c r="D48" s="36" t="s">
        <v>235</v>
      </c>
      <c r="E48" s="37">
        <v>0</v>
      </c>
      <c r="F48" s="60" t="s">
        <v>235</v>
      </c>
      <c r="G48" s="37">
        <v>0</v>
      </c>
      <c r="H48" s="60" t="s">
        <v>235</v>
      </c>
      <c r="I48" s="37">
        <v>0</v>
      </c>
    </row>
    <row r="49" spans="1:9">
      <c r="A49" s="59" t="s">
        <v>34</v>
      </c>
      <c r="B49" s="36">
        <v>0.5</v>
      </c>
      <c r="C49" s="37" t="s">
        <v>235</v>
      </c>
      <c r="D49" s="36">
        <v>0.5</v>
      </c>
      <c r="E49" s="37" t="s">
        <v>235</v>
      </c>
      <c r="F49" s="60">
        <v>0.5</v>
      </c>
      <c r="G49" s="37" t="s">
        <v>235</v>
      </c>
      <c r="H49" s="60">
        <v>0.5</v>
      </c>
      <c r="I49" s="37" t="s">
        <v>235</v>
      </c>
    </row>
    <row r="50" spans="1:9" ht="27.6">
      <c r="A50" s="65" t="s">
        <v>47</v>
      </c>
      <c r="B50" s="41" t="s">
        <v>256</v>
      </c>
      <c r="C50" s="41">
        <f t="shared" ref="C50:I50" si="8">C43+C45+C47-C48</f>
        <v>-94.783404655629624</v>
      </c>
      <c r="D50" s="41" t="s">
        <v>256</v>
      </c>
      <c r="E50" s="41">
        <f t="shared" si="8"/>
        <v>-94.68340465562963</v>
      </c>
      <c r="F50" s="41" t="s">
        <v>256</v>
      </c>
      <c r="G50" s="41">
        <f t="shared" si="8"/>
        <v>-108.39536389278032</v>
      </c>
      <c r="H50" s="41" t="s">
        <v>256</v>
      </c>
      <c r="I50" s="41">
        <f t="shared" si="8"/>
        <v>-110.89536389278032</v>
      </c>
    </row>
    <row r="51" spans="1:9" ht="27.6">
      <c r="A51" s="65" t="s">
        <v>48</v>
      </c>
      <c r="B51" s="41">
        <f>B44+B46+B47-B49</f>
        <v>-88.050461590658159</v>
      </c>
      <c r="C51" s="41" t="s">
        <v>256</v>
      </c>
      <c r="D51" s="41">
        <f t="shared" ref="D51:H51" si="9">D44+D46+D47-D49</f>
        <v>-91.350461590658156</v>
      </c>
      <c r="E51" s="41" t="s">
        <v>256</v>
      </c>
      <c r="F51" s="41">
        <f t="shared" si="9"/>
        <v>-99.66989815441417</v>
      </c>
      <c r="G51" s="41" t="s">
        <v>256</v>
      </c>
      <c r="H51" s="41">
        <f t="shared" si="9"/>
        <v>-100.49989815441417</v>
      </c>
      <c r="I51" s="41" t="s">
        <v>256</v>
      </c>
    </row>
    <row r="52" spans="1:9" ht="27.6">
      <c r="A52" s="65" t="s">
        <v>107</v>
      </c>
      <c r="B52" s="41" t="s">
        <v>256</v>
      </c>
      <c r="C52" s="41">
        <f t="shared" ref="C52:I52" si="10">C27+C32+C33-C50</f>
        <v>163.89670417866756</v>
      </c>
      <c r="D52" s="41" t="s">
        <v>256</v>
      </c>
      <c r="E52" s="41">
        <f t="shared" si="10"/>
        <v>163.79670417866757</v>
      </c>
      <c r="F52" s="41" t="s">
        <v>256</v>
      </c>
      <c r="G52" s="41">
        <f t="shared" si="10"/>
        <v>153.44686367597939</v>
      </c>
      <c r="H52" s="41" t="s">
        <v>256</v>
      </c>
      <c r="I52" s="41">
        <f t="shared" si="10"/>
        <v>155.94686367597939</v>
      </c>
    </row>
    <row r="53" spans="1:9" ht="27.6">
      <c r="A53" s="65" t="s">
        <v>108</v>
      </c>
      <c r="B53" s="41">
        <f t="shared" ref="B53:H53" si="11">B28+B32+B33-B51</f>
        <v>157.1637611136961</v>
      </c>
      <c r="C53" s="41" t="s">
        <v>256</v>
      </c>
      <c r="D53" s="41">
        <f t="shared" si="11"/>
        <v>160.46376111369608</v>
      </c>
      <c r="E53" s="41" t="s">
        <v>256</v>
      </c>
      <c r="F53" s="41">
        <f t="shared" si="11"/>
        <v>144.72139793761323</v>
      </c>
      <c r="G53" s="41" t="s">
        <v>256</v>
      </c>
      <c r="H53" s="41">
        <f t="shared" si="11"/>
        <v>145.55139793761322</v>
      </c>
      <c r="I53" s="41" t="s">
        <v>256</v>
      </c>
    </row>
    <row r="54" spans="1:9">
      <c r="A54" s="39" t="s">
        <v>35</v>
      </c>
      <c r="B54" s="58"/>
      <c r="C54" s="58"/>
      <c r="D54" s="58"/>
      <c r="E54" s="58"/>
      <c r="F54" s="58"/>
      <c r="G54" s="58"/>
      <c r="H54" s="58"/>
      <c r="I54" s="58"/>
    </row>
    <row r="55" spans="1:9">
      <c r="A55" s="59" t="s">
        <v>36</v>
      </c>
      <c r="B55" s="60">
        <v>8</v>
      </c>
      <c r="C55" s="60">
        <v>8</v>
      </c>
      <c r="D55" s="60">
        <v>8</v>
      </c>
      <c r="E55" s="60">
        <v>8</v>
      </c>
      <c r="F55" s="60">
        <v>8</v>
      </c>
      <c r="G55" s="60">
        <v>8</v>
      </c>
      <c r="H55" s="60">
        <v>8</v>
      </c>
      <c r="I55" s="60">
        <v>8</v>
      </c>
    </row>
    <row r="56" spans="1:9" ht="27.6">
      <c r="A56" s="59" t="s">
        <v>37</v>
      </c>
      <c r="B56" s="44" t="s">
        <v>130</v>
      </c>
      <c r="C56" s="60">
        <v>10.45</v>
      </c>
      <c r="D56" s="60" t="s">
        <v>94</v>
      </c>
      <c r="E56" s="60">
        <v>8.4499999999999993</v>
      </c>
      <c r="F56" s="44" t="s">
        <v>130</v>
      </c>
      <c r="G56" s="60">
        <v>10.45</v>
      </c>
      <c r="H56" s="60" t="s">
        <v>94</v>
      </c>
      <c r="I56" s="60">
        <v>8.4499999999999993</v>
      </c>
    </row>
    <row r="57" spans="1:9" ht="27.6">
      <c r="A57" s="59" t="s">
        <v>38</v>
      </c>
      <c r="B57" s="60">
        <v>6.61</v>
      </c>
      <c r="C57" s="44" t="s">
        <v>130</v>
      </c>
      <c r="D57" s="60">
        <v>5.13</v>
      </c>
      <c r="E57" s="44" t="s">
        <v>94</v>
      </c>
      <c r="F57" s="60">
        <v>6.61</v>
      </c>
      <c r="G57" s="44" t="s">
        <v>130</v>
      </c>
      <c r="H57" s="60">
        <v>5.13</v>
      </c>
      <c r="I57" s="44" t="s">
        <v>94</v>
      </c>
    </row>
    <row r="58" spans="1:9">
      <c r="A58" s="59" t="s">
        <v>39</v>
      </c>
      <c r="B58" s="38">
        <v>0</v>
      </c>
      <c r="C58" s="38">
        <v>0</v>
      </c>
      <c r="D58" s="38">
        <v>0</v>
      </c>
      <c r="E58" s="38">
        <v>0</v>
      </c>
      <c r="F58" s="38">
        <v>0</v>
      </c>
      <c r="G58" s="38">
        <v>0</v>
      </c>
      <c r="H58" s="38">
        <v>0</v>
      </c>
      <c r="I58" s="38">
        <v>0</v>
      </c>
    </row>
    <row r="59" spans="1:9">
      <c r="A59" s="59" t="s">
        <v>40</v>
      </c>
      <c r="B59" s="38">
        <v>9</v>
      </c>
      <c r="C59" s="38">
        <v>9</v>
      </c>
      <c r="D59" s="38">
        <v>12.5</v>
      </c>
      <c r="E59" s="38">
        <v>12.5</v>
      </c>
      <c r="F59" s="38">
        <v>9</v>
      </c>
      <c r="G59" s="38">
        <v>9</v>
      </c>
      <c r="H59" s="38">
        <v>12.5</v>
      </c>
      <c r="I59" s="38">
        <v>12.5</v>
      </c>
    </row>
    <row r="60" spans="1:9">
      <c r="A60" s="59" t="s">
        <v>41</v>
      </c>
      <c r="B60" s="60">
        <v>0</v>
      </c>
      <c r="C60" s="60">
        <v>0</v>
      </c>
      <c r="D60" s="60">
        <v>0</v>
      </c>
      <c r="E60" s="60">
        <v>0</v>
      </c>
      <c r="F60" s="60">
        <v>0</v>
      </c>
      <c r="G60" s="60">
        <v>0</v>
      </c>
      <c r="H60" s="60">
        <v>0</v>
      </c>
      <c r="I60" s="60">
        <v>0</v>
      </c>
    </row>
    <row r="61" spans="1:9" ht="27.6">
      <c r="A61" s="65" t="s">
        <v>242</v>
      </c>
      <c r="B61" s="41" t="s">
        <v>256</v>
      </c>
      <c r="C61" s="41">
        <f t="shared" ref="C61:I61" si="12">C52-C56+C58-C59+C60-C34</f>
        <v>143.44670417866757</v>
      </c>
      <c r="D61" s="41" t="s">
        <v>256</v>
      </c>
      <c r="E61" s="41">
        <f t="shared" si="12"/>
        <v>141.84670417866758</v>
      </c>
      <c r="F61" s="41" t="s">
        <v>256</v>
      </c>
      <c r="G61" s="41">
        <f t="shared" si="12"/>
        <v>130.9968636759794</v>
      </c>
      <c r="H61" s="41" t="s">
        <v>256</v>
      </c>
      <c r="I61" s="41">
        <f t="shared" si="12"/>
        <v>131.9968636759794</v>
      </c>
    </row>
    <row r="62" spans="1:9" ht="27.6">
      <c r="A62" s="65" t="s">
        <v>49</v>
      </c>
      <c r="B62" s="41">
        <f t="shared" ref="B62:H62" si="13">B53-B57+B58-B59+B60-B34</f>
        <v>140.55376111369608</v>
      </c>
      <c r="C62" s="41" t="s">
        <v>256</v>
      </c>
      <c r="D62" s="41">
        <f t="shared" si="13"/>
        <v>141.83376111369608</v>
      </c>
      <c r="E62" s="41" t="s">
        <v>256</v>
      </c>
      <c r="F62" s="41">
        <f t="shared" si="13"/>
        <v>126.11139793761322</v>
      </c>
      <c r="G62" s="41" t="s">
        <v>256</v>
      </c>
      <c r="H62" s="41">
        <f t="shared" si="13"/>
        <v>124.92139793761322</v>
      </c>
      <c r="I62" s="41" t="s">
        <v>256</v>
      </c>
    </row>
    <row r="63" spans="1:9">
      <c r="A63" s="39" t="s">
        <v>42</v>
      </c>
      <c r="B63" s="58"/>
      <c r="C63" s="58"/>
      <c r="D63" s="58"/>
      <c r="E63" s="58"/>
      <c r="F63" s="58"/>
      <c r="G63" s="58"/>
      <c r="H63" s="58"/>
      <c r="I63" s="58"/>
    </row>
    <row r="64" spans="1:9" ht="27.6">
      <c r="A64" s="66" t="s">
        <v>243</v>
      </c>
      <c r="B64" s="37" t="s">
        <v>235</v>
      </c>
      <c r="C64" s="60">
        <f>10^((C61-161.04+7.1*LOG10(20)-7.5*LOG10(5)+(24.37-3.7*(5/C$5)^2)*LOG10(C$5)-20*LOG10(C$4)+(3.2*(LOG10(11.75*C$6)^2)-4.97))/(43.42-3.1*LOG10(C$5))+3)</f>
        <v>5002.2735449836473</v>
      </c>
      <c r="D64" s="37" t="s">
        <v>235</v>
      </c>
      <c r="E64" s="60">
        <f>10^((E61-161.04+7.1*LOG10(20)-7.5*LOG10(5)+(24.37-3.7*(5/E$5)^2)*LOG10(E$5)-20*LOG10(E$4)+(3.2*(LOG10(11.75*E$6)^2)-4.97))/(43.42-3.1*LOG10(E$5))+3)</f>
        <v>4547.2882406131503</v>
      </c>
      <c r="F64" s="37" t="s">
        <v>235</v>
      </c>
      <c r="G64" s="60">
        <f>10^((G61-161.04+7.1*LOG10(20)-7.5*LOG10(5)+(24.37-3.7*(5/G$5)^2)*LOG10(G$5)-20*LOG10(G$4)+(3.2*(LOG10(11.75*G$6)^2)-4.97))/(43.42-3.1*LOG10(G$5))+3)</f>
        <v>2381.8338385122202</v>
      </c>
      <c r="H64" s="37" t="s">
        <v>235</v>
      </c>
      <c r="I64" s="60">
        <f>10^((I61-161.04+7.1*LOG10(20)-7.5*LOG10(5)+(24.37-3.7*(5/I$5)^2)*LOG10(I$5)-20*LOG10(I$4)+(3.2*(LOG10(11.75*I$6)^2)-4.97))/(43.42-3.1*LOG10(I$5))+3)</f>
        <v>2528.1090697532591</v>
      </c>
    </row>
    <row r="65" spans="1:9" ht="27.6">
      <c r="A65" s="66" t="s">
        <v>244</v>
      </c>
      <c r="B65" s="60">
        <f>10^((B62-161.04+7.1*LOG10(20)-7.5*LOG10(5)+(24.37-3.7*(5/B$5)^2)*LOG10(B$5)-20*LOG10(B$4)+(3.2*(LOG10(11.75*B$6)^2)-4.97))/(43.42-3.1*LOG10(B$5))+3)</f>
        <v>4210.0329854575284</v>
      </c>
      <c r="C65" s="37" t="s">
        <v>235</v>
      </c>
      <c r="D65" s="60">
        <f>10^((D62-161.04+7.1*LOG10(20)-7.5*LOG10(5)+(24.37-3.7*(5/D$5)^2)*LOG10(D$5)-20*LOG10(D$4)+(3.2*(LOG10(11.75*D$6)^2)-4.97))/(43.42-3.1*LOG10(D$5))+3)</f>
        <v>4543.7817313099704</v>
      </c>
      <c r="E65" s="37" t="s">
        <v>235</v>
      </c>
      <c r="F65" s="60">
        <f>10^((F62-161.04+7.1*LOG10(20)-7.5*LOG10(5)+(24.37-3.7*(5/F$5)^2)*LOG10(F$5)-20*LOG10(F$4)+(3.2*(LOG10(11.75*F$6)^2)-4.97))/(43.42-3.1*LOG10(F$5))+3)</f>
        <v>1780.1408922167677</v>
      </c>
      <c r="G65" s="37" t="s">
        <v>235</v>
      </c>
      <c r="H65" s="60">
        <f>10^((H62-161.04+7.1*LOG10(20)-7.5*LOG10(5)+(24.37-3.7*(5/H$5)^2)*LOG10(H$5)-20*LOG10(H$4)+(3.2*(LOG10(11.75*H$6)^2)-4.97))/(43.42-3.1*LOG10(H$5))+3)</f>
        <v>1658.2576335486058</v>
      </c>
      <c r="I65" s="37" t="s">
        <v>235</v>
      </c>
    </row>
    <row r="66" spans="1:9" ht="16.8">
      <c r="A66" s="66" t="s">
        <v>114</v>
      </c>
      <c r="B66" s="37" t="s">
        <v>235</v>
      </c>
      <c r="C66" s="37">
        <f>PI()*(C64)^2</f>
        <v>78611258.100840911</v>
      </c>
      <c r="D66" s="37" t="s">
        <v>235</v>
      </c>
      <c r="E66" s="37">
        <f>PI()*(E64)^2</f>
        <v>64961319.898431785</v>
      </c>
      <c r="F66" s="37" t="s">
        <v>235</v>
      </c>
      <c r="G66" s="37">
        <f>PI()*(G64)^2</f>
        <v>17822671.17838186</v>
      </c>
      <c r="H66" s="37" t="s">
        <v>235</v>
      </c>
      <c r="I66" s="37">
        <f>PI()*(I64)^2</f>
        <v>20078972.554683272</v>
      </c>
    </row>
    <row r="67" spans="1:9" ht="16.8">
      <c r="A67" s="66" t="s">
        <v>115</v>
      </c>
      <c r="B67" s="37">
        <f>PI()*(B65)^2</f>
        <v>55682774.893163249</v>
      </c>
      <c r="C67" s="37" t="s">
        <v>235</v>
      </c>
      <c r="D67" s="37">
        <f>PI()*(D65)^2</f>
        <v>64861172.454648018</v>
      </c>
      <c r="E67" s="37" t="s">
        <v>235</v>
      </c>
      <c r="F67" s="37">
        <f>PI()*(F65)^2</f>
        <v>9955397.9743896499</v>
      </c>
      <c r="G67" s="37" t="s">
        <v>235</v>
      </c>
      <c r="H67" s="37">
        <f>PI()*(H65)^2</f>
        <v>8638809.2188707255</v>
      </c>
      <c r="I67" s="37" t="s">
        <v>235</v>
      </c>
    </row>
    <row r="69" spans="1:9">
      <c r="A69" s="67"/>
    </row>
  </sheetData>
  <mergeCells count="2">
    <mergeCell ref="B1:E1"/>
    <mergeCell ref="F1:I1"/>
  </mergeCells>
  <phoneticPr fontId="1" type="noConversion"/>
  <dataValidations count="1">
    <dataValidation type="list" allowBlank="1" showInputMessage="1" showErrorMessage="1" sqref="F34:I34 B26:E26">
      <formula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85" zoomScaleNormal="85" workbookViewId="0">
      <pane xSplit="1" ySplit="3" topLeftCell="D37" activePane="bottomRight" state="frozen"/>
      <selection pane="topRight" activeCell="B1" sqref="B1"/>
      <selection pane="bottomLeft" activeCell="A4" sqref="A4"/>
      <selection pane="bottomRight" activeCell="D2" sqref="D2:I2"/>
    </sheetView>
  </sheetViews>
  <sheetFormatPr defaultRowHeight="15.6"/>
  <cols>
    <col min="1" max="1" width="69" style="50" customWidth="1"/>
    <col min="2" max="2" width="22.69921875" style="44" bestFit="1" customWidth="1"/>
    <col min="3" max="3" width="18.3984375" style="44" bestFit="1" customWidth="1"/>
    <col min="4" max="4" width="18.69921875" style="44" customWidth="1"/>
    <col min="5" max="5" width="19.3984375" style="44" customWidth="1"/>
    <col min="6" max="6" width="20.09765625" style="50" customWidth="1"/>
    <col min="7" max="8" width="18.09765625" style="50" customWidth="1"/>
    <col min="9" max="9" width="17.3984375" style="50" customWidth="1"/>
  </cols>
  <sheetData>
    <row r="1" spans="1:9">
      <c r="A1" s="56" t="s">
        <v>0</v>
      </c>
      <c r="B1" s="139" t="s">
        <v>132</v>
      </c>
      <c r="C1" s="139"/>
      <c r="D1" s="139"/>
      <c r="E1" s="140"/>
      <c r="F1" s="141" t="s">
        <v>133</v>
      </c>
      <c r="G1" s="141"/>
      <c r="H1" s="141"/>
      <c r="I1" s="141"/>
    </row>
    <row r="2" spans="1:9" ht="27.6">
      <c r="A2" s="57"/>
      <c r="B2" s="47" t="s">
        <v>261</v>
      </c>
      <c r="C2" s="47" t="s">
        <v>262</v>
      </c>
      <c r="D2" s="47" t="s">
        <v>263</v>
      </c>
      <c r="E2" s="47" t="s">
        <v>264</v>
      </c>
      <c r="F2" s="47" t="s">
        <v>265</v>
      </c>
      <c r="G2" s="47" t="s">
        <v>266</v>
      </c>
      <c r="H2" s="47" t="s">
        <v>267</v>
      </c>
      <c r="I2" s="47" t="s">
        <v>268</v>
      </c>
    </row>
    <row r="3" spans="1:9">
      <c r="A3" s="39" t="s">
        <v>1</v>
      </c>
      <c r="B3" s="58"/>
      <c r="C3" s="58"/>
      <c r="D3" s="58"/>
      <c r="E3" s="58"/>
      <c r="F3" s="58"/>
      <c r="G3" s="58"/>
      <c r="H3" s="58"/>
      <c r="I3" s="58"/>
    </row>
    <row r="4" spans="1:9">
      <c r="A4" s="59" t="s">
        <v>2</v>
      </c>
      <c r="B4" s="38">
        <v>0.7</v>
      </c>
      <c r="C4" s="60">
        <v>0.7</v>
      </c>
      <c r="D4" s="38">
        <v>0.7</v>
      </c>
      <c r="E4" s="60">
        <v>0.7</v>
      </c>
      <c r="F4" s="38">
        <v>0.7</v>
      </c>
      <c r="G4" s="60">
        <v>0.7</v>
      </c>
      <c r="H4" s="38">
        <v>0.7</v>
      </c>
      <c r="I4" s="60">
        <v>0.7</v>
      </c>
    </row>
    <row r="5" spans="1:9">
      <c r="A5" s="59" t="s">
        <v>3</v>
      </c>
      <c r="B5" s="60">
        <v>35</v>
      </c>
      <c r="C5" s="60">
        <v>35</v>
      </c>
      <c r="D5" s="60">
        <v>35</v>
      </c>
      <c r="E5" s="60">
        <v>35</v>
      </c>
      <c r="F5" s="60">
        <v>35</v>
      </c>
      <c r="G5" s="60">
        <v>35</v>
      </c>
      <c r="H5" s="60">
        <v>35</v>
      </c>
      <c r="I5" s="60">
        <v>35</v>
      </c>
    </row>
    <row r="6" spans="1:9">
      <c r="A6" s="59" t="s">
        <v>4</v>
      </c>
      <c r="B6" s="38">
        <v>1.5</v>
      </c>
      <c r="C6" s="60">
        <v>1.5</v>
      </c>
      <c r="D6" s="38">
        <v>1.5</v>
      </c>
      <c r="E6" s="60">
        <v>1.5</v>
      </c>
      <c r="F6" s="38">
        <v>1.5</v>
      </c>
      <c r="G6" s="60">
        <v>1.5</v>
      </c>
      <c r="H6" s="38">
        <v>1.5</v>
      </c>
      <c r="I6" s="60">
        <v>1.5</v>
      </c>
    </row>
    <row r="7" spans="1:9" ht="29.4">
      <c r="A7" s="59" t="s">
        <v>109</v>
      </c>
      <c r="B7" s="22" t="s">
        <v>61</v>
      </c>
      <c r="C7" s="54">
        <v>0.95</v>
      </c>
      <c r="D7" s="22" t="s">
        <v>61</v>
      </c>
      <c r="E7" s="54">
        <v>0.95</v>
      </c>
      <c r="F7" s="54" t="s">
        <v>61</v>
      </c>
      <c r="G7" s="23">
        <v>0.95</v>
      </c>
      <c r="H7" s="54" t="s">
        <v>61</v>
      </c>
      <c r="I7" s="23">
        <v>0.95</v>
      </c>
    </row>
    <row r="8" spans="1:9" ht="29.4">
      <c r="A8" s="59" t="s">
        <v>110</v>
      </c>
      <c r="B8" s="22">
        <v>0.9</v>
      </c>
      <c r="C8" s="54" t="s">
        <v>61</v>
      </c>
      <c r="D8" s="22">
        <v>0.9</v>
      </c>
      <c r="E8" s="54" t="s">
        <v>61</v>
      </c>
      <c r="F8" s="54">
        <v>0.9</v>
      </c>
      <c r="G8" s="23" t="s">
        <v>61</v>
      </c>
      <c r="H8" s="54">
        <v>0.9</v>
      </c>
      <c r="I8" s="23" t="s">
        <v>61</v>
      </c>
    </row>
    <row r="9" spans="1:9" s="114" customFormat="1">
      <c r="A9" s="136" t="s">
        <v>5</v>
      </c>
      <c r="B9" s="36" t="s">
        <v>61</v>
      </c>
      <c r="C9" s="36">
        <f>43/(0.001)</f>
        <v>43000</v>
      </c>
      <c r="D9" s="36" t="s">
        <v>61</v>
      </c>
      <c r="E9" s="36">
        <f>43/(0.001)</f>
        <v>43000</v>
      </c>
      <c r="F9" s="38" t="s">
        <v>61</v>
      </c>
      <c r="G9" s="36">
        <f>2/(0.001)</f>
        <v>2000</v>
      </c>
      <c r="H9" s="38" t="s">
        <v>61</v>
      </c>
      <c r="I9" s="36">
        <f>2/(0.001)</f>
        <v>2000</v>
      </c>
    </row>
    <row r="10" spans="1:9" ht="30" customHeight="1">
      <c r="A10" s="59" t="s">
        <v>6</v>
      </c>
      <c r="B10" s="36">
        <f>1994400*3</f>
        <v>5983200</v>
      </c>
      <c r="C10" s="60" t="s">
        <v>61</v>
      </c>
      <c r="D10" s="36">
        <f>1994400*3</f>
        <v>5983200</v>
      </c>
      <c r="E10" s="60" t="s">
        <v>61</v>
      </c>
      <c r="F10" s="60">
        <f>187200*3</f>
        <v>561600</v>
      </c>
      <c r="G10" s="37" t="s">
        <v>61</v>
      </c>
      <c r="H10" s="60">
        <f>187200*3</f>
        <v>561600</v>
      </c>
      <c r="I10" s="37" t="s">
        <v>61</v>
      </c>
    </row>
    <row r="11" spans="1:9">
      <c r="A11" s="59" t="s">
        <v>7</v>
      </c>
      <c r="B11" s="22" t="s">
        <v>61</v>
      </c>
      <c r="C11" s="54">
        <v>0.01</v>
      </c>
      <c r="D11" s="22" t="s">
        <v>61</v>
      </c>
      <c r="E11" s="54">
        <v>0.01</v>
      </c>
      <c r="F11" s="54" t="s">
        <v>61</v>
      </c>
      <c r="G11" s="23">
        <v>0.01</v>
      </c>
      <c r="H11" s="54" t="s">
        <v>61</v>
      </c>
      <c r="I11" s="23">
        <v>0.01</v>
      </c>
    </row>
    <row r="12" spans="1:9">
      <c r="A12" s="59" t="s">
        <v>8</v>
      </c>
      <c r="B12" s="22">
        <v>0.1</v>
      </c>
      <c r="C12" s="54" t="s">
        <v>61</v>
      </c>
      <c r="D12" s="22">
        <v>0.1</v>
      </c>
      <c r="E12" s="54" t="s">
        <v>61</v>
      </c>
      <c r="F12" s="54">
        <v>0.1</v>
      </c>
      <c r="G12" s="23" t="s">
        <v>61</v>
      </c>
      <c r="H12" s="54">
        <v>0.1</v>
      </c>
      <c r="I12" s="23" t="s">
        <v>61</v>
      </c>
    </row>
    <row r="13" spans="1:9">
      <c r="A13" s="59" t="s">
        <v>111</v>
      </c>
      <c r="B13" s="36">
        <f>B10/B42</f>
        <v>0.66479999999999995</v>
      </c>
      <c r="C13" s="60" t="s">
        <v>61</v>
      </c>
      <c r="D13" s="36">
        <f>D10/D42</f>
        <v>0.66479999999999995</v>
      </c>
      <c r="E13" s="60" t="s">
        <v>61</v>
      </c>
      <c r="F13" s="36">
        <f>F10/F42</f>
        <v>0.78</v>
      </c>
      <c r="G13" s="37" t="s">
        <v>61</v>
      </c>
      <c r="H13" s="36">
        <f>H10/H42</f>
        <v>0.78</v>
      </c>
      <c r="I13" s="37" t="s">
        <v>61</v>
      </c>
    </row>
    <row r="14" spans="1:9">
      <c r="A14" s="59" t="s">
        <v>112</v>
      </c>
      <c r="B14" s="60" t="s">
        <v>92</v>
      </c>
      <c r="C14" s="60" t="s">
        <v>92</v>
      </c>
      <c r="D14" s="60" t="s">
        <v>93</v>
      </c>
      <c r="E14" s="60" t="s">
        <v>93</v>
      </c>
      <c r="F14" s="60" t="s">
        <v>92</v>
      </c>
      <c r="G14" s="60" t="s">
        <v>92</v>
      </c>
      <c r="H14" s="60" t="s">
        <v>93</v>
      </c>
      <c r="I14" s="60" t="s">
        <v>93</v>
      </c>
    </row>
    <row r="15" spans="1:9">
      <c r="A15" s="59" t="s">
        <v>123</v>
      </c>
      <c r="B15" s="36">
        <v>120</v>
      </c>
      <c r="C15" s="37">
        <v>120</v>
      </c>
      <c r="D15" s="36">
        <v>3</v>
      </c>
      <c r="E15" s="37">
        <v>3</v>
      </c>
      <c r="F15" s="36">
        <v>120</v>
      </c>
      <c r="G15" s="37">
        <v>120</v>
      </c>
      <c r="H15" s="37">
        <v>3</v>
      </c>
      <c r="I15" s="37">
        <v>3</v>
      </c>
    </row>
    <row r="16" spans="1:9">
      <c r="A16" s="59" t="s">
        <v>9</v>
      </c>
      <c r="B16" s="36">
        <v>3</v>
      </c>
      <c r="C16" s="60">
        <v>3</v>
      </c>
      <c r="D16" s="36">
        <v>3</v>
      </c>
      <c r="E16" s="60">
        <v>3</v>
      </c>
      <c r="F16" s="60">
        <v>3</v>
      </c>
      <c r="G16" s="37">
        <v>3</v>
      </c>
      <c r="H16" s="60">
        <v>3</v>
      </c>
      <c r="I16" s="37">
        <v>3</v>
      </c>
    </row>
    <row r="17" spans="1:9">
      <c r="A17" s="39" t="s">
        <v>10</v>
      </c>
      <c r="B17" s="58"/>
      <c r="C17" s="58"/>
      <c r="D17" s="58"/>
      <c r="E17" s="58"/>
      <c r="F17" s="58"/>
      <c r="G17" s="58"/>
      <c r="H17" s="58"/>
      <c r="I17" s="58"/>
    </row>
    <row r="18" spans="1:9" ht="27.6">
      <c r="A18" s="59" t="s">
        <v>89</v>
      </c>
      <c r="B18" s="36">
        <v>64</v>
      </c>
      <c r="C18" s="60">
        <v>64</v>
      </c>
      <c r="D18" s="36">
        <v>64</v>
      </c>
      <c r="E18" s="60">
        <v>64</v>
      </c>
      <c r="F18" s="37">
        <v>1</v>
      </c>
      <c r="G18" s="60">
        <v>1</v>
      </c>
      <c r="H18" s="37">
        <v>1</v>
      </c>
      <c r="I18" s="60">
        <v>1</v>
      </c>
    </row>
    <row r="19" spans="1:9">
      <c r="A19" s="59" t="s">
        <v>247</v>
      </c>
      <c r="B19" s="36">
        <v>2</v>
      </c>
      <c r="C19" s="60">
        <v>2</v>
      </c>
      <c r="D19" s="36">
        <v>2</v>
      </c>
      <c r="E19" s="60">
        <v>2</v>
      </c>
      <c r="F19" s="37">
        <v>1</v>
      </c>
      <c r="G19" s="60">
        <v>1</v>
      </c>
      <c r="H19" s="37">
        <v>1</v>
      </c>
      <c r="I19" s="60">
        <v>1</v>
      </c>
    </row>
    <row r="20" spans="1:9">
      <c r="A20" s="59" t="s">
        <v>11</v>
      </c>
      <c r="B20" s="36">
        <v>28</v>
      </c>
      <c r="C20" s="60">
        <v>28</v>
      </c>
      <c r="D20" s="36">
        <v>28</v>
      </c>
      <c r="E20" s="60">
        <v>28</v>
      </c>
      <c r="F20" s="37">
        <v>23</v>
      </c>
      <c r="G20" s="60">
        <v>23</v>
      </c>
      <c r="H20" s="37">
        <v>23</v>
      </c>
      <c r="I20" s="60">
        <v>23</v>
      </c>
    </row>
    <row r="21" spans="1:9" ht="27.6">
      <c r="A21" s="61" t="s">
        <v>125</v>
      </c>
      <c r="B21" s="42">
        <f t="shared" ref="B21:I21" si="0">B20+10*LOG10(B18)</f>
        <v>46.061799739838875</v>
      </c>
      <c r="C21" s="42">
        <f t="shared" si="0"/>
        <v>46.061799739838875</v>
      </c>
      <c r="D21" s="42">
        <f t="shared" si="0"/>
        <v>46.061799739838875</v>
      </c>
      <c r="E21" s="42">
        <f t="shared" si="0"/>
        <v>46.061799739838875</v>
      </c>
      <c r="F21" s="42">
        <f t="shared" si="0"/>
        <v>23</v>
      </c>
      <c r="G21" s="42">
        <f t="shared" si="0"/>
        <v>23</v>
      </c>
      <c r="H21" s="42">
        <f t="shared" si="0"/>
        <v>23</v>
      </c>
      <c r="I21" s="42">
        <f t="shared" si="0"/>
        <v>23</v>
      </c>
    </row>
    <row r="22" spans="1:9" ht="45" customHeight="1">
      <c r="A22" s="59" t="s">
        <v>12</v>
      </c>
      <c r="B22" s="36">
        <v>8</v>
      </c>
      <c r="C22" s="60">
        <v>8</v>
      </c>
      <c r="D22" s="36">
        <v>8</v>
      </c>
      <c r="E22" s="60">
        <v>8</v>
      </c>
      <c r="F22" s="37">
        <v>0</v>
      </c>
      <c r="G22" s="60">
        <v>0</v>
      </c>
      <c r="H22" s="37">
        <v>0</v>
      </c>
      <c r="I22" s="60">
        <v>0</v>
      </c>
    </row>
    <row r="23" spans="1:9" ht="27.6">
      <c r="A23" s="62" t="s">
        <v>13</v>
      </c>
      <c r="B23" s="42">
        <f t="shared" ref="B23:I23" si="1">IF(B18&gt;=2, 10*LOG10(B18/2), 0)</f>
        <v>15.051499783199061</v>
      </c>
      <c r="C23" s="42">
        <f>IF(C18&gt;=2, 10*LOG10(C18/2), 0)-1.25</f>
        <v>13.801499783199061</v>
      </c>
      <c r="D23" s="42">
        <f t="shared" si="1"/>
        <v>15.051499783199061</v>
      </c>
      <c r="E23" s="42">
        <f>IF(E18&gt;=2, 10*LOG10(E18/2), 0)-1.25</f>
        <v>13.801499783199061</v>
      </c>
      <c r="F23" s="42">
        <f t="shared" si="1"/>
        <v>0</v>
      </c>
      <c r="G23" s="42">
        <f t="shared" si="1"/>
        <v>0</v>
      </c>
      <c r="H23" s="42">
        <f t="shared" si="1"/>
        <v>0</v>
      </c>
      <c r="I23" s="42">
        <f t="shared" si="1"/>
        <v>0</v>
      </c>
    </row>
    <row r="24" spans="1:9">
      <c r="A24" s="59" t="s">
        <v>14</v>
      </c>
      <c r="B24" s="36">
        <v>0</v>
      </c>
      <c r="C24" s="37">
        <v>0</v>
      </c>
      <c r="D24" s="36">
        <v>0</v>
      </c>
      <c r="E24" s="37">
        <v>0</v>
      </c>
      <c r="F24" s="37">
        <v>0</v>
      </c>
      <c r="G24" s="37">
        <v>0</v>
      </c>
      <c r="H24" s="37">
        <v>0</v>
      </c>
      <c r="I24" s="37">
        <v>0</v>
      </c>
    </row>
    <row r="25" spans="1:9">
      <c r="A25" s="59" t="s">
        <v>15</v>
      </c>
      <c r="B25" s="36">
        <v>0</v>
      </c>
      <c r="C25" s="37">
        <v>0</v>
      </c>
      <c r="D25" s="36">
        <v>0</v>
      </c>
      <c r="E25" s="37">
        <v>0</v>
      </c>
      <c r="F25" s="37">
        <v>0</v>
      </c>
      <c r="G25" s="37">
        <v>0</v>
      </c>
      <c r="H25" s="37">
        <v>0</v>
      </c>
      <c r="I25" s="37">
        <v>0</v>
      </c>
    </row>
    <row r="26" spans="1:9" ht="27.6">
      <c r="A26" s="59" t="s">
        <v>16</v>
      </c>
      <c r="B26" s="36">
        <v>3</v>
      </c>
      <c r="C26" s="37">
        <v>3</v>
      </c>
      <c r="D26" s="36">
        <v>3</v>
      </c>
      <c r="E26" s="37">
        <v>3</v>
      </c>
      <c r="F26" s="37">
        <v>1</v>
      </c>
      <c r="G26" s="37">
        <v>1</v>
      </c>
      <c r="H26" s="37">
        <v>1</v>
      </c>
      <c r="I26" s="37">
        <v>1</v>
      </c>
    </row>
    <row r="27" spans="1:9">
      <c r="A27" s="63" t="s">
        <v>17</v>
      </c>
      <c r="B27" s="41">
        <f t="shared" ref="B27:I27" si="2">B21+B22+B23+B24-B26</f>
        <v>66.113299523037938</v>
      </c>
      <c r="C27" s="41">
        <f t="shared" si="2"/>
        <v>64.863299523037938</v>
      </c>
      <c r="D27" s="41">
        <f t="shared" si="2"/>
        <v>66.113299523037938</v>
      </c>
      <c r="E27" s="41">
        <f t="shared" si="2"/>
        <v>64.863299523037938</v>
      </c>
      <c r="F27" s="41">
        <f t="shared" si="2"/>
        <v>22</v>
      </c>
      <c r="G27" s="41">
        <f t="shared" si="2"/>
        <v>22</v>
      </c>
      <c r="H27" s="41">
        <f t="shared" si="2"/>
        <v>22</v>
      </c>
      <c r="I27" s="41">
        <f t="shared" si="2"/>
        <v>22</v>
      </c>
    </row>
    <row r="28" spans="1:9">
      <c r="A28" s="63" t="s">
        <v>18</v>
      </c>
      <c r="B28" s="41">
        <f t="shared" ref="B28:I28" si="3">B21+B22+B23-B25-B26</f>
        <v>66.113299523037938</v>
      </c>
      <c r="C28" s="41">
        <f t="shared" si="3"/>
        <v>64.863299523037938</v>
      </c>
      <c r="D28" s="41">
        <f t="shared" si="3"/>
        <v>66.113299523037938</v>
      </c>
      <c r="E28" s="41">
        <f t="shared" si="3"/>
        <v>64.863299523037938</v>
      </c>
      <c r="F28" s="41">
        <f t="shared" si="3"/>
        <v>22</v>
      </c>
      <c r="G28" s="41">
        <f t="shared" si="3"/>
        <v>22</v>
      </c>
      <c r="H28" s="41">
        <f t="shared" si="3"/>
        <v>22</v>
      </c>
      <c r="I28" s="41">
        <f t="shared" si="3"/>
        <v>22</v>
      </c>
    </row>
    <row r="29" spans="1:9">
      <c r="A29" s="39" t="s">
        <v>19</v>
      </c>
      <c r="B29" s="58"/>
      <c r="C29" s="58"/>
      <c r="D29" s="58"/>
      <c r="E29" s="58"/>
      <c r="F29" s="58"/>
      <c r="G29" s="58"/>
      <c r="H29" s="58"/>
      <c r="I29" s="58"/>
    </row>
    <row r="30" spans="1:9" ht="27.6">
      <c r="A30" s="59" t="s">
        <v>126</v>
      </c>
      <c r="B30" s="36">
        <v>2</v>
      </c>
      <c r="C30" s="60">
        <v>2</v>
      </c>
      <c r="D30" s="36">
        <v>2</v>
      </c>
      <c r="E30" s="60">
        <v>2</v>
      </c>
      <c r="F30" s="60">
        <v>64</v>
      </c>
      <c r="G30" s="60">
        <v>64</v>
      </c>
      <c r="H30" s="60">
        <v>64</v>
      </c>
      <c r="I30" s="60">
        <v>64</v>
      </c>
    </row>
    <row r="31" spans="1:9">
      <c r="A31" s="59" t="s">
        <v>248</v>
      </c>
      <c r="B31" s="36">
        <v>2</v>
      </c>
      <c r="C31" s="60">
        <v>2</v>
      </c>
      <c r="D31" s="36">
        <v>2</v>
      </c>
      <c r="E31" s="60">
        <v>2</v>
      </c>
      <c r="F31" s="60">
        <v>2</v>
      </c>
      <c r="G31" s="60">
        <v>2</v>
      </c>
      <c r="H31" s="60">
        <v>2</v>
      </c>
      <c r="I31" s="60">
        <v>2</v>
      </c>
    </row>
    <row r="32" spans="1:9">
      <c r="A32" s="59" t="s">
        <v>20</v>
      </c>
      <c r="B32" s="36">
        <v>0</v>
      </c>
      <c r="C32" s="60">
        <v>0</v>
      </c>
      <c r="D32" s="36">
        <v>0</v>
      </c>
      <c r="E32" s="60">
        <v>0</v>
      </c>
      <c r="F32" s="60">
        <v>8</v>
      </c>
      <c r="G32" s="60">
        <v>8</v>
      </c>
      <c r="H32" s="60">
        <v>8</v>
      </c>
      <c r="I32" s="60">
        <v>8</v>
      </c>
    </row>
    <row r="33" spans="1:9" ht="27.6">
      <c r="A33" s="64" t="s">
        <v>249</v>
      </c>
      <c r="B33" s="42">
        <f t="shared" ref="B33:I33" si="4">IF(B30&gt;=2, 10*LOG10(B30/2), 0)</f>
        <v>0</v>
      </c>
      <c r="C33" s="42">
        <f t="shared" si="4"/>
        <v>0</v>
      </c>
      <c r="D33" s="42">
        <f t="shared" si="4"/>
        <v>0</v>
      </c>
      <c r="E33" s="42">
        <f t="shared" si="4"/>
        <v>0</v>
      </c>
      <c r="F33" s="42">
        <f t="shared" si="4"/>
        <v>15.051499783199061</v>
      </c>
      <c r="G33" s="42">
        <f t="shared" si="4"/>
        <v>15.051499783199061</v>
      </c>
      <c r="H33" s="42">
        <f t="shared" si="4"/>
        <v>15.051499783199061</v>
      </c>
      <c r="I33" s="42">
        <f t="shared" si="4"/>
        <v>15.051499783199061</v>
      </c>
    </row>
    <row r="34" spans="1:9" ht="27.6">
      <c r="A34" s="59" t="s">
        <v>21</v>
      </c>
      <c r="B34" s="36">
        <v>1</v>
      </c>
      <c r="C34" s="60">
        <v>1</v>
      </c>
      <c r="D34" s="36">
        <v>1</v>
      </c>
      <c r="E34" s="60">
        <v>1</v>
      </c>
      <c r="F34" s="37">
        <v>3</v>
      </c>
      <c r="G34" s="60">
        <v>3</v>
      </c>
      <c r="H34" s="37">
        <v>3</v>
      </c>
      <c r="I34" s="60">
        <v>3</v>
      </c>
    </row>
    <row r="35" spans="1:9">
      <c r="A35" s="59" t="s">
        <v>22</v>
      </c>
      <c r="B35" s="37">
        <v>7</v>
      </c>
      <c r="C35" s="37">
        <v>7</v>
      </c>
      <c r="D35" s="37">
        <v>7</v>
      </c>
      <c r="E35" s="37">
        <v>7</v>
      </c>
      <c r="F35" s="37">
        <v>5</v>
      </c>
      <c r="G35" s="37">
        <v>5</v>
      </c>
      <c r="H35" s="37">
        <v>5</v>
      </c>
      <c r="I35" s="37">
        <v>5</v>
      </c>
    </row>
    <row r="36" spans="1:9">
      <c r="A36" s="59" t="s">
        <v>23</v>
      </c>
      <c r="B36" s="37">
        <v>-174</v>
      </c>
      <c r="C36" s="37">
        <v>-174</v>
      </c>
      <c r="D36" s="37">
        <v>-174</v>
      </c>
      <c r="E36" s="37">
        <v>-174</v>
      </c>
      <c r="F36" s="36">
        <v>-174</v>
      </c>
      <c r="G36" s="37">
        <v>-174</v>
      </c>
      <c r="H36" s="36">
        <v>-174</v>
      </c>
      <c r="I36" s="37">
        <v>-174</v>
      </c>
    </row>
    <row r="37" spans="1:9" ht="27.6">
      <c r="A37" s="59" t="s">
        <v>24</v>
      </c>
      <c r="B37" s="36" t="s">
        <v>61</v>
      </c>
      <c r="C37" s="37">
        <v>-169.3</v>
      </c>
      <c r="D37" s="36" t="s">
        <v>61</v>
      </c>
      <c r="E37" s="37">
        <v>-169.3</v>
      </c>
      <c r="F37" s="37" t="s">
        <v>61</v>
      </c>
      <c r="G37" s="37">
        <v>-161.69999999999999</v>
      </c>
      <c r="H37" s="37" t="s">
        <v>61</v>
      </c>
      <c r="I37" s="37">
        <v>-161.69999999999999</v>
      </c>
    </row>
    <row r="38" spans="1:9">
      <c r="A38" s="59" t="s">
        <v>25</v>
      </c>
      <c r="B38" s="36">
        <v>-169.3</v>
      </c>
      <c r="C38" s="37" t="s">
        <v>61</v>
      </c>
      <c r="D38" s="36">
        <v>-169.3</v>
      </c>
      <c r="E38" s="37" t="s">
        <v>61</v>
      </c>
      <c r="F38" s="37">
        <v>-165.7</v>
      </c>
      <c r="G38" s="37" t="s">
        <v>61</v>
      </c>
      <c r="H38" s="37">
        <v>-165.7</v>
      </c>
      <c r="I38" s="37" t="s">
        <v>61</v>
      </c>
    </row>
    <row r="39" spans="1:9" ht="27.6">
      <c r="A39" s="65" t="s">
        <v>45</v>
      </c>
      <c r="B39" s="41" t="s">
        <v>254</v>
      </c>
      <c r="C39" s="41">
        <f t="shared" ref="C39:I39" si="5">10*LOG10(10^((C35+C36)/10)+10^(C37/10))</f>
        <v>-164.98918835931039</v>
      </c>
      <c r="D39" s="41" t="s">
        <v>254</v>
      </c>
      <c r="E39" s="41">
        <f t="shared" si="5"/>
        <v>-164.98918835931039</v>
      </c>
      <c r="F39" s="41" t="s">
        <v>254</v>
      </c>
      <c r="G39" s="41">
        <f t="shared" si="5"/>
        <v>-160.9583889004532</v>
      </c>
      <c r="H39" s="41" t="s">
        <v>254</v>
      </c>
      <c r="I39" s="41">
        <f t="shared" si="5"/>
        <v>-160.9583889004532</v>
      </c>
    </row>
    <row r="40" spans="1:9" ht="27.6">
      <c r="A40" s="65" t="s">
        <v>46</v>
      </c>
      <c r="B40" s="41">
        <f t="shared" ref="B40:H40" si="6">10*LOG10(10^((B35+B36)/10)+10^(B38/10))</f>
        <v>-164.98918835931039</v>
      </c>
      <c r="C40" s="41" t="s">
        <v>254</v>
      </c>
      <c r="D40" s="41">
        <f t="shared" si="6"/>
        <v>-164.98918835931039</v>
      </c>
      <c r="E40" s="41" t="s">
        <v>254</v>
      </c>
      <c r="F40" s="41">
        <f t="shared" si="6"/>
        <v>-164.03352307536667</v>
      </c>
      <c r="G40" s="41" t="s">
        <v>254</v>
      </c>
      <c r="H40" s="41">
        <f t="shared" si="6"/>
        <v>-164.03352307536667</v>
      </c>
      <c r="I40" s="41" t="s">
        <v>254</v>
      </c>
    </row>
    <row r="41" spans="1:9" ht="27.6">
      <c r="A41" s="59" t="s">
        <v>26</v>
      </c>
      <c r="B41" s="36" t="s">
        <v>61</v>
      </c>
      <c r="C41" s="36">
        <f>MaxN_RB!$D$23*12*15*1000</f>
        <v>9000000</v>
      </c>
      <c r="D41" s="36" t="s">
        <v>61</v>
      </c>
      <c r="E41" s="36">
        <f>MaxN_RB!$D$23*12*15*1000</f>
        <v>9000000</v>
      </c>
      <c r="F41" s="60" t="s">
        <v>61</v>
      </c>
      <c r="G41" s="37">
        <f>1*12*15*1000</f>
        <v>180000</v>
      </c>
      <c r="H41" s="60" t="s">
        <v>61</v>
      </c>
      <c r="I41" s="37">
        <f>1*12*15*1000</f>
        <v>180000</v>
      </c>
    </row>
    <row r="42" spans="1:9" ht="27.6">
      <c r="A42" s="59" t="s">
        <v>27</v>
      </c>
      <c r="B42" s="36">
        <f>MaxN_RB!$D$23*12*15*1000</f>
        <v>9000000</v>
      </c>
      <c r="C42" s="60" t="s">
        <v>61</v>
      </c>
      <c r="D42" s="36">
        <f>MaxN_RB!$D$23*12*15*1000</f>
        <v>9000000</v>
      </c>
      <c r="E42" s="60" t="s">
        <v>61</v>
      </c>
      <c r="F42" s="36">
        <f>4*12*15*1000</f>
        <v>720000</v>
      </c>
      <c r="G42" s="37" t="s">
        <v>61</v>
      </c>
      <c r="H42" s="36">
        <f>4*12*15*1000</f>
        <v>720000</v>
      </c>
      <c r="I42" s="37" t="s">
        <v>61</v>
      </c>
    </row>
    <row r="43" spans="1:9">
      <c r="A43" s="63" t="s">
        <v>28</v>
      </c>
      <c r="B43" s="41" t="s">
        <v>254</v>
      </c>
      <c r="C43" s="41">
        <f t="shared" ref="C43:I43" si="7">C39+10*LOG10(C41)</f>
        <v>-95.446763264917138</v>
      </c>
      <c r="D43" s="41" t="s">
        <v>254</v>
      </c>
      <c r="E43" s="41">
        <f t="shared" si="7"/>
        <v>-95.446763264917138</v>
      </c>
      <c r="F43" s="41" t="s">
        <v>254</v>
      </c>
      <c r="G43" s="41">
        <f t="shared" si="7"/>
        <v>-108.40566384942014</v>
      </c>
      <c r="H43" s="41" t="s">
        <v>254</v>
      </c>
      <c r="I43" s="41">
        <f t="shared" si="7"/>
        <v>-108.40566384942014</v>
      </c>
    </row>
    <row r="44" spans="1:9">
      <c r="A44" s="63" t="s">
        <v>29</v>
      </c>
      <c r="B44" s="41">
        <f t="shared" ref="B44:H44" si="8">B40+10*LOG10(B42)</f>
        <v>-95.446763264917138</v>
      </c>
      <c r="C44" s="41" t="s">
        <v>254</v>
      </c>
      <c r="D44" s="41">
        <f t="shared" si="8"/>
        <v>-95.446763264917138</v>
      </c>
      <c r="E44" s="41" t="s">
        <v>254</v>
      </c>
      <c r="F44" s="41">
        <f t="shared" si="8"/>
        <v>-105.46019811105398</v>
      </c>
      <c r="G44" s="41" t="s">
        <v>254</v>
      </c>
      <c r="H44" s="41">
        <f t="shared" si="8"/>
        <v>-105.46019811105398</v>
      </c>
      <c r="I44" s="41" t="s">
        <v>254</v>
      </c>
    </row>
    <row r="45" spans="1:9">
      <c r="A45" s="59" t="s">
        <v>30</v>
      </c>
      <c r="B45" s="76" t="s">
        <v>269</v>
      </c>
      <c r="C45" s="75">
        <v>-4</v>
      </c>
      <c r="D45" s="76" t="s">
        <v>270</v>
      </c>
      <c r="E45" s="75">
        <v>-5.5</v>
      </c>
      <c r="F45" s="76" t="s">
        <v>270</v>
      </c>
      <c r="G45" s="75">
        <v>-6.2</v>
      </c>
      <c r="H45" s="76" t="s">
        <v>270</v>
      </c>
      <c r="I45" s="75">
        <v>-6.3</v>
      </c>
    </row>
    <row r="46" spans="1:9">
      <c r="A46" s="59" t="s">
        <v>31</v>
      </c>
      <c r="B46" s="75">
        <v>6.4</v>
      </c>
      <c r="C46" s="75" t="s">
        <v>269</v>
      </c>
      <c r="D46" s="75">
        <v>4.9000000000000004</v>
      </c>
      <c r="E46" s="75" t="s">
        <v>270</v>
      </c>
      <c r="F46" s="75">
        <v>8.1</v>
      </c>
      <c r="G46" s="75" t="s">
        <v>270</v>
      </c>
      <c r="H46" s="75">
        <v>6.6</v>
      </c>
      <c r="I46" s="75" t="s">
        <v>270</v>
      </c>
    </row>
    <row r="47" spans="1:9">
      <c r="A47" s="59" t="s">
        <v>32</v>
      </c>
      <c r="B47" s="36">
        <v>2</v>
      </c>
      <c r="C47" s="37">
        <v>2</v>
      </c>
      <c r="D47" s="36">
        <v>2</v>
      </c>
      <c r="E47" s="37">
        <v>2</v>
      </c>
      <c r="F47" s="60">
        <v>2</v>
      </c>
      <c r="G47" s="37">
        <v>2</v>
      </c>
      <c r="H47" s="60">
        <v>2</v>
      </c>
      <c r="I47" s="37">
        <v>2</v>
      </c>
    </row>
    <row r="48" spans="1:9">
      <c r="A48" s="59" t="s">
        <v>33</v>
      </c>
      <c r="B48" s="36" t="s">
        <v>61</v>
      </c>
      <c r="C48" s="37">
        <v>0</v>
      </c>
      <c r="D48" s="36" t="s">
        <v>61</v>
      </c>
      <c r="E48" s="37">
        <v>0</v>
      </c>
      <c r="F48" s="60" t="s">
        <v>61</v>
      </c>
      <c r="G48" s="37">
        <v>0</v>
      </c>
      <c r="H48" s="60" t="s">
        <v>61</v>
      </c>
      <c r="I48" s="37">
        <v>0</v>
      </c>
    </row>
    <row r="49" spans="1:9">
      <c r="A49" s="59" t="s">
        <v>34</v>
      </c>
      <c r="B49" s="36">
        <v>0.5</v>
      </c>
      <c r="C49" s="37" t="s">
        <v>61</v>
      </c>
      <c r="D49" s="36">
        <v>0.5</v>
      </c>
      <c r="E49" s="37" t="s">
        <v>61</v>
      </c>
      <c r="F49" s="60">
        <v>0.5</v>
      </c>
      <c r="G49" s="37" t="s">
        <v>61</v>
      </c>
      <c r="H49" s="60">
        <v>0.5</v>
      </c>
      <c r="I49" s="37" t="s">
        <v>61</v>
      </c>
    </row>
    <row r="50" spans="1:9">
      <c r="A50" s="65" t="s">
        <v>47</v>
      </c>
      <c r="B50" s="41" t="s">
        <v>254</v>
      </c>
      <c r="C50" s="41">
        <f t="shared" ref="C50:I50" si="9">C43+C45+C47-C48</f>
        <v>-97.446763264917138</v>
      </c>
      <c r="D50" s="41" t="s">
        <v>254</v>
      </c>
      <c r="E50" s="41">
        <f t="shared" si="9"/>
        <v>-98.946763264917138</v>
      </c>
      <c r="F50" s="41" t="s">
        <v>254</v>
      </c>
      <c r="G50" s="41">
        <f t="shared" si="9"/>
        <v>-112.60566384942014</v>
      </c>
      <c r="H50" s="41" t="s">
        <v>254</v>
      </c>
      <c r="I50" s="41">
        <f t="shared" si="9"/>
        <v>-112.70566384942013</v>
      </c>
    </row>
    <row r="51" spans="1:9">
      <c r="A51" s="65" t="s">
        <v>48</v>
      </c>
      <c r="B51" s="41">
        <f>B44+B46+B47-B49</f>
        <v>-87.546763264917132</v>
      </c>
      <c r="C51" s="41" t="s">
        <v>254</v>
      </c>
      <c r="D51" s="41">
        <f t="shared" ref="D51:H51" si="10">D44+D46+D47-D49</f>
        <v>-89.046763264917132</v>
      </c>
      <c r="E51" s="41" t="s">
        <v>254</v>
      </c>
      <c r="F51" s="41">
        <f t="shared" si="10"/>
        <v>-95.86019811105399</v>
      </c>
      <c r="G51" s="41" t="s">
        <v>254</v>
      </c>
      <c r="H51" s="41">
        <f t="shared" si="10"/>
        <v>-97.36019811105399</v>
      </c>
      <c r="I51" s="41" t="s">
        <v>254</v>
      </c>
    </row>
    <row r="52" spans="1:9">
      <c r="A52" s="65" t="s">
        <v>107</v>
      </c>
      <c r="B52" s="41" t="s">
        <v>254</v>
      </c>
      <c r="C52" s="41">
        <f t="shared" ref="C52:I52" si="11">C27+C32+C33-C50</f>
        <v>162.31006278795508</v>
      </c>
      <c r="D52" s="41" t="s">
        <v>254</v>
      </c>
      <c r="E52" s="41">
        <f t="shared" si="11"/>
        <v>163.81006278795508</v>
      </c>
      <c r="F52" s="41" t="s">
        <v>254</v>
      </c>
      <c r="G52" s="41">
        <f t="shared" si="11"/>
        <v>157.65716363261919</v>
      </c>
      <c r="H52" s="41" t="s">
        <v>254</v>
      </c>
      <c r="I52" s="41">
        <f t="shared" si="11"/>
        <v>157.75716363261921</v>
      </c>
    </row>
    <row r="53" spans="1:9">
      <c r="A53" s="65" t="s">
        <v>108</v>
      </c>
      <c r="B53" s="41">
        <f t="shared" ref="B53:H53" si="12">B28+B32+B33-B51</f>
        <v>153.66006278795507</v>
      </c>
      <c r="C53" s="41" t="s">
        <v>254</v>
      </c>
      <c r="D53" s="41">
        <f t="shared" si="12"/>
        <v>155.16006278795507</v>
      </c>
      <c r="E53" s="41" t="s">
        <v>254</v>
      </c>
      <c r="F53" s="41">
        <f t="shared" si="12"/>
        <v>140.91169789425305</v>
      </c>
      <c r="G53" s="41" t="s">
        <v>254</v>
      </c>
      <c r="H53" s="41">
        <f t="shared" si="12"/>
        <v>142.41169789425305</v>
      </c>
      <c r="I53" s="41" t="s">
        <v>254</v>
      </c>
    </row>
    <row r="54" spans="1:9">
      <c r="A54" s="39" t="s">
        <v>35</v>
      </c>
      <c r="B54" s="58"/>
      <c r="C54" s="58"/>
      <c r="D54" s="58"/>
      <c r="E54" s="58"/>
      <c r="F54" s="58"/>
      <c r="G54" s="58"/>
      <c r="H54" s="58"/>
      <c r="I54" s="58"/>
    </row>
    <row r="55" spans="1:9">
      <c r="A55" s="59" t="s">
        <v>36</v>
      </c>
      <c r="B55" s="60">
        <v>8</v>
      </c>
      <c r="C55" s="60">
        <v>8</v>
      </c>
      <c r="D55" s="60">
        <v>8</v>
      </c>
      <c r="E55" s="60">
        <v>8</v>
      </c>
      <c r="F55" s="60">
        <v>8</v>
      </c>
      <c r="G55" s="60">
        <v>8</v>
      </c>
      <c r="H55" s="60">
        <v>8</v>
      </c>
      <c r="I55" s="60">
        <v>8</v>
      </c>
    </row>
    <row r="56" spans="1:9" ht="27.6">
      <c r="A56" s="59" t="s">
        <v>37</v>
      </c>
      <c r="B56" s="44" t="s">
        <v>130</v>
      </c>
      <c r="C56" s="60">
        <v>10.45</v>
      </c>
      <c r="D56" s="60" t="s">
        <v>61</v>
      </c>
      <c r="E56" s="60">
        <v>8.4499999999999993</v>
      </c>
      <c r="F56" s="44" t="s">
        <v>130</v>
      </c>
      <c r="G56" s="60">
        <v>10.45</v>
      </c>
      <c r="H56" s="60" t="s">
        <v>61</v>
      </c>
      <c r="I56" s="60">
        <v>8.4499999999999993</v>
      </c>
    </row>
    <row r="57" spans="1:9" ht="27.6">
      <c r="A57" s="59" t="s">
        <v>38</v>
      </c>
      <c r="B57" s="60">
        <v>6.61</v>
      </c>
      <c r="C57" s="44" t="s">
        <v>130</v>
      </c>
      <c r="D57" s="60">
        <v>5.13</v>
      </c>
      <c r="E57" s="44" t="s">
        <v>61</v>
      </c>
      <c r="F57" s="60">
        <v>6.61</v>
      </c>
      <c r="G57" s="44" t="s">
        <v>130</v>
      </c>
      <c r="H57" s="60">
        <v>5.13</v>
      </c>
      <c r="I57" s="43" t="s">
        <v>61</v>
      </c>
    </row>
    <row r="58" spans="1:9">
      <c r="A58" s="59" t="s">
        <v>39</v>
      </c>
      <c r="B58" s="60">
        <v>0</v>
      </c>
      <c r="C58" s="60">
        <v>0</v>
      </c>
      <c r="D58" s="60">
        <v>0</v>
      </c>
      <c r="E58" s="60">
        <v>0</v>
      </c>
      <c r="F58" s="60">
        <v>0</v>
      </c>
      <c r="G58" s="60">
        <v>0</v>
      </c>
      <c r="H58" s="60">
        <v>0</v>
      </c>
      <c r="I58" s="60">
        <v>0</v>
      </c>
    </row>
    <row r="59" spans="1:9">
      <c r="A59" s="59" t="s">
        <v>40</v>
      </c>
      <c r="B59" s="38">
        <v>9</v>
      </c>
      <c r="C59" s="38">
        <v>9</v>
      </c>
      <c r="D59" s="38">
        <f>10+0.5*5</f>
        <v>12.5</v>
      </c>
      <c r="E59" s="38">
        <f>10+0.5*5</f>
        <v>12.5</v>
      </c>
      <c r="F59" s="38">
        <v>9</v>
      </c>
      <c r="G59" s="38">
        <v>9</v>
      </c>
      <c r="H59" s="38">
        <f>10+0.5*5</f>
        <v>12.5</v>
      </c>
      <c r="I59" s="38">
        <f>10+0.5*5</f>
        <v>12.5</v>
      </c>
    </row>
    <row r="60" spans="1:9">
      <c r="A60" s="59" t="s">
        <v>41</v>
      </c>
      <c r="B60" s="60">
        <v>0</v>
      </c>
      <c r="C60" s="60">
        <v>0</v>
      </c>
      <c r="D60" s="60">
        <v>0</v>
      </c>
      <c r="E60" s="60">
        <v>0</v>
      </c>
      <c r="F60" s="60">
        <v>0</v>
      </c>
      <c r="G60" s="60">
        <v>0</v>
      </c>
      <c r="H60" s="60">
        <v>0</v>
      </c>
      <c r="I60" s="60">
        <v>0</v>
      </c>
    </row>
    <row r="61" spans="1:9" ht="27.6">
      <c r="A61" s="65" t="s">
        <v>53</v>
      </c>
      <c r="B61" s="41" t="s">
        <v>254</v>
      </c>
      <c r="C61" s="41">
        <f t="shared" ref="C61:I61" si="13">C52-C56+C58-C59+C60-C34</f>
        <v>141.86006278795509</v>
      </c>
      <c r="D61" s="41" t="s">
        <v>254</v>
      </c>
      <c r="E61" s="41">
        <f t="shared" si="13"/>
        <v>141.86006278795509</v>
      </c>
      <c r="F61" s="41" t="s">
        <v>254</v>
      </c>
      <c r="G61" s="41">
        <f t="shared" si="13"/>
        <v>135.2071636326192</v>
      </c>
      <c r="H61" s="41" t="s">
        <v>254</v>
      </c>
      <c r="I61" s="41">
        <f t="shared" si="13"/>
        <v>133.80716363261922</v>
      </c>
    </row>
    <row r="62" spans="1:9" ht="27.6">
      <c r="A62" s="65" t="s">
        <v>49</v>
      </c>
      <c r="B62" s="41">
        <f t="shared" ref="B62:H62" si="14">B53-B57+B58-B59+B60-B34</f>
        <v>137.05006278795506</v>
      </c>
      <c r="C62" s="41" t="s">
        <v>254</v>
      </c>
      <c r="D62" s="41">
        <f t="shared" si="14"/>
        <v>136.53006278795507</v>
      </c>
      <c r="E62" s="41" t="s">
        <v>254</v>
      </c>
      <c r="F62" s="41">
        <f t="shared" si="14"/>
        <v>122.30169789425304</v>
      </c>
      <c r="G62" s="41" t="s">
        <v>254</v>
      </c>
      <c r="H62" s="41">
        <f t="shared" si="14"/>
        <v>121.78169789425306</v>
      </c>
      <c r="I62" s="41" t="s">
        <v>254</v>
      </c>
    </row>
    <row r="63" spans="1:9">
      <c r="A63" s="39" t="s">
        <v>42</v>
      </c>
      <c r="B63" s="58"/>
      <c r="C63" s="58"/>
      <c r="D63" s="58"/>
      <c r="E63" s="58"/>
      <c r="F63" s="58"/>
      <c r="G63" s="58"/>
      <c r="H63" s="58"/>
      <c r="I63" s="58"/>
    </row>
    <row r="64" spans="1:9" ht="27.6">
      <c r="A64" s="66" t="s">
        <v>127</v>
      </c>
      <c r="B64" s="37" t="s">
        <v>61</v>
      </c>
      <c r="C64" s="60">
        <f>10^((C61-161.04+7.1*LOG10(20)-7.5*LOG10(5)+(24.37-3.7*(5/C$5)^2)*LOG10(C$5)-20*LOG10(C$4)+(3.2*(LOG10(11.75*C$6)^2)-4.97))/(43.42-3.1*LOG10(C$5))+3)</f>
        <v>4550.910166117681</v>
      </c>
      <c r="D64" s="37" t="s">
        <v>61</v>
      </c>
      <c r="E64" s="60">
        <f>10^((E61-161.04+7.1*LOG10(20)-7.5*LOG10(5)+(24.37-3.7*(5/E$5)^2)*LOG10(E$5)-20*LOG10(E$4)+(3.2*(LOG10(11.75*E$6)^2)-4.97))/(43.42-3.1*LOG10(E$5))+3)</f>
        <v>4550.910166117681</v>
      </c>
      <c r="F64" s="37" t="s">
        <v>61</v>
      </c>
      <c r="G64" s="60">
        <f>10^((G61-161.04+7.1*LOG10(20)-7.5*LOG10(5)+(24.37-3.7*(5/G$5)^2)*LOG10(G$5)-20*LOG10(G$4)+(3.2*(LOG10(11.75*G$6)^2)-4.97))/(43.42-3.1*LOG10(G$5))+3)</f>
        <v>3061.2043425879115</v>
      </c>
      <c r="H64" s="37" t="s">
        <v>61</v>
      </c>
      <c r="I64" s="60">
        <f>10^((I61-161.04+7.1*LOG10(20)-7.5*LOG10(5)+(24.37-3.7*(5/I$5)^2)*LOG10(I$5)-20*LOG10(I$4)+(3.2*(LOG10(11.75*I$6)^2)-4.97))/(43.42-3.1*LOG10(I$5))+3)</f>
        <v>2816.1399702627855</v>
      </c>
    </row>
    <row r="65" spans="1:9" ht="27.6">
      <c r="A65" s="66" t="s">
        <v>128</v>
      </c>
      <c r="B65" s="60">
        <f>10^((B62-161.04+7.1*LOG10(20)-7.5*LOG10(5)+(24.37-3.7*(5/B$5)^2)*LOG10(B$5)-20*LOG10(B$4)+(3.2*(LOG10(11.75*B$6)^2)-4.97))/(43.42-3.1*LOG10(B$5))+3)</f>
        <v>3416.6033286265551</v>
      </c>
      <c r="C65" s="37" t="s">
        <v>61</v>
      </c>
      <c r="D65" s="60">
        <f>10^((D62-161.04+7.1*LOG10(20)-7.5*LOG10(5)+(24.37-3.7*(5/D$5)^2)*LOG10(D$5)-20*LOG10(D$4)+(3.2*(LOG10(11.75*D$6)^2)-4.97))/(43.42-3.1*LOG10(D$5))+3)</f>
        <v>3312.3384035053018</v>
      </c>
      <c r="E65" s="37" t="s">
        <v>61</v>
      </c>
      <c r="F65" s="60">
        <f>10^((F62-161.04+7.1*LOG10(20)-7.5*LOG10(5)+(24.37-3.7*(5/F$5)^2)*LOG10(F$5)-20*LOG10(F$4)+(3.2*(LOG10(11.75*F$6)^2)-4.97))/(43.42-3.1*LOG10(F$5))+3)</f>
        <v>1418.5439096439745</v>
      </c>
      <c r="G65" s="37" t="s">
        <v>61</v>
      </c>
      <c r="H65" s="60">
        <f>10^((H62-161.04+7.1*LOG10(20)-7.5*LOG10(5)+(24.37-3.7*(5/H$5)^2)*LOG10(H$5)-20*LOG10(H$4)+(3.2*(LOG10(11.75*H$6)^2)-4.97))/(43.42-3.1*LOG10(H$5))+3)</f>
        <v>1375.2540219122047</v>
      </c>
      <c r="I65" s="37" t="s">
        <v>61</v>
      </c>
    </row>
    <row r="66" spans="1:9" ht="16.8">
      <c r="A66" s="66" t="s">
        <v>114</v>
      </c>
      <c r="B66" s="37" t="s">
        <v>61</v>
      </c>
      <c r="C66" s="37">
        <f>PI()*(C64)^2</f>
        <v>65064844.791264027</v>
      </c>
      <c r="D66" s="37" t="s">
        <v>61</v>
      </c>
      <c r="E66" s="37">
        <f>PI()*(E64)^2</f>
        <v>65064844.791264027</v>
      </c>
      <c r="F66" s="37" t="s">
        <v>61</v>
      </c>
      <c r="G66" s="37">
        <f>PI()*(G64)^2</f>
        <v>29439776.877267111</v>
      </c>
      <c r="H66" s="37" t="s">
        <v>61</v>
      </c>
      <c r="I66" s="37">
        <f>PI()*(I64)^2</f>
        <v>24914853.971995592</v>
      </c>
    </row>
    <row r="67" spans="1:9" ht="16.8">
      <c r="A67" s="66" t="s">
        <v>115</v>
      </c>
      <c r="B67" s="37">
        <f>PI()*(B65)^2</f>
        <v>36672371.2076037</v>
      </c>
      <c r="C67" s="37" t="s">
        <v>61</v>
      </c>
      <c r="D67" s="37">
        <f>PI()*(D65)^2</f>
        <v>34468253.031264976</v>
      </c>
      <c r="E67" s="37" t="s">
        <v>61</v>
      </c>
      <c r="F67" s="37">
        <f>PI()*(F65)^2</f>
        <v>6321722.6700465679</v>
      </c>
      <c r="G67" s="37" t="s">
        <v>61</v>
      </c>
      <c r="H67" s="37">
        <f>PI()*(H65)^2</f>
        <v>5941768.4051875575</v>
      </c>
      <c r="I67" s="37" t="s">
        <v>61</v>
      </c>
    </row>
    <row r="69" spans="1:9">
      <c r="A69" s="67"/>
    </row>
    <row r="72" spans="1:9">
      <c r="A72" s="53"/>
      <c r="B72" s="52"/>
      <c r="C72" s="52"/>
      <c r="D72" s="52"/>
      <c r="E72" s="52"/>
    </row>
    <row r="73" spans="1:9">
      <c r="A73" s="53"/>
      <c r="B73" s="52"/>
      <c r="C73" s="52"/>
      <c r="D73" s="52"/>
      <c r="E73" s="52"/>
    </row>
    <row r="76" spans="1:9">
      <c r="F76" s="44"/>
    </row>
  </sheetData>
  <mergeCells count="2">
    <mergeCell ref="B1:E1"/>
    <mergeCell ref="F1:I1"/>
  </mergeCells>
  <phoneticPr fontId="1" type="noConversion"/>
  <pageMargins left="0.7" right="0.7" top="0.75" bottom="0.75" header="0.3" footer="0.3"/>
  <pageSetup paperSize="9" orientation="portrait" horizontalDpi="180" verticalDpi="18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zoomScale="85" zoomScaleNormal="85" workbookViewId="0">
      <pane xSplit="1" ySplit="2" topLeftCell="B3" activePane="bottomRight" state="frozen"/>
      <selection pane="topRight" activeCell="B1" sqref="B1"/>
      <selection pane="bottomLeft" activeCell="A3" sqref="A3"/>
      <selection pane="bottomRight" activeCell="D12" sqref="D12"/>
    </sheetView>
  </sheetViews>
  <sheetFormatPr defaultColWidth="9" defaultRowHeight="15.6"/>
  <cols>
    <col min="1" max="1" width="42.5" style="81" customWidth="1"/>
    <col min="2" max="3" width="12.19921875" style="82" customWidth="1"/>
    <col min="4" max="4" width="12.69921875" style="78" customWidth="1"/>
    <col min="5" max="5" width="13.3984375" style="78" bestFit="1" customWidth="1"/>
    <col min="6" max="6" width="13.59765625" style="78" customWidth="1"/>
    <col min="7" max="7" width="14.8984375" style="78" bestFit="1" customWidth="1"/>
    <col min="8" max="8" width="13.19921875" style="78" customWidth="1"/>
    <col min="9" max="10" width="14.09765625" style="78" customWidth="1"/>
    <col min="11" max="11" width="12.59765625" style="78" bestFit="1" customWidth="1"/>
    <col min="12" max="12" width="12.3984375" style="78" customWidth="1"/>
    <col min="13" max="13" width="11" style="78" customWidth="1"/>
    <col min="14" max="16384" width="9" style="81"/>
  </cols>
  <sheetData>
    <row r="1" spans="1:13">
      <c r="A1" s="84" t="s">
        <v>0</v>
      </c>
      <c r="B1" s="142" t="s">
        <v>132</v>
      </c>
      <c r="C1" s="143"/>
      <c r="D1" s="143"/>
      <c r="E1" s="143"/>
      <c r="F1" s="143"/>
      <c r="G1" s="144"/>
      <c r="H1" s="142" t="s">
        <v>133</v>
      </c>
      <c r="I1" s="143"/>
      <c r="J1" s="143"/>
      <c r="K1" s="143"/>
      <c r="L1" s="143"/>
      <c r="M1" s="144"/>
    </row>
    <row r="2" spans="1:13" ht="55.2">
      <c r="A2" s="84"/>
      <c r="B2" s="86" t="s">
        <v>257</v>
      </c>
      <c r="C2" s="86" t="s">
        <v>134</v>
      </c>
      <c r="D2" s="86" t="s">
        <v>138</v>
      </c>
      <c r="E2" s="86" t="s">
        <v>139</v>
      </c>
      <c r="F2" s="86" t="s">
        <v>140</v>
      </c>
      <c r="G2" s="86" t="s">
        <v>141</v>
      </c>
      <c r="H2" s="86" t="s">
        <v>168</v>
      </c>
      <c r="I2" s="86" t="s">
        <v>169</v>
      </c>
      <c r="J2" s="86" t="s">
        <v>166</v>
      </c>
      <c r="K2" s="86" t="s">
        <v>129</v>
      </c>
      <c r="L2" s="86" t="s">
        <v>167</v>
      </c>
      <c r="M2" s="86" t="s">
        <v>142</v>
      </c>
    </row>
    <row r="3" spans="1:13">
      <c r="A3" s="87" t="s">
        <v>1</v>
      </c>
      <c r="B3" s="99"/>
      <c r="C3" s="99"/>
      <c r="D3" s="85"/>
      <c r="E3" s="85"/>
      <c r="F3" s="85"/>
      <c r="G3" s="85"/>
      <c r="H3" s="85"/>
      <c r="I3" s="85"/>
      <c r="J3" s="85"/>
      <c r="K3" s="85"/>
      <c r="L3" s="85"/>
      <c r="M3" s="85"/>
    </row>
    <row r="4" spans="1:13">
      <c r="A4" s="88" t="s">
        <v>2</v>
      </c>
      <c r="B4" s="117">
        <v>0.7</v>
      </c>
      <c r="C4" s="117">
        <v>0.7</v>
      </c>
      <c r="D4" s="117">
        <v>0.7</v>
      </c>
      <c r="E4" s="117">
        <v>0.7</v>
      </c>
      <c r="F4" s="117">
        <v>0.7</v>
      </c>
      <c r="G4" s="117">
        <v>0.7</v>
      </c>
      <c r="H4" s="117">
        <v>0.7</v>
      </c>
      <c r="I4" s="117">
        <v>0.7</v>
      </c>
      <c r="J4" s="117">
        <v>0.7</v>
      </c>
      <c r="K4" s="117">
        <v>0.7</v>
      </c>
      <c r="L4" s="117">
        <v>0.7</v>
      </c>
      <c r="M4" s="117">
        <v>0.7</v>
      </c>
    </row>
    <row r="5" spans="1:13">
      <c r="A5" s="88" t="s">
        <v>3</v>
      </c>
      <c r="B5" s="117">
        <v>25</v>
      </c>
      <c r="C5" s="117">
        <v>25</v>
      </c>
      <c r="D5" s="117">
        <v>25</v>
      </c>
      <c r="E5" s="117">
        <v>25</v>
      </c>
      <c r="F5" s="117">
        <v>25</v>
      </c>
      <c r="G5" s="117">
        <v>25</v>
      </c>
      <c r="H5" s="117">
        <v>25</v>
      </c>
      <c r="I5" s="117">
        <v>25</v>
      </c>
      <c r="J5" s="117">
        <v>25</v>
      </c>
      <c r="K5" s="117">
        <v>25</v>
      </c>
      <c r="L5" s="117">
        <v>25</v>
      </c>
      <c r="M5" s="117">
        <v>25</v>
      </c>
    </row>
    <row r="6" spans="1:13">
      <c r="A6" s="88" t="s">
        <v>4</v>
      </c>
      <c r="B6" s="117">
        <v>1.5</v>
      </c>
      <c r="C6" s="117">
        <v>1.5</v>
      </c>
      <c r="D6" s="117">
        <v>1.5</v>
      </c>
      <c r="E6" s="117">
        <v>1.5</v>
      </c>
      <c r="F6" s="117">
        <v>1.5</v>
      </c>
      <c r="G6" s="117">
        <v>1.5</v>
      </c>
      <c r="H6" s="117">
        <v>1.5</v>
      </c>
      <c r="I6" s="117">
        <v>1.5</v>
      </c>
      <c r="J6" s="117">
        <v>1.5</v>
      </c>
      <c r="K6" s="117">
        <v>1.5</v>
      </c>
      <c r="L6" s="117">
        <v>1.5</v>
      </c>
      <c r="M6" s="117">
        <v>1.5</v>
      </c>
    </row>
    <row r="7" spans="1:13" ht="43.2">
      <c r="A7" s="88" t="s">
        <v>143</v>
      </c>
      <c r="B7" s="80" t="s">
        <v>61</v>
      </c>
      <c r="C7" s="80">
        <v>0.99</v>
      </c>
      <c r="D7" s="80" t="s">
        <v>61</v>
      </c>
      <c r="E7" s="80">
        <v>0.99</v>
      </c>
      <c r="F7" s="80" t="s">
        <v>61</v>
      </c>
      <c r="G7" s="80">
        <v>0.99</v>
      </c>
      <c r="H7" s="80" t="s">
        <v>61</v>
      </c>
      <c r="I7" s="80">
        <v>0.99</v>
      </c>
      <c r="J7" s="80" t="s">
        <v>61</v>
      </c>
      <c r="K7" s="80">
        <v>0.99</v>
      </c>
      <c r="L7" s="80" t="s">
        <v>61</v>
      </c>
      <c r="M7" s="80">
        <v>0.99</v>
      </c>
    </row>
    <row r="8" spans="1:13" ht="43.2">
      <c r="A8" s="88" t="s">
        <v>144</v>
      </c>
      <c r="B8" s="100">
        <v>0.99</v>
      </c>
      <c r="C8" s="100" t="s">
        <v>61</v>
      </c>
      <c r="D8" s="100">
        <v>0.99</v>
      </c>
      <c r="E8" s="100" t="s">
        <v>61</v>
      </c>
      <c r="F8" s="100">
        <v>0.99</v>
      </c>
      <c r="G8" s="100" t="s">
        <v>61</v>
      </c>
      <c r="H8" s="100">
        <v>0.99</v>
      </c>
      <c r="I8" s="100" t="s">
        <v>61</v>
      </c>
      <c r="J8" s="100">
        <v>0.99</v>
      </c>
      <c r="K8" s="100" t="s">
        <v>61</v>
      </c>
      <c r="L8" s="100">
        <v>0.99</v>
      </c>
      <c r="M8" s="100" t="s">
        <v>61</v>
      </c>
    </row>
    <row r="9" spans="1:13">
      <c r="A9" s="88" t="s">
        <v>145</v>
      </c>
      <c r="B9" s="118" t="s">
        <v>61</v>
      </c>
      <c r="C9" s="118">
        <v>89</v>
      </c>
      <c r="D9" s="119" t="s">
        <v>61</v>
      </c>
      <c r="E9" s="118">
        <v>44</v>
      </c>
      <c r="F9" s="119" t="s">
        <v>61</v>
      </c>
      <c r="G9" s="118">
        <v>44</v>
      </c>
      <c r="H9" s="118"/>
      <c r="I9" s="118">
        <v>15</v>
      </c>
      <c r="J9" s="118"/>
      <c r="K9" s="118">
        <v>15</v>
      </c>
      <c r="L9" s="118"/>
      <c r="M9" s="118">
        <v>15</v>
      </c>
    </row>
    <row r="10" spans="1:13">
      <c r="A10" s="88" t="s">
        <v>146</v>
      </c>
      <c r="B10" s="118">
        <v>360</v>
      </c>
      <c r="C10" s="118" t="s">
        <v>61</v>
      </c>
      <c r="D10" s="118">
        <v>180</v>
      </c>
      <c r="E10" s="119" t="s">
        <v>61</v>
      </c>
      <c r="F10" s="118">
        <v>180</v>
      </c>
      <c r="G10" s="119" t="s">
        <v>61</v>
      </c>
      <c r="H10" s="119">
        <v>180</v>
      </c>
      <c r="I10" s="119" t="s">
        <v>61</v>
      </c>
      <c r="J10" s="119">
        <v>180</v>
      </c>
      <c r="K10" s="119" t="s">
        <v>61</v>
      </c>
      <c r="L10" s="119">
        <v>180</v>
      </c>
      <c r="M10" s="119" t="s">
        <v>61</v>
      </c>
    </row>
    <row r="11" spans="1:13" ht="30" customHeight="1">
      <c r="A11" s="88" t="s">
        <v>7</v>
      </c>
      <c r="B11" s="82" t="s">
        <v>61</v>
      </c>
      <c r="C11" s="80">
        <v>0.01</v>
      </c>
      <c r="D11" s="79" t="s">
        <v>61</v>
      </c>
      <c r="E11" s="80">
        <v>0.01</v>
      </c>
      <c r="F11" s="79" t="s">
        <v>61</v>
      </c>
      <c r="G11" s="80">
        <v>0.01</v>
      </c>
      <c r="H11" s="79" t="s">
        <v>61</v>
      </c>
      <c r="I11" s="80">
        <v>0.01</v>
      </c>
      <c r="J11" s="79" t="s">
        <v>61</v>
      </c>
      <c r="K11" s="80">
        <v>0.01</v>
      </c>
      <c r="L11" s="79" t="s">
        <v>61</v>
      </c>
      <c r="M11" s="80">
        <v>0.01</v>
      </c>
    </row>
    <row r="12" spans="1:13" ht="27.6">
      <c r="A12" s="88" t="s">
        <v>147</v>
      </c>
      <c r="B12" s="80">
        <v>0.1</v>
      </c>
      <c r="C12" s="101" t="s">
        <v>61</v>
      </c>
      <c r="D12" s="79">
        <v>0.1</v>
      </c>
      <c r="E12" s="80" t="s">
        <v>61</v>
      </c>
      <c r="F12" s="79">
        <v>0.1</v>
      </c>
      <c r="G12" s="80" t="s">
        <v>61</v>
      </c>
      <c r="H12" s="79">
        <v>0.1</v>
      </c>
      <c r="I12" s="80" t="s">
        <v>61</v>
      </c>
      <c r="J12" s="79">
        <v>0.1</v>
      </c>
      <c r="K12" s="80" t="s">
        <v>61</v>
      </c>
      <c r="L12" s="79">
        <v>0.1</v>
      </c>
      <c r="M12" s="80" t="s">
        <v>61</v>
      </c>
    </row>
    <row r="13" spans="1:13">
      <c r="A13" s="88" t="s">
        <v>148</v>
      </c>
      <c r="B13" s="129">
        <f>B10/B42</f>
        <v>2E-3</v>
      </c>
      <c r="C13" s="101" t="s">
        <v>61</v>
      </c>
      <c r="D13" s="89">
        <f>D10/D42</f>
        <v>1E-3</v>
      </c>
      <c r="E13" s="90" t="s">
        <v>61</v>
      </c>
      <c r="F13" s="89">
        <f>F10/F42</f>
        <v>1E-3</v>
      </c>
      <c r="G13" s="90" t="s">
        <v>61</v>
      </c>
      <c r="H13" s="89">
        <f>H10/H42</f>
        <v>1.2E-2</v>
      </c>
      <c r="I13" s="90" t="s">
        <v>61</v>
      </c>
      <c r="J13" s="89">
        <f>J10/J42</f>
        <v>1.2E-2</v>
      </c>
      <c r="K13" s="90" t="s">
        <v>61</v>
      </c>
      <c r="L13" s="89">
        <f>L10/L42</f>
        <v>1.2E-2</v>
      </c>
      <c r="M13" s="90" t="s">
        <v>61</v>
      </c>
    </row>
    <row r="14" spans="1:13">
      <c r="A14" s="88" t="s">
        <v>149</v>
      </c>
      <c r="B14" s="82" t="s">
        <v>150</v>
      </c>
      <c r="C14" s="82" t="s">
        <v>150</v>
      </c>
      <c r="D14" s="78" t="s">
        <v>92</v>
      </c>
      <c r="E14" s="78" t="s">
        <v>92</v>
      </c>
      <c r="F14" s="78" t="s">
        <v>93</v>
      </c>
      <c r="G14" s="78" t="s">
        <v>93</v>
      </c>
      <c r="H14" s="78" t="s">
        <v>150</v>
      </c>
      <c r="I14" s="78" t="s">
        <v>150</v>
      </c>
      <c r="J14" s="78" t="s">
        <v>92</v>
      </c>
      <c r="K14" s="78" t="s">
        <v>92</v>
      </c>
      <c r="L14" s="78" t="s">
        <v>93</v>
      </c>
      <c r="M14" s="78" t="s">
        <v>93</v>
      </c>
    </row>
    <row r="15" spans="1:13">
      <c r="A15" s="88" t="s">
        <v>151</v>
      </c>
      <c r="B15" s="117">
        <v>3</v>
      </c>
      <c r="C15" s="117">
        <v>3</v>
      </c>
      <c r="D15" s="117">
        <v>3</v>
      </c>
      <c r="E15" s="117">
        <v>3</v>
      </c>
      <c r="F15" s="117">
        <v>3</v>
      </c>
      <c r="G15" s="117">
        <v>3</v>
      </c>
      <c r="H15" s="117">
        <v>3</v>
      </c>
      <c r="I15" s="117">
        <v>3</v>
      </c>
      <c r="J15" s="117">
        <v>3</v>
      </c>
      <c r="K15" s="117">
        <v>3</v>
      </c>
      <c r="L15" s="117">
        <v>3</v>
      </c>
      <c r="M15" s="117">
        <v>3</v>
      </c>
    </row>
    <row r="16" spans="1:13">
      <c r="A16" s="88" t="s">
        <v>9</v>
      </c>
      <c r="B16" s="117">
        <v>3</v>
      </c>
      <c r="C16" s="117">
        <v>3</v>
      </c>
      <c r="D16" s="117">
        <v>3</v>
      </c>
      <c r="E16" s="117">
        <v>3</v>
      </c>
      <c r="F16" s="117">
        <v>3</v>
      </c>
      <c r="G16" s="117">
        <v>3</v>
      </c>
      <c r="H16" s="117">
        <v>3</v>
      </c>
      <c r="I16" s="117">
        <v>3</v>
      </c>
      <c r="J16" s="117">
        <v>3</v>
      </c>
      <c r="K16" s="117">
        <v>3</v>
      </c>
      <c r="L16" s="117">
        <v>3</v>
      </c>
      <c r="M16" s="117">
        <v>3</v>
      </c>
    </row>
    <row r="17" spans="1:13">
      <c r="A17" s="87" t="s">
        <v>10</v>
      </c>
      <c r="B17" s="99"/>
      <c r="C17" s="99"/>
      <c r="D17" s="85"/>
      <c r="E17" s="85"/>
      <c r="F17" s="85"/>
      <c r="G17" s="85"/>
      <c r="H17" s="85"/>
      <c r="I17" s="85"/>
      <c r="J17" s="85"/>
      <c r="K17" s="85"/>
      <c r="L17" s="85"/>
      <c r="M17" s="85"/>
    </row>
    <row r="18" spans="1:13" ht="41.4">
      <c r="A18" s="88" t="s">
        <v>136</v>
      </c>
      <c r="B18" s="117">
        <v>16</v>
      </c>
      <c r="C18" s="117">
        <v>16</v>
      </c>
      <c r="D18" s="117">
        <v>16</v>
      </c>
      <c r="E18" s="117">
        <v>16</v>
      </c>
      <c r="F18" s="119">
        <v>16</v>
      </c>
      <c r="G18" s="117">
        <v>16</v>
      </c>
      <c r="H18" s="117">
        <v>1</v>
      </c>
      <c r="I18" s="117">
        <v>1</v>
      </c>
      <c r="J18" s="117">
        <v>1</v>
      </c>
      <c r="K18" s="117">
        <v>1</v>
      </c>
      <c r="L18" s="117">
        <v>1</v>
      </c>
      <c r="M18" s="117">
        <v>1</v>
      </c>
    </row>
    <row r="19" spans="1:13">
      <c r="A19" s="88" t="s">
        <v>135</v>
      </c>
      <c r="B19" s="117">
        <v>2</v>
      </c>
      <c r="C19" s="117">
        <v>2</v>
      </c>
      <c r="D19" s="117">
        <v>2</v>
      </c>
      <c r="E19" s="117">
        <v>2</v>
      </c>
      <c r="F19" s="117">
        <v>2</v>
      </c>
      <c r="G19" s="117">
        <v>2</v>
      </c>
      <c r="H19" s="117">
        <v>23</v>
      </c>
      <c r="I19" s="117">
        <v>23</v>
      </c>
      <c r="J19" s="117">
        <v>23</v>
      </c>
      <c r="K19" s="117">
        <v>23</v>
      </c>
      <c r="L19" s="117">
        <v>23</v>
      </c>
      <c r="M19" s="117">
        <v>23</v>
      </c>
    </row>
    <row r="20" spans="1:13">
      <c r="A20" s="88" t="s">
        <v>11</v>
      </c>
      <c r="B20" s="117">
        <v>23</v>
      </c>
      <c r="C20" s="117">
        <v>23</v>
      </c>
      <c r="D20" s="117">
        <v>23</v>
      </c>
      <c r="E20" s="117">
        <v>23</v>
      </c>
      <c r="F20" s="117">
        <v>23</v>
      </c>
      <c r="G20" s="117">
        <v>23</v>
      </c>
      <c r="H20" s="117">
        <f t="shared" ref="H20:I20" si="0">H19+10*LOG10(H18)</f>
        <v>23</v>
      </c>
      <c r="I20" s="117">
        <f t="shared" si="0"/>
        <v>23</v>
      </c>
      <c r="J20" s="117">
        <f t="shared" ref="J20:K20" si="1">J19+10*LOG10(J18)</f>
        <v>23</v>
      </c>
      <c r="K20" s="117">
        <f t="shared" si="1"/>
        <v>23</v>
      </c>
      <c r="L20" s="117">
        <f t="shared" ref="L20:M20" si="2">L19+10*LOG10(L18)</f>
        <v>23</v>
      </c>
      <c r="M20" s="117">
        <f t="shared" si="2"/>
        <v>23</v>
      </c>
    </row>
    <row r="21" spans="1:13" ht="41.4">
      <c r="A21" s="91" t="s">
        <v>137</v>
      </c>
      <c r="B21" s="120">
        <f t="shared" ref="B21:H21" si="3">B20+10*LOG10(B18)</f>
        <v>35.04119982655925</v>
      </c>
      <c r="C21" s="120">
        <f t="shared" si="3"/>
        <v>35.04119982655925</v>
      </c>
      <c r="D21" s="120">
        <f t="shared" si="3"/>
        <v>35.04119982655925</v>
      </c>
      <c r="E21" s="120">
        <f t="shared" si="3"/>
        <v>35.04119982655925</v>
      </c>
      <c r="F21" s="120">
        <f t="shared" si="3"/>
        <v>35.04119982655925</v>
      </c>
      <c r="G21" s="120">
        <f t="shared" si="3"/>
        <v>35.04119982655925</v>
      </c>
      <c r="H21" s="120">
        <f t="shared" si="3"/>
        <v>23</v>
      </c>
      <c r="I21" s="120">
        <f t="shared" ref="I21:J21" si="4">I20+10*LOG10(I18)</f>
        <v>23</v>
      </c>
      <c r="J21" s="120">
        <f t="shared" si="4"/>
        <v>23</v>
      </c>
      <c r="K21" s="120">
        <f t="shared" ref="K21:L21" si="5">K20+10*LOG10(K18)</f>
        <v>23</v>
      </c>
      <c r="L21" s="120">
        <f t="shared" si="5"/>
        <v>23</v>
      </c>
      <c r="M21" s="120">
        <f t="shared" ref="M21" si="6">M20+10*LOG10(M18)</f>
        <v>23</v>
      </c>
    </row>
    <row r="22" spans="1:13">
      <c r="A22" s="88" t="s">
        <v>152</v>
      </c>
      <c r="B22" s="117">
        <f>8</f>
        <v>8</v>
      </c>
      <c r="C22" s="117">
        <f>8</f>
        <v>8</v>
      </c>
      <c r="D22" s="119">
        <v>8</v>
      </c>
      <c r="E22" s="117">
        <v>8</v>
      </c>
      <c r="F22" s="119">
        <v>8</v>
      </c>
      <c r="G22" s="117">
        <v>8</v>
      </c>
      <c r="H22" s="117">
        <v>0</v>
      </c>
      <c r="I22" s="117">
        <v>0</v>
      </c>
      <c r="J22" s="117">
        <v>0</v>
      </c>
      <c r="K22" s="117">
        <v>0</v>
      </c>
      <c r="L22" s="117">
        <v>0</v>
      </c>
      <c r="M22" s="117">
        <v>0</v>
      </c>
    </row>
    <row r="23" spans="1:13" ht="45" customHeight="1">
      <c r="A23" s="92" t="s">
        <v>13</v>
      </c>
      <c r="B23" s="120">
        <f>IF(B18&gt;=2, 10*LOG10(B18/B19), 0)</f>
        <v>9.0308998699194358</v>
      </c>
      <c r="C23" s="120">
        <f>IF(C18&gt;=2, 10*LOG10(C18/C19), 0)</f>
        <v>9.0308998699194358</v>
      </c>
      <c r="D23" s="120">
        <f t="shared" ref="D23:I23" si="7">IF(D18&gt;=2, 10*LOG10(D18/2), 0)</f>
        <v>9.0308998699194358</v>
      </c>
      <c r="E23" s="120">
        <f t="shared" si="7"/>
        <v>9.0308998699194358</v>
      </c>
      <c r="F23" s="120">
        <f t="shared" si="7"/>
        <v>9.0308998699194358</v>
      </c>
      <c r="G23" s="120">
        <f t="shared" si="7"/>
        <v>9.0308998699194358</v>
      </c>
      <c r="H23" s="120">
        <f t="shared" si="7"/>
        <v>0</v>
      </c>
      <c r="I23" s="120">
        <f t="shared" si="7"/>
        <v>0</v>
      </c>
      <c r="J23" s="120">
        <f t="shared" ref="J23:K23" si="8">IF(J18&gt;=2, 10*LOG10(J18/2), 0)</f>
        <v>0</v>
      </c>
      <c r="K23" s="120">
        <f t="shared" si="8"/>
        <v>0</v>
      </c>
      <c r="L23" s="120">
        <f t="shared" ref="L23:M23" si="9">IF(L18&gt;=2, 10*LOG10(L18/2), 0)</f>
        <v>0</v>
      </c>
      <c r="M23" s="120">
        <f t="shared" si="9"/>
        <v>0</v>
      </c>
    </row>
    <row r="24" spans="1:13">
      <c r="A24" s="88" t="s">
        <v>14</v>
      </c>
      <c r="B24" s="117">
        <v>0</v>
      </c>
      <c r="C24" s="117">
        <v>0</v>
      </c>
      <c r="D24" s="121">
        <v>0</v>
      </c>
      <c r="E24" s="117">
        <v>0</v>
      </c>
      <c r="F24" s="121">
        <v>0</v>
      </c>
      <c r="G24" s="117">
        <v>0</v>
      </c>
      <c r="H24" s="117">
        <v>0</v>
      </c>
      <c r="I24" s="117">
        <v>0</v>
      </c>
      <c r="J24" s="117">
        <v>0</v>
      </c>
      <c r="K24" s="117">
        <v>0</v>
      </c>
      <c r="L24" s="117">
        <v>0</v>
      </c>
      <c r="M24" s="117">
        <v>0</v>
      </c>
    </row>
    <row r="25" spans="1:13" ht="27.6">
      <c r="A25" s="88" t="s">
        <v>15</v>
      </c>
      <c r="B25" s="117">
        <v>0</v>
      </c>
      <c r="C25" s="117">
        <v>0</v>
      </c>
      <c r="D25" s="121">
        <v>0</v>
      </c>
      <c r="E25" s="117">
        <v>0</v>
      </c>
      <c r="F25" s="121">
        <v>0</v>
      </c>
      <c r="G25" s="117">
        <v>0</v>
      </c>
      <c r="H25" s="117">
        <v>0</v>
      </c>
      <c r="I25" s="117">
        <v>0</v>
      </c>
      <c r="J25" s="117">
        <v>0</v>
      </c>
      <c r="K25" s="117">
        <v>0</v>
      </c>
      <c r="L25" s="117">
        <v>0</v>
      </c>
      <c r="M25" s="117">
        <v>0</v>
      </c>
    </row>
    <row r="26" spans="1:13" ht="41.4">
      <c r="A26" s="88" t="s">
        <v>16</v>
      </c>
      <c r="B26" s="117">
        <v>3</v>
      </c>
      <c r="C26" s="117">
        <v>3</v>
      </c>
      <c r="D26" s="117">
        <v>3</v>
      </c>
      <c r="E26" s="117">
        <v>3</v>
      </c>
      <c r="F26" s="117">
        <v>3</v>
      </c>
      <c r="G26" s="117">
        <v>3</v>
      </c>
      <c r="H26" s="117">
        <v>0</v>
      </c>
      <c r="I26" s="117">
        <v>0</v>
      </c>
      <c r="J26" s="117">
        <v>0</v>
      </c>
      <c r="K26" s="117">
        <v>0</v>
      </c>
      <c r="L26" s="117">
        <v>0</v>
      </c>
      <c r="M26" s="117">
        <v>0</v>
      </c>
    </row>
    <row r="27" spans="1:13" ht="27.6">
      <c r="A27" s="93" t="s">
        <v>17</v>
      </c>
      <c r="B27" s="122">
        <f t="shared" ref="B27:G27" si="10">B21+B22+B23+B24-B26</f>
        <v>49.072099696478688</v>
      </c>
      <c r="C27" s="122">
        <f t="shared" si="10"/>
        <v>49.072099696478688</v>
      </c>
      <c r="D27" s="122">
        <f t="shared" si="10"/>
        <v>49.072099696478688</v>
      </c>
      <c r="E27" s="122">
        <f t="shared" si="10"/>
        <v>49.072099696478688</v>
      </c>
      <c r="F27" s="122">
        <f t="shared" si="10"/>
        <v>49.072099696478688</v>
      </c>
      <c r="G27" s="122">
        <f t="shared" si="10"/>
        <v>49.072099696478688</v>
      </c>
      <c r="H27" s="122">
        <f t="shared" ref="H27" si="11">H21+H22+H23+H24-H26</f>
        <v>23</v>
      </c>
      <c r="I27" s="122">
        <f t="shared" ref="I27:J27" si="12">I21+I22+I23+I24-I26</f>
        <v>23</v>
      </c>
      <c r="J27" s="122">
        <f t="shared" si="12"/>
        <v>23</v>
      </c>
      <c r="K27" s="122">
        <f t="shared" ref="K27:L27" si="13">K21+K22+K23+K24-K26</f>
        <v>23</v>
      </c>
      <c r="L27" s="122">
        <f t="shared" si="13"/>
        <v>23</v>
      </c>
      <c r="M27" s="122">
        <f t="shared" ref="M27" si="14">M21+M22+M23+M24-M26</f>
        <v>23</v>
      </c>
    </row>
    <row r="28" spans="1:13" ht="27.6">
      <c r="A28" s="93" t="s">
        <v>153</v>
      </c>
      <c r="B28" s="122">
        <f t="shared" ref="B28:G28" si="15">B21+B22+B23-B25-B26</f>
        <v>49.072099696478688</v>
      </c>
      <c r="C28" s="122">
        <f t="shared" si="15"/>
        <v>49.072099696478688</v>
      </c>
      <c r="D28" s="122">
        <f t="shared" si="15"/>
        <v>49.072099696478688</v>
      </c>
      <c r="E28" s="122">
        <f t="shared" si="15"/>
        <v>49.072099696478688</v>
      </c>
      <c r="F28" s="122">
        <f t="shared" si="15"/>
        <v>49.072099696478688</v>
      </c>
      <c r="G28" s="122">
        <f t="shared" si="15"/>
        <v>49.072099696478688</v>
      </c>
      <c r="H28" s="122">
        <f t="shared" ref="H28" si="16">H21+H22+H23-H25-H26</f>
        <v>23</v>
      </c>
      <c r="I28" s="122">
        <f t="shared" ref="I28:J28" si="17">I21+I22+I23-I25-I26</f>
        <v>23</v>
      </c>
      <c r="J28" s="122">
        <f t="shared" si="17"/>
        <v>23</v>
      </c>
      <c r="K28" s="122">
        <f t="shared" ref="K28:L28" si="18">K21+K22+K23-K25-K26</f>
        <v>23</v>
      </c>
      <c r="L28" s="122">
        <f t="shared" si="18"/>
        <v>23</v>
      </c>
      <c r="M28" s="122">
        <f t="shared" ref="M28" si="19">M21+M22+M23-M25-M26</f>
        <v>23</v>
      </c>
    </row>
    <row r="29" spans="1:13">
      <c r="A29" s="87" t="s">
        <v>19</v>
      </c>
      <c r="B29" s="123"/>
      <c r="C29" s="123"/>
      <c r="D29" s="124"/>
      <c r="E29" s="124"/>
      <c r="F29" s="124"/>
      <c r="G29" s="124"/>
      <c r="H29" s="124"/>
      <c r="I29" s="124"/>
      <c r="J29" s="124"/>
      <c r="K29" s="124"/>
      <c r="L29" s="124"/>
      <c r="M29" s="124"/>
    </row>
    <row r="30" spans="1:13" ht="41.4">
      <c r="A30" s="88" t="s">
        <v>154</v>
      </c>
      <c r="B30" s="117">
        <v>1</v>
      </c>
      <c r="C30" s="117">
        <v>1</v>
      </c>
      <c r="D30" s="121">
        <v>1</v>
      </c>
      <c r="E30" s="117">
        <v>1</v>
      </c>
      <c r="F30" s="121">
        <v>1</v>
      </c>
      <c r="G30" s="117">
        <v>1</v>
      </c>
      <c r="H30" s="117">
        <v>32</v>
      </c>
      <c r="I30" s="117">
        <v>32</v>
      </c>
      <c r="J30" s="117">
        <v>32</v>
      </c>
      <c r="K30" s="117">
        <v>32</v>
      </c>
      <c r="L30" s="117">
        <v>32</v>
      </c>
      <c r="M30" s="117">
        <v>32</v>
      </c>
    </row>
    <row r="31" spans="1:13">
      <c r="A31" s="88" t="s">
        <v>170</v>
      </c>
      <c r="B31" s="117">
        <v>1</v>
      </c>
      <c r="C31" s="117">
        <v>1</v>
      </c>
      <c r="D31" s="121">
        <v>1</v>
      </c>
      <c r="E31" s="117">
        <v>1</v>
      </c>
      <c r="F31" s="121">
        <v>1</v>
      </c>
      <c r="G31" s="117">
        <v>1</v>
      </c>
      <c r="H31" s="117">
        <v>4</v>
      </c>
      <c r="I31" s="117">
        <v>4</v>
      </c>
      <c r="J31" s="117">
        <v>4</v>
      </c>
      <c r="K31" s="117">
        <v>4</v>
      </c>
      <c r="L31" s="117">
        <v>4</v>
      </c>
      <c r="M31" s="117">
        <v>4</v>
      </c>
    </row>
    <row r="32" spans="1:13">
      <c r="A32" s="88" t="s">
        <v>20</v>
      </c>
      <c r="B32" s="117">
        <v>0</v>
      </c>
      <c r="C32" s="117">
        <v>0</v>
      </c>
      <c r="D32" s="121">
        <v>0</v>
      </c>
      <c r="E32" s="117">
        <v>0</v>
      </c>
      <c r="F32" s="121">
        <v>0</v>
      </c>
      <c r="G32" s="117">
        <v>0</v>
      </c>
      <c r="H32" s="117">
        <v>8</v>
      </c>
      <c r="I32" s="117">
        <v>8</v>
      </c>
      <c r="J32" s="117">
        <v>8</v>
      </c>
      <c r="K32" s="117">
        <v>8</v>
      </c>
      <c r="L32" s="117">
        <v>8</v>
      </c>
      <c r="M32" s="117">
        <v>8</v>
      </c>
    </row>
    <row r="33" spans="1:13" ht="41.4">
      <c r="A33" s="94" t="s">
        <v>249</v>
      </c>
      <c r="B33" s="120">
        <f t="shared" ref="B33:G33" si="20">IF(B30&gt;=2, 10*LOG10(B30/2), 0)</f>
        <v>0</v>
      </c>
      <c r="C33" s="120">
        <f t="shared" si="20"/>
        <v>0</v>
      </c>
      <c r="D33" s="120">
        <f t="shared" si="20"/>
        <v>0</v>
      </c>
      <c r="E33" s="120">
        <f t="shared" si="20"/>
        <v>0</v>
      </c>
      <c r="F33" s="120">
        <f t="shared" si="20"/>
        <v>0</v>
      </c>
      <c r="G33" s="120">
        <f t="shared" si="20"/>
        <v>0</v>
      </c>
      <c r="H33" s="120">
        <f t="shared" ref="H33:M33" si="21">IF(H30/H31&gt;=2, 10*LOG10(H30/H31), 0)</f>
        <v>9.0308998699194358</v>
      </c>
      <c r="I33" s="120">
        <f t="shared" si="21"/>
        <v>9.0308998699194358</v>
      </c>
      <c r="J33" s="120">
        <f t="shared" si="21"/>
        <v>9.0308998699194358</v>
      </c>
      <c r="K33" s="120">
        <f t="shared" si="21"/>
        <v>9.0308998699194358</v>
      </c>
      <c r="L33" s="120">
        <f t="shared" si="21"/>
        <v>9.0308998699194358</v>
      </c>
      <c r="M33" s="120">
        <f t="shared" si="21"/>
        <v>9.0308998699194358</v>
      </c>
    </row>
    <row r="34" spans="1:13" ht="41.4">
      <c r="A34" s="88" t="s">
        <v>21</v>
      </c>
      <c r="B34" s="117">
        <v>0</v>
      </c>
      <c r="C34" s="117">
        <v>0</v>
      </c>
      <c r="D34" s="117">
        <v>0</v>
      </c>
      <c r="E34" s="117">
        <v>0</v>
      </c>
      <c r="F34" s="117">
        <v>0</v>
      </c>
      <c r="G34" s="117">
        <v>0</v>
      </c>
      <c r="H34" s="117">
        <v>3</v>
      </c>
      <c r="I34" s="117">
        <v>3</v>
      </c>
      <c r="J34" s="117">
        <v>3</v>
      </c>
      <c r="K34" s="117">
        <v>3</v>
      </c>
      <c r="L34" s="117">
        <v>3</v>
      </c>
      <c r="M34" s="117">
        <v>3</v>
      </c>
    </row>
    <row r="35" spans="1:13">
      <c r="A35" s="88" t="s">
        <v>22</v>
      </c>
      <c r="B35" s="78">
        <v>7</v>
      </c>
      <c r="C35" s="78">
        <v>7</v>
      </c>
      <c r="D35" s="78">
        <v>7</v>
      </c>
      <c r="E35" s="78">
        <v>7</v>
      </c>
      <c r="F35" s="78">
        <v>7</v>
      </c>
      <c r="G35" s="78">
        <v>7</v>
      </c>
      <c r="H35" s="78">
        <v>5</v>
      </c>
      <c r="I35" s="78">
        <v>5</v>
      </c>
      <c r="J35" s="78">
        <v>5</v>
      </c>
      <c r="K35" s="78">
        <v>5</v>
      </c>
      <c r="L35" s="78">
        <v>5</v>
      </c>
      <c r="M35" s="78">
        <v>5</v>
      </c>
    </row>
    <row r="36" spans="1:13">
      <c r="A36" s="88" t="s">
        <v>23</v>
      </c>
      <c r="B36" s="78">
        <v>-174</v>
      </c>
      <c r="C36" s="78">
        <v>-174</v>
      </c>
      <c r="D36" s="77">
        <v>-174</v>
      </c>
      <c r="E36" s="77">
        <v>-174</v>
      </c>
      <c r="F36" s="77">
        <v>-174</v>
      </c>
      <c r="G36" s="77">
        <v>-174</v>
      </c>
      <c r="H36" s="78">
        <v>-174</v>
      </c>
      <c r="I36" s="78">
        <v>-174</v>
      </c>
      <c r="J36" s="78">
        <v>-174</v>
      </c>
      <c r="K36" s="78">
        <v>-174</v>
      </c>
      <c r="L36" s="78">
        <v>-174</v>
      </c>
      <c r="M36" s="78">
        <v>-174</v>
      </c>
    </row>
    <row r="37" spans="1:13" ht="27.6">
      <c r="A37" s="88" t="s">
        <v>155</v>
      </c>
      <c r="B37" s="78" t="s">
        <v>61</v>
      </c>
      <c r="C37" s="76">
        <v>-177</v>
      </c>
      <c r="D37" s="76" t="s">
        <v>61</v>
      </c>
      <c r="E37" s="75">
        <v>-177</v>
      </c>
      <c r="F37" s="76" t="s">
        <v>61</v>
      </c>
      <c r="G37" s="76">
        <v>-177</v>
      </c>
      <c r="H37" s="78" t="s">
        <v>61</v>
      </c>
      <c r="I37" s="76">
        <v>-177</v>
      </c>
      <c r="J37" s="78" t="s">
        <v>61</v>
      </c>
      <c r="K37" s="76">
        <v>-177</v>
      </c>
      <c r="L37" s="78" t="s">
        <v>61</v>
      </c>
      <c r="M37" s="76">
        <v>-177</v>
      </c>
    </row>
    <row r="38" spans="1:13" ht="27.6">
      <c r="A38" s="88" t="s">
        <v>156</v>
      </c>
      <c r="B38" s="78">
        <v>-177</v>
      </c>
      <c r="C38" s="76" t="s">
        <v>61</v>
      </c>
      <c r="D38" s="76">
        <v>-177</v>
      </c>
      <c r="E38" s="75" t="s">
        <v>61</v>
      </c>
      <c r="F38" s="76">
        <v>-177</v>
      </c>
      <c r="G38" s="75" t="s">
        <v>61</v>
      </c>
      <c r="H38" s="75">
        <v>-177</v>
      </c>
      <c r="I38" s="75" t="s">
        <v>61</v>
      </c>
      <c r="J38" s="75">
        <v>-177</v>
      </c>
      <c r="K38" s="75" t="s">
        <v>61</v>
      </c>
      <c r="L38" s="75">
        <v>-177</v>
      </c>
      <c r="M38" s="75" t="s">
        <v>61</v>
      </c>
    </row>
    <row r="39" spans="1:13" ht="55.2">
      <c r="A39" s="95" t="s">
        <v>45</v>
      </c>
      <c r="B39" s="126" t="s">
        <v>256</v>
      </c>
      <c r="C39" s="126">
        <f t="shared" ref="C39:G39" si="22">10*LOG10(10^((C35+C36)/10)+10^(C37/10))</f>
        <v>-166.58607314841777</v>
      </c>
      <c r="D39" s="126" t="s">
        <v>256</v>
      </c>
      <c r="E39" s="126">
        <f t="shared" si="22"/>
        <v>-166.58607314841777</v>
      </c>
      <c r="F39" s="126" t="s">
        <v>256</v>
      </c>
      <c r="G39" s="126">
        <f t="shared" si="22"/>
        <v>-166.58607314841777</v>
      </c>
      <c r="H39" s="126" t="s">
        <v>256</v>
      </c>
      <c r="I39" s="126">
        <f t="shared" ref="I39:M39" si="23">10*LOG10(10^((I35+I36)/10)+10^(I37/10))</f>
        <v>-168.36107965856621</v>
      </c>
      <c r="J39" s="126" t="s">
        <v>256</v>
      </c>
      <c r="K39" s="126">
        <f t="shared" ref="K39" si="24">10*LOG10(10^((K35+K36)/10)+10^(K37/10))</f>
        <v>-168.36107965856621</v>
      </c>
      <c r="L39" s="126" t="s">
        <v>256</v>
      </c>
      <c r="M39" s="126">
        <f t="shared" si="23"/>
        <v>-168.36107965856621</v>
      </c>
    </row>
    <row r="40" spans="1:13" ht="55.2">
      <c r="A40" s="95" t="s">
        <v>157</v>
      </c>
      <c r="B40" s="126">
        <f t="shared" ref="B40:F40" si="25">10*LOG10(10^((B35+B36)/10)+10^(B38/10))</f>
        <v>-166.58607314841777</v>
      </c>
      <c r="C40" s="126" t="s">
        <v>256</v>
      </c>
      <c r="D40" s="126">
        <f t="shared" si="25"/>
        <v>-166.58607314841777</v>
      </c>
      <c r="E40" s="126" t="s">
        <v>256</v>
      </c>
      <c r="F40" s="126">
        <f t="shared" si="25"/>
        <v>-166.58607314841777</v>
      </c>
      <c r="G40" s="126" t="s">
        <v>256</v>
      </c>
      <c r="H40" s="126">
        <f t="shared" ref="H40:L40" si="26">10*LOG10(10^((H35+H36)/10)+10^(H38/10))</f>
        <v>-168.36107965856621</v>
      </c>
      <c r="I40" s="126" t="s">
        <v>256</v>
      </c>
      <c r="J40" s="126">
        <f t="shared" ref="J40" si="27">10*LOG10(10^((J35+J36)/10)+10^(J38/10))</f>
        <v>-168.36107965856621</v>
      </c>
      <c r="K40" s="126" t="s">
        <v>256</v>
      </c>
      <c r="L40" s="126">
        <f t="shared" si="26"/>
        <v>-168.36107965856621</v>
      </c>
      <c r="M40" s="126" t="s">
        <v>256</v>
      </c>
    </row>
    <row r="41" spans="1:13" ht="27.6">
      <c r="A41" s="88" t="s">
        <v>26</v>
      </c>
      <c r="B41" s="127" t="s">
        <v>61</v>
      </c>
      <c r="C41" s="76">
        <v>180000</v>
      </c>
      <c r="D41" s="76" t="s">
        <v>61</v>
      </c>
      <c r="E41" s="76">
        <f>1*12*15*1000</f>
        <v>180000</v>
      </c>
      <c r="F41" s="76" t="s">
        <v>61</v>
      </c>
      <c r="G41" s="76">
        <f>1*12*15*1000</f>
        <v>180000</v>
      </c>
      <c r="H41" s="76" t="s">
        <v>61</v>
      </c>
      <c r="I41" s="127">
        <f>'[2]NB-IoT LL'!$D$7</f>
        <v>15000</v>
      </c>
      <c r="J41" s="78" t="s">
        <v>61</v>
      </c>
      <c r="K41" s="78">
        <f>15*1000</f>
        <v>15000</v>
      </c>
      <c r="L41" s="78" t="s">
        <v>61</v>
      </c>
      <c r="M41" s="78">
        <f>15*1000</f>
        <v>15000</v>
      </c>
    </row>
    <row r="42" spans="1:13" ht="27.6">
      <c r="A42" s="88" t="s">
        <v>27</v>
      </c>
      <c r="B42" s="127">
        <v>180000</v>
      </c>
      <c r="C42" s="76" t="s">
        <v>61</v>
      </c>
      <c r="D42" s="76">
        <f>1*12*15*1000</f>
        <v>180000</v>
      </c>
      <c r="E42" s="78" t="s">
        <v>61</v>
      </c>
      <c r="F42" s="76">
        <f>1*12*15*1000</f>
        <v>180000</v>
      </c>
      <c r="G42" s="78" t="s">
        <v>61</v>
      </c>
      <c r="H42" s="127">
        <f>'[2]NB-IoT LL'!$D$7</f>
        <v>15000</v>
      </c>
      <c r="I42" s="77" t="s">
        <v>61</v>
      </c>
      <c r="J42" s="76">
        <f>15*1000</f>
        <v>15000</v>
      </c>
      <c r="K42" s="78" t="s">
        <v>61</v>
      </c>
      <c r="L42" s="76">
        <f>15*1000</f>
        <v>15000</v>
      </c>
      <c r="M42" s="78" t="s">
        <v>61</v>
      </c>
    </row>
    <row r="43" spans="1:13" ht="27.6">
      <c r="A43" s="93" t="s">
        <v>28</v>
      </c>
      <c r="B43" s="126" t="s">
        <v>256</v>
      </c>
      <c r="C43" s="126">
        <f t="shared" ref="C43:G43" si="28">C39+10*LOG10(C41)</f>
        <v>-114.0333480973847</v>
      </c>
      <c r="D43" s="126" t="s">
        <v>256</v>
      </c>
      <c r="E43" s="126">
        <f t="shared" si="28"/>
        <v>-114.0333480973847</v>
      </c>
      <c r="F43" s="126" t="s">
        <v>256</v>
      </c>
      <c r="G43" s="126">
        <f t="shared" si="28"/>
        <v>-114.0333480973847</v>
      </c>
      <c r="H43" s="126" t="s">
        <v>256</v>
      </c>
      <c r="I43" s="126">
        <f t="shared" ref="I43:M43" si="29">I39+10*LOG10(I41)</f>
        <v>-126.6001670680094</v>
      </c>
      <c r="J43" s="126" t="s">
        <v>256</v>
      </c>
      <c r="K43" s="126">
        <f t="shared" si="29"/>
        <v>-126.6001670680094</v>
      </c>
      <c r="L43" s="126" t="s">
        <v>256</v>
      </c>
      <c r="M43" s="126">
        <f t="shared" si="29"/>
        <v>-126.6001670680094</v>
      </c>
    </row>
    <row r="44" spans="1:13" ht="27.6">
      <c r="A44" s="93" t="s">
        <v>158</v>
      </c>
      <c r="B44" s="126">
        <f>B40+10*LOG10(B42)</f>
        <v>-114.0333480973847</v>
      </c>
      <c r="C44" s="126" t="s">
        <v>256</v>
      </c>
      <c r="D44" s="126">
        <f t="shared" ref="D44:F44" si="30">D40+10*LOG10(D42)</f>
        <v>-114.0333480973847</v>
      </c>
      <c r="E44" s="126" t="s">
        <v>256</v>
      </c>
      <c r="F44" s="126">
        <f t="shared" si="30"/>
        <v>-114.0333480973847</v>
      </c>
      <c r="G44" s="126" t="s">
        <v>256</v>
      </c>
      <c r="H44" s="126">
        <f t="shared" ref="H44:L44" si="31">H40+10*LOG10(H42)</f>
        <v>-126.6001670680094</v>
      </c>
      <c r="I44" s="126" t="s">
        <v>256</v>
      </c>
      <c r="J44" s="126">
        <f t="shared" si="31"/>
        <v>-126.6001670680094</v>
      </c>
      <c r="K44" s="126" t="s">
        <v>256</v>
      </c>
      <c r="L44" s="126">
        <f t="shared" si="31"/>
        <v>-126.6001670680094</v>
      </c>
      <c r="M44" s="126" t="s">
        <v>256</v>
      </c>
    </row>
    <row r="45" spans="1:13">
      <c r="A45" s="88" t="s">
        <v>30</v>
      </c>
      <c r="B45" s="78" t="s">
        <v>61</v>
      </c>
      <c r="C45" s="76">
        <v>-17.2</v>
      </c>
      <c r="D45" s="76" t="s">
        <v>61</v>
      </c>
      <c r="E45" s="77">
        <v>-16.7</v>
      </c>
      <c r="F45" s="76" t="s">
        <v>61</v>
      </c>
      <c r="G45" s="77">
        <v>-16.7</v>
      </c>
      <c r="H45" s="77" t="s">
        <v>61</v>
      </c>
      <c r="I45" s="77">
        <v>-17.899999999999999</v>
      </c>
      <c r="J45" s="77" t="s">
        <v>61</v>
      </c>
      <c r="K45" s="77">
        <v>-16</v>
      </c>
      <c r="L45" s="77" t="s">
        <v>61</v>
      </c>
      <c r="M45" s="77">
        <v>-16</v>
      </c>
    </row>
    <row r="46" spans="1:13">
      <c r="A46" s="88" t="s">
        <v>159</v>
      </c>
      <c r="B46" s="127">
        <f>'[2]NB-IoT LL'!$B$15</f>
        <v>-16.899999999999999</v>
      </c>
      <c r="C46" s="76" t="s">
        <v>61</v>
      </c>
      <c r="D46" s="76">
        <v>-17.7</v>
      </c>
      <c r="E46" s="77" t="s">
        <v>61</v>
      </c>
      <c r="F46" s="76">
        <v>-17.7</v>
      </c>
      <c r="G46" s="77" t="s">
        <v>61</v>
      </c>
      <c r="H46" s="77">
        <v>-17.600000000000001</v>
      </c>
      <c r="I46" s="77" t="s">
        <v>61</v>
      </c>
      <c r="J46" s="77">
        <v>-16.600000000000001</v>
      </c>
      <c r="K46" s="77" t="s">
        <v>61</v>
      </c>
      <c r="L46" s="77">
        <v>-16.600000000000001</v>
      </c>
      <c r="M46" s="77" t="s">
        <v>61</v>
      </c>
    </row>
    <row r="47" spans="1:13">
      <c r="A47" s="88" t="s">
        <v>32</v>
      </c>
      <c r="B47" s="78">
        <v>2</v>
      </c>
      <c r="C47" s="76">
        <v>2</v>
      </c>
      <c r="D47" s="76">
        <v>2</v>
      </c>
      <c r="E47" s="78">
        <v>2</v>
      </c>
      <c r="F47" s="76">
        <v>2</v>
      </c>
      <c r="G47" s="78">
        <v>2</v>
      </c>
      <c r="H47" s="78">
        <v>2</v>
      </c>
      <c r="I47" s="78">
        <v>2</v>
      </c>
      <c r="J47" s="78">
        <v>2</v>
      </c>
      <c r="K47" s="78">
        <v>2</v>
      </c>
      <c r="L47" s="78">
        <v>2</v>
      </c>
      <c r="M47" s="78">
        <v>2</v>
      </c>
    </row>
    <row r="48" spans="1:13">
      <c r="A48" s="88" t="s">
        <v>33</v>
      </c>
      <c r="B48" s="78" t="s">
        <v>61</v>
      </c>
      <c r="C48" s="76">
        <v>0</v>
      </c>
      <c r="D48" s="76" t="s">
        <v>61</v>
      </c>
      <c r="E48" s="78">
        <v>0</v>
      </c>
      <c r="F48" s="76" t="s">
        <v>61</v>
      </c>
      <c r="G48" s="78">
        <v>0</v>
      </c>
      <c r="H48" s="78" t="s">
        <v>61</v>
      </c>
      <c r="I48" s="78">
        <v>0</v>
      </c>
      <c r="J48" s="78" t="s">
        <v>61</v>
      </c>
      <c r="K48" s="78">
        <v>0</v>
      </c>
      <c r="L48" s="78" t="s">
        <v>61</v>
      </c>
      <c r="M48" s="78">
        <v>0</v>
      </c>
    </row>
    <row r="49" spans="1:14">
      <c r="A49" s="88" t="s">
        <v>34</v>
      </c>
      <c r="B49" s="78">
        <v>0</v>
      </c>
      <c r="C49" s="76" t="s">
        <v>61</v>
      </c>
      <c r="D49" s="76">
        <v>0</v>
      </c>
      <c r="E49" s="78" t="s">
        <v>61</v>
      </c>
      <c r="F49" s="76">
        <v>0</v>
      </c>
      <c r="G49" s="78" t="s">
        <v>61</v>
      </c>
      <c r="H49" s="78">
        <v>0</v>
      </c>
      <c r="I49" s="78" t="s">
        <v>61</v>
      </c>
      <c r="J49" s="76">
        <v>0</v>
      </c>
      <c r="K49" s="78" t="s">
        <v>61</v>
      </c>
      <c r="L49" s="76">
        <v>0</v>
      </c>
      <c r="M49" s="78" t="s">
        <v>61</v>
      </c>
    </row>
    <row r="50" spans="1:14" ht="27.6">
      <c r="A50" s="95" t="s">
        <v>47</v>
      </c>
      <c r="B50" s="126" t="s">
        <v>256</v>
      </c>
      <c r="C50" s="126">
        <f t="shared" ref="C50:G50" si="32">C43+C45+C47-C48</f>
        <v>-129.23334809738469</v>
      </c>
      <c r="D50" s="126" t="s">
        <v>256</v>
      </c>
      <c r="E50" s="126">
        <f t="shared" si="32"/>
        <v>-128.73334809738469</v>
      </c>
      <c r="F50" s="126" t="s">
        <v>256</v>
      </c>
      <c r="G50" s="126">
        <f t="shared" si="32"/>
        <v>-128.73334809738469</v>
      </c>
      <c r="H50" s="126" t="s">
        <v>256</v>
      </c>
      <c r="I50" s="126">
        <f t="shared" ref="I50:M50" si="33">I43+I45+I47-I48</f>
        <v>-142.5001670680094</v>
      </c>
      <c r="J50" s="126" t="s">
        <v>256</v>
      </c>
      <c r="K50" s="126">
        <f t="shared" si="33"/>
        <v>-140.6001670680094</v>
      </c>
      <c r="L50" s="126" t="s">
        <v>256</v>
      </c>
      <c r="M50" s="126">
        <f t="shared" si="33"/>
        <v>-140.6001670680094</v>
      </c>
    </row>
    <row r="51" spans="1:14" ht="27.6">
      <c r="A51" s="95" t="s">
        <v>160</v>
      </c>
      <c r="B51" s="126">
        <f>B44+B46+B47-B49</f>
        <v>-128.93334809738471</v>
      </c>
      <c r="C51" s="126" t="s">
        <v>256</v>
      </c>
      <c r="D51" s="126">
        <f>D44+D46+D47-D49</f>
        <v>-129.73334809738469</v>
      </c>
      <c r="E51" s="126" t="s">
        <v>256</v>
      </c>
      <c r="F51" s="126">
        <f t="shared" ref="F51" si="34">F44+F46+F47-F49</f>
        <v>-129.73334809738469</v>
      </c>
      <c r="G51" s="126" t="s">
        <v>256</v>
      </c>
      <c r="H51" s="126">
        <f t="shared" ref="H51:L51" si="35">H44+H46+H47-H49</f>
        <v>-142.20016706800939</v>
      </c>
      <c r="I51" s="126" t="s">
        <v>256</v>
      </c>
      <c r="J51" s="126">
        <f t="shared" si="35"/>
        <v>-141.20016706800939</v>
      </c>
      <c r="K51" s="126" t="s">
        <v>256</v>
      </c>
      <c r="L51" s="126">
        <f t="shared" si="35"/>
        <v>-141.20016706800939</v>
      </c>
      <c r="M51" s="126" t="s">
        <v>256</v>
      </c>
    </row>
    <row r="52" spans="1:14" ht="27.6">
      <c r="A52" s="95" t="s">
        <v>107</v>
      </c>
      <c r="B52" s="126" t="s">
        <v>256</v>
      </c>
      <c r="C52" s="126">
        <f t="shared" ref="C52:M52" si="36">C27+C32+C33-C50</f>
        <v>178.30544779386338</v>
      </c>
      <c r="D52" s="126" t="s">
        <v>256</v>
      </c>
      <c r="E52" s="126">
        <f t="shared" si="36"/>
        <v>177.80544779386338</v>
      </c>
      <c r="F52" s="126" t="s">
        <v>256</v>
      </c>
      <c r="G52" s="126">
        <f t="shared" si="36"/>
        <v>177.80544779386338</v>
      </c>
      <c r="H52" s="126" t="s">
        <v>256</v>
      </c>
      <c r="I52" s="126">
        <f t="shared" ref="I52" si="37">I27+I32+I33-I50</f>
        <v>182.53106693792884</v>
      </c>
      <c r="J52" s="126" t="s">
        <v>256</v>
      </c>
      <c r="K52" s="126">
        <f t="shared" si="36"/>
        <v>180.63106693792884</v>
      </c>
      <c r="L52" s="126" t="s">
        <v>256</v>
      </c>
      <c r="M52" s="126">
        <f t="shared" si="36"/>
        <v>180.63106693792884</v>
      </c>
    </row>
    <row r="53" spans="1:14" ht="27.6">
      <c r="A53" s="95" t="s">
        <v>108</v>
      </c>
      <c r="B53" s="126">
        <f>B28+B32+B33-B51</f>
        <v>178.0054477938634</v>
      </c>
      <c r="C53" s="126" t="s">
        <v>256</v>
      </c>
      <c r="D53" s="126">
        <f t="shared" ref="D53:L53" si="38">D28+D32+D33-D51</f>
        <v>178.80544779386338</v>
      </c>
      <c r="E53" s="126" t="s">
        <v>256</v>
      </c>
      <c r="F53" s="126">
        <f t="shared" si="38"/>
        <v>178.80544779386338</v>
      </c>
      <c r="G53" s="126" t="s">
        <v>256</v>
      </c>
      <c r="H53" s="126">
        <f t="shared" si="38"/>
        <v>182.23106693792883</v>
      </c>
      <c r="I53" s="126" t="s">
        <v>256</v>
      </c>
      <c r="J53" s="126">
        <f t="shared" si="38"/>
        <v>181.23106693792883</v>
      </c>
      <c r="K53" s="126" t="s">
        <v>256</v>
      </c>
      <c r="L53" s="126">
        <f t="shared" si="38"/>
        <v>181.23106693792883</v>
      </c>
      <c r="M53" s="126" t="s">
        <v>256</v>
      </c>
    </row>
    <row r="54" spans="1:14">
      <c r="A54" s="87" t="s">
        <v>35</v>
      </c>
      <c r="B54" s="86"/>
      <c r="C54" s="86"/>
      <c r="D54" s="85"/>
      <c r="E54" s="85"/>
      <c r="F54" s="85"/>
      <c r="G54" s="85"/>
      <c r="H54" s="85"/>
      <c r="I54" s="85"/>
      <c r="J54" s="85"/>
      <c r="K54" s="85"/>
      <c r="L54" s="85"/>
      <c r="M54" s="85"/>
    </row>
    <row r="55" spans="1:14">
      <c r="A55" s="88" t="s">
        <v>36</v>
      </c>
      <c r="B55" s="75">
        <v>4</v>
      </c>
      <c r="C55" s="76">
        <v>4</v>
      </c>
      <c r="D55" s="75">
        <v>6</v>
      </c>
      <c r="E55" s="75">
        <v>6</v>
      </c>
      <c r="F55" s="75">
        <v>6</v>
      </c>
      <c r="G55" s="75">
        <v>6</v>
      </c>
      <c r="H55" s="75">
        <v>4</v>
      </c>
      <c r="I55" s="75">
        <v>4</v>
      </c>
      <c r="J55" s="75">
        <v>6</v>
      </c>
      <c r="K55" s="75">
        <v>6</v>
      </c>
      <c r="L55" s="75">
        <v>6</v>
      </c>
      <c r="M55" s="75">
        <v>6</v>
      </c>
    </row>
    <row r="56" spans="1:14" ht="27.6">
      <c r="A56" s="88" t="s">
        <v>37</v>
      </c>
      <c r="B56" s="76" t="s">
        <v>61</v>
      </c>
      <c r="C56" s="76">
        <v>6.3</v>
      </c>
      <c r="D56" s="76" t="s">
        <v>61</v>
      </c>
      <c r="E56" s="76">
        <v>10.26</v>
      </c>
      <c r="F56" s="76" t="s">
        <v>61</v>
      </c>
      <c r="G56" s="76">
        <v>12.22</v>
      </c>
      <c r="H56" s="76" t="s">
        <v>61</v>
      </c>
      <c r="I56" s="76">
        <v>6.3</v>
      </c>
      <c r="J56" s="76" t="s">
        <v>61</v>
      </c>
      <c r="K56" s="76">
        <v>10.26</v>
      </c>
      <c r="L56" s="76" t="s">
        <v>61</v>
      </c>
      <c r="M56" s="76">
        <v>12.22</v>
      </c>
    </row>
    <row r="57" spans="1:14" ht="27.6">
      <c r="A57" s="88" t="s">
        <v>38</v>
      </c>
      <c r="B57" s="76">
        <v>6.3</v>
      </c>
      <c r="C57" s="76" t="s">
        <v>61</v>
      </c>
      <c r="D57" s="76">
        <v>10.26</v>
      </c>
      <c r="E57" s="76" t="s">
        <v>61</v>
      </c>
      <c r="F57" s="76">
        <v>12.22</v>
      </c>
      <c r="G57" s="76" t="s">
        <v>61</v>
      </c>
      <c r="H57" s="76">
        <v>6.3</v>
      </c>
      <c r="I57" s="76" t="s">
        <v>61</v>
      </c>
      <c r="J57" s="76">
        <v>10.26</v>
      </c>
      <c r="K57" s="76" t="s">
        <v>61</v>
      </c>
      <c r="L57" s="76">
        <v>12.22</v>
      </c>
      <c r="M57" s="76" t="s">
        <v>61</v>
      </c>
    </row>
    <row r="58" spans="1:14">
      <c r="A58" s="88" t="s">
        <v>39</v>
      </c>
      <c r="B58" s="76">
        <v>0</v>
      </c>
      <c r="C58" s="76">
        <v>0</v>
      </c>
      <c r="D58" s="77">
        <v>0</v>
      </c>
      <c r="E58" s="77">
        <v>0</v>
      </c>
      <c r="F58" s="77">
        <v>0</v>
      </c>
      <c r="G58" s="77">
        <v>0</v>
      </c>
      <c r="H58" s="77">
        <v>0</v>
      </c>
      <c r="I58" s="77">
        <v>0</v>
      </c>
      <c r="J58" s="77">
        <v>0</v>
      </c>
      <c r="K58" s="77">
        <v>0</v>
      </c>
      <c r="L58" s="77">
        <v>0</v>
      </c>
      <c r="M58" s="77">
        <v>0</v>
      </c>
    </row>
    <row r="59" spans="1:14">
      <c r="A59" s="88" t="s">
        <v>40</v>
      </c>
      <c r="B59" s="76">
        <v>0</v>
      </c>
      <c r="C59" s="76">
        <v>0</v>
      </c>
      <c r="D59" s="76">
        <v>0</v>
      </c>
      <c r="E59" s="76">
        <v>0</v>
      </c>
      <c r="F59" s="76">
        <f>20+0.5*12.5</f>
        <v>26.25</v>
      </c>
      <c r="G59" s="76">
        <f>20+0.5*12.5</f>
        <v>26.25</v>
      </c>
      <c r="H59" s="76">
        <v>0</v>
      </c>
      <c r="I59" s="76">
        <v>0</v>
      </c>
      <c r="J59" s="76">
        <v>0</v>
      </c>
      <c r="K59" s="76">
        <v>0</v>
      </c>
      <c r="L59" s="76">
        <f>20+0.5*12.5</f>
        <v>26.25</v>
      </c>
      <c r="M59" s="76">
        <f>20+0.5*12.5</f>
        <v>26.25</v>
      </c>
    </row>
    <row r="60" spans="1:14">
      <c r="A60" s="88" t="s">
        <v>41</v>
      </c>
      <c r="B60" s="76">
        <v>0</v>
      </c>
      <c r="C60" s="76">
        <v>0</v>
      </c>
      <c r="D60" s="78">
        <v>0</v>
      </c>
      <c r="E60" s="78">
        <v>0</v>
      </c>
      <c r="F60" s="78">
        <v>0</v>
      </c>
      <c r="G60" s="78">
        <v>0</v>
      </c>
      <c r="H60" s="78">
        <v>0</v>
      </c>
      <c r="I60" s="78">
        <v>0</v>
      </c>
      <c r="J60" s="78">
        <v>0</v>
      </c>
      <c r="K60" s="78">
        <v>0</v>
      </c>
      <c r="L60" s="78">
        <v>0</v>
      </c>
      <c r="M60" s="78">
        <v>0</v>
      </c>
    </row>
    <row r="61" spans="1:14" ht="27.6">
      <c r="A61" s="95" t="s">
        <v>161</v>
      </c>
      <c r="B61" s="126" t="s">
        <v>256</v>
      </c>
      <c r="C61" s="126">
        <f t="shared" ref="C61:M61" si="39">C52-C56+C58-C59+C60-C34</f>
        <v>172.00544779386337</v>
      </c>
      <c r="D61" s="126" t="s">
        <v>256</v>
      </c>
      <c r="E61" s="126">
        <f t="shared" si="39"/>
        <v>167.54544779386339</v>
      </c>
      <c r="F61" s="126" t="s">
        <v>256</v>
      </c>
      <c r="G61" s="126">
        <f t="shared" si="39"/>
        <v>139.33544779386338</v>
      </c>
      <c r="H61" s="126" t="s">
        <v>256</v>
      </c>
      <c r="I61" s="126">
        <f t="shared" si="39"/>
        <v>173.23106693792883</v>
      </c>
      <c r="J61" s="126" t="s">
        <v>256</v>
      </c>
      <c r="K61" s="126">
        <f t="shared" si="39"/>
        <v>167.37106693792884</v>
      </c>
      <c r="L61" s="126" t="s">
        <v>256</v>
      </c>
      <c r="M61" s="126">
        <f t="shared" si="39"/>
        <v>139.16106693792884</v>
      </c>
    </row>
    <row r="62" spans="1:14" ht="27.6">
      <c r="A62" s="95" t="s">
        <v>49</v>
      </c>
      <c r="B62" s="126">
        <f t="shared" ref="B62:L62" si="40">B53-B57+B58-B59+B60-B34</f>
        <v>171.70544779386339</v>
      </c>
      <c r="C62" s="126" t="s">
        <v>256</v>
      </c>
      <c r="D62" s="126">
        <f t="shared" si="40"/>
        <v>168.54544779386339</v>
      </c>
      <c r="E62" s="126" t="s">
        <v>256</v>
      </c>
      <c r="F62" s="126">
        <f t="shared" si="40"/>
        <v>140.33544779386338</v>
      </c>
      <c r="G62" s="126" t="s">
        <v>256</v>
      </c>
      <c r="H62" s="126">
        <f t="shared" si="40"/>
        <v>172.93106693792882</v>
      </c>
      <c r="I62" s="126" t="s">
        <v>256</v>
      </c>
      <c r="J62" s="126">
        <f t="shared" si="40"/>
        <v>167.97106693792884</v>
      </c>
      <c r="K62" s="126" t="s">
        <v>256</v>
      </c>
      <c r="L62" s="126">
        <f t="shared" si="40"/>
        <v>139.76106693792883</v>
      </c>
      <c r="M62" s="126" t="s">
        <v>256</v>
      </c>
    </row>
    <row r="63" spans="1:14">
      <c r="A63" s="87" t="s">
        <v>42</v>
      </c>
      <c r="B63" s="86"/>
      <c r="C63" s="86"/>
      <c r="D63" s="85"/>
      <c r="E63" s="85"/>
      <c r="F63" s="85"/>
      <c r="G63" s="85"/>
      <c r="H63" s="85"/>
      <c r="I63" s="85"/>
      <c r="J63" s="85"/>
      <c r="K63" s="85"/>
      <c r="L63" s="85"/>
      <c r="M63" s="85"/>
    </row>
    <row r="64" spans="1:14">
      <c r="A64" s="96"/>
      <c r="B64" s="128"/>
      <c r="C64" s="128"/>
      <c r="D64" s="103"/>
      <c r="E64" s="103"/>
      <c r="F64" s="103"/>
      <c r="G64" s="103"/>
      <c r="H64" s="103"/>
      <c r="I64" s="103"/>
      <c r="J64" s="103"/>
      <c r="K64" s="103"/>
      <c r="L64" s="103"/>
      <c r="M64" s="103"/>
      <c r="N64" s="83"/>
    </row>
    <row r="65" spans="1:13" ht="41.4">
      <c r="A65" s="96" t="s">
        <v>43</v>
      </c>
      <c r="B65" s="75" t="s">
        <v>61</v>
      </c>
      <c r="C65" s="75">
        <f>SQRT((10^((C61-28-20*LOG10(C$4)+9*LOG10(112^2+(C$5-C$6)^2))/40) )^2-(C$5-C$6)^2)</f>
        <v>40174.008381932588</v>
      </c>
      <c r="D65" s="75" t="s">
        <v>61</v>
      </c>
      <c r="E65" s="75">
        <f>SQRT((10^((E61-161.04+7.1*LOG10(20)-7.5*LOG10(20)+(24.37-3.7*(20/E5)^2)*LOG10(E5)-20*LOG10(E4)+(3.2*(LOG10(17.625))^2-4.97)+0.6*(E6-1.5))/(43.42-3.1*LOG10(E5))+3))^2-(E5-E6)^2)</f>
        <v>10453.704448474071</v>
      </c>
      <c r="F65" s="75" t="s">
        <v>61</v>
      </c>
      <c r="G65" s="75">
        <f>SQRT((10^((G61-161.04+7.1*LOG10(20)-7.5*LOG10(20)+(24.37-3.7*(20/G5)^2)*LOG10(G5)-20*LOG10(G4)+(3.2*(LOG10(17.625))^2-4.97)+0.6*(G6-1.5))/(43.42-3.1*LOG10(G5))+3))^2-(G5-G6)^2)</f>
        <v>1983.8378568342509</v>
      </c>
      <c r="H65" s="75" t="s">
        <v>61</v>
      </c>
      <c r="I65" s="75">
        <f>SQRT((10^((I61-28-20*LOG10(I$4)+9*LOG10(112^2+(I$5-I$6)^2))/40) )^2-(I$5-I$6)^2)</f>
        <v>43110.75753038426</v>
      </c>
      <c r="J65" s="75" t="s">
        <v>61</v>
      </c>
      <c r="K65" s="75">
        <f>SQRT((10^((K61-161.04+7.1*LOG10(20)-7.5*LOG10(20)+(24.37-3.7*(20/K5)^2)*LOG10(K5)-20*LOG10(K4)+(3.2*(LOG10(17.625))^2-4.97)+0.6*(K6-1.5))/(43.42-3.1*LOG10(K5))+3))^2-(K5-K6)^2)</f>
        <v>10346.864763311562</v>
      </c>
      <c r="L65" s="75" t="s">
        <v>61</v>
      </c>
      <c r="M65" s="75">
        <f>SQRT((10^((M61-161.04+7.1*LOG10(20)-7.5*LOG10(20)+(24.37-3.7*(20/M5)^2)*LOG10(M5)-20*LOG10(M4)+(3.2*(LOG10(17.625))^2-4.97)+0.6*(M6-1.5))/(43.42-3.1*LOG10(M5))+3))^2-(M5-M6)^2)</f>
        <v>1963.5597409452744</v>
      </c>
    </row>
    <row r="66" spans="1:13" ht="41.4">
      <c r="A66" s="96" t="s">
        <v>44</v>
      </c>
      <c r="B66" s="75">
        <f>SQRT((10^((B62-28-20*LOG10(B$4)+9*LOG10(112^2+(B$5-B$6)^2))/40) )^2-(B$5-B$6)^2)</f>
        <v>39486.183844923165</v>
      </c>
      <c r="C66" s="75" t="s">
        <v>61</v>
      </c>
      <c r="D66" s="75">
        <f>SQRT((10^((D62-161.04+7.1*LOG10(20)-7.5*LOG10(20)+(24.37-3.7*(20/D5)^2)*LOG10(D5)-20*LOG10(D4)+(3.2*(LOG10(17.625))^2-4.97)+0.6*(D6-1.5))/(43.42-3.1*LOG10(D5))+3))^2-(D5-D6)^2)</f>
        <v>11088.037728125189</v>
      </c>
      <c r="E66" s="75" t="s">
        <v>61</v>
      </c>
      <c r="F66" s="75">
        <f>SQRT((10^((F62-161.04+7.1*LOG10(20)-7.5*LOG10(20)+(24.37-3.7*(20/F5)^2)*LOG10(F5)-20*LOG10(F4)+(3.2*(LOG10(17.625))^2-4.97)+0.6*(F6-1.5))/(43.42-3.1*LOG10(F5))+3))^2-(F5-F6)^2)</f>
        <v>2104.2334288017369</v>
      </c>
      <c r="G66" s="75" t="s">
        <v>61</v>
      </c>
      <c r="H66" s="75">
        <f>SQRT((10^((H62-28-20*LOG10(H$4)+9*LOG10(112^2+(H$5-H$6)^2))/40) )^2-(H$5-H$6)^2)</f>
        <v>42372.652554409324</v>
      </c>
      <c r="I66" s="75" t="s">
        <v>61</v>
      </c>
      <c r="J66" s="75">
        <f>SQRT((10^((J62-161.04+7.1*LOG10(20)-7.5*LOG10(20)+(24.37-3.7*(20/J5)^2)*LOG10(J5)-20*LOG10(J4)+(3.2*(LOG10(17.625))^2-4.97)+0.6*(J6-1.5))/(43.42-3.1*LOG10(J5))+3))^2-(J5-J6)^2)</f>
        <v>10719.128138852448</v>
      </c>
      <c r="K66" s="75" t="s">
        <v>61</v>
      </c>
      <c r="L66" s="75">
        <f>SQRT((10^((L62-161.04+7.1*LOG10(20)-7.5*LOG10(20)+(24.37-3.7*(20/L5)^2)*LOG10(L5)-20*LOG10(L4)+(3.2*(LOG10(17.625))^2-4.97)+0.6*(L6-1.5))/(43.42-3.1*LOG10(L5))+3))^2-(L5-L6)^2)</f>
        <v>2034.2150137151973</v>
      </c>
      <c r="M66" s="75" t="s">
        <v>61</v>
      </c>
    </row>
    <row r="67" spans="1:13" ht="33.6">
      <c r="A67" s="96" t="s">
        <v>162</v>
      </c>
      <c r="B67" s="75" t="s">
        <v>61</v>
      </c>
      <c r="C67" s="75">
        <f>PI()*(C65)^2</f>
        <v>5070376446.1142178</v>
      </c>
      <c r="D67" s="75" t="s">
        <v>61</v>
      </c>
      <c r="E67" s="75">
        <f>PI()*(E65)^2</f>
        <v>343313046.30905759</v>
      </c>
      <c r="F67" s="75" t="s">
        <v>61</v>
      </c>
      <c r="G67" s="75">
        <f>PI()*(G65)^2</f>
        <v>12364091.764138011</v>
      </c>
      <c r="H67" s="75" t="s">
        <v>61</v>
      </c>
      <c r="I67" s="75">
        <f>PI()*(I65)^2</f>
        <v>5838767488.8943663</v>
      </c>
      <c r="J67" s="75" t="s">
        <v>61</v>
      </c>
      <c r="K67" s="75">
        <f>PI()*(K65)^2</f>
        <v>336331402.43857789</v>
      </c>
      <c r="L67" s="75" t="s">
        <v>61</v>
      </c>
      <c r="M67" s="75">
        <f>PI()*(M65)^2</f>
        <v>12112620.511054082</v>
      </c>
    </row>
    <row r="68" spans="1:13" ht="33.6">
      <c r="A68" s="96" t="s">
        <v>163</v>
      </c>
      <c r="B68" s="75">
        <f>PI()*(B66)^2</f>
        <v>4898241563.6780443</v>
      </c>
      <c r="C68" s="75" t="s">
        <v>61</v>
      </c>
      <c r="D68" s="75">
        <f>PI()*(D66)^2</f>
        <v>386241791.40116298</v>
      </c>
      <c r="E68" s="75" t="s">
        <v>61</v>
      </c>
      <c r="F68" s="75">
        <f>PI()*(F66)^2</f>
        <v>13910338.682758106</v>
      </c>
      <c r="G68" s="75" t="s">
        <v>61</v>
      </c>
      <c r="H68" s="75">
        <f>PI()*(H66)^2</f>
        <v>5640546405.9636879</v>
      </c>
      <c r="I68" s="75" t="s">
        <v>61</v>
      </c>
      <c r="J68" s="75">
        <f>PI()*(J66)^2</f>
        <v>360968078.73191774</v>
      </c>
      <c r="K68" s="75" t="s">
        <v>61</v>
      </c>
      <c r="L68" s="75">
        <f>PI()*(L66)^2</f>
        <v>13000006.916640472</v>
      </c>
      <c r="M68" s="75" t="s">
        <v>61</v>
      </c>
    </row>
    <row r="70" spans="1:13">
      <c r="A70" s="97"/>
    </row>
    <row r="73" spans="1:13">
      <c r="A73" s="98"/>
      <c r="H73" s="82"/>
      <c r="I73" s="82"/>
    </row>
    <row r="75" spans="1:13">
      <c r="A75" s="81" t="s">
        <v>164</v>
      </c>
    </row>
    <row r="76" spans="1:13">
      <c r="A76" s="81" t="s">
        <v>165</v>
      </c>
    </row>
  </sheetData>
  <mergeCells count="2">
    <mergeCell ref="B1:G1"/>
    <mergeCell ref="H1:M1"/>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General note</vt:lpstr>
      <vt:lpstr>InH-eMBB (4GHz, NR DDDSU)</vt:lpstr>
      <vt:lpstr>InH-eMBB (4GHz, NR DSUUD)</vt:lpstr>
      <vt:lpstr>DU-eMBB (4GHz, NR DDDSU)</vt:lpstr>
      <vt:lpstr>DU-eMBB (4GHz, NR DSUUD)</vt:lpstr>
      <vt:lpstr>Rural-eMBB (700MHz, NR FDD)</vt:lpstr>
      <vt:lpstr>Rural-eMBB (700 MHz, NR DSUUD)</vt:lpstr>
      <vt:lpstr>Rural-eMBB (700MHz, LTE FDD)</vt:lpstr>
      <vt:lpstr>UMa-mMTC (NB-IoT)</vt:lpstr>
      <vt:lpstr>UMa-mMTC (eMTC)</vt:lpstr>
      <vt:lpstr>UMa-URLLC (700MHz NR)</vt:lpstr>
      <vt:lpstr>MaxN_RB</vt:lpstr>
      <vt:lpstr>'InH-eMBB (4GHz, NR DDDSU)'!OLE_LINK1</vt:lpstr>
    </vt:vector>
  </TitlesOfParts>
  <Company>Huawei Technologies Co.,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dingyang</dc:creator>
  <cp:lastModifiedBy>SONG</cp:lastModifiedBy>
  <cp:lastPrinted>2006-01-19T03:50:08Z</cp:lastPrinted>
  <dcterms:created xsi:type="dcterms:W3CDTF">2003-11-11T03:59:45Z</dcterms:created>
  <dcterms:modified xsi:type="dcterms:W3CDTF">2018-10-03T07:04:09Z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
SpQXKoG3kDrHxbtwjjI2bTOdUwIkYr/W5/+ylhwSIPBkBSDq6AQyWQGUv+jLThg3nrFatU8D
RxtLhhYzX+BOVOjRyKSUGFoqvbhe2mN9kaXYBU4xRuexYD0ZYCcYqGJrDgubNmnPhNmEYf4a
+x3adntaFX6SA9Biln0bE</vt:lpwstr>
  </property>
  <property fmtid="{D5CDD505-2E9C-101B-9397-08002B2CF9AE}" pid="3" name="_ms_pID_7253431">
    <vt:lpwstr>D8O3VmwI+Z+PlISGjFExb4WrgeTq4XPkfm0hCre81xp56PEebhl
XYYXFD11XlLvvike5JRQtmqtTp4NshrAT8MsoZP7ICMzMUYFkHT930bCAaaAhcJX/MpzdKQQ
4Hyq5K+q74HwhApKetItk1FOE2x06JQRrdmUyTTBnHF0jbdXNYG1uTWPm9eJFNsKgN98Nr25
s3UqtHQxxlK3pQexaSvmzHwV41HRA6xXiARy3iGtqp</vt:lpwstr>
  </property>
  <property fmtid="{D5CDD505-2E9C-101B-9397-08002B2CF9AE}" pid="4" name="_ms_pID_7253432">
    <vt:lpwstr>oNeTSWQYm0V5/MXRxHPt5ydn4yE2/u
OQM/XRq8IseLeSeO9Eh/26gAvz5+qhierc1T8lvMZuPaU36C/9G9PuxqRsVgLFiPPxNFudRA
AGuFqScwKMQtVeOuWcxq2qiNRCNBrGLp0A0L1Uba+TxrBvw/TowZdC4rQ07UpqVflcfepn32
QtuRfZiZW20W7j/yyk5RsN1Kd44oVQTQuz4kuVKSNALeLaLc5hVkRqeL3TvVNn/</vt:lpwstr>
  </property>
  <property fmtid="{D5CDD505-2E9C-101B-9397-08002B2CF9AE}" pid="5" name="_ms_pID_7253433">
    <vt:lpwstr>OZ31sW5W4
1++nvbQyLnNmMOnfXeqLBhOdakc=</vt:lpwstr>
  </property>
  <property fmtid="{D5CDD505-2E9C-101B-9397-08002B2CF9AE}" pid="6" name="_2015_ms_pID_725343">
    <vt:lpwstr>(3)sRsxJ0xcVG3M8LVy+Dv23NSIm9i6AHGvYx64Io5af7s5GOuOsHcfnC6H8BGScQP3uIs5z4md
IVsAnHEvy8bRaJhXCz6BhUJ/6SBFrsgy5J6ht+JIp0wCwIvyNqxjwpqZOPBGv/TEWVvlLPcQ
CkpAeEaeTCGqpnuYd+JgQ5Fujjo9sWWXqVAfwEG3JiCyJ/3Yze18yc0HXhHeV8oTcVpInX7w
mN3HzjUMMu93HYAf+y</vt:lpwstr>
  </property>
  <property fmtid="{D5CDD505-2E9C-101B-9397-08002B2CF9AE}" pid="7" name="_2015_ms_pID_7253431">
    <vt:lpwstr>tLwjqy1oXit0sq9NNdZyY1g529CCmP4CsPXU5oYXJ6cnJBOcbhRp77
fPhgzt1alNWeqjxfC9yecuCSThFsWQ42FMEFGXO/nSr0r0HrRdH3UihWQdDuISs2TkjWtAhK
WNiulFRWhrpmMm9SD8IXqTDbNaJG1dE52WyJB2p5+W2iyqGAZMRZCFOKMKC7tUGj+NJb+qGD
V0wsn/FB2bDs9FwTqjLapsmDa9Rp0Dpqa1Oo</vt:lpwstr>
  </property>
  <property fmtid="{D5CDD505-2E9C-101B-9397-08002B2CF9AE}" pid="8" name="_2015_ms_pID_7253432">
    <vt:lpwstr>d9Y571Wf0OIAWqVFgPX+dMo=</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1536763398</vt:lpwstr>
  </property>
</Properties>
</file>