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M:\BRSGD\TEXT2018\SG05\WP5D\1000\"/>
    </mc:Choice>
  </mc:AlternateContent>
  <bookViews>
    <workbookView xWindow="0" yWindow="0" windowWidth="24000" windowHeight="14235" tabRatio="889" activeTab="7"/>
  </bookViews>
  <sheets>
    <sheet name="Revision comments" sheetId="1" r:id="rId1"/>
    <sheet name="DL_Para_4GHz" sheetId="2" r:id="rId2"/>
    <sheet name="UL_Para_4GHz" sheetId="3" r:id="rId3"/>
    <sheet name="DL_OH_Para" sheetId="6" r:id="rId4"/>
    <sheet name="UL_OH_Para" sheetId="7" r:id="rId5"/>
    <sheet name="DL_OH" sheetId="10" r:id="rId6"/>
    <sheet name="UL_OH" sheetId="11" r:id="rId7"/>
    <sheet name="Results_4GHz" sheetId="8" r:id="rId8"/>
    <sheet name="Results_4GHz_LargerBW" sheetId="16" r:id="rId9"/>
  </sheets>
  <calcPr calcId="162913"/>
</workbook>
</file>

<file path=xl/calcChain.xml><?xml version="1.0" encoding="utf-8"?>
<calcChain xmlns="http://schemas.openxmlformats.org/spreadsheetml/2006/main">
  <c r="L31" i="11" l="1"/>
  <c r="G31" i="11"/>
  <c r="O31" i="11" s="1"/>
  <c r="F31" i="11"/>
  <c r="E31" i="11"/>
  <c r="D31" i="11"/>
  <c r="L10" i="11"/>
  <c r="O10" i="11" s="1"/>
  <c r="F10" i="11"/>
  <c r="E10" i="11"/>
  <c r="D10" i="11"/>
  <c r="M10" i="11" l="1"/>
  <c r="M31" i="11"/>
  <c r="N31" i="11" s="1"/>
  <c r="P31" i="11"/>
  <c r="Q31" i="11" s="1"/>
  <c r="R31" i="11" s="1"/>
  <c r="N10" i="11"/>
  <c r="P10" i="11"/>
  <c r="Q10" i="11" s="1"/>
  <c r="K109" i="8"/>
  <c r="K108" i="8"/>
  <c r="K103" i="8"/>
  <c r="K102" i="8"/>
  <c r="K81" i="8"/>
  <c r="K80" i="8"/>
  <c r="K78" i="8"/>
  <c r="K77" i="8"/>
  <c r="R10" i="11" l="1"/>
  <c r="R152" i="16"/>
  <c r="Q152" i="16"/>
  <c r="P152" i="16"/>
  <c r="R149" i="16"/>
  <c r="Q149" i="16"/>
  <c r="P149" i="16"/>
  <c r="R224" i="16"/>
  <c r="Q224" i="16"/>
  <c r="P224" i="16"/>
  <c r="R223" i="16"/>
  <c r="Q223" i="16"/>
  <c r="P223" i="16"/>
  <c r="R218" i="16"/>
  <c r="Q218" i="16"/>
  <c r="P218" i="16"/>
  <c r="R217" i="16"/>
  <c r="Q217" i="16"/>
  <c r="P217" i="16"/>
  <c r="AD215" i="16"/>
  <c r="AC215" i="16"/>
  <c r="AB215" i="16"/>
  <c r="R215" i="16"/>
  <c r="Q215" i="16"/>
  <c r="P215" i="16"/>
  <c r="AD214" i="16"/>
  <c r="AC214" i="16"/>
  <c r="AB214" i="16"/>
  <c r="R214" i="16"/>
  <c r="Q214" i="16"/>
  <c r="P214" i="16"/>
  <c r="AD212" i="16"/>
  <c r="AC212" i="16"/>
  <c r="AB212" i="16"/>
  <c r="R212" i="16"/>
  <c r="Q212" i="16"/>
  <c r="P212" i="16"/>
  <c r="AD211" i="16"/>
  <c r="AC211" i="16"/>
  <c r="AB211" i="16"/>
  <c r="R211" i="16"/>
  <c r="Q211" i="16"/>
  <c r="P211" i="16"/>
  <c r="AD209" i="16"/>
  <c r="AC209" i="16"/>
  <c r="AB209" i="16"/>
  <c r="R209" i="16"/>
  <c r="Q209" i="16"/>
  <c r="P209" i="16"/>
  <c r="AD208" i="16"/>
  <c r="AC208" i="16"/>
  <c r="AB208" i="16"/>
  <c r="R208" i="16"/>
  <c r="Q208" i="16"/>
  <c r="P208" i="16"/>
  <c r="AD206" i="16"/>
  <c r="AC206" i="16"/>
  <c r="AB206" i="16"/>
  <c r="R206" i="16"/>
  <c r="Q206" i="16"/>
  <c r="P206" i="16"/>
  <c r="AD205" i="16"/>
  <c r="AC205" i="16"/>
  <c r="AB205" i="16"/>
  <c r="R205" i="16"/>
  <c r="Q205" i="16"/>
  <c r="P205" i="16"/>
  <c r="AD203" i="16"/>
  <c r="AC203" i="16"/>
  <c r="AB203" i="16"/>
  <c r="R203" i="16"/>
  <c r="Q203" i="16"/>
  <c r="P203" i="16"/>
  <c r="AD202" i="16"/>
  <c r="AC202" i="16"/>
  <c r="AB202" i="16"/>
  <c r="R202" i="16"/>
  <c r="Q202" i="16"/>
  <c r="P202" i="16"/>
  <c r="AD200" i="16"/>
  <c r="AC200" i="16"/>
  <c r="AB200" i="16"/>
  <c r="AD199" i="16"/>
  <c r="AC199" i="16"/>
  <c r="AB199" i="16"/>
  <c r="AD178" i="16"/>
  <c r="AC178" i="16"/>
  <c r="AB178" i="16"/>
  <c r="AD177" i="16"/>
  <c r="AC177" i="16"/>
  <c r="AB177" i="16"/>
  <c r="R175" i="16"/>
  <c r="Q175" i="16"/>
  <c r="P175" i="16"/>
  <c r="R174" i="16"/>
  <c r="Q174" i="16"/>
  <c r="P174" i="16"/>
  <c r="AD172" i="16"/>
  <c r="AC172" i="16"/>
  <c r="AB172" i="16"/>
  <c r="R172" i="16"/>
  <c r="Q172" i="16"/>
  <c r="P172" i="16"/>
  <c r="AD171" i="16"/>
  <c r="AC171" i="16"/>
  <c r="AB171" i="16"/>
  <c r="R171" i="16"/>
  <c r="Q171" i="16"/>
  <c r="P171" i="16"/>
  <c r="AD169" i="16"/>
  <c r="AC169" i="16"/>
  <c r="AB169" i="16"/>
  <c r="AD168" i="16"/>
  <c r="AC168" i="16"/>
  <c r="AB168" i="16"/>
  <c r="AD166" i="16"/>
  <c r="AC166" i="16"/>
  <c r="AB166" i="16"/>
  <c r="AD165" i="16"/>
  <c r="AC165" i="16"/>
  <c r="AB165" i="16"/>
  <c r="R151" i="16"/>
  <c r="Q151" i="16"/>
  <c r="P151" i="16"/>
  <c r="R150" i="16"/>
  <c r="Q150" i="16"/>
  <c r="P150" i="16"/>
  <c r="R148" i="16"/>
  <c r="Q148" i="16"/>
  <c r="P148" i="16"/>
  <c r="R147" i="16"/>
  <c r="Q147" i="16"/>
  <c r="P147" i="16"/>
  <c r="AD146" i="16"/>
  <c r="AC146" i="16"/>
  <c r="AB146" i="16"/>
  <c r="AD145" i="16"/>
  <c r="AC145" i="16"/>
  <c r="AB145" i="16"/>
  <c r="AD144" i="16"/>
  <c r="AC144" i="16"/>
  <c r="AB144" i="16"/>
  <c r="AD143" i="16"/>
  <c r="AC143" i="16"/>
  <c r="AB143" i="16"/>
  <c r="AD141" i="16"/>
  <c r="AC141" i="16"/>
  <c r="AB141" i="16"/>
  <c r="AD140" i="16"/>
  <c r="AC140" i="16"/>
  <c r="AB140" i="16"/>
  <c r="AD139" i="16"/>
  <c r="AC139" i="16"/>
  <c r="AB139" i="16"/>
  <c r="AD138" i="16"/>
  <c r="AC138" i="16"/>
  <c r="AB138" i="16"/>
  <c r="AD137" i="16"/>
  <c r="AC137" i="16"/>
  <c r="AB137" i="16"/>
  <c r="AD136" i="16"/>
  <c r="AC136" i="16"/>
  <c r="AB136" i="16"/>
  <c r="AD134" i="16"/>
  <c r="AC134" i="16"/>
  <c r="AB134" i="16"/>
  <c r="AD133" i="16"/>
  <c r="AC133" i="16"/>
  <c r="AB133" i="16"/>
  <c r="R133" i="16"/>
  <c r="Q133" i="16"/>
  <c r="P133" i="16"/>
  <c r="AD132" i="16"/>
  <c r="AC132" i="16"/>
  <c r="AB132" i="16"/>
  <c r="AD131" i="16"/>
  <c r="AC131" i="16"/>
  <c r="AB131" i="16"/>
  <c r="R131" i="16"/>
  <c r="Q131" i="16"/>
  <c r="P131" i="16"/>
  <c r="AD127" i="16"/>
  <c r="AC127" i="16"/>
  <c r="AB127" i="16"/>
  <c r="R127" i="16"/>
  <c r="Q127" i="16"/>
  <c r="P127" i="16"/>
  <c r="AD124" i="16"/>
  <c r="AC124" i="16"/>
  <c r="AB124" i="16"/>
  <c r="R124" i="16"/>
  <c r="Q124" i="16"/>
  <c r="P124" i="16"/>
  <c r="AD114" i="16"/>
  <c r="AC114" i="16"/>
  <c r="AB114" i="16"/>
  <c r="R114" i="16"/>
  <c r="Q114" i="16"/>
  <c r="P114" i="16"/>
  <c r="AD112" i="16"/>
  <c r="AC112" i="16"/>
  <c r="AB112" i="16"/>
  <c r="R112" i="16"/>
  <c r="Q112" i="16"/>
  <c r="P112" i="16"/>
  <c r="AD109" i="16"/>
  <c r="AC109" i="16"/>
  <c r="AB109" i="16"/>
  <c r="R109" i="16"/>
  <c r="Q109" i="16"/>
  <c r="P109" i="16"/>
  <c r="AD107" i="16"/>
  <c r="AC107" i="16"/>
  <c r="AB107" i="16"/>
  <c r="R107" i="16"/>
  <c r="Q107" i="16"/>
  <c r="P107" i="16"/>
  <c r="AD103" i="16"/>
  <c r="AC103" i="16"/>
  <c r="AB103" i="16"/>
  <c r="R103" i="16"/>
  <c r="Q103" i="16"/>
  <c r="P103" i="16"/>
  <c r="AD100" i="16"/>
  <c r="AC100" i="16"/>
  <c r="AB100" i="16"/>
  <c r="R100" i="16"/>
  <c r="Q100" i="16"/>
  <c r="P100" i="16"/>
  <c r="AD92" i="16"/>
  <c r="AC92" i="16"/>
  <c r="AB92" i="16"/>
  <c r="R92" i="16"/>
  <c r="Q92" i="16"/>
  <c r="P92" i="16"/>
  <c r="AD90" i="16"/>
  <c r="AC90" i="16"/>
  <c r="AB90" i="16"/>
  <c r="R90" i="16"/>
  <c r="Q90" i="16"/>
  <c r="P90" i="16"/>
  <c r="AD88" i="16"/>
  <c r="AC88" i="16"/>
  <c r="AB88" i="16"/>
  <c r="AD87" i="16"/>
  <c r="AC87" i="16"/>
  <c r="AB87" i="16"/>
  <c r="AD86" i="16"/>
  <c r="AC86" i="16"/>
  <c r="AB86" i="16"/>
  <c r="AD85" i="16"/>
  <c r="AC85" i="16"/>
  <c r="AB85" i="16"/>
  <c r="AD57" i="16"/>
  <c r="AC57" i="16"/>
  <c r="AB57" i="16"/>
  <c r="AD56" i="16"/>
  <c r="AC56" i="16"/>
  <c r="AB56" i="16"/>
  <c r="AD55" i="16"/>
  <c r="AC55" i="16"/>
  <c r="AB55" i="16"/>
  <c r="R55" i="16"/>
  <c r="Q55" i="16"/>
  <c r="P55" i="16"/>
  <c r="AD54" i="16"/>
  <c r="AC54" i="16"/>
  <c r="AB54" i="16"/>
  <c r="AD53" i="16"/>
  <c r="AC53" i="16"/>
  <c r="AB53" i="16"/>
  <c r="AD52" i="16"/>
  <c r="AC52" i="16"/>
  <c r="AB52" i="16"/>
  <c r="R52" i="16"/>
  <c r="Q52" i="16"/>
  <c r="P52" i="16"/>
  <c r="AD50" i="16"/>
  <c r="AC50" i="16"/>
  <c r="AB50" i="16"/>
  <c r="R50" i="16"/>
  <c r="Q50" i="16"/>
  <c r="P50" i="16"/>
  <c r="AD49" i="16"/>
  <c r="AC49" i="16"/>
  <c r="AB49" i="16"/>
  <c r="R49" i="16"/>
  <c r="Q49" i="16"/>
  <c r="P49" i="16"/>
  <c r="AD48" i="16"/>
  <c r="AC48" i="16"/>
  <c r="AB48" i="16"/>
  <c r="R48" i="16"/>
  <c r="Q48" i="16"/>
  <c r="P48" i="16"/>
  <c r="AD47" i="16"/>
  <c r="AC47" i="16"/>
  <c r="AB47" i="16"/>
  <c r="R47" i="16"/>
  <c r="Q47" i="16"/>
  <c r="P47" i="16"/>
  <c r="AD46" i="16"/>
  <c r="AC46" i="16"/>
  <c r="AB46" i="16"/>
  <c r="R46" i="16"/>
  <c r="Q46" i="16"/>
  <c r="P46" i="16"/>
  <c r="AD45" i="16"/>
  <c r="AC45" i="16"/>
  <c r="AB45" i="16"/>
  <c r="R45" i="16"/>
  <c r="Q45" i="16"/>
  <c r="P45" i="16"/>
  <c r="AD43" i="16"/>
  <c r="AC43" i="16"/>
  <c r="AB43" i="16"/>
  <c r="AD42" i="16"/>
  <c r="AC42" i="16"/>
  <c r="AB42" i="16"/>
  <c r="AD41" i="16"/>
  <c r="AC41" i="16"/>
  <c r="AB41" i="16"/>
  <c r="R41" i="16"/>
  <c r="Q41" i="16"/>
  <c r="P41" i="16"/>
  <c r="AD40" i="16"/>
  <c r="AC40" i="16"/>
  <c r="AB40" i="16"/>
  <c r="AD39" i="16"/>
  <c r="AC39" i="16"/>
  <c r="AB39" i="16"/>
  <c r="AD38" i="16"/>
  <c r="AC38" i="16"/>
  <c r="AB38" i="16"/>
  <c r="R38" i="16"/>
  <c r="Q38" i="16"/>
  <c r="P38" i="16"/>
  <c r="R36" i="16"/>
  <c r="Q36" i="16"/>
  <c r="P36" i="16"/>
  <c r="R35" i="16"/>
  <c r="Q35" i="16"/>
  <c r="P35" i="16"/>
  <c r="AD34" i="16"/>
  <c r="AC34" i="16"/>
  <c r="AB34" i="16"/>
  <c r="R34" i="16"/>
  <c r="Q34" i="16"/>
  <c r="P34" i="16"/>
  <c r="R33" i="16"/>
  <c r="Q33" i="16"/>
  <c r="P33" i="16"/>
  <c r="R32" i="16"/>
  <c r="Q32" i="16"/>
  <c r="P32" i="16"/>
  <c r="AD31" i="16"/>
  <c r="AC31" i="16"/>
  <c r="AB31" i="16"/>
  <c r="R31" i="16"/>
  <c r="Q31" i="16"/>
  <c r="P31" i="16"/>
  <c r="AD27" i="16"/>
  <c r="AC27" i="16"/>
  <c r="AB27" i="16"/>
  <c r="R27" i="16"/>
  <c r="Q27" i="16"/>
  <c r="P27" i="16"/>
  <c r="AD24" i="16"/>
  <c r="AC24" i="16"/>
  <c r="AB24" i="16"/>
  <c r="R24" i="16"/>
  <c r="Q24" i="16"/>
  <c r="P24" i="16"/>
  <c r="AD22" i="16"/>
  <c r="AC22" i="16"/>
  <c r="AB22" i="16"/>
  <c r="AD21" i="16"/>
  <c r="AC21" i="16"/>
  <c r="AB21" i="16"/>
  <c r="AD20" i="16"/>
  <c r="AC20" i="16"/>
  <c r="AB20" i="16"/>
  <c r="AD19" i="16"/>
  <c r="AC19" i="16"/>
  <c r="AB19" i="16"/>
  <c r="AD18" i="16"/>
  <c r="AC18" i="16"/>
  <c r="AB18" i="16"/>
  <c r="AD17" i="16"/>
  <c r="AC17" i="16"/>
  <c r="AB17" i="16"/>
  <c r="AD15" i="16"/>
  <c r="AC15" i="16"/>
  <c r="AB15" i="16"/>
  <c r="AD14" i="16"/>
  <c r="AC14" i="16"/>
  <c r="AB14" i="16"/>
  <c r="AD13" i="16"/>
  <c r="AC13" i="16"/>
  <c r="AB13" i="16"/>
  <c r="R13" i="16"/>
  <c r="Q13" i="16"/>
  <c r="P13" i="16"/>
  <c r="AD12" i="16"/>
  <c r="AC12" i="16"/>
  <c r="AB12" i="16"/>
  <c r="AD11" i="16"/>
  <c r="AC11" i="16"/>
  <c r="AB11" i="16"/>
  <c r="AD10" i="16"/>
  <c r="AC10" i="16"/>
  <c r="AB10" i="16"/>
  <c r="R10" i="16"/>
  <c r="Q10" i="16"/>
  <c r="P10" i="16"/>
  <c r="AD6" i="16"/>
  <c r="AC6" i="16"/>
  <c r="AB6" i="16"/>
  <c r="AD3" i="16"/>
  <c r="AC3" i="16"/>
  <c r="AB3" i="16"/>
  <c r="Y1" i="16"/>
  <c r="X1" i="16"/>
  <c r="V1" i="16"/>
  <c r="Q145" i="8"/>
  <c r="P145" i="8"/>
  <c r="O145" i="8"/>
  <c r="Q144" i="8"/>
  <c r="P144" i="8"/>
  <c r="O144" i="8"/>
  <c r="Q139" i="8"/>
  <c r="P139" i="8"/>
  <c r="O139" i="8"/>
  <c r="Q138" i="8"/>
  <c r="P138" i="8"/>
  <c r="O138" i="8"/>
  <c r="AC136" i="8"/>
  <c r="AB136" i="8"/>
  <c r="AA136" i="8"/>
  <c r="AC135" i="8"/>
  <c r="AB135" i="8"/>
  <c r="AA135" i="8"/>
  <c r="AC133" i="8"/>
  <c r="AB133" i="8"/>
  <c r="AA133" i="8"/>
  <c r="Q133" i="8"/>
  <c r="P133" i="8"/>
  <c r="O133" i="8"/>
  <c r="AC132" i="8"/>
  <c r="AB132" i="8"/>
  <c r="AA132" i="8"/>
  <c r="Q132" i="8"/>
  <c r="P132" i="8"/>
  <c r="O132" i="8"/>
  <c r="AC130" i="8"/>
  <c r="AB130" i="8"/>
  <c r="AA130" i="8"/>
  <c r="Q130" i="8"/>
  <c r="P130" i="8"/>
  <c r="O130" i="8"/>
  <c r="AC129" i="8"/>
  <c r="AB129" i="8"/>
  <c r="AA129" i="8"/>
  <c r="Q129" i="8"/>
  <c r="P129" i="8"/>
  <c r="O129" i="8"/>
  <c r="AC127" i="8"/>
  <c r="AB127" i="8"/>
  <c r="AA127" i="8"/>
  <c r="Q127" i="8"/>
  <c r="P127" i="8"/>
  <c r="O127" i="8"/>
  <c r="AC126" i="8"/>
  <c r="AB126" i="8"/>
  <c r="AA126" i="8"/>
  <c r="Q126" i="8"/>
  <c r="P126" i="8"/>
  <c r="O126" i="8"/>
  <c r="AC124" i="8"/>
  <c r="AB124" i="8"/>
  <c r="AA124" i="8"/>
  <c r="Q124" i="8"/>
  <c r="P124" i="8"/>
  <c r="O124" i="8"/>
  <c r="AC123" i="8"/>
  <c r="AB123" i="8"/>
  <c r="AA123" i="8"/>
  <c r="Q123" i="8"/>
  <c r="P123" i="8"/>
  <c r="O123" i="8"/>
  <c r="AC121" i="8"/>
  <c r="AB121" i="8"/>
  <c r="AA121" i="8"/>
  <c r="AC120" i="8"/>
  <c r="AB120" i="8"/>
  <c r="AA120" i="8"/>
  <c r="AC99" i="8"/>
  <c r="AB99" i="8"/>
  <c r="AA99" i="8"/>
  <c r="AC98" i="8"/>
  <c r="AB98" i="8"/>
  <c r="AA98" i="8"/>
  <c r="Q96" i="8"/>
  <c r="P96" i="8"/>
  <c r="O96" i="8"/>
  <c r="Q95" i="8"/>
  <c r="P95" i="8"/>
  <c r="O95" i="8"/>
  <c r="AC93" i="8"/>
  <c r="AB93" i="8"/>
  <c r="AA93" i="8"/>
  <c r="Q93" i="8"/>
  <c r="P93" i="8"/>
  <c r="O93" i="8"/>
  <c r="AC92" i="8"/>
  <c r="AB92" i="8"/>
  <c r="AA92" i="8"/>
  <c r="Q92" i="8"/>
  <c r="P92" i="8"/>
  <c r="O92" i="8"/>
  <c r="AC90" i="8"/>
  <c r="AB90" i="8"/>
  <c r="AA90" i="8"/>
  <c r="AC89" i="8"/>
  <c r="AB89" i="8"/>
  <c r="AA89" i="8"/>
  <c r="AC87" i="8"/>
  <c r="AB87" i="8"/>
  <c r="AA87" i="8"/>
  <c r="AC86" i="8"/>
  <c r="AB86" i="8"/>
  <c r="AA86" i="8"/>
  <c r="Q73" i="8"/>
  <c r="P73" i="8"/>
  <c r="O73" i="8"/>
  <c r="Q72" i="8"/>
  <c r="P72" i="8"/>
  <c r="O72" i="8"/>
  <c r="AC71" i="8"/>
  <c r="AB71" i="8"/>
  <c r="AA71" i="8"/>
  <c r="AC70" i="8"/>
  <c r="AB70" i="8"/>
  <c r="AA70" i="8"/>
  <c r="AC68" i="8"/>
  <c r="AB68" i="8"/>
  <c r="AA68" i="8"/>
  <c r="AC67" i="8"/>
  <c r="AB67" i="8"/>
  <c r="AA67" i="8"/>
  <c r="AC65" i="8"/>
  <c r="AB65" i="8"/>
  <c r="AA65" i="8"/>
  <c r="AC64" i="8"/>
  <c r="AB64" i="8"/>
  <c r="AA64" i="8"/>
  <c r="AC62" i="8"/>
  <c r="AB62" i="8"/>
  <c r="AA62" i="8"/>
  <c r="Q62" i="8"/>
  <c r="P62" i="8"/>
  <c r="O62" i="8"/>
  <c r="AC61" i="8"/>
  <c r="AB61" i="8"/>
  <c r="AA61" i="8"/>
  <c r="Q61" i="8"/>
  <c r="P61" i="8"/>
  <c r="O61" i="8"/>
  <c r="AC56" i="8"/>
  <c r="AB56" i="8"/>
  <c r="AA56" i="8"/>
  <c r="Q56" i="8"/>
  <c r="P56" i="8"/>
  <c r="O56" i="8"/>
  <c r="AC55" i="8"/>
  <c r="AB55" i="8"/>
  <c r="AA55" i="8"/>
  <c r="Q55" i="8"/>
  <c r="P55" i="8"/>
  <c r="O55" i="8"/>
  <c r="AC53" i="8"/>
  <c r="AB53" i="8"/>
  <c r="AA53" i="8"/>
  <c r="Q53" i="8"/>
  <c r="P53" i="8"/>
  <c r="O53" i="8"/>
  <c r="AC52" i="8"/>
  <c r="AB52" i="8"/>
  <c r="AA52" i="8"/>
  <c r="Q52" i="8"/>
  <c r="P52" i="8"/>
  <c r="O52" i="8"/>
  <c r="AC50" i="8"/>
  <c r="AB50" i="8"/>
  <c r="AA50" i="8"/>
  <c r="Q50" i="8"/>
  <c r="P50" i="8"/>
  <c r="O50" i="8"/>
  <c r="AC49" i="8"/>
  <c r="AB49" i="8"/>
  <c r="AA49" i="8"/>
  <c r="Q49" i="8"/>
  <c r="P49" i="8"/>
  <c r="O49" i="8"/>
  <c r="AC44" i="8"/>
  <c r="AB44" i="8"/>
  <c r="AA44" i="8"/>
  <c r="Q44" i="8"/>
  <c r="P44" i="8"/>
  <c r="O44" i="8"/>
  <c r="AC43" i="8"/>
  <c r="AB43" i="8"/>
  <c r="AA43" i="8"/>
  <c r="Q43" i="8"/>
  <c r="P43" i="8"/>
  <c r="O43" i="8"/>
  <c r="AC41" i="8"/>
  <c r="AB41" i="8"/>
  <c r="AA41" i="8"/>
  <c r="AC40" i="8"/>
  <c r="AB40" i="8"/>
  <c r="AA40" i="8"/>
  <c r="AC25" i="8"/>
  <c r="AB25" i="8"/>
  <c r="AA25" i="8"/>
  <c r="Q25" i="8"/>
  <c r="P25" i="8"/>
  <c r="O25" i="8"/>
  <c r="AC24" i="8"/>
  <c r="AB24" i="8"/>
  <c r="AA24" i="8"/>
  <c r="Q24" i="8"/>
  <c r="P24" i="8"/>
  <c r="O24" i="8"/>
  <c r="AC22" i="8"/>
  <c r="AB22" i="8"/>
  <c r="AA22" i="8"/>
  <c r="Q22" i="8"/>
  <c r="P22" i="8"/>
  <c r="O22" i="8"/>
  <c r="AC21" i="8"/>
  <c r="AB21" i="8"/>
  <c r="AA21" i="8"/>
  <c r="Q21" i="8"/>
  <c r="P21" i="8"/>
  <c r="O21" i="8"/>
  <c r="AC19" i="8"/>
  <c r="AB19" i="8"/>
  <c r="AA19" i="8"/>
  <c r="Q19" i="8"/>
  <c r="P19" i="8"/>
  <c r="O19" i="8"/>
  <c r="AC18" i="8"/>
  <c r="AB18" i="8"/>
  <c r="AA18" i="8"/>
  <c r="Q18" i="8"/>
  <c r="P18" i="8"/>
  <c r="O18" i="8"/>
  <c r="AC16" i="8"/>
  <c r="AB16" i="8"/>
  <c r="AA16" i="8"/>
  <c r="Q16" i="8"/>
  <c r="P16" i="8"/>
  <c r="O16" i="8"/>
  <c r="AC15" i="8"/>
  <c r="AB15" i="8"/>
  <c r="AA15" i="8"/>
  <c r="Q15" i="8"/>
  <c r="P15" i="8"/>
  <c r="O15" i="8"/>
  <c r="AC13" i="8"/>
  <c r="AB13" i="8"/>
  <c r="AA13" i="8"/>
  <c r="Q13" i="8"/>
  <c r="P13" i="8"/>
  <c r="O13" i="8"/>
  <c r="AC12" i="8"/>
  <c r="AB12" i="8"/>
  <c r="AA12" i="8"/>
  <c r="Q12" i="8"/>
  <c r="P12" i="8"/>
  <c r="O12" i="8"/>
  <c r="AC10" i="8"/>
  <c r="AB10" i="8"/>
  <c r="AA10" i="8"/>
  <c r="AC9" i="8"/>
  <c r="AB9" i="8"/>
  <c r="AA9" i="8"/>
  <c r="AC7" i="8"/>
  <c r="AB7" i="8"/>
  <c r="AA7" i="8"/>
  <c r="Q7" i="8"/>
  <c r="P7" i="8"/>
  <c r="O7" i="8"/>
  <c r="AC6" i="8"/>
  <c r="AB6" i="8"/>
  <c r="AA6" i="8"/>
  <c r="Q6" i="8"/>
  <c r="P6" i="8"/>
  <c r="O6" i="8"/>
  <c r="AC4" i="8"/>
  <c r="AB4" i="8"/>
  <c r="AA4" i="8"/>
  <c r="AC3" i="8"/>
  <c r="AB3" i="8"/>
  <c r="AA3" i="8"/>
  <c r="X1" i="8"/>
  <c r="W1" i="8"/>
  <c r="U1" i="8"/>
  <c r="L30" i="11"/>
  <c r="G30" i="11"/>
  <c r="F30" i="11"/>
  <c r="E30" i="11"/>
  <c r="D30" i="11"/>
  <c r="L29" i="11"/>
  <c r="G29" i="11"/>
  <c r="F29" i="11"/>
  <c r="E29" i="11"/>
  <c r="D29" i="11"/>
  <c r="O28" i="11"/>
  <c r="G28" i="11"/>
  <c r="F28" i="11"/>
  <c r="E28" i="11"/>
  <c r="D28" i="11"/>
  <c r="L27" i="11"/>
  <c r="G27" i="11"/>
  <c r="F27" i="11"/>
  <c r="E27" i="11"/>
  <c r="D27" i="11"/>
  <c r="L20" i="11"/>
  <c r="G20" i="11"/>
  <c r="F20" i="11"/>
  <c r="E20" i="11"/>
  <c r="D20" i="11"/>
  <c r="O19" i="11"/>
  <c r="G19" i="11"/>
  <c r="F19" i="11"/>
  <c r="E19" i="11"/>
  <c r="D19" i="11"/>
  <c r="L9" i="11"/>
  <c r="O9" i="11" s="1"/>
  <c r="F9" i="11"/>
  <c r="E9" i="11"/>
  <c r="D9" i="11"/>
  <c r="L8" i="11"/>
  <c r="F8" i="11"/>
  <c r="E8" i="11"/>
  <c r="D8" i="11"/>
  <c r="P42" i="10"/>
  <c r="X42" i="10" s="1"/>
  <c r="M42" i="10"/>
  <c r="K42" i="10"/>
  <c r="J42" i="10"/>
  <c r="I42" i="10"/>
  <c r="H42" i="10"/>
  <c r="G42" i="10"/>
  <c r="F42" i="10"/>
  <c r="E42" i="10"/>
  <c r="P41" i="10"/>
  <c r="X41" i="10" s="1"/>
  <c r="M41" i="10"/>
  <c r="K41" i="10"/>
  <c r="J41" i="10"/>
  <c r="I41" i="10"/>
  <c r="H41" i="10"/>
  <c r="G41" i="10"/>
  <c r="F41" i="10"/>
  <c r="E41" i="10"/>
  <c r="P40" i="10"/>
  <c r="X40" i="10" s="1"/>
  <c r="M40" i="10"/>
  <c r="K40" i="10"/>
  <c r="J40" i="10"/>
  <c r="I40" i="10"/>
  <c r="H40" i="10"/>
  <c r="G40" i="10"/>
  <c r="F40" i="10"/>
  <c r="P39" i="10"/>
  <c r="T39" i="10" s="1"/>
  <c r="N39" i="10"/>
  <c r="M39" i="10"/>
  <c r="K39" i="10"/>
  <c r="P38" i="10"/>
  <c r="T38" i="10" s="1"/>
  <c r="M38" i="10"/>
  <c r="K38" i="10"/>
  <c r="J38" i="10"/>
  <c r="I38" i="10"/>
  <c r="H38" i="10"/>
  <c r="G38" i="10"/>
  <c r="F38" i="10"/>
  <c r="E38" i="10"/>
  <c r="P37" i="10"/>
  <c r="T37" i="10" s="1"/>
  <c r="M37" i="10"/>
  <c r="K37" i="10"/>
  <c r="J37" i="10"/>
  <c r="I37" i="10"/>
  <c r="H37" i="10"/>
  <c r="G37" i="10"/>
  <c r="F37" i="10"/>
  <c r="P36" i="10"/>
  <c r="X36" i="10" s="1"/>
  <c r="M36" i="10"/>
  <c r="K36" i="10"/>
  <c r="J36" i="10"/>
  <c r="I36" i="10"/>
  <c r="H36" i="10"/>
  <c r="G36" i="10"/>
  <c r="F36" i="10"/>
  <c r="E36" i="10"/>
  <c r="P35" i="10"/>
  <c r="X35" i="10" s="1"/>
  <c r="M35" i="10"/>
  <c r="K35" i="10"/>
  <c r="J35" i="10"/>
  <c r="I35" i="10"/>
  <c r="H35" i="10"/>
  <c r="G35" i="10"/>
  <c r="F35" i="10"/>
  <c r="E35" i="10"/>
  <c r="P34" i="10"/>
  <c r="X34" i="10" s="1"/>
  <c r="M34" i="10"/>
  <c r="K34" i="10"/>
  <c r="J34" i="10"/>
  <c r="I34" i="10"/>
  <c r="H34" i="10"/>
  <c r="G34" i="10"/>
  <c r="F34" i="10"/>
  <c r="E34" i="10"/>
  <c r="P25" i="10"/>
  <c r="T25" i="10" s="1"/>
  <c r="N25" i="10"/>
  <c r="M25" i="10"/>
  <c r="K25" i="10"/>
  <c r="U25" i="10" s="1"/>
  <c r="P24" i="10"/>
  <c r="T24" i="10" s="1"/>
  <c r="N24" i="10"/>
  <c r="K24" i="10"/>
  <c r="U24" i="10" s="1"/>
  <c r="P23" i="10"/>
  <c r="T23" i="10" s="1"/>
  <c r="M23" i="10"/>
  <c r="K23" i="10"/>
  <c r="J23" i="10"/>
  <c r="I23" i="10"/>
  <c r="H23" i="10"/>
  <c r="G23" i="10"/>
  <c r="F23" i="10"/>
  <c r="P22" i="10"/>
  <c r="T22" i="10" s="1"/>
  <c r="M22" i="10"/>
  <c r="K22" i="10"/>
  <c r="J22" i="10"/>
  <c r="I22" i="10"/>
  <c r="H22" i="10"/>
  <c r="G22" i="10"/>
  <c r="F22" i="10"/>
  <c r="P21" i="10"/>
  <c r="T21" i="10" s="1"/>
  <c r="M21" i="10"/>
  <c r="K21" i="10"/>
  <c r="J21" i="10"/>
  <c r="I21" i="10"/>
  <c r="H21" i="10"/>
  <c r="G21" i="10"/>
  <c r="F21" i="10"/>
  <c r="E21" i="10"/>
  <c r="P20" i="10"/>
  <c r="T20" i="10" s="1"/>
  <c r="M20" i="10"/>
  <c r="K20" i="10"/>
  <c r="J20" i="10"/>
  <c r="I20" i="10"/>
  <c r="H20" i="10"/>
  <c r="G20" i="10"/>
  <c r="F20" i="10"/>
  <c r="E20" i="10"/>
  <c r="P19" i="10"/>
  <c r="T19" i="10" s="1"/>
  <c r="M19" i="10"/>
  <c r="K19" i="10"/>
  <c r="J19" i="10"/>
  <c r="I19" i="10"/>
  <c r="H19" i="10"/>
  <c r="G19" i="10"/>
  <c r="F19" i="10"/>
  <c r="E19" i="10"/>
  <c r="I11" i="10"/>
  <c r="H11" i="10"/>
  <c r="I10" i="10"/>
  <c r="H10" i="10"/>
  <c r="I9" i="10"/>
  <c r="I8" i="10"/>
  <c r="D5" i="10"/>
  <c r="T8" i="10" s="1"/>
  <c r="M9" i="11" l="1"/>
  <c r="O20" i="11"/>
  <c r="N9" i="11"/>
  <c r="U22" i="10"/>
  <c r="V22" i="10" s="1"/>
  <c r="U41" i="10"/>
  <c r="X39" i="10"/>
  <c r="V25" i="10"/>
  <c r="O39" i="10"/>
  <c r="N21" i="10"/>
  <c r="O21" i="10" s="1"/>
  <c r="Q24" i="10"/>
  <c r="R24" i="10" s="1"/>
  <c r="S24" i="10" s="1"/>
  <c r="O120" i="16" s="1"/>
  <c r="M29" i="11"/>
  <c r="N29" i="11" s="1"/>
  <c r="O30" i="11"/>
  <c r="J10" i="10"/>
  <c r="Q22" i="10"/>
  <c r="R22" i="10" s="1"/>
  <c r="Q42" i="10"/>
  <c r="R42" i="10" s="1"/>
  <c r="E10" i="10"/>
  <c r="Q20" i="10"/>
  <c r="R20" i="10" s="1"/>
  <c r="U20" i="10"/>
  <c r="V20" i="10" s="1"/>
  <c r="Q21" i="10"/>
  <c r="R21" i="10" s="1"/>
  <c r="U42" i="10"/>
  <c r="P9" i="11"/>
  <c r="Q9" i="11" s="1"/>
  <c r="O27" i="11"/>
  <c r="N36" i="10"/>
  <c r="O36" i="10" s="1"/>
  <c r="N37" i="10"/>
  <c r="O37" i="10" s="1"/>
  <c r="O29" i="11"/>
  <c r="F9" i="10"/>
  <c r="T11" i="10"/>
  <c r="U21" i="10"/>
  <c r="V21" i="10" s="1"/>
  <c r="Q23" i="10"/>
  <c r="R23" i="10" s="1"/>
  <c r="U40" i="10"/>
  <c r="N41" i="10"/>
  <c r="O41" i="10" s="1"/>
  <c r="N20" i="10"/>
  <c r="O20" i="10" s="1"/>
  <c r="Y40" i="10"/>
  <c r="Z40" i="10" s="1"/>
  <c r="E11" i="10"/>
  <c r="X10" i="10"/>
  <c r="T10" i="10"/>
  <c r="M10" i="10"/>
  <c r="G10" i="10"/>
  <c r="X9" i="10"/>
  <c r="T9" i="10"/>
  <c r="M9" i="10"/>
  <c r="G9" i="10"/>
  <c r="H8" i="10"/>
  <c r="J11" i="10"/>
  <c r="F11" i="10"/>
  <c r="H9" i="10"/>
  <c r="E8" i="10"/>
  <c r="J8" i="10"/>
  <c r="F10" i="10"/>
  <c r="N23" i="10"/>
  <c r="O23" i="10" s="1"/>
  <c r="Y34" i="10"/>
  <c r="Z34" i="10" s="1"/>
  <c r="Q34" i="10"/>
  <c r="R34" i="10" s="1"/>
  <c r="U34" i="10"/>
  <c r="F8" i="10"/>
  <c r="X8" i="10"/>
  <c r="X11" i="10"/>
  <c r="U19" i="10"/>
  <c r="V19" i="10" s="1"/>
  <c r="X38" i="10"/>
  <c r="Q40" i="10"/>
  <c r="R40" i="10" s="1"/>
  <c r="Y42" i="10"/>
  <c r="Z42" i="10" s="1"/>
  <c r="M8" i="11"/>
  <c r="N8" i="11" s="1"/>
  <c r="R8" i="11" s="1"/>
  <c r="M27" i="11"/>
  <c r="N27" i="11" s="1"/>
  <c r="P27" i="11"/>
  <c r="Q27" i="11" s="1"/>
  <c r="Y41" i="10"/>
  <c r="Z41" i="10" s="1"/>
  <c r="M20" i="11"/>
  <c r="N20" i="11" s="1"/>
  <c r="P20" i="11"/>
  <c r="M30" i="11"/>
  <c r="N30" i="11" s="1"/>
  <c r="P30" i="11"/>
  <c r="M8" i="10"/>
  <c r="J9" i="10"/>
  <c r="M11" i="10"/>
  <c r="N22" i="10"/>
  <c r="O22" i="10" s="1"/>
  <c r="U23" i="10"/>
  <c r="V23" i="10" s="1"/>
  <c r="Q25" i="10"/>
  <c r="R25" i="10" s="1"/>
  <c r="S25" i="10" s="1"/>
  <c r="N34" i="10"/>
  <c r="O34" i="10" s="1"/>
  <c r="Y35" i="10"/>
  <c r="Z35" i="10" s="1"/>
  <c r="Q35" i="10"/>
  <c r="R35" i="10" s="1"/>
  <c r="U35" i="10"/>
  <c r="G8" i="10"/>
  <c r="G11" i="10"/>
  <c r="Q19" i="10"/>
  <c r="R19" i="10" s="1"/>
  <c r="O117" i="16"/>
  <c r="Y58" i="8"/>
  <c r="N35" i="10"/>
  <c r="O35" i="10" s="1"/>
  <c r="Y36" i="10"/>
  <c r="Z36" i="10" s="1"/>
  <c r="Q36" i="10"/>
  <c r="R36" i="10" s="1"/>
  <c r="U36" i="10"/>
  <c r="X37" i="10"/>
  <c r="Q41" i="10"/>
  <c r="R41" i="10" s="1"/>
  <c r="P28" i="11"/>
  <c r="Q28" i="11" s="1"/>
  <c r="R28" i="11" s="1"/>
  <c r="P29" i="11"/>
  <c r="N19" i="10"/>
  <c r="O19" i="10" s="1"/>
  <c r="Y37" i="10"/>
  <c r="Q38" i="10"/>
  <c r="R38" i="10" s="1"/>
  <c r="N38" i="10"/>
  <c r="O38" i="10" s="1"/>
  <c r="N40" i="10"/>
  <c r="O40" i="10" s="1"/>
  <c r="V24" i="10"/>
  <c r="W24" i="10" s="1"/>
  <c r="Q37" i="10"/>
  <c r="R37" i="10" s="1"/>
  <c r="Y38" i="10"/>
  <c r="Y39" i="10"/>
  <c r="U39" i="10"/>
  <c r="V39" i="10" s="1"/>
  <c r="Q39" i="10"/>
  <c r="R39" i="10" s="1"/>
  <c r="N42" i="10"/>
  <c r="O42" i="10" s="1"/>
  <c r="P19" i="11"/>
  <c r="Q19" i="11" s="1"/>
  <c r="R19" i="11" s="1"/>
  <c r="T35" i="10"/>
  <c r="U37" i="10"/>
  <c r="V37" i="10" s="1"/>
  <c r="T41" i="10"/>
  <c r="V41" i="10" s="1"/>
  <c r="T34" i="10"/>
  <c r="T36" i="10"/>
  <c r="U38" i="10"/>
  <c r="V38" i="10" s="1"/>
  <c r="W38" i="10" s="1"/>
  <c r="T40" i="10"/>
  <c r="T42" i="10"/>
  <c r="R9" i="11" l="1"/>
  <c r="J157" i="16" s="1"/>
  <c r="N59" i="8"/>
  <c r="Z120" i="16"/>
  <c r="AD120" i="16" s="1"/>
  <c r="Z117" i="16"/>
  <c r="AD117" i="16" s="1"/>
  <c r="Y59" i="8"/>
  <c r="AB59" i="8" s="1"/>
  <c r="N58" i="8"/>
  <c r="W21" i="10"/>
  <c r="S37" i="10"/>
  <c r="U28" i="8" s="1"/>
  <c r="V40" i="10"/>
  <c r="W37" i="10"/>
  <c r="Z39" i="10"/>
  <c r="AA39" i="10" s="1"/>
  <c r="Q20" i="11"/>
  <c r="R20" i="11" s="1"/>
  <c r="Z38" i="10"/>
  <c r="AA38" i="10" s="1"/>
  <c r="Q29" i="11"/>
  <c r="R29" i="11" s="1"/>
  <c r="U80" i="8"/>
  <c r="AA80" i="8" s="1"/>
  <c r="I80" i="8"/>
  <c r="P80" i="8" s="1"/>
  <c r="Q30" i="11"/>
  <c r="R30" i="11" s="1"/>
  <c r="I77" i="8"/>
  <c r="U77" i="8"/>
  <c r="AB77" i="8" s="1"/>
  <c r="I83" i="8"/>
  <c r="P83" i="8" s="1"/>
  <c r="U81" i="8"/>
  <c r="AA81" i="8" s="1"/>
  <c r="J162" i="16"/>
  <c r="R162" i="16" s="1"/>
  <c r="J163" i="16"/>
  <c r="R163" i="16" s="1"/>
  <c r="U84" i="8"/>
  <c r="AA84" i="8" s="1"/>
  <c r="J160" i="16"/>
  <c r="P160" i="16" s="1"/>
  <c r="V157" i="16"/>
  <c r="AD157" i="16" s="1"/>
  <c r="V159" i="16"/>
  <c r="AD159" i="16" s="1"/>
  <c r="I81" i="8"/>
  <c r="Q81" i="8" s="1"/>
  <c r="V162" i="16"/>
  <c r="AC162" i="16" s="1"/>
  <c r="U83" i="8"/>
  <c r="AB83" i="8" s="1"/>
  <c r="V160" i="16"/>
  <c r="AB160" i="16" s="1"/>
  <c r="J159" i="16"/>
  <c r="P159" i="16" s="1"/>
  <c r="V156" i="16"/>
  <c r="AC156" i="16" s="1"/>
  <c r="I78" i="8"/>
  <c r="U78" i="8"/>
  <c r="AB78" i="8" s="1"/>
  <c r="I84" i="8"/>
  <c r="Q84" i="8" s="1"/>
  <c r="J156" i="16"/>
  <c r="V163" i="16"/>
  <c r="AD163" i="16" s="1"/>
  <c r="V42" i="10"/>
  <c r="W42" i="10" s="1"/>
  <c r="U9" i="10"/>
  <c r="V9" i="10" s="1"/>
  <c r="W9" i="10" s="1"/>
  <c r="V7" i="16" s="1"/>
  <c r="S39" i="10"/>
  <c r="Z28" i="8" s="1"/>
  <c r="S20" i="10"/>
  <c r="V36" i="10"/>
  <c r="W36" i="10" s="1"/>
  <c r="K121" i="16" s="1"/>
  <c r="W41" i="10"/>
  <c r="W23" i="10"/>
  <c r="AA34" i="10"/>
  <c r="U10" i="10"/>
  <c r="V10" i="10" s="1"/>
  <c r="W10" i="10" s="1"/>
  <c r="L7" i="16" s="1"/>
  <c r="S21" i="10"/>
  <c r="S23" i="10"/>
  <c r="J82" i="16" s="1"/>
  <c r="S40" i="10"/>
  <c r="V73" i="16" s="1"/>
  <c r="W40" i="10"/>
  <c r="S42" i="10"/>
  <c r="M67" i="8" s="1"/>
  <c r="S41" i="10"/>
  <c r="K29" i="8" s="1"/>
  <c r="AA95" i="8"/>
  <c r="AA42" i="10"/>
  <c r="Y11" i="10"/>
  <c r="Z11" i="10" s="1"/>
  <c r="AA11" i="10" s="1"/>
  <c r="Y8" i="16" s="1"/>
  <c r="W20" i="10"/>
  <c r="K115" i="16" s="1"/>
  <c r="R27" i="11"/>
  <c r="Z218" i="16" s="1"/>
  <c r="N8" i="10"/>
  <c r="O8" i="10" s="1"/>
  <c r="S8" i="10" s="1"/>
  <c r="Y8" i="10"/>
  <c r="Z8" i="10" s="1"/>
  <c r="AA8" i="10" s="1"/>
  <c r="W8" i="16" s="1"/>
  <c r="AA96" i="8"/>
  <c r="N9" i="10"/>
  <c r="O9" i="10" s="1"/>
  <c r="S9" i="10" s="1"/>
  <c r="J3" i="16" s="1"/>
  <c r="S38" i="10"/>
  <c r="Z37" i="10"/>
  <c r="AA37" i="10" s="1"/>
  <c r="S36" i="10"/>
  <c r="N10" i="10"/>
  <c r="O10" i="10" s="1"/>
  <c r="S10" i="10" s="1"/>
  <c r="V4" i="16"/>
  <c r="AD223" i="16"/>
  <c r="AC223" i="16"/>
  <c r="AB223" i="16"/>
  <c r="V35" i="10"/>
  <c r="W35" i="10" s="1"/>
  <c r="Q59" i="8"/>
  <c r="P59" i="8"/>
  <c r="O59" i="8"/>
  <c r="AB120" i="16"/>
  <c r="AA35" i="10"/>
  <c r="AB224" i="16"/>
  <c r="AD224" i="16"/>
  <c r="AC224" i="16"/>
  <c r="S34" i="10"/>
  <c r="S22" i="10"/>
  <c r="Y9" i="10"/>
  <c r="Z9" i="10" s="1"/>
  <c r="AA9" i="10" s="1"/>
  <c r="AC95" i="8"/>
  <c r="AB95" i="8"/>
  <c r="V76" i="16"/>
  <c r="I34" i="8"/>
  <c r="N11" i="10"/>
  <c r="O11" i="10" s="1"/>
  <c r="S11" i="10" s="1"/>
  <c r="AC174" i="16"/>
  <c r="AD174" i="16"/>
  <c r="AB174" i="16"/>
  <c r="AB84" i="8"/>
  <c r="AC157" i="16"/>
  <c r="R120" i="16"/>
  <c r="Q120" i="16"/>
  <c r="P120" i="16"/>
  <c r="O122" i="16"/>
  <c r="Z76" i="16"/>
  <c r="Y34" i="8"/>
  <c r="Y35" i="8"/>
  <c r="Z73" i="16"/>
  <c r="AB144" i="8"/>
  <c r="AC144" i="8"/>
  <c r="AA144" i="8"/>
  <c r="U8" i="10"/>
  <c r="V8" i="10" s="1"/>
  <c r="W8" i="10" s="1"/>
  <c r="AD175" i="16"/>
  <c r="AB175" i="16"/>
  <c r="AC175" i="16"/>
  <c r="W25" i="10"/>
  <c r="W22" i="10"/>
  <c r="O83" i="8"/>
  <c r="W128" i="16"/>
  <c r="AA59" i="8"/>
  <c r="S19" i="10"/>
  <c r="AA40" i="10"/>
  <c r="W39" i="10"/>
  <c r="Q58" i="8"/>
  <c r="P58" i="8"/>
  <c r="O58" i="8"/>
  <c r="K28" i="8"/>
  <c r="AA36" i="10"/>
  <c r="AC58" i="8"/>
  <c r="AB58" i="8"/>
  <c r="AA58" i="8"/>
  <c r="R117" i="16"/>
  <c r="Q117" i="16"/>
  <c r="P117" i="16"/>
  <c r="S35" i="10"/>
  <c r="AA41" i="10"/>
  <c r="AC145" i="8"/>
  <c r="AB145" i="8"/>
  <c r="AA145" i="8"/>
  <c r="W19" i="10"/>
  <c r="V34" i="10"/>
  <c r="W34" i="10" s="1"/>
  <c r="U11" i="10"/>
  <c r="V11" i="10" s="1"/>
  <c r="W11" i="10" s="1"/>
  <c r="Y10" i="10"/>
  <c r="Z10" i="10" s="1"/>
  <c r="AA10" i="10" s="1"/>
  <c r="AB96" i="8"/>
  <c r="AC96" i="8"/>
  <c r="P81" i="8"/>
  <c r="AD162" i="16"/>
  <c r="AD156" i="16"/>
  <c r="U29" i="8" l="1"/>
  <c r="J7" i="16"/>
  <c r="V64" i="16"/>
  <c r="AC84" i="8"/>
  <c r="P84" i="8"/>
  <c r="O81" i="8"/>
  <c r="Q83" i="8"/>
  <c r="AB117" i="16"/>
  <c r="K128" i="16"/>
  <c r="Q163" i="16"/>
  <c r="AA77" i="8"/>
  <c r="AC80" i="8"/>
  <c r="K118" i="16"/>
  <c r="AC159" i="16"/>
  <c r="AC120" i="16"/>
  <c r="Z122" i="16"/>
  <c r="Z121" i="16"/>
  <c r="K125" i="16"/>
  <c r="W26" i="16"/>
  <c r="J188" i="16"/>
  <c r="R188" i="16" s="1"/>
  <c r="I103" i="8"/>
  <c r="I114" i="8"/>
  <c r="Q114" i="8" s="1"/>
  <c r="V181" i="16"/>
  <c r="AB181" i="16" s="1"/>
  <c r="AB156" i="16"/>
  <c r="AC163" i="16"/>
  <c r="Z187" i="16"/>
  <c r="Y108" i="8"/>
  <c r="Y109" i="8"/>
  <c r="AB162" i="16"/>
  <c r="U114" i="8"/>
  <c r="AA114" i="8" s="1"/>
  <c r="U108" i="8"/>
  <c r="AA108" i="8" s="1"/>
  <c r="J193" i="16"/>
  <c r="Q193" i="16" s="1"/>
  <c r="I109" i="8"/>
  <c r="P109" i="8" s="1"/>
  <c r="J181" i="16"/>
  <c r="P181" i="16" s="1"/>
  <c r="J182" i="16"/>
  <c r="Q182" i="16" s="1"/>
  <c r="U102" i="8"/>
  <c r="AB102" i="8" s="1"/>
  <c r="V193" i="16"/>
  <c r="AD193" i="16" s="1"/>
  <c r="V188" i="16"/>
  <c r="AB188" i="16" s="1"/>
  <c r="P162" i="16"/>
  <c r="AA83" i="8"/>
  <c r="Z188" i="16"/>
  <c r="AB157" i="16"/>
  <c r="AB163" i="16"/>
  <c r="AC83" i="8"/>
  <c r="O119" i="16"/>
  <c r="AC59" i="8"/>
  <c r="V61" i="16"/>
  <c r="V62" i="16" s="1"/>
  <c r="J64" i="16"/>
  <c r="J66" i="16" s="1"/>
  <c r="AC117" i="16"/>
  <c r="M5" i="16"/>
  <c r="U38" i="8"/>
  <c r="AC38" i="8" s="1"/>
  <c r="I29" i="8"/>
  <c r="Q29" i="8" s="1"/>
  <c r="J61" i="16"/>
  <c r="Z119" i="16"/>
  <c r="M8" i="16"/>
  <c r="I37" i="8"/>
  <c r="O37" i="8" s="1"/>
  <c r="L61" i="16"/>
  <c r="I28" i="8"/>
  <c r="Y5" i="16"/>
  <c r="W118" i="16"/>
  <c r="W121" i="16"/>
  <c r="J76" i="16"/>
  <c r="J78" i="16" s="1"/>
  <c r="AA64" i="16"/>
  <c r="AB64" i="16" s="1"/>
  <c r="L4" i="16"/>
  <c r="W125" i="16"/>
  <c r="U35" i="8"/>
  <c r="AC35" i="8" s="1"/>
  <c r="AA61" i="16"/>
  <c r="AC61" i="16" s="1"/>
  <c r="P163" i="16"/>
  <c r="AB159" i="16"/>
  <c r="AB80" i="8"/>
  <c r="K26" i="16"/>
  <c r="R26" i="16" s="1"/>
  <c r="AC160" i="16"/>
  <c r="U115" i="8"/>
  <c r="AB115" i="8" s="1"/>
  <c r="U109" i="8"/>
  <c r="U103" i="8"/>
  <c r="AC103" i="8" s="1"/>
  <c r="J187" i="16"/>
  <c r="P187" i="16" s="1"/>
  <c r="V187" i="16"/>
  <c r="V194" i="16"/>
  <c r="AC194" i="16" s="1"/>
  <c r="Q162" i="16"/>
  <c r="Z29" i="8"/>
  <c r="AA29" i="8" s="1"/>
  <c r="W29" i="16"/>
  <c r="AD29" i="16" s="1"/>
  <c r="K5" i="16"/>
  <c r="N139" i="16"/>
  <c r="N140" i="16" s="1"/>
  <c r="I115" i="8"/>
  <c r="P115" i="8" s="1"/>
  <c r="I102" i="8"/>
  <c r="O102" i="8" s="1"/>
  <c r="I108" i="8"/>
  <c r="P108" i="8" s="1"/>
  <c r="J194" i="16"/>
  <c r="R194" i="16" s="1"/>
  <c r="V182" i="16"/>
  <c r="AD182" i="16" s="1"/>
  <c r="W5" i="16"/>
  <c r="K29" i="16"/>
  <c r="Q29" i="16" s="1"/>
  <c r="AC77" i="8"/>
  <c r="AA78" i="8"/>
  <c r="AC78" i="8"/>
  <c r="O84" i="8"/>
  <c r="AC81" i="8"/>
  <c r="Z220" i="16"/>
  <c r="AD220" i="16" s="1"/>
  <c r="Z217" i="16"/>
  <c r="AD217" i="16" s="1"/>
  <c r="Z221" i="16"/>
  <c r="AD221" i="16" s="1"/>
  <c r="P135" i="8"/>
  <c r="Q135" i="8"/>
  <c r="O135" i="8"/>
  <c r="O221" i="16"/>
  <c r="P221" i="16" s="1"/>
  <c r="N141" i="8"/>
  <c r="O141" i="8" s="1"/>
  <c r="Y141" i="8"/>
  <c r="AC141" i="8" s="1"/>
  <c r="O220" i="16"/>
  <c r="R220" i="16" s="1"/>
  <c r="Q136" i="8"/>
  <c r="P136" i="8"/>
  <c r="O136" i="8"/>
  <c r="Y139" i="8"/>
  <c r="AB139" i="8" s="1"/>
  <c r="N142" i="8"/>
  <c r="P142" i="8" s="1"/>
  <c r="Y142" i="8"/>
  <c r="AC142" i="8" s="1"/>
  <c r="Y138" i="8"/>
  <c r="AA138" i="8" s="1"/>
  <c r="K8" i="16"/>
  <c r="V82" i="16"/>
  <c r="V83" i="16" s="1"/>
  <c r="J80" i="16"/>
  <c r="J81" i="16" s="1"/>
  <c r="O64" i="8"/>
  <c r="Q64" i="8"/>
  <c r="P64" i="8"/>
  <c r="L64" i="16"/>
  <c r="L65" i="16" s="1"/>
  <c r="U34" i="8"/>
  <c r="AB34" i="8" s="1"/>
  <c r="J73" i="16"/>
  <c r="J74" i="16" s="1"/>
  <c r="I3" i="8"/>
  <c r="Q65" i="8"/>
  <c r="P65" i="8"/>
  <c r="O65" i="8"/>
  <c r="I35" i="8"/>
  <c r="O35" i="8" s="1"/>
  <c r="U37" i="8"/>
  <c r="AB37" i="8" s="1"/>
  <c r="V80" i="16"/>
  <c r="AB80" i="16" s="1"/>
  <c r="W108" i="16"/>
  <c r="AB108" i="16" s="1"/>
  <c r="Y95" i="16"/>
  <c r="X47" i="8"/>
  <c r="M95" i="16"/>
  <c r="M96" i="16" s="1"/>
  <c r="L47" i="8"/>
  <c r="Q47" i="8" s="1"/>
  <c r="Y97" i="16"/>
  <c r="X46" i="8"/>
  <c r="L46" i="8"/>
  <c r="O46" i="8" s="1"/>
  <c r="M97" i="16"/>
  <c r="M98" i="16" s="1"/>
  <c r="I38" i="8"/>
  <c r="P38" i="8" s="1"/>
  <c r="R115" i="16"/>
  <c r="Q115" i="16"/>
  <c r="P115" i="16"/>
  <c r="AD160" i="16"/>
  <c r="O118" i="16"/>
  <c r="P118" i="16" s="1"/>
  <c r="AB81" i="8"/>
  <c r="Z118" i="16"/>
  <c r="M68" i="8"/>
  <c r="P68" i="8" s="1"/>
  <c r="K113" i="16"/>
  <c r="K108" i="16"/>
  <c r="W115" i="16"/>
  <c r="O77" i="8"/>
  <c r="N136" i="16"/>
  <c r="P136" i="16" s="1"/>
  <c r="W110" i="16"/>
  <c r="Q12" i="16"/>
  <c r="K110" i="16"/>
  <c r="J5" i="16"/>
  <c r="J4" i="16"/>
  <c r="W113" i="16"/>
  <c r="Q160" i="16"/>
  <c r="Q78" i="8"/>
  <c r="O78" i="8"/>
  <c r="P40" i="8"/>
  <c r="AB149" i="16"/>
  <c r="O80" i="8"/>
  <c r="P77" i="8"/>
  <c r="O121" i="16"/>
  <c r="R121" i="16" s="1"/>
  <c r="Q159" i="16"/>
  <c r="R156" i="16"/>
  <c r="AD152" i="16"/>
  <c r="AC152" i="16"/>
  <c r="AB152" i="16"/>
  <c r="AD149" i="16"/>
  <c r="AC149" i="16"/>
  <c r="R159" i="16"/>
  <c r="Q157" i="16"/>
  <c r="Q103" i="8"/>
  <c r="O103" i="8"/>
  <c r="P103" i="8"/>
  <c r="Q56" i="16"/>
  <c r="P56" i="16"/>
  <c r="R56" i="16"/>
  <c r="R157" i="16"/>
  <c r="W101" i="16"/>
  <c r="W104" i="16"/>
  <c r="K101" i="16"/>
  <c r="K104" i="16"/>
  <c r="AD147" i="16"/>
  <c r="AB147" i="16"/>
  <c r="AC147" i="16"/>
  <c r="O87" i="8"/>
  <c r="Q87" i="8"/>
  <c r="P87" i="8"/>
  <c r="P99" i="8"/>
  <c r="Q99" i="8"/>
  <c r="O99" i="8"/>
  <c r="R177" i="16"/>
  <c r="Q177" i="16"/>
  <c r="P177" i="16"/>
  <c r="L5" i="16"/>
  <c r="L8" i="16"/>
  <c r="AA115" i="8"/>
  <c r="Q187" i="16"/>
  <c r="O120" i="8"/>
  <c r="P120" i="8"/>
  <c r="Q120" i="8"/>
  <c r="O70" i="8"/>
  <c r="P70" i="8"/>
  <c r="Q70" i="8"/>
  <c r="P128" i="16"/>
  <c r="Q128" i="16"/>
  <c r="R128" i="16"/>
  <c r="J62" i="16"/>
  <c r="P61" i="16"/>
  <c r="J63" i="16"/>
  <c r="R61" i="16"/>
  <c r="Q61" i="16"/>
  <c r="Q40" i="8"/>
  <c r="O40" i="8"/>
  <c r="Q77" i="8"/>
  <c r="W4" i="16"/>
  <c r="W28" i="16"/>
  <c r="K28" i="16"/>
  <c r="K25" i="16"/>
  <c r="W25" i="16"/>
  <c r="W7" i="16"/>
  <c r="K4" i="16"/>
  <c r="K7" i="16"/>
  <c r="P134" i="16"/>
  <c r="R134" i="16"/>
  <c r="Q134" i="16"/>
  <c r="AB220" i="16"/>
  <c r="AC217" i="16"/>
  <c r="V78" i="16"/>
  <c r="AB76" i="16"/>
  <c r="AD76" i="16"/>
  <c r="AC76" i="16"/>
  <c r="V77" i="16"/>
  <c r="P157" i="16"/>
  <c r="P156" i="16"/>
  <c r="V197" i="16"/>
  <c r="V191" i="16"/>
  <c r="J185" i="16"/>
  <c r="J196" i="16"/>
  <c r="J190" i="16"/>
  <c r="V185" i="16"/>
  <c r="J197" i="16"/>
  <c r="J191" i="16"/>
  <c r="J184" i="16"/>
  <c r="V184" i="16"/>
  <c r="V196" i="16"/>
  <c r="U106" i="8"/>
  <c r="I106" i="8"/>
  <c r="U105" i="8"/>
  <c r="I105" i="8"/>
  <c r="V190" i="16"/>
  <c r="U117" i="8"/>
  <c r="U111" i="8"/>
  <c r="I118" i="8"/>
  <c r="I112" i="8"/>
  <c r="U112" i="8"/>
  <c r="I111" i="8"/>
  <c r="U118" i="8"/>
  <c r="I117" i="8"/>
  <c r="P169" i="16"/>
  <c r="Q169" i="16"/>
  <c r="R169" i="16"/>
  <c r="AA73" i="8"/>
  <c r="AB73" i="8"/>
  <c r="AC73" i="8"/>
  <c r="Q80" i="8"/>
  <c r="P165" i="16"/>
  <c r="R165" i="16"/>
  <c r="Q165" i="16"/>
  <c r="AB26" i="16"/>
  <c r="AC26" i="16"/>
  <c r="AD26" i="16"/>
  <c r="P40" i="16"/>
  <c r="R40" i="16"/>
  <c r="Q40" i="16"/>
  <c r="R82" i="16"/>
  <c r="J83" i="16"/>
  <c r="P82" i="16"/>
  <c r="Q82" i="16"/>
  <c r="P143" i="16"/>
  <c r="Q143" i="16"/>
  <c r="R143" i="16"/>
  <c r="AC125" i="16"/>
  <c r="AD125" i="16"/>
  <c r="AB125" i="16"/>
  <c r="AC64" i="16"/>
  <c r="V65" i="16"/>
  <c r="V66" i="16"/>
  <c r="Q85" i="16"/>
  <c r="O34" i="8"/>
  <c r="P34" i="8"/>
  <c r="Q34" i="8"/>
  <c r="V70" i="16"/>
  <c r="J70" i="16"/>
  <c r="V68" i="16"/>
  <c r="J68" i="16"/>
  <c r="U31" i="8"/>
  <c r="I32" i="8"/>
  <c r="U32" i="8"/>
  <c r="I31" i="8"/>
  <c r="R168" i="16"/>
  <c r="Q168" i="16"/>
  <c r="P168" i="16"/>
  <c r="P97" i="16"/>
  <c r="W93" i="16"/>
  <c r="K93" i="16"/>
  <c r="K91" i="16"/>
  <c r="W91" i="16"/>
  <c r="L62" i="16"/>
  <c r="L63" i="16"/>
  <c r="O115" i="8"/>
  <c r="AC182" i="16"/>
  <c r="Q188" i="16"/>
  <c r="P121" i="8"/>
  <c r="Q121" i="8"/>
  <c r="O121" i="8"/>
  <c r="P71" i="8"/>
  <c r="Q71" i="8"/>
  <c r="O71" i="8"/>
  <c r="Q125" i="16"/>
  <c r="R125" i="16"/>
  <c r="P125" i="16"/>
  <c r="AC128" i="16"/>
  <c r="AB128" i="16"/>
  <c r="AD128" i="16"/>
  <c r="V63" i="16"/>
  <c r="AB61" i="16"/>
  <c r="O41" i="8"/>
  <c r="Q41" i="8"/>
  <c r="P41" i="8"/>
  <c r="P14" i="16"/>
  <c r="Q11" i="16"/>
  <c r="Q132" i="16"/>
  <c r="R132" i="16"/>
  <c r="P132" i="16"/>
  <c r="Q221" i="16"/>
  <c r="Z77" i="16"/>
  <c r="Z78" i="16"/>
  <c r="R160" i="16"/>
  <c r="Q73" i="16"/>
  <c r="Q156" i="16"/>
  <c r="P78" i="8"/>
  <c r="V8" i="16"/>
  <c r="J8" i="16"/>
  <c r="V5" i="16"/>
  <c r="P90" i="8"/>
  <c r="Q90" i="8"/>
  <c r="O90" i="8"/>
  <c r="AC150" i="16"/>
  <c r="AD150" i="16"/>
  <c r="AB150" i="16"/>
  <c r="Q166" i="16"/>
  <c r="R166" i="16"/>
  <c r="P166" i="16"/>
  <c r="AA62" i="16"/>
  <c r="R29" i="16"/>
  <c r="AB38" i="8"/>
  <c r="AD82" i="16"/>
  <c r="AC82" i="16"/>
  <c r="Q67" i="8"/>
  <c r="P67" i="8"/>
  <c r="O67" i="8"/>
  <c r="Y7" i="16"/>
  <c r="M7" i="16"/>
  <c r="Y4" i="16"/>
  <c r="M4" i="16"/>
  <c r="O114" i="8"/>
  <c r="P114" i="8"/>
  <c r="R181" i="16"/>
  <c r="Q181" i="16"/>
  <c r="P182" i="16"/>
  <c r="R200" i="16"/>
  <c r="P200" i="16"/>
  <c r="Q200" i="16"/>
  <c r="AD218" i="16"/>
  <c r="AB218" i="16"/>
  <c r="AC218" i="16"/>
  <c r="AA35" i="8"/>
  <c r="AB35" i="8"/>
  <c r="O98" i="8"/>
  <c r="P98" i="8"/>
  <c r="Q98" i="8"/>
  <c r="P178" i="16"/>
  <c r="Q178" i="16"/>
  <c r="R178" i="16"/>
  <c r="W129" i="16"/>
  <c r="K129" i="16"/>
  <c r="K126" i="16"/>
  <c r="W122" i="16"/>
  <c r="K122" i="16"/>
  <c r="W119" i="16"/>
  <c r="W126" i="16"/>
  <c r="K119" i="16"/>
  <c r="AC114" i="8"/>
  <c r="AA102" i="8"/>
  <c r="AC108" i="8"/>
  <c r="P193" i="16"/>
  <c r="R199" i="16"/>
  <c r="P199" i="16"/>
  <c r="Q199" i="16"/>
  <c r="Q145" i="16"/>
  <c r="P145" i="16"/>
  <c r="R145" i="16"/>
  <c r="AC121" i="16"/>
  <c r="AD121" i="16"/>
  <c r="AB121" i="16"/>
  <c r="O28" i="8"/>
  <c r="P28" i="8"/>
  <c r="Q28" i="8"/>
  <c r="AC28" i="8"/>
  <c r="AA28" i="8"/>
  <c r="AB28" i="8"/>
  <c r="P87" i="16"/>
  <c r="Q87" i="16"/>
  <c r="R87" i="16"/>
  <c r="Q53" i="16"/>
  <c r="P53" i="16"/>
  <c r="R53" i="16"/>
  <c r="AB141" i="8"/>
  <c r="Z74" i="16"/>
  <c r="Z75" i="16"/>
  <c r="V75" i="16"/>
  <c r="AB73" i="16"/>
  <c r="AD73" i="16"/>
  <c r="AC73" i="16"/>
  <c r="V74" i="16"/>
  <c r="W102" i="16"/>
  <c r="K102" i="16"/>
  <c r="K105" i="16"/>
  <c r="W105" i="16"/>
  <c r="O89" i="8"/>
  <c r="P89" i="8"/>
  <c r="Q89" i="8"/>
  <c r="AA72" i="8"/>
  <c r="AB72" i="8"/>
  <c r="AC72" i="8"/>
  <c r="Q86" i="8"/>
  <c r="O86" i="8"/>
  <c r="P86" i="8"/>
  <c r="AC29" i="16"/>
  <c r="AB29" i="16"/>
  <c r="P43" i="16"/>
  <c r="R43" i="16"/>
  <c r="Q43" i="16"/>
  <c r="P15" i="16"/>
  <c r="R15" i="16"/>
  <c r="Q15" i="16"/>
  <c r="P37" i="8" l="1"/>
  <c r="AA141" i="8"/>
  <c r="R193" i="16"/>
  <c r="AC102" i="8"/>
  <c r="Q64" i="16"/>
  <c r="P188" i="16"/>
  <c r="AB182" i="16"/>
  <c r="AC220" i="16"/>
  <c r="R187" i="16"/>
  <c r="Q115" i="8"/>
  <c r="P29" i="8"/>
  <c r="AC109" i="8"/>
  <c r="P46" i="8"/>
  <c r="AB138" i="8"/>
  <c r="AC118" i="16"/>
  <c r="AB108" i="8"/>
  <c r="AB114" i="8"/>
  <c r="R182" i="16"/>
  <c r="AD181" i="16"/>
  <c r="P194" i="16"/>
  <c r="AC187" i="16"/>
  <c r="AC188" i="16"/>
  <c r="AC181" i="16"/>
  <c r="AB103" i="8"/>
  <c r="Q108" i="8"/>
  <c r="AD188" i="16"/>
  <c r="AB193" i="16"/>
  <c r="P102" i="8"/>
  <c r="O109" i="8"/>
  <c r="AB187" i="16"/>
  <c r="Q102" i="8"/>
  <c r="Q109" i="8"/>
  <c r="AD187" i="16"/>
  <c r="Q220" i="16"/>
  <c r="AC193" i="16"/>
  <c r="P220" i="16"/>
  <c r="AB217" i="16"/>
  <c r="AC115" i="8"/>
  <c r="AB194" i="16"/>
  <c r="AB109" i="8"/>
  <c r="O108" i="8"/>
  <c r="AC221" i="16"/>
  <c r="AD194" i="16"/>
  <c r="AA109" i="8"/>
  <c r="Q46" i="8"/>
  <c r="J65" i="16"/>
  <c r="Q37" i="8"/>
  <c r="AA38" i="8"/>
  <c r="P95" i="16"/>
  <c r="AB29" i="8"/>
  <c r="O29" i="8"/>
  <c r="V81" i="16"/>
  <c r="AD81" i="16" s="1"/>
  <c r="AC29" i="8"/>
  <c r="R95" i="16"/>
  <c r="AA34" i="8"/>
  <c r="AA66" i="16"/>
  <c r="AB66" i="16" s="1"/>
  <c r="AD80" i="16"/>
  <c r="AD118" i="16"/>
  <c r="Q76" i="16"/>
  <c r="R80" i="16"/>
  <c r="AA63" i="16"/>
  <c r="AD61" i="16"/>
  <c r="AD64" i="16"/>
  <c r="Q136" i="16"/>
  <c r="AA65" i="16"/>
  <c r="P76" i="16"/>
  <c r="N141" i="16"/>
  <c r="R141" i="16" s="1"/>
  <c r="P29" i="16"/>
  <c r="R76" i="16"/>
  <c r="P139" i="16"/>
  <c r="Q26" i="16"/>
  <c r="J77" i="16"/>
  <c r="Q77" i="16" s="1"/>
  <c r="N138" i="16"/>
  <c r="Q80" i="16"/>
  <c r="Q139" i="16"/>
  <c r="P26" i="16"/>
  <c r="P64" i="16"/>
  <c r="Q194" i="16"/>
  <c r="AA103" i="8"/>
  <c r="P80" i="16"/>
  <c r="Q35" i="8"/>
  <c r="R139" i="16"/>
  <c r="AB82" i="16"/>
  <c r="R221" i="16"/>
  <c r="AA37" i="8"/>
  <c r="L66" i="16"/>
  <c r="R66" i="16" s="1"/>
  <c r="O38" i="8"/>
  <c r="AC139" i="8"/>
  <c r="R64" i="16"/>
  <c r="AC37" i="8"/>
  <c r="AB142" i="8"/>
  <c r="R136" i="16"/>
  <c r="P35" i="8"/>
  <c r="Q38" i="8"/>
  <c r="Q68" i="8"/>
  <c r="O68" i="8"/>
  <c r="O142" i="8"/>
  <c r="AA139" i="8"/>
  <c r="AC138" i="8"/>
  <c r="P141" i="8"/>
  <c r="Q142" i="8"/>
  <c r="AB221" i="16"/>
  <c r="Q141" i="8"/>
  <c r="AA142" i="8"/>
  <c r="R118" i="16"/>
  <c r="AB118" i="16"/>
  <c r="AD7" i="16"/>
  <c r="R73" i="16"/>
  <c r="J75" i="16"/>
  <c r="P75" i="16" s="1"/>
  <c r="O47" i="8"/>
  <c r="AC108" i="16"/>
  <c r="Q95" i="16"/>
  <c r="P73" i="16"/>
  <c r="AC34" i="8"/>
  <c r="R97" i="16"/>
  <c r="N137" i="16"/>
  <c r="P137" i="16" s="1"/>
  <c r="P47" i="8"/>
  <c r="AC80" i="16"/>
  <c r="AB46" i="8"/>
  <c r="AA46" i="8"/>
  <c r="AC46" i="8"/>
  <c r="AA47" i="8"/>
  <c r="AC47" i="8"/>
  <c r="AB47" i="8"/>
  <c r="AB4" i="16"/>
  <c r="Q97" i="16"/>
  <c r="AD108" i="16"/>
  <c r="AD97" i="16"/>
  <c r="Y98" i="16"/>
  <c r="AB97" i="16"/>
  <c r="AC97" i="16"/>
  <c r="Y96" i="16"/>
  <c r="AC95" i="16"/>
  <c r="AD95" i="16"/>
  <c r="AB95" i="16"/>
  <c r="Q118" i="16"/>
  <c r="AC4" i="16"/>
  <c r="P12" i="16"/>
  <c r="P121" i="16"/>
  <c r="P85" i="16"/>
  <c r="AC110" i="16"/>
  <c r="AD110" i="16"/>
  <c r="AB110" i="16"/>
  <c r="Q108" i="16"/>
  <c r="R108" i="16"/>
  <c r="P108" i="16"/>
  <c r="AD113" i="16"/>
  <c r="AB113" i="16"/>
  <c r="AC113" i="16"/>
  <c r="AD115" i="16"/>
  <c r="AC115" i="16"/>
  <c r="AB115" i="16"/>
  <c r="AD4" i="16"/>
  <c r="R12" i="16"/>
  <c r="Q121" i="16"/>
  <c r="R85" i="16"/>
  <c r="R113" i="16"/>
  <c r="P113" i="16"/>
  <c r="Q113" i="16"/>
  <c r="P110" i="16"/>
  <c r="R110" i="16"/>
  <c r="Q110" i="16"/>
  <c r="P146" i="16"/>
  <c r="Q146" i="16"/>
  <c r="R146" i="16"/>
  <c r="AC7" i="16"/>
  <c r="P11" i="16"/>
  <c r="AC62" i="16"/>
  <c r="AD62" i="16"/>
  <c r="AB62" i="16"/>
  <c r="AD93" i="16"/>
  <c r="AB93" i="16"/>
  <c r="AC93" i="16"/>
  <c r="P86" i="16"/>
  <c r="R86" i="16"/>
  <c r="Q86" i="16"/>
  <c r="P57" i="16"/>
  <c r="R57" i="16"/>
  <c r="Q57" i="16"/>
  <c r="AC105" i="8"/>
  <c r="AA105" i="8"/>
  <c r="AB105" i="8"/>
  <c r="AD191" i="16"/>
  <c r="AB191" i="16"/>
  <c r="AC191" i="16"/>
  <c r="AB35" i="16"/>
  <c r="AC35" i="16"/>
  <c r="AD35" i="16"/>
  <c r="R102" i="16"/>
  <c r="Q102" i="16"/>
  <c r="P102" i="16"/>
  <c r="AC74" i="16"/>
  <c r="AB74" i="16"/>
  <c r="AD74" i="16"/>
  <c r="AD75" i="16"/>
  <c r="AB75" i="16"/>
  <c r="AC75" i="16"/>
  <c r="Q88" i="16"/>
  <c r="R88" i="16"/>
  <c r="P88" i="16"/>
  <c r="R119" i="16"/>
  <c r="Q119" i="16"/>
  <c r="P119" i="16"/>
  <c r="AD122" i="16"/>
  <c r="AB122" i="16"/>
  <c r="AC122" i="16"/>
  <c r="AB7" i="16"/>
  <c r="R11" i="16"/>
  <c r="AD83" i="16"/>
  <c r="AB83" i="16"/>
  <c r="AC83" i="16"/>
  <c r="AB5" i="16"/>
  <c r="AD5" i="16"/>
  <c r="AC5" i="16"/>
  <c r="P65" i="16"/>
  <c r="R65" i="16"/>
  <c r="Q65" i="16"/>
  <c r="AB91" i="16"/>
  <c r="AC91" i="16"/>
  <c r="AD91" i="16"/>
  <c r="R98" i="16"/>
  <c r="P98" i="16"/>
  <c r="Q98" i="16"/>
  <c r="O31" i="8"/>
  <c r="P31" i="8"/>
  <c r="Q31" i="8"/>
  <c r="Q68" i="16"/>
  <c r="J69" i="16"/>
  <c r="P68" i="16"/>
  <c r="R68" i="16"/>
  <c r="P144" i="16"/>
  <c r="R144" i="16"/>
  <c r="Q144" i="16"/>
  <c r="P138" i="16"/>
  <c r="R138" i="16"/>
  <c r="Q138" i="16"/>
  <c r="Q14" i="16"/>
  <c r="P54" i="16"/>
  <c r="R54" i="16"/>
  <c r="Q54" i="16"/>
  <c r="AA112" i="8"/>
  <c r="AB112" i="8"/>
  <c r="AC112" i="8"/>
  <c r="AA117" i="8"/>
  <c r="AB117" i="8"/>
  <c r="AC117" i="8"/>
  <c r="Q106" i="8"/>
  <c r="O106" i="8"/>
  <c r="P106" i="8"/>
  <c r="P184" i="16"/>
  <c r="R184" i="16"/>
  <c r="Q184" i="16"/>
  <c r="R190" i="16"/>
  <c r="P190" i="16"/>
  <c r="Q190" i="16"/>
  <c r="AD197" i="16"/>
  <c r="AB197" i="16"/>
  <c r="AC197" i="16"/>
  <c r="R28" i="16"/>
  <c r="P28" i="16"/>
  <c r="Q28" i="16"/>
  <c r="Q104" i="16"/>
  <c r="R104" i="16"/>
  <c r="P104" i="16"/>
  <c r="AB32" i="16"/>
  <c r="AC32" i="16"/>
  <c r="AD32" i="16"/>
  <c r="Q105" i="16"/>
  <c r="P105" i="16"/>
  <c r="R105" i="16"/>
  <c r="P122" i="16"/>
  <c r="R122" i="16"/>
  <c r="Q122" i="16"/>
  <c r="AC65" i="16"/>
  <c r="AD65" i="16"/>
  <c r="AB65" i="16"/>
  <c r="AA111" i="8"/>
  <c r="AB111" i="8"/>
  <c r="AC111" i="8"/>
  <c r="AB185" i="16"/>
  <c r="AC185" i="16"/>
  <c r="AD185" i="16"/>
  <c r="P25" i="16"/>
  <c r="Q25" i="16"/>
  <c r="R25" i="16"/>
  <c r="AB148" i="16"/>
  <c r="AC148" i="16"/>
  <c r="AD148" i="16"/>
  <c r="AC101" i="16"/>
  <c r="AD101" i="16"/>
  <c r="AB101" i="16"/>
  <c r="R81" i="16"/>
  <c r="P81" i="16"/>
  <c r="Q81" i="16"/>
  <c r="AB102" i="16"/>
  <c r="AD102" i="16"/>
  <c r="AC102" i="16"/>
  <c r="AC126" i="16"/>
  <c r="AB126" i="16"/>
  <c r="AD126" i="16"/>
  <c r="Q126" i="16"/>
  <c r="R126" i="16"/>
  <c r="P126" i="16"/>
  <c r="Q140" i="16"/>
  <c r="P140" i="16"/>
  <c r="R140" i="16"/>
  <c r="AC36" i="16"/>
  <c r="AB36" i="16"/>
  <c r="AD36" i="16"/>
  <c r="R75" i="16"/>
  <c r="P39" i="16"/>
  <c r="Q39" i="16"/>
  <c r="R39" i="16"/>
  <c r="P91" i="16"/>
  <c r="Q91" i="16"/>
  <c r="R91" i="16"/>
  <c r="AA32" i="8"/>
  <c r="AB32" i="8"/>
  <c r="AC32" i="8"/>
  <c r="AC68" i="16"/>
  <c r="V69" i="16"/>
  <c r="AD68" i="16"/>
  <c r="AB68" i="16"/>
  <c r="R14" i="16"/>
  <c r="R83" i="16"/>
  <c r="P83" i="16"/>
  <c r="Q83" i="16"/>
  <c r="O117" i="8"/>
  <c r="P117" i="8"/>
  <c r="Q117" i="8"/>
  <c r="O112" i="8"/>
  <c r="P112" i="8"/>
  <c r="Q112" i="8"/>
  <c r="AD190" i="16"/>
  <c r="AC190" i="16"/>
  <c r="AB190" i="16"/>
  <c r="AC106" i="8"/>
  <c r="AA106" i="8"/>
  <c r="AB106" i="8"/>
  <c r="R191" i="16"/>
  <c r="Q191" i="16"/>
  <c r="P191" i="16"/>
  <c r="R196" i="16"/>
  <c r="P196" i="16"/>
  <c r="Q196" i="16"/>
  <c r="AB77" i="16"/>
  <c r="AC77" i="16"/>
  <c r="AD77" i="16"/>
  <c r="AD78" i="16"/>
  <c r="AB78" i="16"/>
  <c r="AC78" i="16"/>
  <c r="AC28" i="16"/>
  <c r="AB28" i="16"/>
  <c r="AD28" i="16"/>
  <c r="P63" i="16"/>
  <c r="R63" i="16"/>
  <c r="Q63" i="16"/>
  <c r="P101" i="16"/>
  <c r="Q101" i="16"/>
  <c r="R101" i="16"/>
  <c r="AD129" i="16"/>
  <c r="AB129" i="16"/>
  <c r="AC129" i="16"/>
  <c r="P74" i="16"/>
  <c r="R74" i="16"/>
  <c r="Q74" i="16"/>
  <c r="AA31" i="8"/>
  <c r="AB31" i="8"/>
  <c r="AC31" i="8"/>
  <c r="AC70" i="16"/>
  <c r="V71" i="16"/>
  <c r="AD70" i="16"/>
  <c r="AB70" i="16"/>
  <c r="O111" i="8"/>
  <c r="P111" i="8"/>
  <c r="Q111" i="8"/>
  <c r="AB184" i="16"/>
  <c r="AD184" i="16"/>
  <c r="AC184" i="16"/>
  <c r="R62" i="16"/>
  <c r="P62" i="16"/>
  <c r="Q62" i="16"/>
  <c r="AC105" i="16"/>
  <c r="AB105" i="16"/>
  <c r="AD105" i="16"/>
  <c r="AD119" i="16"/>
  <c r="AC119" i="16"/>
  <c r="AB119" i="16"/>
  <c r="R129" i="16"/>
  <c r="Q129" i="16"/>
  <c r="P129" i="16"/>
  <c r="Q141" i="16"/>
  <c r="P141" i="16"/>
  <c r="AC33" i="16"/>
  <c r="AD33" i="16"/>
  <c r="AB33" i="16"/>
  <c r="P96" i="16"/>
  <c r="Q96" i="16"/>
  <c r="R96" i="16"/>
  <c r="AD151" i="16"/>
  <c r="AB151" i="16"/>
  <c r="AC151" i="16"/>
  <c r="AB8" i="16"/>
  <c r="AC8" i="16"/>
  <c r="AD8" i="16"/>
  <c r="Q42" i="16"/>
  <c r="P42" i="16"/>
  <c r="R42" i="16"/>
  <c r="Q66" i="16"/>
  <c r="AC63" i="16"/>
  <c r="AB63" i="16"/>
  <c r="AD63" i="16"/>
  <c r="R93" i="16"/>
  <c r="P93" i="16"/>
  <c r="Q93" i="16"/>
  <c r="O32" i="8"/>
  <c r="P32" i="8"/>
  <c r="Q32" i="8"/>
  <c r="Q70" i="16"/>
  <c r="J71" i="16"/>
  <c r="P70" i="16"/>
  <c r="R70" i="16"/>
  <c r="AA118" i="8"/>
  <c r="AB118" i="8"/>
  <c r="AC118" i="8"/>
  <c r="O118" i="8"/>
  <c r="P118" i="8"/>
  <c r="Q118" i="8"/>
  <c r="Q105" i="8"/>
  <c r="O105" i="8"/>
  <c r="P105" i="8"/>
  <c r="AD196" i="16"/>
  <c r="AC196" i="16"/>
  <c r="AB196" i="16"/>
  <c r="R197" i="16"/>
  <c r="Q197" i="16"/>
  <c r="P197" i="16"/>
  <c r="P185" i="16"/>
  <c r="Q185" i="16"/>
  <c r="R185" i="16"/>
  <c r="P78" i="16"/>
  <c r="Q78" i="16"/>
  <c r="R78" i="16"/>
  <c r="AB25" i="16"/>
  <c r="AC25" i="16"/>
  <c r="AD25" i="16"/>
  <c r="AC104" i="16"/>
  <c r="AD104" i="16"/>
  <c r="AB104" i="16"/>
  <c r="AD66" i="16" l="1"/>
  <c r="P77" i="16"/>
  <c r="AC66" i="16"/>
  <c r="R77" i="16"/>
  <c r="AB81" i="16"/>
  <c r="AC81" i="16"/>
  <c r="P66" i="16"/>
  <c r="Q137" i="16"/>
  <c r="R137" i="16"/>
  <c r="AB98" i="16"/>
  <c r="AC98" i="16"/>
  <c r="AD98" i="16"/>
  <c r="Q75" i="16"/>
  <c r="AD96" i="16"/>
  <c r="AB96" i="16"/>
  <c r="AC96" i="16"/>
  <c r="R19" i="16"/>
  <c r="P19" i="16"/>
  <c r="Q19" i="16"/>
  <c r="O9" i="8"/>
  <c r="Q9" i="8"/>
  <c r="P9" i="8"/>
  <c r="P10" i="8"/>
  <c r="O10" i="8"/>
  <c r="Q10" i="8"/>
  <c r="P20" i="16"/>
  <c r="R20" i="16"/>
  <c r="Q20" i="16"/>
  <c r="AC69" i="16"/>
  <c r="AD69" i="16"/>
  <c r="AB69" i="16"/>
  <c r="Q69" i="16"/>
  <c r="P69" i="16"/>
  <c r="R69" i="16"/>
  <c r="P17" i="16"/>
  <c r="Q17" i="16"/>
  <c r="R17" i="16"/>
  <c r="R5" i="16"/>
  <c r="Q5" i="16"/>
  <c r="P5" i="16"/>
  <c r="Q18" i="16"/>
  <c r="R18" i="16"/>
  <c r="P18" i="16"/>
  <c r="P21" i="16"/>
  <c r="Q21" i="16"/>
  <c r="R21" i="16"/>
  <c r="Q71" i="16"/>
  <c r="P71" i="16"/>
  <c r="R71" i="16"/>
  <c r="AC71" i="16"/>
  <c r="AD71" i="16"/>
  <c r="AB71" i="16"/>
  <c r="Q4" i="16" l="1"/>
  <c r="R4" i="16"/>
  <c r="P4" i="16"/>
  <c r="Q22" i="16"/>
  <c r="R22" i="16"/>
  <c r="P22" i="16"/>
  <c r="Q7" i="16"/>
  <c r="R7" i="16"/>
  <c r="P7" i="16"/>
  <c r="R8" i="16"/>
  <c r="Q8" i="16"/>
  <c r="P8" i="16"/>
  <c r="P6" i="16"/>
  <c r="R6" i="16"/>
  <c r="Q6" i="16"/>
  <c r="Q3" i="8"/>
  <c r="P3" i="8"/>
  <c r="O3" i="8"/>
  <c r="P4" i="8"/>
  <c r="Q4" i="8"/>
  <c r="O4" i="8"/>
  <c r="P3" i="16"/>
  <c r="Q3" i="16"/>
  <c r="R3" i="16"/>
</calcChain>
</file>

<file path=xl/sharedStrings.xml><?xml version="1.0" encoding="utf-8"?>
<sst xmlns="http://schemas.openxmlformats.org/spreadsheetml/2006/main" count="2050" uniqueCount="398">
  <si>
    <t>Date</t>
  </si>
  <si>
    <t>Version</t>
  </si>
  <si>
    <t>Company</t>
  </si>
  <si>
    <t>Comments</t>
  </si>
  <si>
    <t>2018.7.24</t>
  </si>
  <si>
    <t>Huawei</t>
  </si>
  <si>
    <t>Document created.</t>
  </si>
  <si>
    <t>2018.8.13</t>
  </si>
  <si>
    <t>1. Add results for new antenna configuration (64Tx; 32/64Rx) for 4GHz
2. Update UL results for 4GHz with reduced DMRS overhead, by taking into account the tradeoff between the DMRS overhead and the accuary of channel estimation.</t>
  </si>
  <si>
    <t>Result Updated</t>
  </si>
  <si>
    <t>2018.8.16</t>
  </si>
  <si>
    <t>CATT</t>
  </si>
  <si>
    <t>2018.8.17</t>
  </si>
  <si>
    <t>2018.8.18</t>
  </si>
  <si>
    <t>CAICT</t>
  </si>
  <si>
    <t>Rural Result Updated</t>
  </si>
  <si>
    <t>OPPO</t>
  </si>
  <si>
    <t>CMCC</t>
  </si>
  <si>
    <t>2018.8.19</t>
  </si>
  <si>
    <t>ZTE</t>
  </si>
  <si>
    <t>Upload results for 4GHz</t>
  </si>
  <si>
    <t>2018.8.20</t>
  </si>
  <si>
    <t>China Telecom</t>
  </si>
  <si>
    <t>Results updated</t>
  </si>
  <si>
    <t>1. Add results for TDD 15kHz SCS and update results for TDD 30kHz SCS based on non-precoded CSI-RS measurement
2. Add results for new antenna configuration, i.e. 4Tx for UL</t>
  </si>
  <si>
    <t>2018.8.21</t>
  </si>
  <si>
    <t>Add back some missing results and words</t>
  </si>
  <si>
    <t>2018.8.23</t>
  </si>
  <si>
    <t>Result Updated according to the updated OH and UL 30KHz SCS results updated</t>
  </si>
  <si>
    <t>2018.8.27</t>
  </si>
  <si>
    <t>1. Adjust formats and add a column to indicate the antenna and TXRU mapping in the result sheets.
2. Merge the overhead calculation sheet based on the newest version v36 into the result collection excel.</t>
  </si>
  <si>
    <t>2018.8.28</t>
  </si>
  <si>
    <t>Results Antenna config &amp; Tx scheme</t>
  </si>
  <si>
    <t>2018.8.30</t>
  </si>
  <si>
    <t>Updated</t>
  </si>
  <si>
    <t>1. Update the overhead calculation according to the agrreed GP/PDCCH/PUCCH assumption in the overhead sheet.
2. Update the spectral efficiency results according to the adjusted overhead.</t>
  </si>
  <si>
    <t>2018.9.01</t>
  </si>
  <si>
    <t>1. Update the overhead calculation for larger bandwidth taking into account the guard band ratio and PDCCH overhead reduction in DL.
2. Add new sheets for the spectral efficiency results of the larger bandwidth.</t>
  </si>
  <si>
    <t>2018.9.03</t>
  </si>
  <si>
    <t>Remove the results that do not fulfill requirement</t>
  </si>
  <si>
    <t>Update the overhead information for UL 30 GHz for 80MHz BW</t>
  </si>
  <si>
    <t>Dense Urban - eMBB</t>
  </si>
  <si>
    <t>Technical configuration Parameters</t>
  </si>
  <si>
    <t>Reference value for NR</t>
  </si>
  <si>
    <t>NR FDD</t>
  </si>
  <si>
    <t>NR TDD</t>
  </si>
  <si>
    <t>Multiple access</t>
  </si>
  <si>
    <t>OFDMA</t>
  </si>
  <si>
    <t>Aligned with reference</t>
  </si>
  <si>
    <t>Duplexing</t>
  </si>
  <si>
    <t>FDD</t>
  </si>
  <si>
    <t>TDD</t>
  </si>
  <si>
    <t>Network synchronization</t>
  </si>
  <si>
    <t>Synchronized</t>
  </si>
  <si>
    <t>Modulation</t>
  </si>
  <si>
    <t>Up to 256 QAM</t>
  </si>
  <si>
    <t>Coding on PDSCH</t>
  </si>
  <si>
    <t>LDPC
Max code-block size=8448bit 
[with BP decoding]</t>
  </si>
  <si>
    <t>Numerology</t>
  </si>
  <si>
    <t>15KHz / 30kHz,
14 OFDM symbol slot</t>
  </si>
  <si>
    <t>15kHz SCS,
14 OFDM symbol slot</t>
  </si>
  <si>
    <t>15kHz/30kHz SCS,
14 OFDM symbol slot</t>
  </si>
  <si>
    <t>15 / 30kHz SCS,
14 OFDM symbol slot</t>
  </si>
  <si>
    <t>30kHz SCS,
14 OFDM symbol slot</t>
  </si>
  <si>
    <t>30 kHz SCS,
14 OFDM symbol slot</t>
  </si>
  <si>
    <t>15 kHz SCS,
14 OFDM symbol slot</t>
  </si>
  <si>
    <t>Guard band ratio on simulation bandwidth</t>
  </si>
  <si>
    <t>FDD: 6.4% (for 10 MHz)
TDD: 8.2% (51 RB for 30kHz SCS and  20 MHz bandwidth)
TDD: 4.6% (106 RB for 15kHz SCS and  20 MHz bandwidth)</t>
  </si>
  <si>
    <t>TDD: 8.2% (51 RB for 30 kHz 20 MHz); 1.72% (273 RB for 30 kHz 100 MHz)</t>
  </si>
  <si>
    <t>Simulation bandwdith</t>
  </si>
  <si>
    <t>FDD: 10 MHz
TDD: 20 MHz</t>
  </si>
  <si>
    <t>10 MHz</t>
  </si>
  <si>
    <t>20MHz</t>
  </si>
  <si>
    <t>Frame structure</t>
  </si>
  <si>
    <t>Full downlink</t>
  </si>
  <si>
    <t>DDDSU</t>
  </si>
  <si>
    <t>DSUUD</t>
  </si>
  <si>
    <t xml:space="preserve">TDD Config 1: [DDDDDDDSUU], S(6DL:4GP:4UL) 
TDD Config 2: [DDSUUUUUUU], S(6DL:4GP:4UL) </t>
  </si>
  <si>
    <t>DDDSU
DSUUD</t>
  </si>
  <si>
    <t>FDD: Full downlink</t>
  </si>
  <si>
    <t>DDSU</t>
  </si>
  <si>
    <t>Transmission scheme</t>
  </si>
  <si>
    <t>Closed SU/MU-MIMO adaptation</t>
  </si>
  <si>
    <t>closed SU/MU-MIMO adaptation</t>
  </si>
  <si>
    <t>DL CSI measurement</t>
  </si>
  <si>
    <t>Non-precoded CSI-RS  based</t>
  </si>
  <si>
    <t>For 32T: Non-precoded CSI-RS  based
For 64T: Precoded CSI-RS based</t>
  </si>
  <si>
    <t xml:space="preserve"> -- Precoded CSI-RS based
 -- Non-precoded CSI-RS based</t>
  </si>
  <si>
    <t>Precoded CSI-RS based, non-PMI</t>
  </si>
  <si>
    <t>Precoded CSI-RS based</t>
  </si>
  <si>
    <t>Non-PMI feedback</t>
  </si>
  <si>
    <t>DL codebook</t>
  </si>
  <si>
    <t>Type II codebook;
4 beams, WB+SB amplitude quantization, 8 PSK phase quantization</t>
  </si>
  <si>
    <t>For 32T: Type II codebook;
4 beams, WB+SB amplitude quantization, 8 PSK phase quantization;
For 64T: non-PMI transmission</t>
  </si>
  <si>
    <t xml:space="preserve"> -- For precoded CSI-RS based, non-PMI, N.A.
 -- For non-precoded CSI-RS, Type II codebook;4 beams, WB+SB, 8 PSK</t>
  </si>
  <si>
    <t>N/A</t>
  </si>
  <si>
    <t>Type II codebook</t>
  </si>
  <si>
    <t>PRB bundling</t>
  </si>
  <si>
    <t>4 PRBs</t>
  </si>
  <si>
    <t>MU dimension</t>
  </si>
  <si>
    <t>Up to 12 layers</t>
  </si>
  <si>
    <t>SU dimension</t>
  </si>
  <si>
    <t>For 4Rx: Up to 4 layers</t>
  </si>
  <si>
    <t>For 4Rx: Up to 2 layers</t>
  </si>
  <si>
    <t>Codeword (CW)-to-layer mapping</t>
  </si>
  <si>
    <t>For 1~4 layers, CW1;
For 5 layers or more, two CWs</t>
  </si>
  <si>
    <t>SRS transmission</t>
  </si>
  <si>
    <t>Companies to Report:
• Precoded or non-precoded SRS transmission;
• SRS switch or not for 1T4R/2T4R/1T2R
• SRS bandwidth
• Number of OFDM symbols within 1 slot for SRS transmission per UE</t>
  </si>
  <si>
    <t>For UE 4 Tx ports: Non-precoded SRS, 4 SRS ports (with 4 SRS resources),
2 symbols per 5 slots for 15kHz SCS;
4 symbols per 5 slots for 30kHz SCS;</t>
  </si>
  <si>
    <t>For UE 4 Tx ports: Non-precoded SRS, 4 SRS ports (with 4 SRS resources),
2 symbols in every 10 slots,</t>
  </si>
  <si>
    <t>For UE 4 Tx ports: Non-precoded SRS, 4 SRS ports (with 4 SRS resources),
2 symbols in special slot for SRS,
8 PRBs per symbol</t>
  </si>
  <si>
    <t>• non-precoded SRS transmission;
• SRS switch for 2T4R
• adaptive SRS bandwidth per UE 
• 2 symbols within 1 slot for SRS transmission per UE</t>
  </si>
  <si>
    <t>• non-precoded SRS transmission;</t>
  </si>
  <si>
    <t>CSI feedback</t>
  </si>
  <si>
    <t xml:space="preserve">PMI, CQI: every 5 slot; RI: every 5 slot;
Subband based </t>
  </si>
  <si>
    <t xml:space="preserve">CQI: every 5 slot; RI: every 5 slot, CRI: every 5 slot
Subband based </t>
  </si>
  <si>
    <t xml:space="preserve">PMI, CQI: every 10 slot; RI: every 10 slot;
Subband based </t>
  </si>
  <si>
    <t xml:space="preserve">CQI: every 10 slot; RI: every 10 slot, CRI: every 10 slot; PMI: every 10 slot; 
Subband based </t>
  </si>
  <si>
    <t xml:space="preserve">CQI: every 10 slot; RI: every 10 slot, CRI: every 10 slot
Subband based </t>
  </si>
  <si>
    <t>Interference measurement</t>
  </si>
  <si>
    <t>SU-CQI; CSI-IM for inter-cell interference measurement</t>
  </si>
  <si>
    <t>Max CBG number</t>
  </si>
  <si>
    <t>ACK/NACK delay</t>
  </si>
  <si>
    <t>UE capability 1</t>
  </si>
  <si>
    <t>The next available UL slot</t>
  </si>
  <si>
    <t>Re-transmission delay</t>
  </si>
  <si>
    <t>The next available DL slot after receiving NACK</t>
  </si>
  <si>
    <t>-</t>
  </si>
  <si>
    <t>Antenna configuration at TRxP</t>
  </si>
  <si>
    <t>(M, N, P, Mg, Ng; Mp, Np)
- M: Number of vertical antenna elements within a panel, on one polarization
- N: Number of horizontal antenna elements within a panel, on one polarization
- P: Number of polarizations
- Mg: Number of panels in a column;
- Ng: Number of panels in a row;
- Mp: Number of vertical TXRUs within a panel, on one polarization
- Np: Number of horizontal TXRUs within a panel, on one polarization</t>
  </si>
  <si>
    <t>For 32T: (M,N,P,Mg,Ng; Mp,Np) = (8,8,2,1,1;2,8)
(dH, dV)=(0.5, 0.8)λ</t>
  </si>
  <si>
    <t>For 32T:  (M,N,P,Mg,Ng; Mp,Np) = (8,8,2,1,1;2,8)
(dH, dV)=(0.5, 0.8)λ;
For 64T:  (M,N,P,Mg,Ng; Mp,Np) = (12,8,2,1,1;4,8)
(dH, dV)=(0.5, 0.8)λ;</t>
  </si>
  <si>
    <t>For 32T: (M,N,P,Mg,Ng; Mp,Np) = (16,8,2,1,1;2,8)
For 32T: (M,N,P,Mg,Ng; Mp,Np) = (8,8,2,1,1;2,8)
(dH, dV)=(0.5, 0.8)λ</t>
  </si>
  <si>
    <t>For 32T:  (M,N,P,Mg,Ng; Mp,Np) = (16,8,2,1,1;2,8)
(dH, dV)=(0.5, 0.8)λ;
For 64T:  (M,N,P,Mg,Ng; Mp,Np) = (12,8,2,1,1;4,8)
For 64T:  (M,N,P,Mg,Ng; Mp,Np) = (16,8,2,1,1;4,8)
(dH, dV)=(0.5, 0.8)λ;</t>
  </si>
  <si>
    <t>For 32T:  (M,N,P,Mg,Ng; Mp,Np) = (8,8,2,1,1;2,8)
(dH, dV)=(0.5, 0.8)λ</t>
  </si>
  <si>
    <t>For 32T:  (M,N,P,Mg,Ng; Mp,Np) = (8,8,2,1,1;2,8)
(dH, dV)=(0.5, 0.8)λ;</t>
  </si>
  <si>
    <t>For 64T:  (M,N,P,Mg,Ng; Mp,Np) = (12,8,2,1,1;4,8)
(dH, dV)=(0.5, 0.8)λ;</t>
  </si>
  <si>
    <r>
      <rPr>
        <sz val="9"/>
        <rFont val="Arial"/>
        <family val="2"/>
      </rPr>
      <t>For 64T: (M,N,P,Mg,Ng; Mp,Np) = (12,8,2,1,1;</t>
    </r>
    <r>
      <rPr>
        <sz val="9"/>
        <color theme="1"/>
        <rFont val="Arial"/>
        <family val="2"/>
      </rPr>
      <t>4,8</t>
    </r>
    <r>
      <rPr>
        <sz val="9"/>
        <rFont val="Arial"/>
        <family val="2"/>
      </rPr>
      <t>)
(dH, dV)=(0.5, 0.8)λ</t>
    </r>
  </si>
  <si>
    <t>Antenna configuration at UE</t>
  </si>
  <si>
    <t>(M, N, P, Mg, Ng; Mp, Np)
- M: Number of vertical antenna elements within a panel, on one polarization
- N: Number of horizontal antenna elements within a panel, on one polarization
- P: Number of polarizations
- Mg: Number of panels;
- Ng: default: 1
- Mp: Number of vertical TXRUs within a panel, on one polarization
- Np: Number of horizontal TXRUs within a panel, on one polarization</t>
  </si>
  <si>
    <t>For 4R:  (M,N,P,Mg,Ng; Mp,Np)= (1,2,2,1,1; 1,2)
(dH, dV)=(0.5, N/A)λ</t>
  </si>
  <si>
    <t>For 4R:  (M,N,P,Mg,Ng; Mp,Np)= (1,2,2,1,1; 1,2)
(dH, dV)=(0.5, 0.5)λ</t>
  </si>
  <si>
    <t>Scheduling</t>
  </si>
  <si>
    <t>PF</t>
  </si>
  <si>
    <t>Receiver</t>
  </si>
  <si>
    <t>MMSE-IRC</t>
  </si>
  <si>
    <t>Channel estimation</t>
  </si>
  <si>
    <t>Non-ideal</t>
  </si>
  <si>
    <t>ideal</t>
  </si>
  <si>
    <t>System configuration parameters</t>
  </si>
  <si>
    <t>Reference Value</t>
  </si>
  <si>
    <t xml:space="preserve">Mechanic tilt </t>
  </si>
  <si>
    <t>90° in GCS (pointing to horizontal direction)</t>
  </si>
  <si>
    <t>Electronic tilt</t>
  </si>
  <si>
    <t>105 degree</t>
  </si>
  <si>
    <t>102 degree</t>
  </si>
  <si>
    <t>Handover margin (dB)</t>
  </si>
  <si>
    <t>UT attachment</t>
  </si>
  <si>
    <t>Based on RSRP (formula (8.1-1) in TR36.873) from port 0</t>
  </si>
  <si>
    <t>Wrapping around method</t>
  </si>
  <si>
    <t>Geographical distance based wrapping</t>
  </si>
  <si>
    <t>Beam set at TRxP
(Constraints for the range of selective analog beams per TRxP)</t>
  </si>
  <si>
    <t>Beam set at UE
(Constraints for the range of selective analog beams for UE)</t>
  </si>
  <si>
    <t>Criteria for selection for serving TRxP</t>
  </si>
  <si>
    <t xml:space="preserve">Maximizing RSRP where the digital beamforming is not considered </t>
  </si>
  <si>
    <t>Criteria for analog beam selection for serving TRxP</t>
  </si>
  <si>
    <t>Criteria for analog beam selection for interfering TRxP</t>
  </si>
  <si>
    <t>Other system configuration parameters align with Report ITU-R M.2412</t>
  </si>
  <si>
    <t>Reference value</t>
  </si>
  <si>
    <t>Up to 256QAM</t>
  </si>
  <si>
    <t>Coding on PUSCH</t>
  </si>
  <si>
    <t>FDD: 6.4% (for 10 MHz)
TDD: 8.2% (51 RB for 30 kHz 20 MHz)
TDD: 4.6% (106 RB for 15 kHz 20 MHz)</t>
  </si>
  <si>
    <t>Full uplink</t>
  </si>
  <si>
    <t xml:space="preserve">UL codebook based SU-MIMO / MU-MIMO </t>
  </si>
  <si>
    <t>UL SU-MIMO with rank adaptation</t>
  </si>
  <si>
    <t>UL codebook</t>
  </si>
  <si>
    <t>For 2Tx: NR 2Tx codebook;
For 4Tx: NR 4Tx codebook;</t>
  </si>
  <si>
    <t>For 4Tx: NR 4Tx codebook</t>
  </si>
  <si>
    <t>For 2Tx: NR 2Tx codebook</t>
  </si>
  <si>
    <t>For 2Tx/4Tx: Up to 2 layers</t>
  </si>
  <si>
    <t>For 2Tx: Up to 2 layers</t>
  </si>
  <si>
    <t>For 4Tx: Up to 2 layers</t>
  </si>
  <si>
    <t>For UE 2 Tx ports: Non-precoded SRS, 2 SRS ports (with 2 SRS resources);
For UE 4 Tx ports: Non-precoded SRS, 4 SRS ports (with 4 SRS resources);
2 symbols for SRS in every 5 slots,
8 PRBs per symbol</t>
  </si>
  <si>
    <t>For UE 4 Tx ports: Non-precoded SRS, 4 SRS ports (with 2 SRS resources),
2 symbols for SRS in every 10 slots</t>
  </si>
  <si>
    <t>For UE 4 Tx ports: Non-precoded SRS, 4 SRS ports (with 2 SRS resources),
2 symbols in every 10 slots</t>
  </si>
  <si>
    <t>2 SRS ports : Non-precoded SRS, 
2 symbols for SRS in every 10 slots,</t>
  </si>
  <si>
    <t>For 16R:  (M,N,P,Mg,Ng; Mp,Np)= (8,8,2,1,1; 1,8)
(dH, dV)=(0.5, 0.8)λ;
For 32R:  (M,N,P,Mg,Ng; Mp,Np)= (8,8,2,1,1; 2,8)
(dH, dV)=(0.5, 0.8)λ;</t>
  </si>
  <si>
    <t>For 32R: (M,N,P,Mg,Ng; Mp,Np)= (8,8,2,1,1; 2,8)
(dH, dV)=(0.5, 0.8)λ;
For 64R: (M,N,P,Mg,Ng; Mp,Np)= (12,8,2,1,1; 4,8)
(dH, dV)=(0.5, 0.8)λ;</t>
  </si>
  <si>
    <t>For 16R:  (M,N,P,Mg,Ng; Mp,Np)= (8,8,2,1,1; 1,8)
(dH, dV)=(0.5, 0.8)λ;</t>
  </si>
  <si>
    <t>For 64R: (M,N,P,Mg,Ng; Mp,Np) = (12,8,2,1,1;4,8)                                       For 32R: (M,N,P,Mg,Ng; Mp,Np) = (12,8,2,1,1;4,4)
(dH, dV)=(0.5, 0.8)λ</t>
  </si>
  <si>
    <t>For 2T: (M,N,P,Mg,Ng; Mp,Np)=  (1,1,2,1,1; 1,1)
(dH, dV)=( 0.5, 0.5)λ</t>
  </si>
  <si>
    <t>For 4T: (M,N,P,Mg,Ng; Mp,Np)=  (1,2,2,1,1; 1,2)
(dH, dV)=( 0.5, N/A)λ</t>
  </si>
  <si>
    <t>UL re-transmission delay</t>
  </si>
  <si>
    <t>Next available UL slot after reiving retransmission indication</t>
  </si>
  <si>
    <t>Power control parameter</t>
  </si>
  <si>
    <t>P0=-86, alpha = 0.9</t>
  </si>
  <si>
    <t>P0=-80, alpha = 0.8</t>
  </si>
  <si>
    <t>Power backoff model</t>
  </si>
  <si>
    <t>Continuous RB allocation: follow TS 38.101 for FR1;
Non-continuous RB allocation: additional 2 dB reduction</t>
  </si>
  <si>
    <t>Continuous RB allocation: follow TS 38.101 for FR1;
Non-continuous RB allocation:[R1-1806322]</t>
  </si>
  <si>
    <t>NOTE: This table is a place-holder. The content will be from Intel's excel sheet on overhead.</t>
  </si>
  <si>
    <t>Overhead assumption</t>
  </si>
  <si>
    <t>FR1</t>
  </si>
  <si>
    <t>PDCCH</t>
  </si>
  <si>
    <t>2 symbols</t>
  </si>
  <si>
    <t>SSB</t>
  </si>
  <si>
    <t>1 SSB / 20ms</t>
  </si>
  <si>
    <t>4 SSB / 20ms</t>
  </si>
  <si>
    <t>8 SSB / 20ms</t>
  </si>
  <si>
    <t>CSI-RS for CM</t>
  </si>
  <si>
    <t>5 slots period;
32 ports for 32Tx;</t>
  </si>
  <si>
    <t xml:space="preserve">
For 64T: 4*10 ports with 5 slots period (4 ports per UE);
For 32T: 32 ports with 5 slots period </t>
  </si>
  <si>
    <t>10 slots period;
32 ports for 32Tx;</t>
  </si>
  <si>
    <t xml:space="preserve"> -- Precoded CSI-RS: 4*10 ports with 10 slots period (UE-specific beformed csi-rs, 4 ports per UE)
 -- Non-precoded CSI-RS: 32 ports with 10 slots period</t>
  </si>
  <si>
    <t xml:space="preserve">
4*10 ports with 5 slots period (4 ports per UE)</t>
  </si>
  <si>
    <t>5 ms period;
32 ports for 32Tx, 1RE/port/PRB</t>
  </si>
  <si>
    <t>5 ms period;
4*10 ports, 1RE/port/PRB</t>
  </si>
  <si>
    <t xml:space="preserve">
4*8 ports with 5ms(10 slots) period (4 ports beamformed csi-rs)</t>
  </si>
  <si>
    <t>8*4 ports with 10 slots period</t>
  </si>
  <si>
    <t>CSI-RS for IM</t>
  </si>
  <si>
    <t>ZP CSI-RS with 5 slots period;
4 RE/PRB/5 slots</t>
  </si>
  <si>
    <t>ZP CSI-RS with 10 slots period;
4 RE/PRB/10 slots</t>
  </si>
  <si>
    <t>ZP CSI-RS with 5 ms period;
4 REs/PRB/5 ms</t>
  </si>
  <si>
    <t>ZP CSI-RS with 5 ms(10 slots) period;
4 RE/PRB/5 ms(10 slots)</t>
  </si>
  <si>
    <t>DMRS</t>
  </si>
  <si>
    <t>Type II, up to 12 ports, dynamic</t>
  </si>
  <si>
    <t>Type II, 12 ports</t>
  </si>
  <si>
    <t>TRS</t>
  </si>
  <si>
    <t>20ms period;
maximal bandwidth with 52 PRB;
burst length with 2 slots
12 RE/PRB/20ms</t>
  </si>
  <si>
    <t>Four periodic NZP CSI-RS resources with 80ms period, bandwidth 52 PRB
12 RE/PRB/80ms</t>
  </si>
  <si>
    <t>20ms period;
maximal bandwidth with 51 PRB;
burst length with 2 slots
12 RE/PRB/20ms</t>
  </si>
  <si>
    <t>12 REs/PRB with 20ms period;
maximal bandwidth with 52 PRB;</t>
  </si>
  <si>
    <t>12 REs/PRB with 20ms period;
maximal bandwidth with 51 PRB;</t>
  </si>
  <si>
    <t>20ms period;
maximal bandwidth with 52 PRB;
burst length with 2 slots
6 RE/PRB/20ms</t>
  </si>
  <si>
    <t>GP</t>
  </si>
  <si>
    <t>2 symbols in 10ms</t>
  </si>
  <si>
    <t>4 symbols per 5ms(10 slot)</t>
  </si>
  <si>
    <t>SRS</t>
  </si>
  <si>
    <t>12 SSB / 20ms</t>
  </si>
  <si>
    <t>PUCCH</t>
  </si>
  <si>
    <t xml:space="preserve">2 PRBs and 14 OS for the slots without SRS transmission; 2 PRBs and 12 OS for the slots with SRS transmission  </t>
  </si>
  <si>
    <t>2 PRBs and 14 OS for 30kHz SCS for the slots without SRS transmission;
4 PRBs and 14 OS for 15kHz  SCS for the slots without SRS transmission</t>
  </si>
  <si>
    <t xml:space="preserve">1 slot with (3 PRB, 14 OS) and 9 slots with (1 PRB, 2 OS) </t>
  </si>
  <si>
    <t xml:space="preserve">1 slot with (3 PRB, 14 OS) and  3 slots with (1 PRB, 2 OS) </t>
  </si>
  <si>
    <t>4 PRBs, 14 OS</t>
  </si>
  <si>
    <t>Type II, 2  symbols, multiplexing with PUSCH</t>
  </si>
  <si>
    <t>Type II, 2  symbols (including one additional DMRS symbol), multiplexing with PUSCH</t>
  </si>
  <si>
    <t>Type II, 2  symbols</t>
  </si>
  <si>
    <t>TypeII, 2 ports</t>
  </si>
  <si>
    <t>2 symbols per 5 slots</t>
  </si>
  <si>
    <t>2 symbols per 10 slots</t>
  </si>
  <si>
    <t xml:space="preserve">
Note 1. OH1 is the orginal overhead provided by each company. OH2 is the adjusted overhead according to the agreed GP and PDCCH assumption. 
Note 2. OH3 and OH4 is the further adjusted overhead for the larger bandwidth taking into account the gurad band ratio and PDCCH overhead reduction. OH3 and OH4 is noly used in DL.</t>
  </si>
  <si>
    <t>Frequency Range 1 - FDD</t>
  </si>
  <si>
    <t>Assumption: 10MHz BW, 15kHz SCS, 10ms duration</t>
  </si>
  <si>
    <t>Simulation BW&amp;RB#</t>
  </si>
  <si>
    <t>Scale BW1&amp;RB#</t>
  </si>
  <si>
    <t>Scale BW2&amp;RB#</t>
  </si>
  <si>
    <t>Total bandwidth</t>
  </si>
  <si>
    <t>TOTAL PRBs</t>
  </si>
  <si>
    <t>Guard band rtio</t>
  </si>
  <si>
    <t>Antenna configuration</t>
  </si>
  <si>
    <t>CSI-RS</t>
  </si>
  <si>
    <t>CSI-IM</t>
  </si>
  <si>
    <t>Total RE
w/ OH1</t>
  </si>
  <si>
    <t>Total OH RE w/ OH1</t>
  </si>
  <si>
    <t>Total OH (%) w/ OH1</t>
  </si>
  <si>
    <t>Total RE
w/ OH2</t>
  </si>
  <si>
    <t>Total OH RE
w/ OH2</t>
  </si>
  <si>
    <t>Total OH (%) w/ OH2</t>
  </si>
  <si>
    <t>Adjust factor for OH1 and OH2</t>
  </si>
  <si>
    <t>Total RE
w/ OH3 (20MHz)</t>
  </si>
  <si>
    <t>Total OH RE
w/ OH3
(20MHz)</t>
  </si>
  <si>
    <t>Total OH (%) w/ OH3 (20MHz)</t>
  </si>
  <si>
    <t>Adjust factor for OH2 and OH3</t>
  </si>
  <si>
    <t>Total RE
w/ OH4 (40MHz)</t>
  </si>
  <si>
    <t>Total OH RE
w/ OH4
(40MHz)</t>
  </si>
  <si>
    <t>Total OH (%) w/ OH4 (40MHz)</t>
  </si>
  <si>
    <t>Adjust factor for OH2 and OH4</t>
  </si>
  <si>
    <t>32T4R</t>
  </si>
  <si>
    <t>Frequency Range 1 - TDD</t>
  </si>
  <si>
    <t>Assumption: 20 MHz BW, 15kHz SCS, 10ms duration</t>
  </si>
  <si>
    <t>Total PRBs</t>
  </si>
  <si>
    <t>TDD Frame Structure</t>
  </si>
  <si>
    <t>GP(50%)</t>
  </si>
  <si>
    <t>Total RE
w/ OH3 (40MHz)</t>
  </si>
  <si>
    <t>Total OH RE
w/ OH3
(40MHz)</t>
  </si>
  <si>
    <t>Total OH (%) w/ OH3 (40MHz)</t>
  </si>
  <si>
    <t>DSUUD; S (6D,2G,6U)</t>
  </si>
  <si>
    <t>CATT(non-precoded CSIRS)</t>
  </si>
  <si>
    <t>DSUUD; S (11D,1G,2U)</t>
  </si>
  <si>
    <t>CATT(precoded CSIRS)</t>
  </si>
  <si>
    <t>32T4R / 64T4R</t>
  </si>
  <si>
    <t>DDDSU; S (10D,2G,2U)</t>
  </si>
  <si>
    <t>64T4R</t>
  </si>
  <si>
    <t>DDDSU;S(10D,2G,2U)</t>
  </si>
  <si>
    <t>Assumption: 20 MHz BW, 30kHz SCS, 10ms duration</t>
  </si>
  <si>
    <t>Total bandwidth [MHz]</t>
  </si>
  <si>
    <t>Total RE
w/ OH4 (100MHz)</t>
  </si>
  <si>
    <t>Total OH RE
w/ OH4
(100MHz)</t>
  </si>
  <si>
    <t>Total OH (%) w/ OH4 (100MHz)</t>
  </si>
  <si>
    <t>8T2R/64T4R</t>
  </si>
  <si>
    <t xml:space="preserve">32T4R </t>
  </si>
  <si>
    <t>DDDSU; S (11D,1G,2U)</t>
  </si>
  <si>
    <t xml:space="preserve">DDDDD DDSUU;  S(6D,4G,4U) </t>
  </si>
  <si>
    <t>Note: OH1 is the orginal overhead provided by each company. OH2 is the adjusted overhead according to the agreed GP (50% for UL) and PUCCH assumption.</t>
  </si>
  <si>
    <t>Assumption: 10 MHz BW, 15kHz SCS, 10ms duration</t>
  </si>
  <si>
    <t>Channel model A</t>
  </si>
  <si>
    <t>RIT</t>
  </si>
  <si>
    <t>Antenna and TXRU mapping</t>
  </si>
  <si>
    <t>Antenna config &amp; Tx scheme</t>
  </si>
  <si>
    <t>Req.</t>
  </si>
  <si>
    <t>Mean</t>
  </si>
  <si>
    <t>Var</t>
  </si>
  <si>
    <t>Number of samples</t>
  </si>
  <si>
    <t>Channel model B</t>
  </si>
  <si>
    <t>DL Spectral efficiency</t>
  </si>
  <si>
    <t>NR</t>
  </si>
  <si>
    <t xml:space="preserve"> gNB: (M,N,P,Mg,Ng; Mp,Np) = (8,8,2,1,1;2,8)</t>
  </si>
  <si>
    <t>32x4 MU-MIMO Type II Codebook
(128Tx@gNB)</t>
  </si>
  <si>
    <t>15 kHz SCS</t>
  </si>
  <si>
    <t>Average [bit/s/Hz/TRxP]</t>
  </si>
  <si>
    <t>5th percentile [bit/s/Hz]</t>
  </si>
  <si>
    <t>32x4 MU-MIMO Type I Codebook
(128Tx@gNB)</t>
  </si>
  <si>
    <t xml:space="preserve"> gNB: (M,N,P,Mg,Ng; Mp,Np) = (8,16,2,1,1;1,16)</t>
  </si>
  <si>
    <t xml:space="preserve">32x4 MU-MIMO Type II Codebook
((256Tx@gNB)) </t>
  </si>
  <si>
    <t xml:space="preserve"> gNB: (M,N,P,Mg,Ng; Mp,Np) = (16,8,2,1,1;2,8)</t>
  </si>
  <si>
    <t>32x4 MU-MIMO
Ideal CSI feedback
(128Tx@gNB)</t>
  </si>
  <si>
    <t>gNB: (M,N,P,Mg,Ng; Mp,Np) = (8,8,2,1,1;2,1)</t>
  </si>
  <si>
    <t>4x4 MU-MIMO Type II Codebook 
(128Tx@gNB)</t>
  </si>
  <si>
    <t>gNB: (M,N,P,Mg,Ng; Mp,Np) = (12,8,2,1,1;4,8)</t>
  </si>
  <si>
    <t>64x4 MU-MIMO Type II Codebook (192Tx@gNB)</t>
  </si>
  <si>
    <t>32x8 MU-MIMO Type II Codebook
(256Tx@gNB)</t>
  </si>
  <si>
    <t>32x4 MU-MIMO,  4T SRS
(128Tx@gNB)</t>
  </si>
  <si>
    <t>30 kHz SCS</t>
  </si>
  <si>
    <t>64x4 MU-MIMO,  4T SRS
(192Tx@gNB)</t>
  </si>
  <si>
    <t>32x4 MU-MIMO,  Type II Codebook
(256Tx@gNB)</t>
  </si>
  <si>
    <t>64x4 MU-MIMO,  4T SRS (192Tx@gNB)</t>
  </si>
  <si>
    <t>gNB: (M,N,P,Mg,Ng; Mp,Np) = (16,8,2,1,1;4,8)</t>
  </si>
  <si>
    <t>64x4 MU-MIMO,  4T SRS (256Tx@gNB)</t>
  </si>
  <si>
    <t>gNB: (M,N,P,Mg,Ng; Mp,Np) = (4,32,2,1,1;1,32)</t>
  </si>
  <si>
    <t>64x8 MU-MIMO,   4T SRS (256Tx@gNB)</t>
  </si>
  <si>
    <t>DDDDD DDSUU</t>
  </si>
  <si>
    <t>32x8 MU-MIMO,  4T SRS 
(256Tx@gNB)</t>
  </si>
  <si>
    <t>gNB:  (M,N,P, Mg,Ng,Mp,Np) = (8,16,2,1,1;4,16)</t>
  </si>
  <si>
    <t>128x4, MU-MIMO, 4T SRS</t>
  </si>
  <si>
    <t>UL spectral efficiency</t>
  </si>
  <si>
    <t xml:space="preserve"> gNB: (M,N,P,Mg,Ng; Mp,Np) = (8,8,2,1,1;1,8)</t>
  </si>
  <si>
    <t>2x16 SU-MIMO, OFDMA</t>
  </si>
  <si>
    <t>2x32 SU-MIMO, OFDMA</t>
  </si>
  <si>
    <t>4x32 SU-MIMO, OFDMA</t>
  </si>
  <si>
    <t>4x32 MU-MIMO, OFDMA</t>
  </si>
  <si>
    <t>4x16 SU-MIMO, OFDMA</t>
  </si>
  <si>
    <t>16x16 SU-MIMO, OFDMA</t>
  </si>
  <si>
    <t xml:space="preserve"> gNB: (M,N,P,Mg,Ng; Mp,Np) = (8,8,2,1,1;2,1)</t>
  </si>
  <si>
    <t>4x4 SU-MIMO, OFDMA</t>
  </si>
  <si>
    <t>2x32 SU-MIMO, Codebook based, OFDMA</t>
  </si>
  <si>
    <t>2x64 SU-MIMO, Codebook based, OFDMA</t>
  </si>
  <si>
    <t>4x32 SU-MIMO, Codebook based, OFDMA</t>
  </si>
  <si>
    <t>4x32 MU-MIMO, Codebook based, OFDMA</t>
  </si>
  <si>
    <t>4x16 SU-MIMO, Non-codebook based,OFDMA</t>
  </si>
  <si>
    <t>4x16 SU-MIMO, codebook based,OFDMA</t>
  </si>
  <si>
    <t>8x64 MU-MIMO, Codebook based, OFDMA</t>
  </si>
  <si>
    <t>gNB: (M,N,P,Mg,Ng; Mp,Np) = (12,8,2,1,1;4,4)</t>
  </si>
  <si>
    <t>4x128, MU-MIMO, Codebook based, OFDMA</t>
  </si>
  <si>
    <t>DL Spectral efficienc</t>
  </si>
  <si>
    <t xml:space="preserve">Average [bit/s/Hz/TRxP] </t>
  </si>
  <si>
    <r>
      <t>2</t>
    </r>
    <r>
      <rPr>
        <sz val="10"/>
        <rFont val="Arial"/>
        <family val="2"/>
      </rPr>
      <t>018.9.03</t>
    </r>
    <phoneticPr fontId="14" type="noConversion"/>
  </si>
  <si>
    <r>
      <t>Z</t>
    </r>
    <r>
      <rPr>
        <sz val="10"/>
        <rFont val="Arial"/>
        <family val="2"/>
      </rPr>
      <t>TE</t>
    </r>
    <phoneticPr fontId="14" type="noConversion"/>
  </si>
  <si>
    <r>
      <t>F</t>
    </r>
    <r>
      <rPr>
        <sz val="10"/>
        <rFont val="Arial"/>
        <family val="2"/>
      </rPr>
      <t>ix our UL 4G results and antenna configurations</t>
    </r>
    <phoneticPr fontId="14" type="noConversion"/>
  </si>
  <si>
    <t>Average [bit/s/Hz/TRxP]</t>
    <phoneticPr fontId="23" type="noConversion"/>
  </si>
  <si>
    <t>5th percentile [bit/s/Hz]</t>
    <phoneticPr fontId="23" type="noConversion"/>
  </si>
  <si>
    <r>
      <t>2</t>
    </r>
    <r>
      <rPr>
        <sz val="10"/>
        <rFont val="Arial"/>
        <family val="2"/>
      </rPr>
      <t>018.9.03</t>
    </r>
    <phoneticPr fontId="14" type="noConversion"/>
  </si>
  <si>
    <t>Huawei</t>
    <phoneticPr fontId="14" type="noConversion"/>
  </si>
  <si>
    <t>Add scaling up results of 100 MHz for Qualcomm DL SE results for 4 GHz</t>
    <phoneticPr fontId="46" type="noConversion"/>
  </si>
  <si>
    <t>2018.9.07</t>
  </si>
  <si>
    <t>Adjust formats</t>
    <phoneticPr fontId="14" type="noConversion"/>
  </si>
  <si>
    <t>32x4 MU-MIMO, Type II Codebook
(256Tx@gNB)</t>
    <phoneticPr fontId="14" type="noConversion"/>
  </si>
  <si>
    <t>2018.9.09</t>
    <phoneticPr fontId="46" type="noConversion"/>
  </si>
  <si>
    <t>For 2T: (M,N,P,Mg,Ng; Mp,Np)=  (1,1,2,1,1; 1,1); (dH, dV)=( N/A, N/A)λ
For 4T: (M,N,P,Mg,Ng; Mp,Np)=  (1,2,2,1,1; 1,2); (dH, dV)=( 0.5, N/A)λ</t>
    <phoneticPr fontId="14" type="noConversion"/>
  </si>
  <si>
    <t>DDDSU</t>
    <phoneticPr fontId="14" type="noConversion"/>
  </si>
  <si>
    <t>Huawei</t>
    <phoneticPr fontId="46" type="noConversion"/>
  </si>
  <si>
    <t>1. Update the overhead for DL FR2 for NTT DOCOMO. It's already based on 2 PDCCH OFDM Symbols, So it doesn't need to be adjusted by a factor. 
2. Update the frame structure DDDSU and the overehead calculation for Ericsson. The SE results is also updated.</t>
    <phoneticPr fontId="46" type="noConversion"/>
  </si>
  <si>
    <t>CAICT</t>
    <phoneticPr fontId="14" type="noConversion"/>
  </si>
  <si>
    <t>30kHz SCS,
14 OFDM symbol slot</t>
    <phoneticPr fontId="14" type="noConversion"/>
  </si>
  <si>
    <t xml:space="preserve">For 2Tx: NR 2Tx codebook;
</t>
    <phoneticPr fontId="14" type="noConversion"/>
  </si>
  <si>
    <t>For 2Tx: Up to 2 layers</t>
    <phoneticPr fontId="14" type="noConversion"/>
  </si>
  <si>
    <t>For 16R:  (M,N,P,Mg,Ng; Mp,Np)= (8,8,2,1,1; 1,8)
(dH, dV)=(0.5, 0.8)λ;
For 32R:  (M,N,P,Mg,Ng; Mp,Np)= (8,8,2,1,1; 2,8)
(dH, dV)=(0.5, 0.8)λ;</t>
    <phoneticPr fontId="14" type="noConversion"/>
  </si>
  <si>
    <t xml:space="preserve">For 2T: (M,N,P,Mg,Ng; Mp,Np)=  (1,1,2,1,1; 1,1); (dH, dV)=( N/A, N/A)λ
</t>
    <phoneticPr fontId="14" type="noConversion"/>
  </si>
  <si>
    <t>For UE 2 Tx ports: Non-precoded SRS, 2 SRS ports (with 2 SRS resources);
 2 symbols for SRS in every 5 slots,
8 PRBs per symbol</t>
    <phoneticPr fontId="14" type="noConversion"/>
  </si>
  <si>
    <t>CAICT</t>
    <phoneticPr fontId="23" type="noConversion"/>
  </si>
  <si>
    <t xml:space="preserve">2 slots with (3 PRB, 14 OS) and 8 slots with (1 PRB, 2 OS) </t>
    <phoneticPr fontId="23" type="noConversion"/>
  </si>
  <si>
    <t>1 slot with (3 PRB, 14 OS)</t>
    <phoneticPr fontId="23" type="noConversion"/>
  </si>
  <si>
    <t>Type II, 2  symbols</t>
    <phoneticPr fontId="23" type="noConversion"/>
  </si>
  <si>
    <t>Type II, 2  symbols</t>
    <phoneticPr fontId="23" type="noConversion"/>
  </si>
  <si>
    <t>2 symbols per 5 slots</t>
    <phoneticPr fontId="23" type="noConversion"/>
  </si>
  <si>
    <t>CAICT</t>
    <phoneticPr fontId="23" type="noConversion"/>
  </si>
  <si>
    <t>NR FDD</t>
    <phoneticPr fontId="23" type="noConversion"/>
  </si>
  <si>
    <t>NR TDD</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</si>
</sst>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_);[Red]\(0.00\)"/>
    <numFmt numFmtId="165" formatCode="0.00_ "/>
    <numFmt numFmtId="166" formatCode="0.000_);[Red]\(0.000\)"/>
    <numFmt numFmtId="167" formatCode="0_ "/>
    <numFmt numFmtId="168" formatCode="0.000"/>
    <numFmt numFmtId="169" formatCode="0.000_ "/>
    <numFmt numFmtId="170" formatCode="0.0_);[Red]\(0.0\)"/>
  </numFmts>
  <fonts count="48">
    <font>
      <sz val="10"/>
      <name val="Arial"/>
      <charset val="134"/>
    </font>
    <font>
      <sz val="10"/>
      <color rgb="FFFF0000"/>
      <name val="Arial"/>
      <family val="2"/>
    </font>
    <font>
      <b/>
      <sz val="10"/>
      <name val="Arial"/>
      <family val="2"/>
    </font>
    <font>
      <sz val="10"/>
      <color theme="1"/>
      <name val="Arial"/>
      <family val="2"/>
    </font>
    <font>
      <sz val="10"/>
      <color rgb="FF0070C0"/>
      <name val="Arial"/>
      <family val="2"/>
    </font>
    <font>
      <sz val="10"/>
      <name val="Arial"/>
      <family val="2"/>
    </font>
    <font>
      <sz val="11"/>
      <color rgb="FFFF0000"/>
      <name val="Calibri"/>
      <family val="3"/>
      <charset val="134"/>
      <scheme val="minor"/>
    </font>
    <font>
      <b/>
      <sz val="11"/>
      <color theme="1"/>
      <name val="Calibri"/>
      <family val="3"/>
      <charset val="134"/>
      <scheme val="minor"/>
    </font>
    <font>
      <sz val="11"/>
      <color theme="1"/>
      <name val="Calibri"/>
      <family val="3"/>
      <charset val="134"/>
      <scheme val="minor"/>
    </font>
    <font>
      <sz val="11"/>
      <color theme="1"/>
      <name val="Calibri"/>
      <family val="3"/>
      <charset val="134"/>
      <scheme val="minor"/>
    </font>
    <font>
      <sz val="11"/>
      <color theme="1"/>
      <name val="Arial"/>
      <family val="2"/>
    </font>
    <font>
      <b/>
      <sz val="11"/>
      <color theme="1"/>
      <name val="Arial"/>
      <family val="2"/>
    </font>
    <font>
      <sz val="11"/>
      <color rgb="FFC00000"/>
      <name val="Arial"/>
      <family val="2"/>
    </font>
    <font>
      <sz val="12"/>
      <name val="宋体"/>
      <family val="3"/>
      <charset val="134"/>
    </font>
    <font>
      <sz val="9"/>
      <name val="Arial"/>
      <family val="2"/>
    </font>
    <font>
      <b/>
      <sz val="9"/>
      <color rgb="FF0000FF"/>
      <name val="Arial"/>
      <family val="2"/>
    </font>
    <font>
      <b/>
      <sz val="11"/>
      <color rgb="FFFF0000"/>
      <name val="Arial"/>
      <family val="2"/>
    </font>
    <font>
      <sz val="9"/>
      <color theme="1"/>
      <name val="Arial"/>
      <family val="2"/>
    </font>
    <font>
      <b/>
      <sz val="9"/>
      <name val="Arial"/>
      <family val="2"/>
    </font>
    <font>
      <b/>
      <sz val="9"/>
      <color rgb="FFFF0000"/>
      <name val="Arial"/>
      <family val="2"/>
    </font>
    <font>
      <sz val="9"/>
      <name val="Arial"/>
      <family val="2"/>
    </font>
    <font>
      <sz val="9"/>
      <color rgb="FF000000"/>
      <name val="Arial"/>
      <family val="2"/>
    </font>
    <font>
      <sz val="10"/>
      <name val="Times New Roman"/>
      <family val="1"/>
    </font>
    <font>
      <sz val="9"/>
      <name val="宋体"/>
      <family val="3"/>
      <charset val="134"/>
    </font>
    <font>
      <sz val="11"/>
      <color theme="0"/>
      <name val="Calibri"/>
      <family val="3"/>
      <charset val="134"/>
      <scheme val="minor"/>
    </font>
    <font>
      <sz val="11"/>
      <color rgb="FF3F3F76"/>
      <name val="Calibri"/>
      <family val="3"/>
      <charset val="134"/>
      <scheme val="minor"/>
    </font>
    <font>
      <sz val="11"/>
      <color rgb="FF9C0006"/>
      <name val="Calibri"/>
      <family val="3"/>
      <charset val="134"/>
      <scheme val="minor"/>
    </font>
    <font>
      <b/>
      <sz val="18"/>
      <color theme="3"/>
      <name val="Cambria"/>
      <family val="3"/>
      <charset val="134"/>
      <scheme val="major"/>
    </font>
    <font>
      <b/>
      <sz val="15"/>
      <color theme="3"/>
      <name val="Calibri"/>
      <family val="3"/>
      <charset val="134"/>
      <scheme val="minor"/>
    </font>
    <font>
      <i/>
      <sz val="11"/>
      <color rgb="FF7F7F7F"/>
      <name val="Calibri"/>
      <family val="3"/>
      <charset val="134"/>
      <scheme val="minor"/>
    </font>
    <font>
      <b/>
      <sz val="11"/>
      <color theme="3"/>
      <name val="Calibri"/>
      <family val="3"/>
      <charset val="134"/>
      <scheme val="minor"/>
    </font>
    <font>
      <b/>
      <sz val="13"/>
      <color theme="3"/>
      <name val="Calibri"/>
      <family val="3"/>
      <charset val="134"/>
      <scheme val="minor"/>
    </font>
    <font>
      <b/>
      <sz val="11"/>
      <color rgb="FF3F3F3F"/>
      <name val="Calibri"/>
      <family val="3"/>
      <charset val="134"/>
      <scheme val="minor"/>
    </font>
    <font>
      <sz val="12"/>
      <color theme="1"/>
      <name val="Calibri"/>
      <family val="3"/>
      <charset val="134"/>
      <scheme val="minor"/>
    </font>
    <font>
      <sz val="11"/>
      <color rgb="FF006100"/>
      <name val="Calibri"/>
      <family val="3"/>
      <charset val="134"/>
      <scheme val="minor"/>
    </font>
    <font>
      <b/>
      <sz val="11"/>
      <color theme="0"/>
      <name val="Calibri"/>
      <family val="3"/>
      <charset val="134"/>
      <scheme val="minor"/>
    </font>
    <font>
      <b/>
      <sz val="11"/>
      <color rgb="FFFA7D00"/>
      <name val="Calibri"/>
      <family val="3"/>
      <charset val="134"/>
      <scheme val="minor"/>
    </font>
    <font>
      <sz val="11"/>
      <color rgb="FFFA7D00"/>
      <name val="Calibri"/>
      <family val="3"/>
      <charset val="134"/>
      <scheme val="minor"/>
    </font>
    <font>
      <sz val="11"/>
      <color rgb="FF006100"/>
      <name val="Calibri"/>
      <family val="3"/>
      <charset val="134"/>
      <scheme val="minor"/>
    </font>
    <font>
      <sz val="12"/>
      <color theme="1"/>
      <name val="Calibri"/>
      <family val="3"/>
      <charset val="134"/>
      <scheme val="minor"/>
    </font>
    <font>
      <sz val="11"/>
      <color rgb="FF9C6500"/>
      <name val="Calibri"/>
      <family val="3"/>
      <charset val="134"/>
      <scheme val="minor"/>
    </font>
    <font>
      <sz val="12"/>
      <color rgb="FF000000"/>
      <name val="ＭＳ Ｐゴシック"/>
      <family val="2"/>
    </font>
    <font>
      <sz val="11"/>
      <color rgb="FF000000"/>
      <name val="ＭＳ Ｐゴシック"/>
      <family val="2"/>
    </font>
    <font>
      <sz val="11"/>
      <color rgb="FF9C0006"/>
      <name val="Calibri"/>
      <family val="3"/>
      <charset val="134"/>
      <scheme val="minor"/>
    </font>
    <font>
      <sz val="10"/>
      <name val="Droid Sans"/>
      <family val="1"/>
    </font>
    <font>
      <sz val="10"/>
      <name val="Arial"/>
      <family val="2"/>
    </font>
    <font>
      <sz val="9"/>
      <name val="細明體"/>
      <family val="3"/>
      <charset val="136"/>
    </font>
    <font>
      <sz val="9"/>
      <name val="Times New Roman"/>
      <family val="1"/>
    </font>
  </fonts>
  <fills count="39">
    <fill>
      <patternFill patternType="none"/>
    </fill>
    <fill>
      <patternFill patternType="gray125"/>
    </fill>
    <fill>
      <patternFill patternType="solid">
        <fgColor theme="9" tint="0.59999389629810485"/>
        <bgColor indexed="64"/>
      </patternFill>
    </fill>
    <fill>
      <patternFill patternType="solid">
        <fgColor theme="8" tint="0.39994506668294322"/>
        <bgColor indexed="64"/>
      </patternFill>
    </fill>
    <fill>
      <patternFill patternType="solid">
        <fgColor theme="0" tint="-0.14996795556505021"/>
        <bgColor indexed="64"/>
      </patternFill>
    </fill>
    <fill>
      <patternFill patternType="solid">
        <fgColor theme="0" tint="-0.14993743705557422"/>
        <bgColor indexed="64"/>
      </patternFill>
    </fill>
    <fill>
      <patternFill patternType="solid">
        <fgColor theme="6" tint="0.59999389629810485"/>
        <bgColor indexed="64"/>
      </patternFill>
    </fill>
    <fill>
      <patternFill patternType="solid">
        <fgColor theme="0" tint="-0.14993743705557422"/>
        <bgColor indexed="64"/>
      </patternFill>
    </fill>
    <fill>
      <patternFill patternType="solid">
        <fgColor theme="6" tint="0.79995117038483843"/>
        <bgColor indexed="64"/>
      </patternFill>
    </fill>
    <fill>
      <patternFill patternType="solid">
        <fgColor theme="8" tint="0.79995117038483843"/>
        <bgColor indexed="64"/>
      </patternFill>
    </fill>
    <fill>
      <patternFill patternType="solid">
        <fgColor theme="0"/>
        <bgColor indexed="64"/>
      </patternFill>
    </fill>
    <fill>
      <patternFill patternType="solid">
        <fgColor rgb="FFD8D8D8"/>
        <bgColor indexed="64"/>
      </patternFill>
    </fill>
    <fill>
      <patternFill patternType="solid">
        <fgColor theme="5" tint="0.79995117038483843"/>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79995117038483843"/>
        <bgColor indexed="64"/>
      </patternFill>
    </fill>
    <fill>
      <patternFill patternType="solid">
        <fgColor theme="7" tint="0.79995117038483843"/>
        <bgColor indexed="64"/>
      </patternFill>
    </fill>
    <fill>
      <patternFill patternType="solid">
        <fgColor theme="4" tint="0.39994506668294322"/>
        <bgColor indexed="64"/>
      </patternFill>
    </fill>
    <fill>
      <patternFill patternType="solid">
        <fgColor theme="7" tint="0.59999389629810485"/>
        <bgColor indexed="64"/>
      </patternFill>
    </fill>
    <fill>
      <patternFill patternType="solid">
        <fgColor rgb="FFFFCC99"/>
        <bgColor indexed="64"/>
      </patternFill>
    </fill>
    <fill>
      <patternFill patternType="solid">
        <fgColor theme="5"/>
        <bgColor indexed="64"/>
      </patternFill>
    </fill>
    <fill>
      <patternFill patternType="solid">
        <fgColor theme="9" tint="0.79995117038483843"/>
        <bgColor indexed="64"/>
      </patternFill>
    </fill>
    <fill>
      <patternFill patternType="solid">
        <fgColor rgb="FFFFC7CE"/>
        <bgColor indexed="64"/>
      </patternFill>
    </fill>
    <fill>
      <patternFill patternType="solid">
        <fgColor theme="7" tint="0.3999450666829432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6" tint="0.39994506668294322"/>
        <bgColor indexed="64"/>
      </patternFill>
    </fill>
    <fill>
      <patternFill patternType="solid">
        <fgColor rgb="FFF2F2F2"/>
        <bgColor indexed="64"/>
      </patternFill>
    </fill>
    <fill>
      <patternFill patternType="solid">
        <fgColor theme="5" tint="0.39994506668294322"/>
        <bgColor indexed="64"/>
      </patternFill>
    </fill>
    <fill>
      <patternFill patternType="solid">
        <fgColor rgb="FFC6EFCE"/>
        <bgColor indexed="64"/>
      </patternFill>
    </fill>
    <fill>
      <patternFill patternType="solid">
        <fgColor rgb="FFA5A5A5"/>
        <bgColor indexed="64"/>
      </patternFill>
    </fill>
    <fill>
      <patternFill patternType="solid">
        <fgColor theme="7"/>
        <bgColor indexed="64"/>
      </patternFill>
    </fill>
    <fill>
      <patternFill patternType="solid">
        <fgColor theme="4"/>
        <bgColor indexed="64"/>
      </patternFill>
    </fill>
    <fill>
      <patternFill patternType="solid">
        <fgColor theme="9" tint="0.39994506668294322"/>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rgb="FFFFEB9C"/>
        <bgColor indexed="64"/>
      </patternFill>
    </fill>
    <fill>
      <patternFill patternType="solid">
        <fgColor theme="0" tint="-0.14999847407452621"/>
        <bgColor indexed="64"/>
      </patternFill>
    </fill>
  </fills>
  <borders count="23">
    <border>
      <left/>
      <right/>
      <top/>
      <bottom/>
      <diagonal/>
    </border>
    <border>
      <left/>
      <right/>
      <top/>
      <bottom style="medium">
        <color auto="1"/>
      </bottom>
      <diagonal/>
    </border>
    <border>
      <left/>
      <right/>
      <top style="medium">
        <color auto="1"/>
      </top>
      <bottom/>
      <diagonal/>
    </border>
    <border>
      <left/>
      <right/>
      <top style="thin">
        <color theme="4"/>
      </top>
      <bottom style="double">
        <color theme="4"/>
      </bottom>
      <diagonal/>
    </border>
    <border>
      <left/>
      <right style="thin">
        <color auto="1"/>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medium">
        <color theme="4" tint="0.39994506668294322"/>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35">
    <xf numFmtId="0" fontId="0" fillId="0" borderId="0"/>
    <xf numFmtId="0" fontId="9" fillId="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5" borderId="0" applyNumberFormat="0" applyBorder="0" applyAlignment="0" applyProtection="0">
      <alignment vertical="center"/>
    </xf>
    <xf numFmtId="0" fontId="8" fillId="16" borderId="0" applyNumberFormat="0" applyBorder="0" applyAlignment="0" applyProtection="0"/>
    <xf numFmtId="0" fontId="8" fillId="18" borderId="0" applyNumberFormat="0" applyBorder="0" applyAlignment="0" applyProtection="0">
      <alignment vertical="center"/>
    </xf>
    <xf numFmtId="0" fontId="8" fillId="6" borderId="0" applyNumberFormat="0" applyBorder="0" applyAlignment="0" applyProtection="0">
      <alignment vertical="center"/>
    </xf>
    <xf numFmtId="0" fontId="45" fillId="0" borderId="0"/>
    <xf numFmtId="0" fontId="8" fillId="24" borderId="19" applyNumberFormat="0" applyFont="0" applyAlignment="0" applyProtection="0"/>
    <xf numFmtId="0" fontId="34" fillId="29" borderId="0" applyNumberFormat="0" applyBorder="0" applyAlignment="0" applyProtection="0"/>
    <xf numFmtId="0" fontId="8" fillId="8" borderId="0" applyNumberFormat="0" applyBorder="0" applyAlignment="0" applyProtection="0"/>
    <xf numFmtId="0" fontId="8" fillId="21" borderId="0" applyNumberFormat="0" applyBorder="0" applyAlignment="0" applyProtection="0">
      <alignment vertical="center"/>
    </xf>
    <xf numFmtId="0" fontId="8" fillId="12" borderId="0" applyNumberFormat="0" applyBorder="0" applyAlignment="0" applyProtection="0"/>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24" borderId="19" applyNumberFormat="0" applyFont="0" applyAlignment="0" applyProtection="0"/>
    <xf numFmtId="0" fontId="8" fillId="12" borderId="0" applyNumberFormat="0" applyBorder="0" applyAlignment="0" applyProtection="0"/>
    <xf numFmtId="0" fontId="8" fillId="12" borderId="0" applyNumberFormat="0" applyBorder="0" applyAlignment="0" applyProtection="0">
      <alignment vertical="center"/>
    </xf>
    <xf numFmtId="0" fontId="8" fillId="8" borderId="0" applyNumberFormat="0" applyBorder="0" applyAlignment="0" applyProtection="0"/>
    <xf numFmtId="0" fontId="8" fillId="24" borderId="19" applyNumberFormat="0" applyFont="0" applyAlignment="0" applyProtection="0"/>
    <xf numFmtId="0" fontId="8" fillId="8" borderId="0" applyNumberFormat="0" applyBorder="0" applyAlignment="0" applyProtection="0"/>
    <xf numFmtId="0" fontId="8" fillId="16" borderId="0" applyNumberFormat="0" applyBorder="0" applyAlignment="0" applyProtection="0">
      <alignment vertical="center"/>
    </xf>
    <xf numFmtId="0" fontId="8" fillId="1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24" borderId="19" applyNumberFormat="0" applyFont="0" applyAlignment="0" applyProtection="0"/>
    <xf numFmtId="0" fontId="8" fillId="6" borderId="0" applyNumberFormat="0" applyBorder="0" applyAlignment="0" applyProtection="0"/>
    <xf numFmtId="0" fontId="8" fillId="9" borderId="0" applyNumberFormat="0" applyBorder="0" applyAlignment="0" applyProtection="0">
      <alignment vertical="center"/>
    </xf>
    <xf numFmtId="0" fontId="8" fillId="12" borderId="0" applyNumberFormat="0" applyBorder="0" applyAlignment="0" applyProtection="0"/>
    <xf numFmtId="0" fontId="8" fillId="6" borderId="0" applyNumberFormat="0" applyBorder="0" applyAlignment="0" applyProtection="0">
      <alignment vertical="center"/>
    </xf>
    <xf numFmtId="0" fontId="8" fillId="18"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2" borderId="0" applyNumberFormat="0" applyBorder="0" applyAlignment="0" applyProtection="0"/>
    <xf numFmtId="0" fontId="8" fillId="13" borderId="0" applyNumberFormat="0" applyBorder="0" applyAlignment="0" applyProtection="0"/>
    <xf numFmtId="0" fontId="8" fillId="21" borderId="0" applyNumberFormat="0" applyBorder="0" applyAlignment="0" applyProtection="0">
      <alignment vertical="center"/>
    </xf>
    <xf numFmtId="0" fontId="8" fillId="12" borderId="0" applyNumberFormat="0" applyBorder="0" applyAlignment="0" applyProtection="0"/>
    <xf numFmtId="0" fontId="8" fillId="12" borderId="0" applyNumberFormat="0" applyBorder="0" applyAlignment="0" applyProtection="0">
      <alignment vertical="center"/>
    </xf>
    <xf numFmtId="0" fontId="7" fillId="0" borderId="3" applyNumberFormat="0" applyFill="0" applyAlignment="0" applyProtection="0"/>
    <xf numFmtId="0" fontId="8" fillId="0" borderId="0"/>
    <xf numFmtId="0" fontId="8" fillId="21" borderId="0" applyNumberFormat="0" applyBorder="0" applyAlignment="0" applyProtection="0"/>
    <xf numFmtId="0" fontId="8" fillId="0" borderId="0"/>
    <xf numFmtId="0" fontId="8" fillId="8" borderId="0" applyNumberFormat="0" applyBorder="0" applyAlignment="0" applyProtection="0"/>
    <xf numFmtId="0" fontId="8" fillId="8" borderId="0" applyNumberFormat="0" applyBorder="0" applyAlignment="0" applyProtection="0">
      <alignment vertical="center"/>
    </xf>
    <xf numFmtId="0" fontId="8" fillId="0" borderId="0"/>
    <xf numFmtId="0" fontId="8" fillId="18" borderId="0" applyNumberFormat="0" applyBorder="0" applyAlignment="0" applyProtection="0"/>
    <xf numFmtId="0" fontId="8" fillId="15" borderId="0" applyNumberFormat="0" applyBorder="0" applyAlignment="0" applyProtection="0"/>
    <xf numFmtId="0" fontId="8" fillId="2" borderId="0" applyNumberFormat="0" applyBorder="0" applyAlignment="0" applyProtection="0"/>
    <xf numFmtId="0" fontId="8" fillId="0" borderId="0"/>
    <xf numFmtId="0" fontId="8" fillId="12" borderId="0" applyNumberFormat="0" applyBorder="0" applyAlignment="0" applyProtection="0"/>
    <xf numFmtId="0" fontId="8" fillId="12" borderId="0" applyNumberFormat="0" applyBorder="0" applyAlignment="0" applyProtection="0">
      <alignment vertical="center"/>
    </xf>
    <xf numFmtId="0" fontId="8" fillId="18" borderId="0" applyNumberFormat="0" applyBorder="0" applyAlignment="0" applyProtection="0">
      <alignment vertical="center"/>
    </xf>
    <xf numFmtId="0" fontId="8" fillId="18" borderId="0" applyNumberFormat="0" applyBorder="0" applyAlignment="0" applyProtection="0">
      <alignment vertical="center"/>
    </xf>
    <xf numFmtId="0" fontId="8" fillId="15" borderId="0" applyNumberFormat="0" applyBorder="0" applyAlignment="0" applyProtection="0"/>
    <xf numFmtId="0" fontId="8" fillId="15" borderId="0" applyNumberFormat="0" applyBorder="0" applyAlignment="0" applyProtection="0">
      <alignment vertical="center"/>
    </xf>
    <xf numFmtId="0" fontId="8" fillId="9" borderId="0" applyNumberFormat="0" applyBorder="0" applyAlignment="0" applyProtection="0"/>
    <xf numFmtId="0" fontId="8" fillId="15" borderId="0" applyNumberFormat="0" applyBorder="0" applyAlignment="0" applyProtection="0"/>
    <xf numFmtId="0" fontId="8" fillId="0" borderId="0"/>
    <xf numFmtId="0" fontId="8" fillId="18" borderId="0" applyNumberFormat="0" applyBorder="0" applyAlignment="0" applyProtection="0"/>
    <xf numFmtId="0" fontId="8" fillId="25" borderId="0" applyNumberFormat="0" applyBorder="0" applyAlignment="0" applyProtection="0">
      <alignment vertical="center"/>
    </xf>
    <xf numFmtId="0" fontId="8" fillId="15" borderId="0" applyNumberFormat="0" applyBorder="0" applyAlignment="0" applyProtection="0"/>
    <xf numFmtId="0" fontId="8" fillId="15" borderId="0" applyNumberFormat="0" applyBorder="0" applyAlignment="0" applyProtection="0">
      <alignment vertical="center"/>
    </xf>
    <xf numFmtId="0" fontId="8" fillId="18" borderId="0" applyNumberFormat="0" applyBorder="0" applyAlignment="0" applyProtection="0">
      <alignment vertical="center"/>
    </xf>
    <xf numFmtId="0" fontId="8" fillId="6" borderId="0" applyNumberFormat="0" applyBorder="0" applyAlignment="0" applyProtection="0">
      <alignment vertical="center"/>
    </xf>
    <xf numFmtId="0" fontId="8" fillId="15" borderId="0" applyNumberFormat="0" applyBorder="0" applyAlignment="0" applyProtection="0"/>
    <xf numFmtId="0" fontId="8" fillId="15" borderId="0" applyNumberFormat="0" applyBorder="0" applyAlignment="0" applyProtection="0">
      <alignment vertical="center"/>
    </xf>
    <xf numFmtId="0" fontId="8" fillId="9"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alignment vertical="center"/>
    </xf>
    <xf numFmtId="0" fontId="8" fillId="14"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alignment vertical="center"/>
    </xf>
    <xf numFmtId="0" fontId="8" fillId="6"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alignment vertical="center"/>
    </xf>
    <xf numFmtId="0" fontId="8" fillId="6" borderId="0" applyNumberFormat="0" applyBorder="0" applyAlignment="0" applyProtection="0">
      <alignment vertical="center"/>
    </xf>
    <xf numFmtId="0" fontId="8" fillId="15" borderId="0" applyNumberFormat="0" applyBorder="0" applyAlignment="0" applyProtection="0"/>
    <xf numFmtId="0" fontId="8" fillId="15" borderId="0" applyNumberFormat="0" applyBorder="0" applyAlignment="0" applyProtection="0">
      <alignment vertical="center"/>
    </xf>
    <xf numFmtId="0" fontId="8" fillId="2" borderId="0" applyNumberFormat="0" applyBorder="0" applyAlignment="0" applyProtection="0"/>
    <xf numFmtId="0" fontId="9" fillId="15" borderId="0" applyNumberFormat="0" applyBorder="0" applyAlignment="0" applyProtection="0"/>
    <xf numFmtId="0" fontId="8" fillId="15" borderId="0" applyNumberFormat="0" applyBorder="0" applyAlignment="0" applyProtection="0"/>
    <xf numFmtId="0" fontId="8" fillId="0" borderId="0"/>
    <xf numFmtId="0" fontId="8" fillId="12" borderId="0" applyNumberFormat="0" applyBorder="0" applyAlignment="0" applyProtection="0"/>
    <xf numFmtId="0" fontId="9" fillId="16" borderId="0" applyNumberFormat="0" applyBorder="0" applyAlignment="0" applyProtection="0"/>
    <xf numFmtId="0" fontId="8" fillId="12" borderId="0" applyNumberFormat="0" applyBorder="0" applyAlignment="0" applyProtection="0">
      <alignment vertical="center"/>
    </xf>
    <xf numFmtId="0" fontId="8" fillId="12" borderId="0" applyNumberFormat="0" applyBorder="0" applyAlignment="0" applyProtection="0"/>
    <xf numFmtId="0" fontId="8" fillId="12" borderId="0" applyNumberFormat="0" applyBorder="0" applyAlignment="0" applyProtection="0">
      <alignment vertical="center"/>
    </xf>
    <xf numFmtId="0" fontId="8" fillId="14" borderId="0" applyNumberFormat="0" applyBorder="0" applyAlignment="0" applyProtection="0"/>
    <xf numFmtId="0" fontId="9"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2"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xf numFmtId="0" fontId="8" fillId="8" borderId="0" applyNumberFormat="0" applyBorder="0" applyAlignment="0" applyProtection="0">
      <alignment vertical="center"/>
    </xf>
    <xf numFmtId="0" fontId="9" fillId="8" borderId="0" applyNumberFormat="0" applyBorder="0" applyAlignment="0" applyProtection="0"/>
    <xf numFmtId="0" fontId="8" fillId="0" borderId="0"/>
    <xf numFmtId="0" fontId="8" fillId="24" borderId="19" applyNumberFormat="0" applyFont="0" applyAlignment="0" applyProtection="0"/>
    <xf numFmtId="0" fontId="24" fillId="17" borderId="0" applyNumberFormat="0" applyBorder="0" applyAlignment="0" applyProtection="0">
      <alignment vertical="center"/>
    </xf>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alignment vertical="center"/>
    </xf>
    <xf numFmtId="0" fontId="8" fillId="13" borderId="0" applyNumberFormat="0" applyBorder="0" applyAlignment="0" applyProtection="0">
      <alignment vertical="center"/>
    </xf>
    <xf numFmtId="0" fontId="8" fillId="16" borderId="0" applyNumberFormat="0" applyBorder="0" applyAlignment="0" applyProtection="0"/>
    <xf numFmtId="0" fontId="8" fillId="16" borderId="0" applyNumberFormat="0" applyBorder="0" applyAlignment="0" applyProtection="0">
      <alignment vertical="center"/>
    </xf>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xf numFmtId="0" fontId="8" fillId="16" borderId="0" applyNumberFormat="0" applyBorder="0" applyAlignment="0" applyProtection="0">
      <alignment vertical="center"/>
    </xf>
    <xf numFmtId="0" fontId="24" fillId="28" borderId="0" applyNumberFormat="0" applyBorder="0" applyAlignment="0" applyProtection="0">
      <alignment vertical="center"/>
    </xf>
    <xf numFmtId="0" fontId="8" fillId="0" borderId="0"/>
    <xf numFmtId="0" fontId="8" fillId="8"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2"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xf numFmtId="0" fontId="8" fillId="9" borderId="0" applyNumberFormat="0" applyBorder="0" applyAlignment="0" applyProtection="0">
      <alignment vertical="center"/>
    </xf>
    <xf numFmtId="0" fontId="8" fillId="9" borderId="0" applyNumberFormat="0" applyBorder="0" applyAlignment="0" applyProtection="0"/>
    <xf numFmtId="0" fontId="8" fillId="9" borderId="0" applyNumberFormat="0" applyBorder="0" applyAlignment="0" applyProtection="0">
      <alignment vertical="center"/>
    </xf>
    <xf numFmtId="0" fontId="9" fillId="0" borderId="0"/>
    <xf numFmtId="0" fontId="8" fillId="9" borderId="0" applyNumberFormat="0" applyBorder="0" applyAlignment="0" applyProtection="0"/>
    <xf numFmtId="0" fontId="8" fillId="9" borderId="0" applyNumberFormat="0" applyBorder="0" applyAlignment="0" applyProtection="0">
      <alignment vertical="center"/>
    </xf>
    <xf numFmtId="0" fontId="24" fillId="26" borderId="0" applyNumberFormat="0" applyBorder="0" applyAlignment="0" applyProtection="0">
      <alignment vertical="center"/>
    </xf>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0" borderId="0"/>
    <xf numFmtId="0" fontId="8" fillId="9" borderId="0" applyNumberFormat="0" applyBorder="0" applyAlignment="0" applyProtection="0"/>
    <xf numFmtId="0" fontId="8" fillId="2" borderId="0" applyNumberFormat="0" applyBorder="0" applyAlignment="0" applyProtection="0">
      <alignment vertical="center"/>
    </xf>
    <xf numFmtId="0" fontId="8" fillId="21" borderId="0" applyNumberFormat="0" applyBorder="0" applyAlignment="0" applyProtection="0"/>
    <xf numFmtId="0" fontId="8" fillId="21" borderId="0" applyNumberFormat="0" applyBorder="0" applyAlignment="0" applyProtection="0">
      <alignment vertical="center"/>
    </xf>
    <xf numFmtId="0" fontId="9" fillId="6"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alignment vertical="center"/>
    </xf>
    <xf numFmtId="0" fontId="8" fillId="21" borderId="0" applyNumberFormat="0" applyBorder="0" applyAlignment="0" applyProtection="0"/>
    <xf numFmtId="0" fontId="8" fillId="21" borderId="0" applyNumberFormat="0" applyBorder="0" applyAlignment="0" applyProtection="0">
      <alignment vertical="center"/>
    </xf>
    <xf numFmtId="0" fontId="8" fillId="21" borderId="0" applyNumberFormat="0" applyBorder="0" applyAlignment="0" applyProtection="0"/>
    <xf numFmtId="0" fontId="8" fillId="21" borderId="0" applyNumberFormat="0" applyBorder="0" applyAlignment="0" applyProtection="0">
      <alignment vertical="center"/>
    </xf>
    <xf numFmtId="0" fontId="8" fillId="9" borderId="0" applyNumberFormat="0" applyBorder="0" applyAlignment="0" applyProtection="0">
      <alignment vertical="center"/>
    </xf>
    <xf numFmtId="0" fontId="8" fillId="21" borderId="0" applyNumberFormat="0" applyBorder="0" applyAlignment="0" applyProtection="0"/>
    <xf numFmtId="0" fontId="8" fillId="21" borderId="0" applyNumberFormat="0" applyBorder="0" applyAlignment="0" applyProtection="0">
      <alignment vertical="center"/>
    </xf>
    <xf numFmtId="0" fontId="8" fillId="21" borderId="0" applyNumberFormat="0" applyBorder="0" applyAlignment="0" applyProtection="0"/>
    <xf numFmtId="0" fontId="8" fillId="21" borderId="0" applyNumberFormat="0" applyBorder="0" applyAlignment="0" applyProtection="0">
      <alignment vertical="center"/>
    </xf>
    <xf numFmtId="0" fontId="9" fillId="21" borderId="0" applyNumberFormat="0" applyBorder="0" applyAlignment="0" applyProtection="0"/>
    <xf numFmtId="0" fontId="24" fillId="23" borderId="0" applyNumberFormat="0" applyBorder="0" applyAlignment="0" applyProtection="0">
      <alignment vertical="center"/>
    </xf>
    <xf numFmtId="0" fontId="8" fillId="2" borderId="0" applyNumberFormat="0" applyBorder="0" applyAlignment="0" applyProtection="0">
      <alignment vertical="center"/>
    </xf>
    <xf numFmtId="0" fontId="8" fillId="21" borderId="0" applyNumberFormat="0" applyBorder="0" applyAlignment="0" applyProtection="0"/>
    <xf numFmtId="0" fontId="8" fillId="21" borderId="0" applyNumberFormat="0" applyBorder="0" applyAlignment="0" applyProtection="0">
      <alignment vertical="center"/>
    </xf>
    <xf numFmtId="0" fontId="8" fillId="8" borderId="0" applyNumberFormat="0" applyBorder="0" applyAlignment="0" applyProtection="0">
      <alignment vertical="center"/>
    </xf>
    <xf numFmtId="0" fontId="8" fillId="21" borderId="0" applyNumberFormat="0" applyBorder="0" applyAlignment="0" applyProtection="0"/>
    <xf numFmtId="0" fontId="8" fillId="24" borderId="19" applyNumberFormat="0" applyFont="0" applyAlignment="0" applyProtection="0"/>
    <xf numFmtId="0" fontId="8" fillId="14" borderId="0" applyNumberFormat="0" applyBorder="0" applyAlignment="0" applyProtection="0">
      <alignment vertical="center"/>
    </xf>
    <xf numFmtId="0" fontId="8" fillId="15" borderId="0" applyNumberFormat="0" applyBorder="0" applyAlignment="0" applyProtection="0"/>
    <xf numFmtId="0" fontId="8" fillId="24" borderId="19" applyNumberFormat="0" applyFont="0" applyAlignment="0" applyProtection="0"/>
    <xf numFmtId="0" fontId="8" fillId="18" borderId="0" applyNumberFormat="0" applyBorder="0" applyAlignment="0" applyProtection="0"/>
    <xf numFmtId="0" fontId="8" fillId="15" borderId="0" applyNumberFormat="0" applyBorder="0" applyAlignment="0" applyProtection="0"/>
    <xf numFmtId="0" fontId="8" fillId="24" borderId="19" applyNumberFormat="0" applyFont="0" applyAlignment="0" applyProtection="0"/>
    <xf numFmtId="0" fontId="8" fillId="16" borderId="0" applyNumberFormat="0" applyBorder="0" applyAlignment="0" applyProtection="0"/>
    <xf numFmtId="0" fontId="8" fillId="15" borderId="0" applyNumberFormat="0" applyBorder="0" applyAlignment="0" applyProtection="0"/>
    <xf numFmtId="0" fontId="8" fillId="24" borderId="19" applyNumberFormat="0" applyFont="0" applyAlignment="0" applyProtection="0"/>
    <xf numFmtId="0" fontId="8" fillId="14" borderId="0" applyNumberFormat="0" applyBorder="0" applyAlignment="0" applyProtection="0">
      <alignment vertical="center"/>
    </xf>
    <xf numFmtId="0" fontId="8" fillId="15"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0" borderId="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8"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25" borderId="0" applyNumberFormat="0" applyBorder="0" applyAlignment="0" applyProtection="0">
      <alignment vertical="center"/>
    </xf>
    <xf numFmtId="0" fontId="8" fillId="16" borderId="0" applyNumberFormat="0" applyBorder="0" applyAlignment="0" applyProtection="0"/>
    <xf numFmtId="0" fontId="9" fillId="14" borderId="0" applyNumberFormat="0" applyBorder="0" applyAlignment="0" applyProtection="0"/>
    <xf numFmtId="0" fontId="8" fillId="15" borderId="0" applyNumberFormat="0" applyBorder="0" applyAlignment="0" applyProtection="0">
      <alignment vertical="center"/>
    </xf>
    <xf numFmtId="0" fontId="8" fillId="9" borderId="0" applyNumberFormat="0" applyBorder="0" applyAlignment="0" applyProtection="0"/>
    <xf numFmtId="0" fontId="8" fillId="15" borderId="0" applyNumberFormat="0" applyBorder="0" applyAlignment="0" applyProtection="0">
      <alignment vertical="center"/>
    </xf>
    <xf numFmtId="0" fontId="8" fillId="9" borderId="0" applyNumberFormat="0" applyBorder="0" applyAlignment="0" applyProtection="0"/>
    <xf numFmtId="0" fontId="8" fillId="14" borderId="0" applyNumberFormat="0" applyBorder="0" applyAlignment="0" applyProtection="0">
      <alignment vertical="center"/>
    </xf>
    <xf numFmtId="0" fontId="8" fillId="9" borderId="0" applyNumberFormat="0" applyBorder="0" applyAlignment="0" applyProtection="0"/>
    <xf numFmtId="0" fontId="8" fillId="14" borderId="0" applyNumberFormat="0" applyBorder="0" applyAlignment="0" applyProtection="0">
      <alignment vertical="center"/>
    </xf>
    <xf numFmtId="0" fontId="8" fillId="9"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15" borderId="0" applyNumberFormat="0" applyBorder="0" applyAlignment="0" applyProtection="0">
      <alignment vertical="center"/>
    </xf>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6" borderId="0" applyNumberFormat="0" applyBorder="0" applyAlignment="0" applyProtection="0"/>
    <xf numFmtId="0" fontId="8" fillId="15" borderId="0" applyNumberFormat="0" applyBorder="0" applyAlignment="0" applyProtection="0">
      <alignment vertical="center"/>
    </xf>
    <xf numFmtId="0" fontId="8" fillId="21" borderId="0" applyNumberFormat="0" applyBorder="0" applyAlignment="0" applyProtection="0"/>
    <xf numFmtId="0" fontId="8" fillId="6" borderId="0" applyNumberFormat="0" applyBorder="0" applyAlignment="0" applyProtection="0">
      <alignment vertical="center"/>
    </xf>
    <xf numFmtId="0" fontId="8" fillId="21" borderId="0" applyNumberFormat="0" applyBorder="0" applyAlignment="0" applyProtection="0"/>
    <xf numFmtId="0" fontId="9" fillId="0" borderId="0"/>
    <xf numFmtId="0" fontId="8" fillId="6" borderId="0" applyNumberFormat="0" applyBorder="0" applyAlignment="0" applyProtection="0">
      <alignment vertical="center"/>
    </xf>
    <xf numFmtId="0" fontId="8" fillId="21" borderId="0" applyNumberFormat="0" applyBorder="0" applyAlignment="0" applyProtection="0"/>
    <xf numFmtId="0" fontId="8" fillId="0" borderId="0"/>
    <xf numFmtId="0" fontId="8" fillId="25" borderId="0" applyNumberFormat="0" applyBorder="0" applyAlignment="0" applyProtection="0">
      <alignment vertical="center"/>
    </xf>
    <xf numFmtId="0" fontId="8" fillId="15" borderId="0" applyNumberFormat="0" applyBorder="0" applyAlignment="0" applyProtection="0"/>
    <xf numFmtId="0" fontId="8" fillId="0" borderId="0"/>
    <xf numFmtId="0" fontId="8" fillId="15" borderId="0" applyNumberFormat="0" applyBorder="0" applyAlignment="0" applyProtection="0"/>
    <xf numFmtId="0" fontId="8" fillId="14" borderId="0" applyNumberFormat="0" applyBorder="0" applyAlignment="0" applyProtection="0"/>
    <xf numFmtId="0" fontId="8" fillId="0" borderId="0"/>
    <xf numFmtId="0" fontId="8" fillId="18" borderId="0" applyNumberFormat="0" applyBorder="0" applyAlignment="0" applyProtection="0">
      <alignment vertical="center"/>
    </xf>
    <xf numFmtId="0" fontId="8" fillId="15" borderId="0" applyNumberFormat="0" applyBorder="0" applyAlignment="0" applyProtection="0"/>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25" borderId="0" applyNumberFormat="0" applyBorder="0" applyAlignment="0" applyProtection="0">
      <alignment vertical="center"/>
    </xf>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0" borderId="0"/>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0" borderId="0"/>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2" borderId="0" applyNumberFormat="0" applyBorder="0" applyAlignment="0" applyProtection="0"/>
    <xf numFmtId="0" fontId="8" fillId="8" borderId="0" applyNumberFormat="0" applyBorder="0" applyAlignment="0" applyProtection="0">
      <alignment vertical="center"/>
    </xf>
    <xf numFmtId="0" fontId="8" fillId="2" borderId="0" applyNumberFormat="0" applyBorder="0" applyAlignment="0" applyProtection="0"/>
    <xf numFmtId="0" fontId="8" fillId="8" borderId="0" applyNumberFormat="0" applyBorder="0" applyAlignment="0" applyProtection="0">
      <alignment vertical="center"/>
    </xf>
    <xf numFmtId="0" fontId="8" fillId="6" borderId="0" applyNumberFormat="0" applyBorder="0" applyAlignment="0" applyProtection="0"/>
    <xf numFmtId="0" fontId="8" fillId="16" borderId="0" applyNumberFormat="0" applyBorder="0" applyAlignment="0" applyProtection="0"/>
    <xf numFmtId="0" fontId="8" fillId="8" borderId="0" applyNumberFormat="0" applyBorder="0" applyAlignment="0" applyProtection="0">
      <alignment vertical="center"/>
    </xf>
    <xf numFmtId="0" fontId="8" fillId="6" borderId="0" applyNumberFormat="0" applyBorder="0" applyAlignment="0" applyProtection="0"/>
    <xf numFmtId="0" fontId="8" fillId="16" borderId="0" applyNumberFormat="0" applyBorder="0" applyAlignment="0" applyProtection="0"/>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2" borderId="0" applyNumberFormat="0" applyBorder="0" applyAlignment="0" applyProtection="0"/>
    <xf numFmtId="0" fontId="8" fillId="9" borderId="0" applyNumberFormat="0" applyBorder="0" applyAlignment="0" applyProtection="0"/>
    <xf numFmtId="0" fontId="9" fillId="0" borderId="0"/>
    <xf numFmtId="0" fontId="8" fillId="9" borderId="0" applyNumberFormat="0" applyBorder="0" applyAlignment="0" applyProtection="0"/>
    <xf numFmtId="0" fontId="8" fillId="9" borderId="0" applyNumberFormat="0" applyBorder="0" applyAlignment="0" applyProtection="0"/>
    <xf numFmtId="0" fontId="8" fillId="21"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alignment vertical="center"/>
    </xf>
    <xf numFmtId="0" fontId="8" fillId="25" borderId="0" applyNumberFormat="0" applyBorder="0" applyAlignment="0" applyProtection="0"/>
    <xf numFmtId="0" fontId="8" fillId="21" borderId="0" applyNumberFormat="0" applyBorder="0" applyAlignment="0" applyProtection="0">
      <alignment vertical="center"/>
    </xf>
    <xf numFmtId="0" fontId="8" fillId="2" borderId="0" applyNumberFormat="0" applyBorder="0" applyAlignment="0" applyProtection="0"/>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18" borderId="0" applyNumberFormat="0" applyBorder="0" applyAlignment="0" applyProtection="0">
      <alignment vertical="center"/>
    </xf>
    <xf numFmtId="0" fontId="8" fillId="15" borderId="0" applyNumberFormat="0" applyBorder="0" applyAlignment="0" applyProtection="0"/>
    <xf numFmtId="0" fontId="8" fillId="13"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alignment vertical="center"/>
    </xf>
    <xf numFmtId="0" fontId="8" fillId="12" borderId="0" applyNumberFormat="0" applyBorder="0" applyAlignment="0" applyProtection="0"/>
    <xf numFmtId="0" fontId="8" fillId="0" borderId="0">
      <alignment vertical="center"/>
    </xf>
    <xf numFmtId="0" fontId="8" fillId="6"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14"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9"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 borderId="0" applyNumberFormat="0" applyBorder="0" applyAlignment="0" applyProtection="0"/>
    <xf numFmtId="0" fontId="8" fillId="14"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9" fillId="13" borderId="0" applyNumberFormat="0" applyBorder="0" applyAlignment="0" applyProtection="0"/>
    <xf numFmtId="0" fontId="8" fillId="18" borderId="0" applyNumberFormat="0" applyBorder="0" applyAlignment="0" applyProtection="0"/>
    <xf numFmtId="0" fontId="9"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0" borderId="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0" borderId="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0" borderId="0"/>
    <xf numFmtId="0" fontId="8" fillId="13" borderId="0" applyNumberFormat="0" applyBorder="0" applyAlignment="0" applyProtection="0"/>
    <xf numFmtId="0" fontId="8" fillId="0" borderId="0"/>
    <xf numFmtId="0" fontId="8" fillId="13"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13" borderId="0" applyNumberFormat="0" applyBorder="0" applyAlignment="0" applyProtection="0"/>
    <xf numFmtId="0" fontId="9" fillId="2" borderId="0" applyNumberFormat="0" applyBorder="0" applyAlignment="0" applyProtection="0"/>
    <xf numFmtId="0" fontId="8" fillId="2" borderId="0" applyNumberFormat="0" applyBorder="0" applyAlignment="0" applyProtection="0"/>
    <xf numFmtId="0" fontId="8" fillId="25" borderId="0" applyNumberFormat="0" applyBorder="0" applyAlignment="0" applyProtection="0">
      <alignment vertical="center"/>
    </xf>
    <xf numFmtId="0" fontId="8" fillId="0" borderId="0"/>
    <xf numFmtId="0" fontId="8" fillId="18" borderId="0" applyNumberFormat="0" applyBorder="0" applyAlignment="0" applyProtection="0">
      <alignment vertical="center"/>
    </xf>
    <xf numFmtId="0" fontId="8" fillId="2" borderId="0" applyNumberFormat="0" applyBorder="0" applyAlignment="0" applyProtection="0"/>
    <xf numFmtId="0" fontId="8" fillId="18" borderId="0" applyNumberFormat="0" applyBorder="0" applyAlignment="0" applyProtection="0">
      <alignment vertical="center"/>
    </xf>
    <xf numFmtId="0" fontId="8" fillId="2" borderId="0" applyNumberFormat="0" applyBorder="0" applyAlignment="0" applyProtection="0"/>
    <xf numFmtId="0" fontId="8" fillId="6" borderId="0" applyNumberFormat="0" applyBorder="0" applyAlignment="0" applyProtection="0">
      <alignment vertical="center"/>
    </xf>
    <xf numFmtId="0" fontId="8" fillId="25" borderId="0" applyNumberFormat="0" applyBorder="0" applyAlignment="0" applyProtection="0"/>
    <xf numFmtId="0" fontId="8" fillId="25" borderId="0" applyNumberFormat="0" applyBorder="0" applyAlignment="0" applyProtection="0"/>
    <xf numFmtId="0" fontId="8" fillId="6" borderId="0" applyNumberFormat="0" applyBorder="0" applyAlignment="0" applyProtection="0">
      <alignment vertical="center"/>
    </xf>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25" borderId="0" applyNumberFormat="0" applyBorder="0" applyAlignment="0" applyProtection="0"/>
    <xf numFmtId="0" fontId="8" fillId="14" borderId="0" applyNumberFormat="0" applyBorder="0" applyAlignment="0" applyProtection="0"/>
    <xf numFmtId="0" fontId="8" fillId="24" borderId="19" applyNumberFormat="0" applyFont="0" applyAlignment="0" applyProtection="0"/>
    <xf numFmtId="0" fontId="8" fillId="25" borderId="0" applyNumberFormat="0" applyBorder="0" applyAlignment="0" applyProtection="0"/>
    <xf numFmtId="0" fontId="8" fillId="14" borderId="0" applyNumberFormat="0" applyBorder="0" applyAlignment="0" applyProtection="0"/>
    <xf numFmtId="0" fontId="8" fillId="2" borderId="0" applyNumberFormat="0" applyBorder="0" applyAlignment="0" applyProtection="0">
      <alignment vertical="center"/>
    </xf>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18" borderId="0" applyNumberFormat="0" applyBorder="0" applyAlignment="0" applyProtection="0"/>
    <xf numFmtId="0" fontId="8" fillId="0" borderId="0"/>
    <xf numFmtId="0" fontId="8" fillId="18" borderId="0" applyNumberFormat="0" applyBorder="0" applyAlignment="0" applyProtection="0"/>
    <xf numFmtId="0" fontId="8" fillId="0" borderId="0"/>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2" borderId="0" applyNumberFormat="0" applyBorder="0" applyAlignment="0" applyProtection="0"/>
    <xf numFmtId="0" fontId="9" fillId="0" borderId="0"/>
    <xf numFmtId="0" fontId="8" fillId="2" borderId="0" applyNumberFormat="0" applyBorder="0" applyAlignment="0" applyProtection="0"/>
    <xf numFmtId="0" fontId="8" fillId="2" borderId="0" applyNumberFormat="0" applyBorder="0" applyAlignment="0" applyProtection="0"/>
    <xf numFmtId="0" fontId="8" fillId="24" borderId="19" applyNumberFormat="0" applyFont="0" applyAlignment="0" applyProtection="0">
      <alignment vertical="center"/>
    </xf>
    <xf numFmtId="0" fontId="8" fillId="2" borderId="0" applyNumberFormat="0" applyBorder="0" applyAlignment="0" applyProtection="0"/>
    <xf numFmtId="0" fontId="8" fillId="25" borderId="0" applyNumberFormat="0" applyBorder="0" applyAlignment="0" applyProtection="0"/>
    <xf numFmtId="0" fontId="8" fillId="0" borderId="0"/>
    <xf numFmtId="0" fontId="8" fillId="18" borderId="0" applyNumberFormat="0" applyBorder="0" applyAlignment="0" applyProtection="0">
      <alignment vertical="center"/>
    </xf>
    <xf numFmtId="0" fontId="8" fillId="25" borderId="0" applyNumberFormat="0" applyBorder="0" applyAlignment="0" applyProtection="0">
      <alignment vertical="center"/>
    </xf>
    <xf numFmtId="0" fontId="8" fillId="18" borderId="0" applyNumberFormat="0" applyBorder="0" applyAlignment="0" applyProtection="0">
      <alignment vertical="center"/>
    </xf>
    <xf numFmtId="0" fontId="8" fillId="25" borderId="0" applyNumberFormat="0" applyBorder="0" applyAlignment="0" applyProtection="0"/>
    <xf numFmtId="0" fontId="8" fillId="18" borderId="0" applyNumberFormat="0" applyBorder="0" applyAlignment="0" applyProtection="0">
      <alignment vertical="center"/>
    </xf>
    <xf numFmtId="0" fontId="8" fillId="25" borderId="0" applyNumberFormat="0" applyBorder="0" applyAlignment="0" applyProtection="0"/>
    <xf numFmtId="0" fontId="8" fillId="25" borderId="0" applyNumberFormat="0" applyBorder="0" applyAlignment="0" applyProtection="0">
      <alignment vertical="center"/>
    </xf>
    <xf numFmtId="0" fontId="8" fillId="0" borderId="0"/>
    <xf numFmtId="0" fontId="8" fillId="25" borderId="0" applyNumberFormat="0" applyBorder="0" applyAlignment="0" applyProtection="0">
      <alignment vertical="center"/>
    </xf>
    <xf numFmtId="0" fontId="8" fillId="0" borderId="0"/>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5" borderId="0" applyNumberFormat="0" applyBorder="0" applyAlignment="0" applyProtection="0">
      <alignment vertical="center"/>
    </xf>
    <xf numFmtId="0" fontId="8" fillId="2" borderId="0" applyNumberFormat="0" applyBorder="0" applyAlignment="0" applyProtection="0">
      <alignment vertical="center"/>
    </xf>
    <xf numFmtId="0" fontId="8" fillId="14" borderId="0" applyNumberFormat="0" applyBorder="0" applyAlignment="0" applyProtection="0"/>
    <xf numFmtId="0" fontId="8" fillId="2" borderId="0" applyNumberFormat="0" applyBorder="0" applyAlignment="0" applyProtection="0">
      <alignment vertical="center"/>
    </xf>
    <xf numFmtId="0" fontId="8" fillId="14" borderId="0" applyNumberFormat="0" applyBorder="0" applyAlignment="0" applyProtection="0"/>
    <xf numFmtId="0" fontId="8" fillId="18" borderId="0" applyNumberFormat="0" applyBorder="0" applyAlignment="0" applyProtection="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29" fillId="0" borderId="0" applyNumberFormat="0" applyFill="0" applyBorder="0" applyAlignment="0" applyProtection="0">
      <alignment vertical="center"/>
    </xf>
    <xf numFmtId="0" fontId="8" fillId="14" borderId="0" applyNumberFormat="0" applyBorder="0" applyAlignment="0" applyProtection="0">
      <alignment vertical="center"/>
    </xf>
    <xf numFmtId="0" fontId="8" fillId="2"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18"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2" borderId="0" applyNumberFormat="0" applyBorder="0" applyAlignment="0" applyProtection="0">
      <alignment vertical="center"/>
    </xf>
    <xf numFmtId="0" fontId="8" fillId="14" borderId="0" applyNumberFormat="0" applyBorder="0" applyAlignment="0" applyProtection="0"/>
    <xf numFmtId="0" fontId="8" fillId="6" borderId="0" applyNumberFormat="0" applyBorder="0" applyAlignment="0" applyProtection="0"/>
    <xf numFmtId="0" fontId="8" fillId="18" borderId="0" applyNumberFormat="0" applyBorder="0" applyAlignment="0" applyProtection="0"/>
    <xf numFmtId="0" fontId="8" fillId="2" borderId="0" applyNumberFormat="0" applyBorder="0" applyAlignment="0" applyProtection="0"/>
    <xf numFmtId="0" fontId="24" fillId="3" borderId="0" applyNumberFormat="0" applyBorder="0" applyAlignment="0" applyProtection="0">
      <alignment vertical="center"/>
    </xf>
    <xf numFmtId="0" fontId="24" fillId="33" borderId="0" applyNumberFormat="0" applyBorder="0" applyAlignment="0" applyProtection="0">
      <alignment vertical="center"/>
    </xf>
    <xf numFmtId="0" fontId="8" fillId="24" borderId="19" applyNumberFormat="0" applyFont="0" applyAlignment="0" applyProtection="0"/>
    <xf numFmtId="0" fontId="8" fillId="24" borderId="19" applyNumberFormat="0" applyFont="0" applyAlignment="0" applyProtection="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8" fillId="0" borderId="0"/>
    <xf numFmtId="0" fontId="8" fillId="0" borderId="0"/>
    <xf numFmtId="0" fontId="8" fillId="0" borderId="0"/>
    <xf numFmtId="0" fontId="8" fillId="0" borderId="0"/>
    <xf numFmtId="0" fontId="45" fillId="0" borderId="0"/>
    <xf numFmtId="0" fontId="8" fillId="0" borderId="0"/>
    <xf numFmtId="0" fontId="45" fillId="0" borderId="0"/>
    <xf numFmtId="0" fontId="8" fillId="0" borderId="0"/>
    <xf numFmtId="0" fontId="8" fillId="0" borderId="0"/>
    <xf numFmtId="0" fontId="9" fillId="0" borderId="0"/>
    <xf numFmtId="0" fontId="8" fillId="0" borderId="0"/>
    <xf numFmtId="0" fontId="8" fillId="0" borderId="0"/>
    <xf numFmtId="0" fontId="8" fillId="0" borderId="0"/>
    <xf numFmtId="0" fontId="7" fillId="0" borderId="3" applyNumberFormat="0" applyFill="0" applyAlignment="0" applyProtection="0">
      <alignment vertical="center"/>
    </xf>
    <xf numFmtId="0" fontId="8" fillId="0" borderId="0"/>
    <xf numFmtId="0" fontId="8" fillId="0" borderId="0"/>
    <xf numFmtId="0" fontId="8" fillId="0" borderId="0"/>
    <xf numFmtId="0" fontId="9" fillId="0" borderId="0"/>
    <xf numFmtId="0" fontId="8" fillId="0" borderId="0"/>
    <xf numFmtId="0" fontId="8" fillId="0" borderId="0"/>
    <xf numFmtId="0" fontId="8" fillId="0" borderId="0"/>
    <xf numFmtId="0" fontId="8" fillId="0" borderId="0"/>
    <xf numFmtId="0" fontId="8" fillId="0" borderId="0"/>
    <xf numFmtId="0" fontId="9" fillId="0" borderId="0"/>
    <xf numFmtId="0" fontId="41" fillId="0" borderId="0">
      <alignment vertical="center"/>
    </xf>
    <xf numFmtId="0" fontId="42" fillId="0" borderId="0">
      <alignment vertical="center"/>
    </xf>
    <xf numFmtId="0" fontId="28" fillId="0" borderId="16" applyNumberFormat="0" applyFill="0" applyAlignment="0" applyProtection="0">
      <alignment vertical="center"/>
    </xf>
    <xf numFmtId="0" fontId="31" fillId="0" borderId="18"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6" fillId="22" borderId="0" applyNumberFormat="0" applyBorder="0" applyAlignment="0" applyProtection="0">
      <alignment vertical="center"/>
    </xf>
    <xf numFmtId="0" fontId="43" fillId="22" borderId="0" applyNumberFormat="0" applyBorder="0" applyAlignment="0" applyProtection="0"/>
    <xf numFmtId="0" fontId="13"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4" fillId="0" borderId="0"/>
    <xf numFmtId="0" fontId="38" fillId="29" borderId="0" applyNumberFormat="0" applyBorder="0" applyAlignment="0" applyProtection="0">
      <alignment vertical="center"/>
    </xf>
    <xf numFmtId="0" fontId="36" fillId="27" borderId="15" applyNumberFormat="0" applyAlignment="0" applyProtection="0">
      <alignment vertical="center"/>
    </xf>
    <xf numFmtId="0" fontId="35" fillId="30" borderId="21" applyNumberFormat="0" applyAlignment="0" applyProtection="0">
      <alignment vertical="center"/>
    </xf>
    <xf numFmtId="0" fontId="6" fillId="0" borderId="0" applyNumberFormat="0" applyFill="0" applyBorder="0" applyAlignment="0" applyProtection="0">
      <alignment vertical="center"/>
    </xf>
    <xf numFmtId="0" fontId="37" fillId="0" borderId="22" applyNumberFormat="0" applyFill="0" applyAlignment="0" applyProtection="0">
      <alignment vertical="center"/>
    </xf>
    <xf numFmtId="0" fontId="24" fillId="32" borderId="0" applyNumberFormat="0" applyBorder="0" applyAlignment="0" applyProtection="0">
      <alignment vertical="center"/>
    </xf>
    <xf numFmtId="0" fontId="24" fillId="20" borderId="0" applyNumberFormat="0" applyBorder="0" applyAlignment="0" applyProtection="0">
      <alignment vertical="center"/>
    </xf>
    <xf numFmtId="0" fontId="24" fillId="35" borderId="0" applyNumberFormat="0" applyBorder="0" applyAlignment="0" applyProtection="0">
      <alignment vertical="center"/>
    </xf>
    <xf numFmtId="0" fontId="24" fillId="31" borderId="0" applyNumberFormat="0" applyBorder="0" applyAlignment="0" applyProtection="0">
      <alignment vertical="center"/>
    </xf>
    <xf numFmtId="0" fontId="24" fillId="34" borderId="0" applyNumberFormat="0" applyBorder="0" applyAlignment="0" applyProtection="0">
      <alignment vertical="center"/>
    </xf>
    <xf numFmtId="0" fontId="24" fillId="36" borderId="0" applyNumberFormat="0" applyBorder="0" applyAlignment="0" applyProtection="0">
      <alignment vertical="center"/>
    </xf>
    <xf numFmtId="0" fontId="40" fillId="37" borderId="0" applyNumberFormat="0" applyBorder="0" applyAlignment="0" applyProtection="0">
      <alignment vertical="center"/>
    </xf>
    <xf numFmtId="0" fontId="32" fillId="27" borderId="20" applyNumberFormat="0" applyAlignment="0" applyProtection="0">
      <alignment vertical="center"/>
    </xf>
    <xf numFmtId="0" fontId="25" fillId="19" borderId="15" applyNumberFormat="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9" fillId="0" borderId="0">
      <alignment vertical="center"/>
    </xf>
    <xf numFmtId="0" fontId="33" fillId="0" borderId="0">
      <alignment vertical="center"/>
    </xf>
    <xf numFmtId="0" fontId="8" fillId="24" borderId="19" applyNumberFormat="0" applyFont="0" applyAlignment="0" applyProtection="0">
      <alignment vertical="center"/>
    </xf>
    <xf numFmtId="0" fontId="8" fillId="24" borderId="19" applyNumberFormat="0" applyFont="0" applyAlignment="0" applyProtection="0">
      <alignment vertical="center"/>
    </xf>
    <xf numFmtId="0" fontId="8" fillId="24" borderId="19" applyNumberFormat="0" applyFont="0" applyAlignment="0" applyProtection="0">
      <alignment vertical="center"/>
    </xf>
    <xf numFmtId="0" fontId="8" fillId="24" borderId="19" applyNumberFormat="0" applyFont="0" applyAlignment="0" applyProtection="0">
      <alignment vertical="center"/>
    </xf>
    <xf numFmtId="0" fontId="8" fillId="24" borderId="19" applyNumberFormat="0" applyFont="0" applyAlignment="0" applyProtection="0">
      <alignment vertical="center"/>
    </xf>
    <xf numFmtId="0" fontId="8" fillId="24" borderId="19" applyNumberFormat="0" applyFont="0" applyAlignment="0" applyProtection="0">
      <alignment vertical="center"/>
    </xf>
    <xf numFmtId="0" fontId="8" fillId="24" borderId="19" applyNumberFormat="0" applyFont="0" applyAlignment="0" applyProtection="0">
      <alignment vertical="center"/>
    </xf>
    <xf numFmtId="0" fontId="8" fillId="24" borderId="19" applyNumberFormat="0" applyFont="0" applyAlignment="0" applyProtection="0">
      <alignment vertical="center"/>
    </xf>
    <xf numFmtId="0" fontId="8" fillId="24" borderId="19" applyNumberFormat="0" applyFont="0" applyAlignment="0" applyProtection="0">
      <alignment vertical="center"/>
    </xf>
    <xf numFmtId="0" fontId="8" fillId="24" borderId="19" applyNumberFormat="0" applyFont="0" applyAlignment="0" applyProtection="0">
      <alignment vertical="center"/>
    </xf>
    <xf numFmtId="0" fontId="8" fillId="24" borderId="19" applyNumberFormat="0" applyFont="0" applyAlignment="0" applyProtection="0">
      <alignment vertical="center"/>
    </xf>
  </cellStyleXfs>
  <cellXfs count="241">
    <xf numFmtId="0" fontId="0" fillId="0" borderId="0" xfId="0"/>
    <xf numFmtId="0" fontId="0" fillId="0" borderId="1" xfId="0" applyFont="1" applyFill="1" applyBorder="1" applyAlignment="1">
      <alignment vertical="center" wrapText="1"/>
    </xf>
    <xf numFmtId="166" fontId="0" fillId="0" borderId="0" xfId="0" applyNumberFormat="1" applyFont="1" applyFill="1" applyBorder="1" applyAlignment="1">
      <alignment vertical="center" wrapText="1"/>
    </xf>
    <xf numFmtId="0" fontId="0" fillId="0" borderId="0" xfId="0" applyFont="1" applyFill="1" applyBorder="1" applyAlignment="1">
      <alignment vertical="center" wrapText="1"/>
    </xf>
    <xf numFmtId="165" fontId="0" fillId="0" borderId="0" xfId="0" applyNumberFormat="1" applyFont="1" applyFill="1" applyBorder="1" applyAlignment="1">
      <alignment vertical="center" wrapText="1"/>
    </xf>
    <xf numFmtId="164" fontId="0" fillId="0" borderId="0" xfId="0" applyNumberFormat="1" applyFont="1" applyFill="1" applyBorder="1" applyAlignment="1">
      <alignment vertical="center" wrapText="1"/>
    </xf>
    <xf numFmtId="0" fontId="1" fillId="0" borderId="1" xfId="0" applyFont="1" applyFill="1" applyBorder="1" applyAlignment="1">
      <alignment vertical="center" wrapText="1"/>
    </xf>
    <xf numFmtId="0" fontId="0" fillId="0" borderId="1" xfId="0" applyFill="1" applyBorder="1" applyAlignment="1">
      <alignment vertical="center" wrapText="1"/>
    </xf>
    <xf numFmtId="0" fontId="2" fillId="3" borderId="0" xfId="0" applyFont="1" applyFill="1" applyBorder="1" applyAlignment="1">
      <alignment vertical="center" wrapText="1"/>
    </xf>
    <xf numFmtId="0" fontId="0" fillId="2" borderId="0" xfId="0" applyFont="1" applyFill="1" applyBorder="1" applyAlignment="1">
      <alignment horizontal="center" vertical="center" wrapText="1"/>
    </xf>
    <xf numFmtId="0" fontId="0" fillId="4" borderId="0" xfId="0" applyFont="1" applyFill="1" applyBorder="1" applyAlignment="1">
      <alignment vertical="center" wrapText="1"/>
    </xf>
    <xf numFmtId="0" fontId="0" fillId="0" borderId="0" xfId="0" applyFill="1" applyBorder="1" applyAlignment="1">
      <alignment vertical="center" wrapText="1"/>
    </xf>
    <xf numFmtId="0" fontId="3" fillId="0" borderId="0" xfId="495" applyFont="1" applyFill="1" applyBorder="1" applyAlignment="1">
      <alignment vertical="center" wrapText="1"/>
    </xf>
    <xf numFmtId="0" fontId="0" fillId="3" borderId="0" xfId="0" applyFont="1" applyFill="1" applyBorder="1" applyAlignment="1">
      <alignment vertical="center" wrapText="1"/>
    </xf>
    <xf numFmtId="166" fontId="0" fillId="0" borderId="1" xfId="0" applyNumberFormat="1" applyFont="1" applyFill="1" applyBorder="1" applyAlignment="1">
      <alignment vertical="center" wrapText="1"/>
    </xf>
    <xf numFmtId="166" fontId="0" fillId="0" borderId="1" xfId="0" applyNumberFormat="1" applyFill="1" applyBorder="1" applyAlignment="1">
      <alignment vertical="center" wrapText="1"/>
    </xf>
    <xf numFmtId="166" fontId="0" fillId="3" borderId="0" xfId="0" applyNumberFormat="1" applyFont="1" applyFill="1" applyBorder="1" applyAlignment="1">
      <alignment vertical="center" wrapText="1"/>
    </xf>
    <xf numFmtId="166" fontId="3" fillId="0" borderId="0" xfId="493" applyNumberFormat="1" applyFont="1" applyFill="1" applyBorder="1" applyAlignment="1">
      <alignment vertical="center" wrapText="1"/>
    </xf>
    <xf numFmtId="166" fontId="0" fillId="4" borderId="0" xfId="0" applyNumberFormat="1" applyFont="1" applyFill="1" applyBorder="1" applyAlignment="1">
      <alignment vertical="center" wrapText="1"/>
    </xf>
    <xf numFmtId="166" fontId="3" fillId="4" borderId="0" xfId="493" applyNumberFormat="1" applyFont="1" applyFill="1" applyBorder="1" applyAlignment="1">
      <alignment vertical="center" wrapText="1"/>
    </xf>
    <xf numFmtId="166" fontId="3" fillId="0" borderId="0" xfId="495" applyNumberFormat="1" applyFont="1" applyFill="1" applyBorder="1" applyAlignment="1">
      <alignment vertical="center" wrapText="1"/>
    </xf>
    <xf numFmtId="165" fontId="0" fillId="0" borderId="1" xfId="0" applyNumberFormat="1" applyFont="1" applyFill="1" applyBorder="1" applyAlignment="1">
      <alignment vertical="center" wrapText="1"/>
    </xf>
    <xf numFmtId="165" fontId="0" fillId="3" borderId="0" xfId="0" applyNumberFormat="1" applyFont="1" applyFill="1" applyBorder="1" applyAlignment="1">
      <alignment vertical="center" wrapText="1"/>
    </xf>
    <xf numFmtId="165" fontId="0" fillId="4" borderId="0" xfId="0" applyNumberFormat="1" applyFont="1" applyFill="1" applyBorder="1" applyAlignment="1">
      <alignment vertical="center" wrapText="1"/>
    </xf>
    <xf numFmtId="164" fontId="0" fillId="0" borderId="1" xfId="0" applyNumberFormat="1" applyFont="1" applyFill="1" applyBorder="1" applyAlignment="1">
      <alignment vertical="center" wrapText="1"/>
    </xf>
    <xf numFmtId="164" fontId="0" fillId="3" borderId="0" xfId="0" applyNumberFormat="1" applyFont="1" applyFill="1" applyBorder="1" applyAlignment="1">
      <alignment vertical="center" wrapText="1"/>
    </xf>
    <xf numFmtId="164" fontId="0" fillId="4" borderId="0" xfId="0" applyNumberFormat="1" applyFont="1" applyFill="1" applyBorder="1" applyAlignment="1">
      <alignment vertical="center" wrapText="1"/>
    </xf>
    <xf numFmtId="166" fontId="0" fillId="5" borderId="0" xfId="0" applyNumberFormat="1" applyFont="1" applyFill="1" applyBorder="1" applyAlignment="1">
      <alignment vertical="center" wrapText="1"/>
    </xf>
    <xf numFmtId="166" fontId="4" fillId="0" borderId="0" xfId="0" applyNumberFormat="1" applyFont="1" applyFill="1" applyBorder="1" applyAlignment="1">
      <alignment vertical="center" wrapText="1"/>
    </xf>
    <xf numFmtId="166" fontId="4" fillId="4" borderId="0" xfId="0" applyNumberFormat="1" applyFont="1" applyFill="1" applyBorder="1" applyAlignment="1">
      <alignment vertical="center" wrapText="1"/>
    </xf>
    <xf numFmtId="0" fontId="0" fillId="6" borderId="0" xfId="0" applyFont="1" applyFill="1" applyBorder="1" applyAlignment="1">
      <alignment horizontal="center" vertical="center" wrapText="1"/>
    </xf>
    <xf numFmtId="0" fontId="0" fillId="6" borderId="0" xfId="0" applyFont="1" applyFill="1" applyBorder="1" applyAlignment="1">
      <alignment vertical="center" wrapText="1"/>
    </xf>
    <xf numFmtId="166" fontId="5" fillId="0" borderId="0" xfId="0" applyNumberFormat="1" applyFont="1" applyFill="1" applyBorder="1" applyAlignment="1">
      <alignment vertical="center" wrapText="1"/>
    </xf>
    <xf numFmtId="166" fontId="5" fillId="7" borderId="0" xfId="0" applyNumberFormat="1" applyFont="1" applyFill="1" applyBorder="1" applyAlignment="1">
      <alignment vertical="center" wrapText="1"/>
    </xf>
    <xf numFmtId="0" fontId="0" fillId="0" borderId="0" xfId="0" applyFill="1"/>
    <xf numFmtId="0" fontId="0" fillId="0" borderId="0" xfId="0" applyAlignment="1">
      <alignment horizontal="center"/>
    </xf>
    <xf numFmtId="0" fontId="0" fillId="0" borderId="0" xfId="0" applyAlignment="1">
      <alignment horizontal="left"/>
    </xf>
    <xf numFmtId="0" fontId="7" fillId="0" borderId="0" xfId="0" applyFont="1" applyAlignment="1">
      <alignment horizontal="center"/>
    </xf>
    <xf numFmtId="0" fontId="7" fillId="0" borderId="3" xfId="43" applyAlignment="1">
      <alignment horizontal="center"/>
    </xf>
    <xf numFmtId="0" fontId="7" fillId="0" borderId="3" xfId="43" applyAlignment="1">
      <alignment horizontal="left"/>
    </xf>
    <xf numFmtId="0" fontId="0" fillId="0" borderId="0" xfId="0" applyFill="1" applyBorder="1" applyAlignment="1">
      <alignment horizontal="center"/>
    </xf>
    <xf numFmtId="0" fontId="0" fillId="0" borderId="0" xfId="0" applyFill="1" applyBorder="1" applyAlignment="1">
      <alignment horizontal="left"/>
    </xf>
    <xf numFmtId="0" fontId="0" fillId="0" borderId="0" xfId="0" applyFill="1" applyBorder="1"/>
    <xf numFmtId="0" fontId="0" fillId="0" borderId="0" xfId="0" applyFill="1" applyAlignment="1">
      <alignment horizontal="center"/>
    </xf>
    <xf numFmtId="0" fontId="0" fillId="0" borderId="0" xfId="0" applyFont="1" applyFill="1" applyAlignment="1">
      <alignment horizontal="center"/>
    </xf>
    <xf numFmtId="0" fontId="0" fillId="0" borderId="0" xfId="0" applyFont="1" applyFill="1"/>
    <xf numFmtId="0" fontId="0" fillId="0" borderId="0" xfId="0" applyFill="1" applyAlignment="1">
      <alignment horizontal="left"/>
    </xf>
    <xf numFmtId="0" fontId="9" fillId="0" borderId="0" xfId="293" applyFont="1" applyFill="1" applyAlignment="1">
      <alignment horizontal="center"/>
    </xf>
    <xf numFmtId="0" fontId="0" fillId="0" borderId="0" xfId="293" applyFont="1" applyFill="1" applyAlignment="1">
      <alignment horizontal="left"/>
    </xf>
    <xf numFmtId="0" fontId="0" fillId="0" borderId="0" xfId="293" applyFont="1" applyFill="1" applyAlignment="1">
      <alignment horizontal="center"/>
    </xf>
    <xf numFmtId="0" fontId="7" fillId="0" borderId="0" xfId="0" applyFont="1"/>
    <xf numFmtId="0" fontId="7" fillId="0" borderId="3" xfId="43" applyAlignment="1">
      <alignment horizontal="center" wrapText="1"/>
    </xf>
    <xf numFmtId="0" fontId="7" fillId="8" borderId="3" xfId="43" applyFill="1" applyAlignment="1">
      <alignment horizontal="center" wrapText="1"/>
    </xf>
    <xf numFmtId="168" fontId="10" fillId="0" borderId="0" xfId="291" applyNumberFormat="1" applyFont="1" applyFill="1" applyAlignment="1">
      <alignment horizontal="center"/>
    </xf>
    <xf numFmtId="169" fontId="0" fillId="0" borderId="0" xfId="0" applyNumberFormat="1" applyFont="1" applyFill="1" applyAlignment="1">
      <alignment horizontal="center"/>
    </xf>
    <xf numFmtId="166" fontId="0" fillId="0" borderId="0" xfId="0" applyNumberFormat="1" applyFont="1" applyFill="1" applyAlignment="1">
      <alignment horizontal="center"/>
    </xf>
    <xf numFmtId="0" fontId="0" fillId="0" borderId="0" xfId="0" applyFont="1" applyAlignment="1">
      <alignment horizontal="center"/>
    </xf>
    <xf numFmtId="0" fontId="0" fillId="0" borderId="0" xfId="0" applyFont="1"/>
    <xf numFmtId="0" fontId="11" fillId="0" borderId="3" xfId="43" applyFont="1" applyAlignment="1">
      <alignment horizontal="center" wrapText="1"/>
    </xf>
    <xf numFmtId="0" fontId="11" fillId="8" borderId="3" xfId="43" applyFont="1" applyFill="1" applyAlignment="1">
      <alignment horizontal="center" wrapText="1"/>
    </xf>
    <xf numFmtId="0" fontId="9" fillId="0" borderId="0" xfId="291" applyFont="1" applyFill="1" applyAlignment="1">
      <alignment horizontal="center"/>
    </xf>
    <xf numFmtId="168" fontId="9" fillId="0" borderId="0" xfId="291" applyNumberFormat="1" applyFont="1" applyFill="1" applyAlignment="1">
      <alignment horizontal="center"/>
    </xf>
    <xf numFmtId="169" fontId="0" fillId="0" borderId="0" xfId="0" applyNumberFormat="1" applyFill="1" applyAlignment="1">
      <alignment horizontal="center"/>
    </xf>
    <xf numFmtId="166" fontId="7" fillId="8" borderId="3" xfId="43" applyNumberFormat="1" applyFill="1" applyAlignment="1">
      <alignment horizontal="center" wrapText="1"/>
    </xf>
    <xf numFmtId="166" fontId="7" fillId="2" borderId="3" xfId="43" applyNumberFormat="1" applyFill="1" applyAlignment="1">
      <alignment horizontal="center" wrapText="1"/>
    </xf>
    <xf numFmtId="166" fontId="0" fillId="0" borderId="0" xfId="0" applyNumberFormat="1" applyAlignment="1">
      <alignment horizontal="center"/>
    </xf>
    <xf numFmtId="169" fontId="0" fillId="0" borderId="0" xfId="0" applyNumberFormat="1" applyFont="1" applyFill="1"/>
    <xf numFmtId="166" fontId="11" fillId="8" borderId="3" xfId="43" applyNumberFormat="1" applyFont="1" applyFill="1" applyAlignment="1">
      <alignment horizontal="center" wrapText="1"/>
    </xf>
    <xf numFmtId="169" fontId="0" fillId="0" borderId="0" xfId="0" applyNumberFormat="1" applyFont="1" applyFill="1" applyAlignment="1">
      <alignment horizontal="right"/>
    </xf>
    <xf numFmtId="169" fontId="0" fillId="0" borderId="0" xfId="0" applyNumberFormat="1" applyFill="1" applyAlignment="1">
      <alignment horizontal="right"/>
    </xf>
    <xf numFmtId="169" fontId="0" fillId="0" borderId="0" xfId="0" applyNumberFormat="1" applyFill="1"/>
    <xf numFmtId="10" fontId="0" fillId="0" borderId="0" xfId="0" applyNumberFormat="1" applyAlignment="1">
      <alignment horizontal="center"/>
    </xf>
    <xf numFmtId="0" fontId="0" fillId="0" borderId="0" xfId="0" applyFill="1" applyAlignment="1">
      <alignment horizontal="center" vertical="center"/>
    </xf>
    <xf numFmtId="0" fontId="0" fillId="0" borderId="0" xfId="275" applyFont="1" applyFill="1" applyAlignment="1">
      <alignment horizontal="center"/>
    </xf>
    <xf numFmtId="0" fontId="9" fillId="0" borderId="0" xfId="275" applyFont="1" applyFill="1" applyAlignment="1">
      <alignment horizontal="center"/>
    </xf>
    <xf numFmtId="0" fontId="0" fillId="0" borderId="0" xfId="0" applyFill="1" applyAlignment="1">
      <alignment horizontal="center" wrapText="1"/>
    </xf>
    <xf numFmtId="166" fontId="0" fillId="0" borderId="0" xfId="0" applyNumberFormat="1" applyFill="1" applyAlignment="1">
      <alignment horizontal="center"/>
    </xf>
    <xf numFmtId="0" fontId="3" fillId="0" borderId="0" xfId="275" applyFont="1" applyFill="1" applyAlignment="1">
      <alignment horizontal="center"/>
    </xf>
    <xf numFmtId="166" fontId="0" fillId="0" borderId="0" xfId="293" applyNumberFormat="1" applyFont="1" applyFill="1" applyAlignment="1">
      <alignment horizontal="center"/>
    </xf>
    <xf numFmtId="168" fontId="0" fillId="0" borderId="0" xfId="275" applyNumberFormat="1" applyFont="1" applyFill="1" applyAlignment="1">
      <alignment horizontal="center"/>
    </xf>
    <xf numFmtId="167" fontId="0" fillId="0" borderId="0" xfId="0" applyNumberFormat="1" applyAlignment="1">
      <alignment horizontal="center"/>
    </xf>
    <xf numFmtId="166" fontId="0" fillId="0" borderId="0" xfId="0" applyNumberFormat="1"/>
    <xf numFmtId="166" fontId="0" fillId="0" borderId="0" xfId="0" applyNumberFormat="1" applyFill="1"/>
    <xf numFmtId="170" fontId="0" fillId="0" borderId="0" xfId="0" applyNumberFormat="1" applyAlignment="1">
      <alignment horizontal="center"/>
    </xf>
    <xf numFmtId="0" fontId="13" fillId="0" borderId="0" xfId="492">
      <alignment vertical="center"/>
    </xf>
    <xf numFmtId="0" fontId="14" fillId="0" borderId="0" xfId="492" applyFont="1">
      <alignment vertical="center"/>
    </xf>
    <xf numFmtId="0" fontId="16" fillId="0" borderId="0" xfId="492" applyFont="1" applyAlignment="1">
      <alignment vertical="center" wrapText="1"/>
    </xf>
    <xf numFmtId="0" fontId="14" fillId="4" borderId="8" xfId="492" applyFont="1" applyFill="1" applyBorder="1" applyAlignment="1">
      <alignment horizontal="center" vertical="center"/>
    </xf>
    <xf numFmtId="0" fontId="14" fillId="0" borderId="7" xfId="492" applyFont="1" applyFill="1" applyBorder="1" applyAlignment="1">
      <alignment vertical="center" wrapText="1"/>
    </xf>
    <xf numFmtId="0" fontId="0" fillId="0" borderId="8" xfId="0" applyBorder="1" applyAlignment="1">
      <alignment horizontal="justify" vertical="center" wrapText="1"/>
    </xf>
    <xf numFmtId="0" fontId="14" fillId="0" borderId="8" xfId="492" applyFont="1" applyBorder="1" applyAlignment="1">
      <alignment vertical="center" wrapText="1"/>
    </xf>
    <xf numFmtId="0" fontId="14" fillId="0" borderId="8" xfId="492" applyFont="1" applyBorder="1" applyAlignment="1">
      <alignment horizontal="center" vertical="center" wrapText="1"/>
    </xf>
    <xf numFmtId="0" fontId="14" fillId="0" borderId="8" xfId="492" applyFont="1" applyFill="1" applyBorder="1" applyAlignment="1">
      <alignment vertical="center" wrapText="1"/>
    </xf>
    <xf numFmtId="0" fontId="14" fillId="0" borderId="8" xfId="492" applyFont="1" applyBorder="1">
      <alignment vertical="center"/>
    </xf>
    <xf numFmtId="0" fontId="13" fillId="0" borderId="8" xfId="492" applyBorder="1">
      <alignment vertical="center"/>
    </xf>
    <xf numFmtId="0" fontId="14" fillId="0" borderId="7" xfId="0" applyFont="1" applyFill="1" applyBorder="1" applyAlignment="1">
      <alignment wrapText="1"/>
    </xf>
    <xf numFmtId="0" fontId="14" fillId="0" borderId="8" xfId="0" applyFont="1" applyFill="1" applyBorder="1" applyAlignment="1">
      <alignment wrapText="1"/>
    </xf>
    <xf numFmtId="0" fontId="15" fillId="0" borderId="7" xfId="0" applyFont="1" applyFill="1" applyBorder="1" applyAlignment="1">
      <alignment horizontal="left" wrapText="1"/>
    </xf>
    <xf numFmtId="0" fontId="13" fillId="0" borderId="0" xfId="492" applyFill="1">
      <alignment vertical="center"/>
    </xf>
    <xf numFmtId="0" fontId="15" fillId="0" borderId="7" xfId="0" applyFont="1" applyFill="1" applyBorder="1" applyAlignment="1">
      <alignment horizontal="center" wrapText="1"/>
    </xf>
    <xf numFmtId="0" fontId="14" fillId="0" borderId="8" xfId="0" applyFont="1" applyFill="1" applyBorder="1" applyAlignment="1">
      <alignment horizontal="center" wrapText="1"/>
    </xf>
    <xf numFmtId="0" fontId="14" fillId="0" borderId="7" xfId="0" applyFont="1" applyFill="1" applyBorder="1" applyAlignment="1">
      <alignment vertical="top" wrapText="1"/>
    </xf>
    <xf numFmtId="0" fontId="14" fillId="0" borderId="8" xfId="0" applyFont="1" applyFill="1" applyBorder="1" applyAlignment="1">
      <alignment vertical="top" wrapText="1"/>
    </xf>
    <xf numFmtId="0" fontId="14" fillId="0" borderId="8" xfId="0" applyFont="1" applyFill="1" applyBorder="1" applyAlignment="1">
      <alignment horizontal="center" vertical="top" wrapText="1"/>
    </xf>
    <xf numFmtId="0" fontId="19" fillId="0" borderId="8" xfId="0" applyFont="1" applyFill="1" applyBorder="1" applyAlignment="1">
      <alignment horizontal="center" wrapText="1"/>
    </xf>
    <xf numFmtId="0" fontId="20" fillId="0" borderId="8" xfId="0" applyFont="1" applyFill="1" applyBorder="1" applyAlignment="1">
      <alignment wrapText="1"/>
    </xf>
    <xf numFmtId="0" fontId="21" fillId="0" borderId="8" xfId="0" applyFont="1" applyFill="1" applyBorder="1" applyAlignment="1">
      <alignment horizontal="center" wrapText="1"/>
    </xf>
    <xf numFmtId="0" fontId="14" fillId="4" borderId="8" xfId="492" applyFont="1" applyFill="1" applyBorder="1">
      <alignment vertical="center"/>
    </xf>
    <xf numFmtId="0" fontId="14" fillId="5" borderId="8" xfId="492" applyFont="1" applyFill="1" applyBorder="1" applyAlignment="1">
      <alignment horizontal="center" vertical="center"/>
    </xf>
    <xf numFmtId="0" fontId="14" fillId="0" borderId="8" xfId="492" applyFont="1" applyFill="1" applyBorder="1" applyAlignment="1">
      <alignment vertical="center"/>
    </xf>
    <xf numFmtId="0" fontId="0" fillId="0" borderId="6" xfId="219" applyFont="1" applyFill="1" applyBorder="1" applyAlignment="1">
      <alignment horizontal="justify" vertical="center" wrapText="1"/>
    </xf>
    <xf numFmtId="0" fontId="15" fillId="4" borderId="13" xfId="492" applyFont="1" applyFill="1" applyBorder="1" applyAlignment="1">
      <alignment vertical="center" wrapText="1"/>
    </xf>
    <xf numFmtId="0" fontId="15" fillId="4" borderId="14" xfId="492" applyFont="1" applyFill="1" applyBorder="1" applyAlignment="1">
      <alignment vertical="center" wrapText="1"/>
    </xf>
    <xf numFmtId="0" fontId="14" fillId="0" borderId="7" xfId="492" applyFont="1" applyBorder="1" applyAlignment="1">
      <alignment vertical="center" wrapText="1"/>
    </xf>
    <xf numFmtId="0" fontId="17" fillId="0" borderId="8" xfId="492" applyFont="1" applyBorder="1" applyAlignment="1">
      <alignment vertical="center" wrapText="1"/>
    </xf>
    <xf numFmtId="0" fontId="17" fillId="0" borderId="8" xfId="492" applyFont="1" applyFill="1" applyBorder="1" applyAlignment="1">
      <alignment vertical="center" wrapText="1"/>
    </xf>
    <xf numFmtId="0" fontId="14" fillId="0" borderId="8" xfId="492" applyFont="1" applyFill="1" applyBorder="1">
      <alignment vertical="center"/>
    </xf>
    <xf numFmtId="0" fontId="22" fillId="0" borderId="8" xfId="86" applyFont="1" applyBorder="1" applyAlignment="1">
      <alignment vertical="center" wrapText="1"/>
    </xf>
    <xf numFmtId="0" fontId="14" fillId="0" borderId="0" xfId="492" applyFont="1" applyAlignment="1">
      <alignment horizontal="center" vertical="center"/>
    </xf>
    <xf numFmtId="0" fontId="15" fillId="4" borderId="14" xfId="492" applyFont="1" applyFill="1" applyBorder="1" applyAlignment="1">
      <alignment horizontal="center" vertical="center" wrapText="1"/>
    </xf>
    <xf numFmtId="0" fontId="14" fillId="0" borderId="8" xfId="492" applyFont="1" applyFill="1" applyBorder="1" applyAlignment="1">
      <alignment horizontal="center" vertical="center" wrapText="1"/>
    </xf>
    <xf numFmtId="0" fontId="17" fillId="0" borderId="8" xfId="492" applyFont="1" applyFill="1" applyBorder="1" applyAlignment="1">
      <alignment horizontal="center" vertical="center" wrapText="1"/>
    </xf>
    <xf numFmtId="0" fontId="14" fillId="0" borderId="8" xfId="492" applyFont="1" applyFill="1" applyBorder="1" applyAlignment="1">
      <alignment horizontal="center" vertical="center"/>
    </xf>
    <xf numFmtId="0" fontId="22" fillId="0" borderId="8" xfId="86" applyFont="1" applyBorder="1" applyAlignment="1">
      <alignment horizontal="left" vertical="center" wrapText="1"/>
    </xf>
    <xf numFmtId="0" fontId="14" fillId="10" borderId="8" xfId="492" applyFont="1" applyFill="1" applyBorder="1" applyAlignment="1">
      <alignment horizontal="center" vertical="center"/>
    </xf>
    <xf numFmtId="0" fontId="14" fillId="0" borderId="0" xfId="492" applyFont="1" applyFill="1">
      <alignment vertical="center"/>
    </xf>
    <xf numFmtId="0" fontId="13" fillId="0" borderId="0" xfId="492" applyAlignment="1">
      <alignment horizontal="center" vertical="center"/>
    </xf>
    <xf numFmtId="0" fontId="15" fillId="11" borderId="8" xfId="0" applyFont="1" applyFill="1" applyBorder="1" applyAlignment="1">
      <alignment horizontal="center" wrapText="1"/>
    </xf>
    <xf numFmtId="0" fontId="14" fillId="0" borderId="8" xfId="492" applyFont="1" applyBorder="1" applyAlignment="1">
      <alignment vertical="center"/>
    </xf>
    <xf numFmtId="0" fontId="14" fillId="0" borderId="8" xfId="492" applyFont="1" applyBorder="1" applyAlignment="1">
      <alignment horizontal="left" vertical="center" wrapText="1"/>
    </xf>
    <xf numFmtId="0" fontId="17" fillId="0" borderId="8" xfId="0" applyFont="1" applyBorder="1" applyAlignment="1">
      <alignment horizontal="left" vertical="center" wrapText="1"/>
    </xf>
    <xf numFmtId="0" fontId="14" fillId="0" borderId="8" xfId="0" applyFont="1" applyBorder="1" applyAlignment="1">
      <alignment horizontal="left" vertical="center" wrapText="1"/>
    </xf>
    <xf numFmtId="0" fontId="14" fillId="0" borderId="8" xfId="492" applyFont="1" applyFill="1" applyBorder="1" applyAlignment="1">
      <alignment horizontal="left" vertical="center" wrapText="1"/>
    </xf>
    <xf numFmtId="0" fontId="14" fillId="0" borderId="8" xfId="0" applyFont="1" applyFill="1" applyBorder="1" applyAlignment="1">
      <alignment horizontal="left" wrapText="1"/>
    </xf>
    <xf numFmtId="0" fontId="14" fillId="11" borderId="8" xfId="0" applyFont="1" applyFill="1" applyBorder="1" applyAlignment="1">
      <alignment horizontal="center" wrapText="1"/>
    </xf>
    <xf numFmtId="0" fontId="14" fillId="0" borderId="8" xfId="492" applyFont="1" applyFill="1" applyBorder="1" applyAlignment="1">
      <alignment horizontal="left" vertical="center"/>
    </xf>
    <xf numFmtId="0" fontId="14" fillId="0" borderId="8" xfId="492" applyFont="1" applyBorder="1" applyAlignment="1">
      <alignment horizontal="left" vertical="center"/>
    </xf>
    <xf numFmtId="0" fontId="14" fillId="0" borderId="8" xfId="0" applyFont="1" applyBorder="1" applyAlignment="1">
      <alignment horizontal="left" wrapText="1"/>
    </xf>
    <xf numFmtId="0" fontId="23" fillId="0" borderId="0" xfId="492" applyFont="1">
      <alignment vertical="center"/>
    </xf>
    <xf numFmtId="0" fontId="14" fillId="0" borderId="0" xfId="492" applyFont="1" applyAlignment="1">
      <alignment horizontal="left" vertical="center" wrapText="1"/>
    </xf>
    <xf numFmtId="0" fontId="15" fillId="4" borderId="13" xfId="492" applyFont="1" applyFill="1" applyBorder="1" applyAlignment="1">
      <alignment horizontal="left" vertical="center" wrapText="1"/>
    </xf>
    <xf numFmtId="0" fontId="15" fillId="4" borderId="14" xfId="492" applyFont="1" applyFill="1" applyBorder="1" applyAlignment="1">
      <alignment horizontal="left" vertical="center" wrapText="1"/>
    </xf>
    <xf numFmtId="0" fontId="17" fillId="0" borderId="8" xfId="0" applyFont="1" applyFill="1" applyBorder="1" applyAlignment="1">
      <alignment wrapText="1"/>
    </xf>
    <xf numFmtId="0" fontId="14" fillId="0" borderId="12" xfId="492" applyFont="1" applyBorder="1" applyAlignment="1">
      <alignment horizontal="left" vertical="center" wrapText="1"/>
    </xf>
    <xf numFmtId="0" fontId="14" fillId="0" borderId="12" xfId="492" applyFont="1" applyBorder="1">
      <alignment vertical="center"/>
    </xf>
    <xf numFmtId="0" fontId="15" fillId="5" borderId="8" xfId="492" applyFont="1" applyFill="1" applyBorder="1" applyAlignment="1">
      <alignment horizontal="center" vertical="center"/>
    </xf>
    <xf numFmtId="0" fontId="14" fillId="10" borderId="8" xfId="492" applyFont="1" applyFill="1" applyBorder="1" applyAlignment="1">
      <alignment horizontal="left" vertical="center"/>
    </xf>
    <xf numFmtId="0" fontId="14" fillId="10" borderId="8" xfId="0" applyFont="1" applyFill="1" applyBorder="1" applyAlignment="1">
      <alignment horizontal="left" wrapText="1"/>
    </xf>
    <xf numFmtId="0" fontId="14" fillId="10" borderId="8" xfId="492" applyFont="1" applyFill="1" applyBorder="1" applyAlignment="1">
      <alignment horizontal="left" vertical="center" wrapText="1"/>
    </xf>
    <xf numFmtId="0" fontId="14" fillId="0" borderId="0" xfId="492" applyFont="1" applyAlignment="1">
      <alignment horizontal="left" vertical="center"/>
    </xf>
    <xf numFmtId="0" fontId="18" fillId="0" borderId="8" xfId="0" applyFont="1" applyFill="1" applyBorder="1" applyAlignment="1">
      <alignment horizontal="left" wrapText="1"/>
    </xf>
    <xf numFmtId="0" fontId="0" fillId="0" borderId="0" xfId="492" applyFont="1">
      <alignment vertical="center"/>
    </xf>
    <xf numFmtId="0" fontId="14" fillId="0" borderId="8" xfId="0" applyFont="1" applyFill="1" applyBorder="1" applyAlignment="1">
      <alignment horizontal="center" vertical="center" wrapText="1"/>
    </xf>
    <xf numFmtId="0" fontId="22" fillId="0" borderId="0" xfId="0" applyFont="1" applyAlignment="1">
      <alignment horizontal="center" vertical="center"/>
    </xf>
    <xf numFmtId="0" fontId="14" fillId="10" borderId="8" xfId="0" applyFont="1" applyFill="1" applyBorder="1" applyAlignment="1">
      <alignment horizontal="left" vertical="center" wrapText="1"/>
    </xf>
    <xf numFmtId="0" fontId="14" fillId="0" borderId="8" xfId="0" applyFont="1" applyBorder="1" applyAlignment="1">
      <alignment horizontal="center" wrapText="1"/>
    </xf>
    <xf numFmtId="0" fontId="14" fillId="0" borderId="8" xfId="492" applyFont="1" applyFill="1" applyBorder="1" applyAlignment="1">
      <alignment horizontal="center" wrapText="1"/>
    </xf>
    <xf numFmtId="0" fontId="0" fillId="0" borderId="0" xfId="0" applyAlignment="1">
      <alignment wrapText="1"/>
    </xf>
    <xf numFmtId="14" fontId="0" fillId="0" borderId="0" xfId="0" applyNumberFormat="1"/>
    <xf numFmtId="14" fontId="0" fillId="0" borderId="0" xfId="0" applyNumberFormat="1" applyFont="1"/>
    <xf numFmtId="0" fontId="0" fillId="0" borderId="0" xfId="0" applyFont="1" applyAlignment="1">
      <alignment horizontal="left"/>
    </xf>
    <xf numFmtId="14" fontId="0" fillId="0" borderId="0" xfId="0" applyNumberFormat="1" applyAlignment="1">
      <alignment horizontal="left"/>
    </xf>
    <xf numFmtId="0" fontId="14" fillId="0" borderId="8" xfId="492" quotePrefix="1" applyFont="1" applyBorder="1">
      <alignment vertical="center"/>
    </xf>
    <xf numFmtId="14" fontId="5" fillId="0" borderId="0" xfId="0" applyNumberFormat="1" applyFont="1"/>
    <xf numFmtId="0" fontId="5" fillId="0" borderId="0" xfId="0" applyFont="1"/>
    <xf numFmtId="0" fontId="0" fillId="0" borderId="0" xfId="0" applyAlignment="1">
      <alignment horizontal="left"/>
    </xf>
    <xf numFmtId="0" fontId="5" fillId="0" borderId="0" xfId="0" applyFont="1" applyAlignment="1">
      <alignment wrapText="1"/>
    </xf>
    <xf numFmtId="0" fontId="0" fillId="38" borderId="0" xfId="0" applyFont="1" applyFill="1" applyBorder="1" applyAlignment="1">
      <alignment vertical="center" wrapText="1"/>
    </xf>
    <xf numFmtId="166" fontId="0" fillId="38" borderId="0" xfId="0" applyNumberFormat="1" applyFont="1" applyFill="1" applyBorder="1" applyAlignment="1">
      <alignment vertical="center" wrapText="1"/>
    </xf>
    <xf numFmtId="165" fontId="0" fillId="38" borderId="0" xfId="0" applyNumberFormat="1" applyFont="1" applyFill="1" applyBorder="1" applyAlignment="1">
      <alignment vertical="center" wrapText="1"/>
    </xf>
    <xf numFmtId="164" fontId="0" fillId="38" borderId="0" xfId="0" applyNumberFormat="1" applyFont="1" applyFill="1" applyBorder="1" applyAlignment="1">
      <alignment vertical="center" wrapText="1"/>
    </xf>
    <xf numFmtId="0" fontId="5" fillId="0" borderId="0" xfId="0" applyFont="1" applyFill="1" applyBorder="1" applyAlignment="1">
      <alignment vertical="center" wrapText="1"/>
    </xf>
    <xf numFmtId="0" fontId="0" fillId="0" borderId="0" xfId="0" applyAlignment="1">
      <alignment horizontal="left"/>
    </xf>
    <xf numFmtId="0" fontId="5" fillId="0" borderId="0" xfId="0" applyFont="1" applyAlignment="1">
      <alignment horizontal="left"/>
    </xf>
    <xf numFmtId="0" fontId="0" fillId="0" borderId="0" xfId="0" applyAlignment="1">
      <alignment horizontal="left"/>
    </xf>
    <xf numFmtId="166" fontId="0" fillId="0" borderId="0" xfId="0" applyNumberFormat="1" applyFill="1" applyBorder="1" applyAlignment="1">
      <alignment horizontal="center"/>
    </xf>
    <xf numFmtId="169" fontId="0" fillId="0" borderId="0" xfId="0" applyNumberFormat="1" applyFill="1" applyBorder="1" applyAlignment="1">
      <alignment horizontal="center"/>
    </xf>
    <xf numFmtId="170" fontId="0" fillId="0" borderId="0" xfId="0" applyNumberFormat="1" applyFill="1" applyBorder="1" applyAlignment="1">
      <alignment horizontal="center"/>
    </xf>
    <xf numFmtId="0" fontId="0" fillId="0" borderId="0" xfId="46" applyFont="1" applyFill="1" applyBorder="1" applyAlignment="1">
      <alignment horizontal="center"/>
    </xf>
    <xf numFmtId="0" fontId="3" fillId="0" borderId="0" xfId="0" applyFont="1" applyFill="1" applyBorder="1" applyAlignment="1">
      <alignment horizontal="center"/>
    </xf>
    <xf numFmtId="169" fontId="0" fillId="0" borderId="0" xfId="46" applyNumberFormat="1" applyFont="1" applyFill="1" applyBorder="1" applyAlignment="1">
      <alignment horizontal="center"/>
    </xf>
    <xf numFmtId="0" fontId="7" fillId="0" borderId="0" xfId="0" applyFont="1" applyFill="1" applyBorder="1"/>
    <xf numFmtId="10" fontId="0" fillId="0" borderId="0" xfId="0" applyNumberFormat="1" applyFill="1" applyBorder="1" applyAlignment="1">
      <alignment horizontal="center"/>
    </xf>
    <xf numFmtId="167" fontId="0" fillId="0" borderId="0" xfId="0" applyNumberFormat="1" applyFill="1" applyBorder="1" applyAlignment="1">
      <alignment horizontal="center"/>
    </xf>
    <xf numFmtId="0" fontId="1" fillId="0" borderId="0" xfId="0" applyFont="1" applyFill="1" applyBorder="1" applyAlignment="1">
      <alignment horizontal="center"/>
    </xf>
    <xf numFmtId="0" fontId="8" fillId="0" borderId="0" xfId="291" applyFill="1" applyBorder="1" applyAlignment="1">
      <alignment horizontal="center"/>
    </xf>
    <xf numFmtId="0" fontId="0" fillId="0" borderId="0" xfId="291" applyFont="1" applyFill="1" applyBorder="1" applyAlignment="1">
      <alignment horizontal="left"/>
    </xf>
    <xf numFmtId="168" fontId="8" fillId="0" borderId="0" xfId="291" applyNumberFormat="1" applyFill="1" applyBorder="1" applyAlignment="1">
      <alignment horizontal="center"/>
    </xf>
    <xf numFmtId="0" fontId="7" fillId="0" borderId="0" xfId="43" applyFill="1" applyBorder="1" applyAlignment="1">
      <alignment horizontal="center"/>
    </xf>
    <xf numFmtId="0" fontId="7" fillId="0" borderId="0" xfId="43" applyFill="1" applyBorder="1" applyAlignment="1">
      <alignment horizontal="left"/>
    </xf>
    <xf numFmtId="0" fontId="7" fillId="0" borderId="0" xfId="43" applyFill="1" applyBorder="1" applyAlignment="1">
      <alignment horizontal="center" wrapText="1"/>
    </xf>
    <xf numFmtId="170" fontId="7" fillId="0" borderId="0" xfId="43" applyNumberFormat="1" applyFill="1" applyBorder="1" applyAlignment="1">
      <alignment horizontal="center" wrapText="1"/>
    </xf>
    <xf numFmtId="166" fontId="7" fillId="0" borderId="0" xfId="43" applyNumberFormat="1" applyFill="1" applyBorder="1" applyAlignment="1">
      <alignment horizontal="center" wrapText="1"/>
    </xf>
    <xf numFmtId="169" fontId="0" fillId="0" borderId="0" xfId="0" applyNumberFormat="1" applyFill="1" applyBorder="1"/>
    <xf numFmtId="169" fontId="0" fillId="0" borderId="0" xfId="0" applyNumberFormat="1" applyFill="1" applyBorder="1" applyAlignment="1">
      <alignment horizontal="right"/>
    </xf>
    <xf numFmtId="0" fontId="1" fillId="0" borderId="0" xfId="0" applyFont="1" applyFill="1" applyBorder="1" applyAlignment="1">
      <alignment horizontal="left"/>
    </xf>
    <xf numFmtId="0" fontId="0" fillId="0" borderId="0" xfId="0" applyFont="1" applyBorder="1" applyAlignment="1">
      <alignment horizontal="center"/>
    </xf>
    <xf numFmtId="0" fontId="0" fillId="0" borderId="0" xfId="0" applyFont="1" applyBorder="1" applyAlignment="1">
      <alignment horizontal="left"/>
    </xf>
    <xf numFmtId="0" fontId="0" fillId="0" borderId="0" xfId="0" applyFont="1" applyFill="1" applyBorder="1" applyAlignment="1">
      <alignment horizontal="center"/>
    </xf>
    <xf numFmtId="0" fontId="0" fillId="0" borderId="0" xfId="0" applyFont="1" applyBorder="1"/>
    <xf numFmtId="169" fontId="0" fillId="0" borderId="0" xfId="0" applyNumberFormat="1" applyFont="1" applyFill="1" applyBorder="1" applyAlignment="1">
      <alignment horizontal="center"/>
    </xf>
    <xf numFmtId="166" fontId="0" fillId="0" borderId="0" xfId="0" applyNumberFormat="1" applyFont="1" applyAlignment="1">
      <alignment horizontal="center"/>
    </xf>
    <xf numFmtId="0" fontId="0" fillId="0" borderId="0" xfId="274" applyFont="1" applyFill="1" applyAlignment="1">
      <alignment horizontal="center"/>
    </xf>
    <xf numFmtId="0" fontId="47" fillId="38" borderId="8" xfId="492" applyFont="1" applyFill="1" applyBorder="1" applyAlignment="1">
      <alignment horizontal="center" vertical="center"/>
    </xf>
    <xf numFmtId="166" fontId="5" fillId="3" borderId="0" xfId="0" applyNumberFormat="1" applyFont="1" applyFill="1" applyBorder="1" applyAlignment="1">
      <alignment vertical="center" wrapText="1"/>
    </xf>
    <xf numFmtId="166" fontId="5" fillId="4" borderId="0" xfId="0" applyNumberFormat="1" applyFont="1" applyFill="1" applyBorder="1" applyAlignment="1">
      <alignment vertical="center" wrapText="1"/>
    </xf>
    <xf numFmtId="0" fontId="14" fillId="4" borderId="6" xfId="492" applyFont="1" applyFill="1" applyBorder="1" applyAlignment="1">
      <alignment horizontal="center" vertical="center" wrapText="1"/>
    </xf>
    <xf numFmtId="0" fontId="14" fillId="4" borderId="7" xfId="492" applyFont="1" applyFill="1" applyBorder="1" applyAlignment="1">
      <alignment horizontal="center" vertical="center" wrapText="1"/>
    </xf>
    <xf numFmtId="0" fontId="14" fillId="5" borderId="6" xfId="492" applyFont="1" applyFill="1" applyBorder="1" applyAlignment="1">
      <alignment horizontal="center" vertical="center"/>
    </xf>
    <xf numFmtId="0" fontId="14" fillId="5" borderId="7" xfId="492" applyFont="1" applyFill="1" applyBorder="1" applyAlignment="1">
      <alignment horizontal="center" vertical="center"/>
    </xf>
    <xf numFmtId="0" fontId="15" fillId="11" borderId="5" xfId="0" applyFont="1" applyFill="1" applyBorder="1" applyAlignment="1">
      <alignment horizontal="center" vertical="center" wrapText="1"/>
    </xf>
    <xf numFmtId="0" fontId="15" fillId="11" borderId="12" xfId="0" applyFont="1" applyFill="1" applyBorder="1" applyAlignment="1">
      <alignment horizontal="center" vertical="center" wrapText="1"/>
    </xf>
    <xf numFmtId="0" fontId="14" fillId="11" borderId="5" xfId="0" applyFont="1" applyFill="1" applyBorder="1" applyAlignment="1">
      <alignment horizontal="center" vertical="center" wrapText="1"/>
    </xf>
    <xf numFmtId="0" fontId="14" fillId="11" borderId="12" xfId="0" applyFont="1" applyFill="1" applyBorder="1" applyAlignment="1">
      <alignment horizontal="center" vertical="center" wrapText="1"/>
    </xf>
    <xf numFmtId="0" fontId="14" fillId="4" borderId="13" xfId="492" applyFont="1" applyFill="1" applyBorder="1" applyAlignment="1">
      <alignment horizontal="center" vertical="center" wrapText="1"/>
    </xf>
    <xf numFmtId="0" fontId="14" fillId="4" borderId="14" xfId="492" applyFont="1" applyFill="1" applyBorder="1" applyAlignment="1">
      <alignment horizontal="center" vertical="center" wrapText="1"/>
    </xf>
    <xf numFmtId="0" fontId="15" fillId="11" borderId="0" xfId="0" applyFont="1" applyFill="1" applyBorder="1" applyAlignment="1">
      <alignment horizontal="center" wrapText="1"/>
    </xf>
    <xf numFmtId="0" fontId="15" fillId="11" borderId="4" xfId="0" applyFont="1" applyFill="1" applyBorder="1" applyAlignment="1">
      <alignment horizontal="center" wrapText="1"/>
    </xf>
    <xf numFmtId="0" fontId="14" fillId="4" borderId="6" xfId="492" applyFont="1" applyFill="1" applyBorder="1" applyAlignment="1">
      <alignment horizontal="center" vertical="center"/>
    </xf>
    <xf numFmtId="0" fontId="14" fillId="4" borderId="7" xfId="492" applyFont="1" applyFill="1" applyBorder="1" applyAlignment="1">
      <alignment horizontal="center" vertical="center"/>
    </xf>
    <xf numFmtId="0" fontId="18" fillId="0" borderId="5" xfId="492" applyFont="1" applyBorder="1" applyAlignment="1">
      <alignment horizontal="center" vertical="center"/>
    </xf>
    <xf numFmtId="0" fontId="18" fillId="0" borderId="11" xfId="492" applyFont="1" applyBorder="1" applyAlignment="1">
      <alignment horizontal="center" vertical="center"/>
    </xf>
    <xf numFmtId="0" fontId="18" fillId="0" borderId="12" xfId="492" applyFont="1" applyBorder="1" applyAlignment="1">
      <alignment horizontal="center" vertical="center"/>
    </xf>
    <xf numFmtId="0" fontId="14" fillId="0" borderId="7" xfId="0" applyFont="1" applyFill="1" applyBorder="1" applyAlignment="1">
      <alignment vertical="top" wrapText="1"/>
    </xf>
    <xf numFmtId="0" fontId="14" fillId="0" borderId="8" xfId="0" applyFont="1" applyFill="1" applyBorder="1" applyAlignment="1">
      <alignment vertical="top" wrapText="1"/>
    </xf>
    <xf numFmtId="0" fontId="14" fillId="0" borderId="8" xfId="0" applyFont="1" applyFill="1" applyBorder="1" applyAlignment="1"/>
    <xf numFmtId="0" fontId="14" fillId="0" borderId="8" xfId="0" applyFont="1" applyFill="1" applyBorder="1" applyAlignment="1">
      <alignment wrapText="1"/>
    </xf>
    <xf numFmtId="0" fontId="14" fillId="11" borderId="5" xfId="0" applyFont="1" applyFill="1" applyBorder="1" applyAlignment="1">
      <alignment horizontal="center" wrapText="1"/>
    </xf>
    <xf numFmtId="0" fontId="14" fillId="11" borderId="12" xfId="0" applyFont="1" applyFill="1" applyBorder="1" applyAlignment="1">
      <alignment horizontal="center" wrapText="1"/>
    </xf>
    <xf numFmtId="0" fontId="14" fillId="0" borderId="8" xfId="0" applyFont="1" applyFill="1" applyBorder="1" applyAlignment="1">
      <alignment horizontal="center" wrapText="1"/>
    </xf>
    <xf numFmtId="0" fontId="15" fillId="11" borderId="9" xfId="0" applyFont="1" applyFill="1" applyBorder="1" applyAlignment="1">
      <alignment horizontal="center" wrapText="1"/>
    </xf>
    <xf numFmtId="0" fontId="15" fillId="11" borderId="10" xfId="0" applyFont="1" applyFill="1" applyBorder="1" applyAlignment="1">
      <alignment horizontal="center" wrapText="1"/>
    </xf>
    <xf numFmtId="0" fontId="14" fillId="11" borderId="11" xfId="0" applyFont="1" applyFill="1" applyBorder="1" applyAlignment="1">
      <alignment horizontal="center" wrapText="1"/>
    </xf>
    <xf numFmtId="0" fontId="47" fillId="38" borderId="6" xfId="492" applyFont="1" applyFill="1" applyBorder="1" applyAlignment="1">
      <alignment horizontal="center" vertical="center"/>
    </xf>
    <xf numFmtId="0" fontId="47" fillId="38" borderId="7" xfId="492" applyFont="1" applyFill="1" applyBorder="1" applyAlignment="1">
      <alignment horizontal="center" vertical="center"/>
    </xf>
    <xf numFmtId="0" fontId="12" fillId="0" borderId="0" xfId="0" applyFont="1" applyAlignment="1">
      <alignment horizontal="left" wrapText="1"/>
    </xf>
    <xf numFmtId="0" fontId="0" fillId="0" borderId="0" xfId="0" applyAlignment="1">
      <alignment horizontal="left"/>
    </xf>
    <xf numFmtId="0" fontId="2" fillId="0" borderId="1" xfId="0" applyFont="1" applyFill="1" applyBorder="1" applyAlignment="1">
      <alignment horizontal="left" vertical="center" wrapText="1"/>
    </xf>
    <xf numFmtId="0" fontId="0" fillId="2" borderId="0" xfId="0" applyFont="1" applyFill="1" applyBorder="1" applyAlignment="1">
      <alignment horizontal="center" vertical="center" wrapText="1"/>
    </xf>
    <xf numFmtId="0" fontId="0" fillId="6" borderId="0" xfId="0" applyFont="1" applyFill="1" applyBorder="1" applyAlignment="1">
      <alignment horizontal="center" vertical="center" wrapText="1"/>
    </xf>
    <xf numFmtId="0" fontId="0" fillId="2" borderId="2" xfId="0" applyFont="1" applyFill="1" applyBorder="1" applyAlignment="1">
      <alignment horizontal="center" vertical="center" wrapText="1"/>
    </xf>
  </cellXfs>
  <cellStyles count="535">
    <cellStyle name="20% - Accent1 2" xfId="65"/>
    <cellStyle name="20% - Accent1 2 2" xfId="75"/>
    <cellStyle name="20% - Accent1 2 2 2" xfId="58"/>
    <cellStyle name="20% - Accent1 2 2 3" xfId="69"/>
    <cellStyle name="20% - Accent1 2 3" xfId="78"/>
    <cellStyle name="20% - Accent1 2 4" xfId="81"/>
    <cellStyle name="20% - Accent1 2_UMi-70GHz" xfId="84"/>
    <cellStyle name="20% - Accent1 3" xfId="51"/>
    <cellStyle name="20% - Accent1 3 2" xfId="85"/>
    <cellStyle name="20% - Accent1 3 3" xfId="37"/>
    <cellStyle name="20% - Accent2 2" xfId="41"/>
    <cellStyle name="20% - Accent2 2 2" xfId="13"/>
    <cellStyle name="20% - Accent2 2 2 2" xfId="17"/>
    <cellStyle name="20% - Accent2 2 2 3" xfId="87"/>
    <cellStyle name="20% - Accent2 2 3" xfId="90"/>
    <cellStyle name="20% - Accent2 2 4" xfId="54"/>
    <cellStyle name="20% - Accent2 2_UMi-70GHz" xfId="93"/>
    <cellStyle name="20% - Accent2 3" xfId="94"/>
    <cellStyle name="20% - Accent2 3 2" xfId="33"/>
    <cellStyle name="20% - Accent2 3 3" xfId="95"/>
    <cellStyle name="20% - Accent3 2" xfId="47"/>
    <cellStyle name="20% - Accent3 2 2" xfId="72"/>
    <cellStyle name="20% - Accent3 2 2 2" xfId="98"/>
    <cellStyle name="20% - Accent3 2 2 3" xfId="102"/>
    <cellStyle name="20% - Accent3 2 3" xfId="104"/>
    <cellStyle name="20% - Accent3 2 4" xfId="106"/>
    <cellStyle name="20% - Accent3 2_UMi-70GHz" xfId="108"/>
    <cellStyle name="20% - Accent3 3" xfId="112"/>
    <cellStyle name="20% - Accent3 3 2" xfId="113"/>
    <cellStyle name="20% - Accent3 3 3" xfId="114"/>
    <cellStyle name="20% - Accent4 2" xfId="115"/>
    <cellStyle name="20% - Accent4 2 2" xfId="118"/>
    <cellStyle name="20% - Accent4 2 2 2" xfId="120"/>
    <cellStyle name="20% - Accent4 2 2 3" xfId="124"/>
    <cellStyle name="20% - Accent4 2 3" xfId="127"/>
    <cellStyle name="20% - Accent4 2 4" xfId="121"/>
    <cellStyle name="20% - Accent4 2_UMi-70GHz" xfId="88"/>
    <cellStyle name="20% - Accent4 3" xfId="132"/>
    <cellStyle name="20% - Accent4 3 2" xfId="23"/>
    <cellStyle name="20% - Accent4 3 3" xfId="133"/>
    <cellStyle name="20% - Accent5 2" xfId="135"/>
    <cellStyle name="20% - Accent5 2 2" xfId="137"/>
    <cellStyle name="20% - Accent5 2 2 2" xfId="139"/>
    <cellStyle name="20% - Accent5 2 2 3" xfId="142"/>
    <cellStyle name="20% - Accent5 2 3" xfId="24"/>
    <cellStyle name="20% - Accent5 2 4" xfId="27"/>
    <cellStyle name="20% - Accent5 2_UMi-70GHz" xfId="1"/>
    <cellStyle name="20% - Accent5 3" xfId="146"/>
    <cellStyle name="20% - Accent5 3 2" xfId="147"/>
    <cellStyle name="20% - Accent5 3 3" xfId="149"/>
    <cellStyle name="20% - Accent6 2" xfId="151"/>
    <cellStyle name="20% - Accent6 2 2" xfId="154"/>
    <cellStyle name="20% - Accent6 2 2 2" xfId="156"/>
    <cellStyle name="20% - Accent6 2 2 3" xfId="158"/>
    <cellStyle name="20% - Accent6 2 3" xfId="161"/>
    <cellStyle name="20% - Accent6 2 4" xfId="163"/>
    <cellStyle name="20% - Accent6 2_UMi-70GHz" xfId="165"/>
    <cellStyle name="20% - Accent6 3" xfId="168"/>
    <cellStyle name="20% - Accent6 3 2" xfId="171"/>
    <cellStyle name="20% - Accent6 3 3" xfId="45"/>
    <cellStyle name="20% - 강조색1 2" xfId="174"/>
    <cellStyle name="20% - 강조색1 2 2" xfId="177"/>
    <cellStyle name="20% - 강조색1 2 3" xfId="180"/>
    <cellStyle name="20% - 강조색1 3" xfId="183"/>
    <cellStyle name="20% - 강조색1 3 2" xfId="185"/>
    <cellStyle name="20% - 강조색1 3 3" xfId="61"/>
    <cellStyle name="20% - 강조색2 2" xfId="186"/>
    <cellStyle name="20% - 강조색2 2 2" xfId="187"/>
    <cellStyle name="20% - 강조색2 2 3" xfId="188"/>
    <cellStyle name="20% - 강조색2 3" xfId="190"/>
    <cellStyle name="20% - 강조색2 3 2" xfId="191"/>
    <cellStyle name="20% - 강조색2 3 3" xfId="192"/>
    <cellStyle name="20% - 강조색3 2" xfId="21"/>
    <cellStyle name="20% - 강조색3 2 2" xfId="131"/>
    <cellStyle name="20% - 강조색3 2 3" xfId="19"/>
    <cellStyle name="20% - 강조색3 3" xfId="11"/>
    <cellStyle name="20% - 강조색3 3 2" xfId="145"/>
    <cellStyle name="20% - 강조색3 3 3" xfId="193"/>
    <cellStyle name="20% - 강조색4 2" xfId="179"/>
    <cellStyle name="20% - 강조색4 2 2" xfId="194"/>
    <cellStyle name="20% - 강조색4 2 3" xfId="195"/>
    <cellStyle name="20% - 강조색4 3" xfId="196"/>
    <cellStyle name="20% - 강조색4 3 2" xfId="198"/>
    <cellStyle name="20% - 강조색4 3 3" xfId="5"/>
    <cellStyle name="20% - 강조색5 2" xfId="60"/>
    <cellStyle name="20% - 강조색5 2 2" xfId="201"/>
    <cellStyle name="20% - 강조색5 2 3" xfId="203"/>
    <cellStyle name="20% - 강조색5 3" xfId="71"/>
    <cellStyle name="20% - 강조색5 3 2" xfId="205"/>
    <cellStyle name="20% - 강조색5 3 3" xfId="207"/>
    <cellStyle name="20% - 강조색6 2" xfId="211"/>
    <cellStyle name="20% - 강조색6 2 2" xfId="212"/>
    <cellStyle name="20% - 강조색6 2 3" xfId="213"/>
    <cellStyle name="20% - 강조색6 3" xfId="216"/>
    <cellStyle name="20% - 강조색6 3 2" xfId="218"/>
    <cellStyle name="20% - 강조색6 3 3" xfId="221"/>
    <cellStyle name="20% - 强调文字颜色 1 2" xfId="224"/>
    <cellStyle name="20% - 强调文字颜色 1 2 2" xfId="226"/>
    <cellStyle name="20% - 强调文字颜色 1 2 3" xfId="230"/>
    <cellStyle name="20% - 强调文字颜色 1 3" xfId="66"/>
    <cellStyle name="20% - 强调文字颜色 1 3 2" xfId="76"/>
    <cellStyle name="20% - 强调文字颜色 1 3 2 2" xfId="59"/>
    <cellStyle name="20% - 强调文字颜色 1 3 2 2 2" xfId="200"/>
    <cellStyle name="20% - 强调文字颜色 1 3 2 2 3" xfId="202"/>
    <cellStyle name="20% - 强调文字颜色 1 3 2 3" xfId="70"/>
    <cellStyle name="20% - 强调文字颜色 1 3 2 4" xfId="231"/>
    <cellStyle name="20% - 强调文字颜色 1 3 3" xfId="79"/>
    <cellStyle name="20% - 强调文字颜色 1 3 3 2" xfId="210"/>
    <cellStyle name="20% - 强调文字颜色 1 3 3 3" xfId="215"/>
    <cellStyle name="20% - 强调文字颜色 1 3 4" xfId="82"/>
    <cellStyle name="20% - 强调文字颜色 1 3 5" xfId="232"/>
    <cellStyle name="20% - 强调文字颜色 2 2" xfId="234"/>
    <cellStyle name="20% - 强调文字颜色 2 2 2" xfId="235"/>
    <cellStyle name="20% - 强调文字颜色 2 2 3" xfId="236"/>
    <cellStyle name="20% - 强调文字颜色 2 3" xfId="42"/>
    <cellStyle name="20% - 强调文字颜色 2 3 2" xfId="14"/>
    <cellStyle name="20% - 强调文字颜色 2 3 2 2" xfId="18"/>
    <cellStyle name="20% - 强调文字颜色 2 3 2 2 2" xfId="26"/>
    <cellStyle name="20% - 强调文字颜色 2 3 2 2 3" xfId="29"/>
    <cellStyle name="20% - 强调文字颜色 2 3 2 3" xfId="89"/>
    <cellStyle name="20% - 强调文字颜色 2 3 2 4" xfId="238"/>
    <cellStyle name="20% - 强调文字颜色 2 3 3" xfId="91"/>
    <cellStyle name="20% - 强调文字颜色 2 3 3 2" xfId="239"/>
    <cellStyle name="20% - 强调文字颜色 2 3 3 3" xfId="241"/>
    <cellStyle name="20% - 强调文字颜色 2 3 4" xfId="55"/>
    <cellStyle name="20% - 强调文字颜色 2 3 5" xfId="242"/>
    <cellStyle name="20% - 强调文字颜色 3 2" xfId="243"/>
    <cellStyle name="20% - 强调文字颜色 3 2 2" xfId="244"/>
    <cellStyle name="20% - 强调文字颜色 3 2 3" xfId="245"/>
    <cellStyle name="20% - 强调文字颜色 3 3" xfId="48"/>
    <cellStyle name="20% - 强调文字颜色 3 3 2" xfId="73"/>
    <cellStyle name="20% - 强调文字颜色 3 3 2 2" xfId="99"/>
    <cellStyle name="20% - 强调文字颜色 3 3 2 2 2" xfId="247"/>
    <cellStyle name="20% - 强调文字颜色 3 3 2 2 3" xfId="249"/>
    <cellStyle name="20% - 强调文字颜色 3 3 2 3" xfId="103"/>
    <cellStyle name="20% - 强调文字颜色 3 3 2 4" xfId="170"/>
    <cellStyle name="20% - 强调文字颜色 3 3 3" xfId="105"/>
    <cellStyle name="20% - 强调文字颜色 3 3 3 2" xfId="252"/>
    <cellStyle name="20% - 强调文字颜色 3 3 3 3" xfId="255"/>
    <cellStyle name="20% - 强调文字颜色 3 3 4" xfId="107"/>
    <cellStyle name="20% - 强调文字颜色 3 3 5" xfId="256"/>
    <cellStyle name="20% - 强调文字颜色 4 2" xfId="257"/>
    <cellStyle name="20% - 强调文字颜色 4 2 2" xfId="258"/>
    <cellStyle name="20% - 强调文字颜色 4 2 3" xfId="259"/>
    <cellStyle name="20% - 强调文字颜色 4 3" xfId="116"/>
    <cellStyle name="20% - 强调文字颜色 4 3 2" xfId="119"/>
    <cellStyle name="20% - 强调文字颜色 4 3 2 2" xfId="122"/>
    <cellStyle name="20% - 强调文字颜色 4 3 2 2 2" xfId="260"/>
    <cellStyle name="20% - 强调文字颜色 4 3 2 2 3" xfId="22"/>
    <cellStyle name="20% - 强调文字颜色 4 3 2 3" xfId="125"/>
    <cellStyle name="20% - 强调文字颜色 4 3 2 4" xfId="261"/>
    <cellStyle name="20% - 强调文字颜色 4 3 3" xfId="128"/>
    <cellStyle name="20% - 强调文字颜色 4 3 3 2" xfId="262"/>
    <cellStyle name="20% - 强调文字颜色 4 3 3 3" xfId="263"/>
    <cellStyle name="20% - 强调文字颜色 4 3 4" xfId="123"/>
    <cellStyle name="20% - 强调文字颜色 4 3 5" xfId="126"/>
    <cellStyle name="20% - 强调文字颜色 5 2" xfId="265"/>
    <cellStyle name="20% - 强调文字颜色 5 2 2" xfId="267"/>
    <cellStyle name="20% - 强调文字颜色 5 2 3" xfId="268"/>
    <cellStyle name="20% - 强调文字颜色 5 3" xfId="136"/>
    <cellStyle name="20% - 强调文字颜色 5 3 2" xfId="138"/>
    <cellStyle name="20% - 强调文字颜色 5 3 2 2" xfId="140"/>
    <cellStyle name="20% - 强调文字颜色 5 3 2 2 2" xfId="160"/>
    <cellStyle name="20% - 强调文字颜色 5 3 2 2 3" xfId="270"/>
    <cellStyle name="20% - 强调文字颜色 5 3 2 3" xfId="143"/>
    <cellStyle name="20% - 强调文字颜色 5 3 2 4" xfId="271"/>
    <cellStyle name="20% - 强调文字颜色 5 3 3" xfId="25"/>
    <cellStyle name="20% - 强调文字颜色 5 3 3 2" xfId="272"/>
    <cellStyle name="20% - 强调文字颜色 5 3 3 3" xfId="273"/>
    <cellStyle name="20% - 强调文字颜色 5 3 4" xfId="28"/>
    <cellStyle name="20% - 强调文字颜色 5 3 5" xfId="32"/>
    <cellStyle name="20% - 强调文字颜色 6 2" xfId="274"/>
    <cellStyle name="20% - 强调文字颜色 6 2 2" xfId="275"/>
    <cellStyle name="20% - 强调文字颜色 6 2 3" xfId="276"/>
    <cellStyle name="20% - 强调文字颜色 6 2 4" xfId="277"/>
    <cellStyle name="20% - 强调文字颜色 6 3" xfId="152"/>
    <cellStyle name="20% - 强调文字颜色 6 3 2" xfId="155"/>
    <cellStyle name="20% - 强调文字颜色 6 3 2 2" xfId="157"/>
    <cellStyle name="20% - 强调文字颜色 6 3 2 2 2" xfId="12"/>
    <cellStyle name="20% - 强调文字颜色 6 3 2 2 3" xfId="279"/>
    <cellStyle name="20% - 强调文字颜色 6 3 2 3" xfId="159"/>
    <cellStyle name="20% - 强调文字颜色 6 3 2 4" xfId="269"/>
    <cellStyle name="20% - 强调文字颜色 6 3 3" xfId="162"/>
    <cellStyle name="20% - 强调文字颜色 6 3 3 2" xfId="281"/>
    <cellStyle name="20% - 强调文字颜色 6 3 3 3" xfId="282"/>
    <cellStyle name="20% - 强调文字颜色 6 3 4" xfId="164"/>
    <cellStyle name="20% - 强调文字颜色 6 3 5" xfId="40"/>
    <cellStyle name="20% - 强调文字颜色 6 4" xfId="169"/>
    <cellStyle name="20% - 着色 1 2" xfId="36"/>
    <cellStyle name="20% - 着色 1 3" xfId="284"/>
    <cellStyle name="20% - 着色 2 2" xfId="286"/>
    <cellStyle name="20% - 着色 2 3" xfId="288"/>
    <cellStyle name="20% - 着色 3 2" xfId="97"/>
    <cellStyle name="20% - 着色 3 3" xfId="101"/>
    <cellStyle name="20% - 着色 4 2" xfId="251"/>
    <cellStyle name="20% - 着色 4 3" xfId="254"/>
    <cellStyle name="20% - 着色 5 2" xfId="291"/>
    <cellStyle name="20% - 着色 5 3" xfId="292"/>
    <cellStyle name="20% - 着色 6 2" xfId="293"/>
    <cellStyle name="20% - 着色 6 3" xfId="294"/>
    <cellStyle name="40% - Accent1 2" xfId="295"/>
    <cellStyle name="40% - Accent1 2 2" xfId="296"/>
    <cellStyle name="40% - Accent1 2 2 2" xfId="297"/>
    <cellStyle name="40% - Accent1 2 2 3" xfId="299"/>
    <cellStyle name="40% - Accent1 2 3" xfId="300"/>
    <cellStyle name="40% - Accent1 2 4" xfId="301"/>
    <cellStyle name="40% - Accent1 2_UMi-70GHz" xfId="302"/>
    <cellStyle name="40% - Accent1 3" xfId="303"/>
    <cellStyle name="40% - Accent1 3 2" xfId="304"/>
    <cellStyle name="40% - Accent1 3 3" xfId="305"/>
    <cellStyle name="40% - Accent2 2" xfId="306"/>
    <cellStyle name="40% - Accent2 2 2" xfId="307"/>
    <cellStyle name="40% - Accent2 2 2 2" xfId="308"/>
    <cellStyle name="40% - Accent2 2 2 3" xfId="309"/>
    <cellStyle name="40% - Accent2 2 3" xfId="311"/>
    <cellStyle name="40% - Accent2 2 4" xfId="3"/>
    <cellStyle name="40% - Accent2 2_UMi-70GHz" xfId="199"/>
    <cellStyle name="40% - Accent2 3" xfId="92"/>
    <cellStyle name="40% - Accent2 3 2" xfId="74"/>
    <cellStyle name="40% - Accent2 3 3" xfId="313"/>
    <cellStyle name="40% - Accent3 2" xfId="314"/>
    <cellStyle name="40% - Accent3 2 2" xfId="315"/>
    <cellStyle name="40% - Accent3 2 2 2" xfId="208"/>
    <cellStyle name="40% - Accent3 2 2 3" xfId="316"/>
    <cellStyle name="40% - Accent3 2 3" xfId="250"/>
    <cellStyle name="40% - Accent3 2 4" xfId="253"/>
    <cellStyle name="40% - Accent3 2_UMi-70GHz" xfId="153"/>
    <cellStyle name="40% - Accent3 3" xfId="317"/>
    <cellStyle name="40% - Accent3 3 2" xfId="318"/>
    <cellStyle name="40% - Accent3 3 3" xfId="290"/>
    <cellStyle name="40% - Accent4 2" xfId="319"/>
    <cellStyle name="40% - Accent4 2 2" xfId="320"/>
    <cellStyle name="40% - Accent4 2 2 2" xfId="321"/>
    <cellStyle name="40% - Accent4 2 2 3" xfId="322"/>
    <cellStyle name="40% - Accent4 2 3" xfId="323"/>
    <cellStyle name="40% - Accent4 2 4" xfId="325"/>
    <cellStyle name="40% - Accent4 2_UMi-70GHz" xfId="326"/>
    <cellStyle name="40% - Accent4 3" xfId="327"/>
    <cellStyle name="40% - Accent4 3 2" xfId="328"/>
    <cellStyle name="40% - Accent4 3 3" xfId="329"/>
    <cellStyle name="40% - Accent5 2" xfId="330"/>
    <cellStyle name="40% - Accent5 2 2" xfId="332"/>
    <cellStyle name="40% - Accent5 2 2 2" xfId="333"/>
    <cellStyle name="40% - Accent5 2 2 3" xfId="334"/>
    <cellStyle name="40% - Accent5 2 3" xfId="336"/>
    <cellStyle name="40% - Accent5 2 4" xfId="337"/>
    <cellStyle name="40% - Accent5 2_UMi-70GHz" xfId="324"/>
    <cellStyle name="40% - Accent5 3" xfId="338"/>
    <cellStyle name="40% - Accent5 3 2" xfId="340"/>
    <cellStyle name="40% - Accent5 3 3" xfId="342"/>
    <cellStyle name="40% - Accent6 2" xfId="343"/>
    <cellStyle name="40% - Accent6 2 2" xfId="52"/>
    <cellStyle name="40% - Accent6 2 2 2" xfId="264"/>
    <cellStyle name="40% - Accent6 2 2 3" xfId="134"/>
    <cellStyle name="40% - Accent6 2 3" xfId="38"/>
    <cellStyle name="40% - Accent6 2 4" xfId="344"/>
    <cellStyle name="40% - Accent6 2_UMi-70GHz" xfId="346"/>
    <cellStyle name="40% - Accent6 3" xfId="347"/>
    <cellStyle name="40% - Accent6 3 2" xfId="351"/>
    <cellStyle name="40% - Accent6 3 3" xfId="353"/>
    <cellStyle name="40% - 강조색1 2" xfId="355"/>
    <cellStyle name="40% - 강조색1 2 2" xfId="278"/>
    <cellStyle name="40% - 강조색1 2 3" xfId="356"/>
    <cellStyle name="40% - 강조색1 3" xfId="358"/>
    <cellStyle name="40% - 강조색1 3 2" xfId="359"/>
    <cellStyle name="40% - 강조색1 3 3" xfId="360"/>
    <cellStyle name="40% - 강조색2 2" xfId="361"/>
    <cellStyle name="40% - 강조색2 2 2" xfId="362"/>
    <cellStyle name="40% - 강조색2 2 3" xfId="363"/>
    <cellStyle name="40% - 강조색2 3" xfId="364"/>
    <cellStyle name="40% - 강조색2 3 2" xfId="366"/>
    <cellStyle name="40% - 강조색2 3 3" xfId="369"/>
    <cellStyle name="40% - 강조색3 2" xfId="371"/>
    <cellStyle name="40% - 강조색3 2 2" xfId="372"/>
    <cellStyle name="40% - 강조색3 2 3" xfId="373"/>
    <cellStyle name="40% - 강조색3 3" xfId="374"/>
    <cellStyle name="40% - 강조색3 3 2" xfId="375"/>
    <cellStyle name="40% - 강조색3 3 3" xfId="376"/>
    <cellStyle name="40% - 강조색4 2" xfId="377"/>
    <cellStyle name="40% - 강조색4 2 2" xfId="379"/>
    <cellStyle name="40% - 강조색4 2 3" xfId="381"/>
    <cellStyle name="40% - 강조색4 3" xfId="382"/>
    <cellStyle name="40% - 강조색4 3 2" xfId="63"/>
    <cellStyle name="40% - 강조색4 3 3" xfId="50"/>
    <cellStyle name="40% - 강조색5 2" xfId="310"/>
    <cellStyle name="40% - 강조색5 2 2" xfId="383"/>
    <cellStyle name="40% - 강조색5 2 3" xfId="384"/>
    <cellStyle name="40% - 강조색5 3" xfId="2"/>
    <cellStyle name="40% - 강조색5 3 2" xfId="385"/>
    <cellStyle name="40% - 강조색5 3 3" xfId="345"/>
    <cellStyle name="40% - 강조색6 2" xfId="312"/>
    <cellStyle name="40% - 강조색6 2 2" xfId="386"/>
    <cellStyle name="40% - 강조색6 2 3" xfId="280"/>
    <cellStyle name="40% - 강조색6 3" xfId="388"/>
    <cellStyle name="40% - 강조색6 3 2" xfId="389"/>
    <cellStyle name="40% - 강조색6 3 3" xfId="391"/>
    <cellStyle name="40% - 强调文字颜色 1 2" xfId="392"/>
    <cellStyle name="40% - 强调文字颜色 1 2 2" xfId="397"/>
    <cellStyle name="40% - 强调文字颜色 1 2 3" xfId="399"/>
    <cellStyle name="40% - 强调文字颜色 1 3" xfId="348"/>
    <cellStyle name="40% - 强调文字颜色 1 3 2" xfId="400"/>
    <cellStyle name="40% - 强调文字颜色 1 3 2 2" xfId="402"/>
    <cellStyle name="40% - 强调文字颜色 1 3 2 2 2" xfId="404"/>
    <cellStyle name="40% - 强调文字颜色 1 3 2 2 3" xfId="395"/>
    <cellStyle name="40% - 强调文字颜色 1 3 2 3" xfId="223"/>
    <cellStyle name="40% - 强调文字颜色 1 3 2 4" xfId="64"/>
    <cellStyle name="40% - 强调文字颜色 1 3 3" xfId="405"/>
    <cellStyle name="40% - 强调文字颜色 1 3 3 2" xfId="406"/>
    <cellStyle name="40% - 强调文字颜色 1 3 3 3" xfId="233"/>
    <cellStyle name="40% - 强调文字颜色 1 3 4" xfId="197"/>
    <cellStyle name="40% - 强调文字颜色 1 3 5" xfId="4"/>
    <cellStyle name="40% - 强调文字颜色 2 2" xfId="227"/>
    <cellStyle name="40% - 强调文字颜色 2 2 2" xfId="408"/>
    <cellStyle name="40% - 强调文字颜色 2 2 3" xfId="410"/>
    <cellStyle name="40% - 强调文字颜色 2 3" xfId="412"/>
    <cellStyle name="40% - 强调文字颜色 2 3 2" xfId="414"/>
    <cellStyle name="40% - 强调文字颜色 2 3 2 2" xfId="415"/>
    <cellStyle name="40% - 强调文字颜色 2 3 2 2 2" xfId="416"/>
    <cellStyle name="40% - 强调文字颜色 2 3 2 2 3" xfId="417"/>
    <cellStyle name="40% - 强调文字颜色 2 3 2 3" xfId="419"/>
    <cellStyle name="40% - 强调文字颜色 2 3 2 4" xfId="421"/>
    <cellStyle name="40% - 强调文字颜色 2 3 3" xfId="422"/>
    <cellStyle name="40% - 强调文字颜色 2 3 3 2" xfId="173"/>
    <cellStyle name="40% - 强调文字颜色 2 3 3 3" xfId="182"/>
    <cellStyle name="40% - 强调文字颜色 2 3 4" xfId="204"/>
    <cellStyle name="40% - 强调文字颜色 2 3 5" xfId="206"/>
    <cellStyle name="40% - 强调文字颜色 3 2" xfId="77"/>
    <cellStyle name="40% - 强调文字颜色 3 2 2" xfId="209"/>
    <cellStyle name="40% - 强调文字颜色 3 2 3" xfId="214"/>
    <cellStyle name="40% - 强调文字颜色 3 3" xfId="80"/>
    <cellStyle name="40% - 强调文字颜色 3 3 2" xfId="423"/>
    <cellStyle name="40% - 强调文字颜色 3 3 2 2" xfId="424"/>
    <cellStyle name="40% - 强调文字颜色 3 3 2 2 2" xfId="354"/>
    <cellStyle name="40% - 强调文字颜色 3 3 2 2 3" xfId="357"/>
    <cellStyle name="40% - 强调文字颜色 3 3 2 3" xfId="425"/>
    <cellStyle name="40% - 强调文字颜色 3 3 2 4" xfId="426"/>
    <cellStyle name="40% - 强调文字颜色 3 3 3" xfId="34"/>
    <cellStyle name="40% - 强调文字颜色 3 3 3 2" xfId="7"/>
    <cellStyle name="40% - 强调文字颜色 3 3 3 3" xfId="68"/>
    <cellStyle name="40% - 强调文字颜色 3 3 4" xfId="217"/>
    <cellStyle name="40% - 强调文字颜色 3 3 5" xfId="220"/>
    <cellStyle name="40% - 强调文字颜色 4 2" xfId="35"/>
    <cellStyle name="40% - 强调文字颜色 4 2 2" xfId="427"/>
    <cellStyle name="40% - 强调文字颜色 4 2 3" xfId="428"/>
    <cellStyle name="40% - 强调文字颜色 4 3" xfId="283"/>
    <cellStyle name="40% - 强调文字颜色 4 3 2" xfId="56"/>
    <cellStyle name="40% - 强调文字颜色 4 3 2 2" xfId="394"/>
    <cellStyle name="40% - 强调文字颜色 4 3 2 2 2" xfId="396"/>
    <cellStyle name="40% - 强调文字颜色 4 3 2 2 3" xfId="398"/>
    <cellStyle name="40% - 强调文字颜色 4 3 2 3" xfId="350"/>
    <cellStyle name="40% - 强调文字颜色 4 3 2 4" xfId="352"/>
    <cellStyle name="40% - 强调文字颜色 4 3 3" xfId="57"/>
    <cellStyle name="40% - 强调文字颜色 4 3 3 2" xfId="229"/>
    <cellStyle name="40% - 强调文字颜色 4 3 3 3" xfId="411"/>
    <cellStyle name="40% - 强调文字颜色 4 3 4" xfId="6"/>
    <cellStyle name="40% - 强调文字颜色 4 3 5" xfId="67"/>
    <cellStyle name="40% - 强调文字颜色 5 2" xfId="285"/>
    <cellStyle name="40% - 强调文字颜色 5 2 2" xfId="429"/>
    <cellStyle name="40% - 强调文字颜色 5 2 3" xfId="430"/>
    <cellStyle name="40% - 强调文字颜色 5 3" xfId="287"/>
    <cellStyle name="40% - 强调文字颜色 5 3 2" xfId="431"/>
    <cellStyle name="40% - 强调文字颜色 5 3 2 2" xfId="432"/>
    <cellStyle name="40% - 强调文字颜色 5 3 2 2 2" xfId="433"/>
    <cellStyle name="40% - 强调文字颜色 5 3 2 2 3" xfId="117"/>
    <cellStyle name="40% - 强调文字颜色 5 3 2 3" xfId="434"/>
    <cellStyle name="40% - 强调文字颜色 5 3 2 4" xfId="435"/>
    <cellStyle name="40% - 强调文字颜色 5 3 3" xfId="436"/>
    <cellStyle name="40% - 强调文字颜色 5 3 3 2" xfId="15"/>
    <cellStyle name="40% - 强调文字颜色 5 3 3 3" xfId="437"/>
    <cellStyle name="40% - 强调文字颜色 5 3 4" xfId="438"/>
    <cellStyle name="40% - 强调文字颜色 5 3 5" xfId="439"/>
    <cellStyle name="40% - 强调文字颜色 6 2" xfId="96"/>
    <cellStyle name="40% - 强调文字颜色 6 2 2" xfId="246"/>
    <cellStyle name="40% - 强调文字颜色 6 2 3" xfId="248"/>
    <cellStyle name="40% - 强调文字颜色 6 3" xfId="100"/>
    <cellStyle name="40% - 强调文字颜色 6 3 2" xfId="420"/>
    <cellStyle name="40% - 强调文字颜色 6 3 2 2" xfId="440"/>
    <cellStyle name="40% - 强调文字颜色 6 3 2 2 2" xfId="150"/>
    <cellStyle name="40% - 强调文字颜色 6 3 2 2 3" xfId="167"/>
    <cellStyle name="40% - 强调文字颜色 6 3 2 3" xfId="407"/>
    <cellStyle name="40% - 强调文字颜色 6 3 2 4" xfId="409"/>
    <cellStyle name="40% - 强调文字颜色 6 3 3" xfId="441"/>
    <cellStyle name="40% - 强调文字颜色 6 3 3 2" xfId="442"/>
    <cellStyle name="40% - 强调文字颜色 6 3 3 3" xfId="413"/>
    <cellStyle name="40% - 强调文字颜色 6 3 4" xfId="443"/>
    <cellStyle name="40% - 强调文字颜色 6 3 5" xfId="370"/>
    <cellStyle name="40% - 着色 1 2" xfId="365"/>
    <cellStyle name="40% - 着色 1 3" xfId="368"/>
    <cellStyle name="40% - 着色 2 2" xfId="298"/>
    <cellStyle name="40% - 着色 2 3" xfId="444"/>
    <cellStyle name="40% - 着色 3 2" xfId="445"/>
    <cellStyle name="40% - 着色 3 3" xfId="31"/>
    <cellStyle name="40% - 着色 4 2" xfId="446"/>
    <cellStyle name="40% - 着色 4 3" xfId="176"/>
    <cellStyle name="40% - 着色 5 2" xfId="39"/>
    <cellStyle name="40% - 着色 5 3" xfId="184"/>
    <cellStyle name="40% - 着色 6 2" xfId="83"/>
    <cellStyle name="40% - 着色 6 3" xfId="447"/>
    <cellStyle name="60% - 强调文字颜色 1 2" xfId="111"/>
    <cellStyle name="60% - 强调文字颜色 2 2" xfId="129"/>
    <cellStyle name="60% - 强调文字颜色 3 2" xfId="144"/>
    <cellStyle name="60% - 强调文字颜色 4 2" xfId="166"/>
    <cellStyle name="60% - 强调文字颜色 5 2" xfId="448"/>
    <cellStyle name="60% - 强调文字颜色 6 2" xfId="449"/>
    <cellStyle name="Commentaire 2" xfId="450"/>
    <cellStyle name="Commentaire 2 2" xfId="367"/>
    <cellStyle name="Commentaire 2 2 2" xfId="30"/>
    <cellStyle name="Commentaire 2 2 2 2" xfId="110"/>
    <cellStyle name="Commentaire 2 2 2 3" xfId="451"/>
    <cellStyle name="Commentaire 2 2 3" xfId="20"/>
    <cellStyle name="Commentaire 2 2 4" xfId="9"/>
    <cellStyle name="Commentaire 2 3" xfId="172"/>
    <cellStyle name="Commentaire 2 3 2" xfId="175"/>
    <cellStyle name="Commentaire 2 3 3" xfId="178"/>
    <cellStyle name="Commentaire 2 4" xfId="181"/>
    <cellStyle name="Commentaire 2 5" xfId="16"/>
    <cellStyle name="Normal" xfId="0" builtinId="0"/>
    <cellStyle name="Normal 2" xfId="341"/>
    <cellStyle name="Normal 2 2" xfId="452"/>
    <cellStyle name="Normal 2 2 2" xfId="86"/>
    <cellStyle name="Normal 2 2 2 2" xfId="148"/>
    <cellStyle name="Normal 2 2 2 2 2" xfId="46"/>
    <cellStyle name="Normal 2 2 2 2 3" xfId="109"/>
    <cellStyle name="Normal 2 2 2 3" xfId="453"/>
    <cellStyle name="Normal 2 2 2 4" xfId="454"/>
    <cellStyle name="Normal 2 2 2_UMi-70GHz" xfId="219"/>
    <cellStyle name="Normal 2 2 3" xfId="237"/>
    <cellStyle name="Normal 2 2 3 2" xfId="455"/>
    <cellStyle name="Normal 2 2 3 3" xfId="456"/>
    <cellStyle name="Normal 2 2 4" xfId="331"/>
    <cellStyle name="Normal 2 2 5" xfId="335"/>
    <cellStyle name="Normal 2 2_UMi-70GHz" xfId="457"/>
    <cellStyle name="Normal 2 3" xfId="458"/>
    <cellStyle name="Normal 2 3 2" xfId="240"/>
    <cellStyle name="Normal 2 3 2 2" xfId="44"/>
    <cellStyle name="Normal 2 3 2 3" xfId="459"/>
    <cellStyle name="Normal 2 3 3" xfId="460"/>
    <cellStyle name="Normal 2 3 4" xfId="339"/>
    <cellStyle name="Normal 2 3_UMi-70GHz" xfId="387"/>
    <cellStyle name="Normal 2 4" xfId="461"/>
    <cellStyle name="Normal 2 4 2" xfId="462"/>
    <cellStyle name="Normal 2 4 3" xfId="53"/>
    <cellStyle name="Normal 2 5" xfId="378"/>
    <cellStyle name="Normal 2 6" xfId="380"/>
    <cellStyle name="Normal 2 7" xfId="8"/>
    <cellStyle name="Normal 2 8" xfId="463"/>
    <cellStyle name="Normal 2_UMi-70GHz" xfId="266"/>
    <cellStyle name="Normal 3" xfId="464"/>
    <cellStyle name="Normal 3 2" xfId="465"/>
    <cellStyle name="Normal 3 3" xfId="401"/>
    <cellStyle name="Normal 3 3 2" xfId="403"/>
    <cellStyle name="Normal 3 3 2 2" xfId="466"/>
    <cellStyle name="Normal 3 3 2 3" xfId="467"/>
    <cellStyle name="Normal 3 3 3" xfId="393"/>
    <cellStyle name="Normal 3 3 4" xfId="349"/>
    <cellStyle name="Normal 3 3_UMi-70GHz" xfId="141"/>
    <cellStyle name="Normal 3 4" xfId="222"/>
    <cellStyle name="Normal 3 4 2" xfId="225"/>
    <cellStyle name="Normal 3 4 3" xfId="228"/>
    <cellStyle name="Normal 3 5" xfId="62"/>
    <cellStyle name="Normal 3 6" xfId="49"/>
    <cellStyle name="Normal 3_UMi-70GHz" xfId="468"/>
    <cellStyle name="Normal 4" xfId="469"/>
    <cellStyle name="Normal 4 2" xfId="470"/>
    <cellStyle name="Normal 4 2 2" xfId="471"/>
    <cellStyle name="Normal 4 2 2 2" xfId="189"/>
    <cellStyle name="Normal 4 2 2 3" xfId="473"/>
    <cellStyle name="Normal 4 2 3" xfId="474"/>
    <cellStyle name="Normal 4 2 4" xfId="475"/>
    <cellStyle name="Normal 4 2_UMi-70GHz" xfId="476"/>
    <cellStyle name="Normal 4 3" xfId="477"/>
    <cellStyle name="Normal 4 3 2" xfId="478"/>
    <cellStyle name="Normal 4 3 3" xfId="479"/>
    <cellStyle name="Normal 4 4" xfId="480"/>
    <cellStyle name="Normal 4 5" xfId="481"/>
    <cellStyle name="Normal 4_UMi-70GHz" xfId="482"/>
    <cellStyle name="TableStyleLight1" xfId="483"/>
    <cellStyle name="TableStyleLight1 2" xfId="484"/>
    <cellStyle name="Total" xfId="43" builtinId="25"/>
    <cellStyle name="一般 2" xfId="519"/>
    <cellStyle name="一般 2 2" xfId="520"/>
    <cellStyle name="一般 2 3" xfId="521"/>
    <cellStyle name="一般 2_UMi-70GHz" xfId="522"/>
    <cellStyle name="一般 3" xfId="523"/>
    <cellStyle name="好 2" xfId="505"/>
    <cellStyle name="好_UMi-70GHz" xfId="10"/>
    <cellStyle name="差 2" xfId="490"/>
    <cellStyle name="差_UMi-70GHz" xfId="491"/>
    <cellStyle name="常规 2" xfId="492"/>
    <cellStyle name="常规 3" xfId="493"/>
    <cellStyle name="常规 3 2" xfId="494"/>
    <cellStyle name="常规 3 2 2" xfId="495"/>
    <cellStyle name="常规 3 2 2 2" xfId="289"/>
    <cellStyle name="常规 3 2 2 3" xfId="496"/>
    <cellStyle name="常规 3 2 3" xfId="497"/>
    <cellStyle name="常规 3 2 4" xfId="498"/>
    <cellStyle name="常规 3 3" xfId="499"/>
    <cellStyle name="常规 3 3 2" xfId="500"/>
    <cellStyle name="常规 3 3 3" xfId="501"/>
    <cellStyle name="常规 3 4" xfId="502"/>
    <cellStyle name="常规 3 5" xfId="503"/>
    <cellStyle name="常规 4" xfId="504"/>
    <cellStyle name="常规 5" xfId="130"/>
    <cellStyle name="强调文字颜色 1 2" xfId="510"/>
    <cellStyle name="强调文字颜色 2 2" xfId="511"/>
    <cellStyle name="强调文字颜色 3 2" xfId="512"/>
    <cellStyle name="强调文字颜色 4 2" xfId="513"/>
    <cellStyle name="强调文字颜色 5 2" xfId="514"/>
    <cellStyle name="强调文字颜色 6 2" xfId="515"/>
    <cellStyle name="标题 1 2" xfId="485"/>
    <cellStyle name="标题 2 2" xfId="486"/>
    <cellStyle name="标题 3 2" xfId="487"/>
    <cellStyle name="标题 4 2" xfId="488"/>
    <cellStyle name="标题 5" xfId="489"/>
    <cellStyle name="检查单元格 2" xfId="507"/>
    <cellStyle name="汇总 2" xfId="472"/>
    <cellStyle name="注释 2" xfId="524"/>
    <cellStyle name="注释 2 2" xfId="525"/>
    <cellStyle name="注释 2 2 2" xfId="390"/>
    <cellStyle name="注释 2 2 2 2" xfId="526"/>
    <cellStyle name="注释 2 2 2 3" xfId="527"/>
    <cellStyle name="注释 2 2 3" xfId="528"/>
    <cellStyle name="注释 2 2 4" xfId="529"/>
    <cellStyle name="注释 2 3" xfId="530"/>
    <cellStyle name="注释 2 3 2" xfId="531"/>
    <cellStyle name="注释 2 3 3" xfId="532"/>
    <cellStyle name="注释 2 4" xfId="533"/>
    <cellStyle name="注释 2 5" xfId="534"/>
    <cellStyle name="解释性文本 2" xfId="418"/>
    <cellStyle name="警告文本 2" xfId="508"/>
    <cellStyle name="计算 2" xfId="506"/>
    <cellStyle name="输入 2" xfId="518"/>
    <cellStyle name="输出 2" xfId="517"/>
    <cellStyle name="适中 2" xfId="516"/>
    <cellStyle name="链接单元格 2" xfId="509"/>
  </cellStyles>
  <dxfs count="0"/>
  <tableStyles count="0" defaultTableStyle="TableStyleMedium2" defaultPivotStyle="PivotStyleMedium9"/>
  <colors>
    <mruColors>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xdr:col>
      <xdr:colOff>38100</xdr:colOff>
      <xdr:row>35</xdr:row>
      <xdr:rowOff>0</xdr:rowOff>
    </xdr:from>
    <xdr:to>
      <xdr:col>1</xdr:col>
      <xdr:colOff>600075</xdr:colOff>
      <xdr:row>35</xdr:row>
      <xdr:rowOff>19050</xdr:rowOff>
    </xdr:to>
    <xdr:pic>
      <xdr:nvPicPr>
        <xdr:cNvPr id="1026" name="Picture 2">
          <a:extLst>
            <a:ext uri="{FF2B5EF4-FFF2-40B4-BE49-F238E27FC236}">
              <a16:creationId xmlns:a16="http://schemas.microsoft.com/office/drawing/2014/main" xmlns="" id="{00000000-0008-0000-01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1990725" y="14287500"/>
          <a:ext cx="561975" cy="19050"/>
        </a:xfrm>
        <a:prstGeom prst="rect">
          <a:avLst/>
        </a:prstGeom>
        <a:noFill/>
      </xdr:spPr>
    </xdr:pic>
    <xdr:clientData/>
  </xdr:twoCellAnchor>
  <xdr:twoCellAnchor>
    <xdr:from>
      <xdr:col>1</xdr:col>
      <xdr:colOff>38100</xdr:colOff>
      <xdr:row>35</xdr:row>
      <xdr:rowOff>0</xdr:rowOff>
    </xdr:from>
    <xdr:to>
      <xdr:col>1</xdr:col>
      <xdr:colOff>600075</xdr:colOff>
      <xdr:row>35</xdr:row>
      <xdr:rowOff>19050</xdr:rowOff>
    </xdr:to>
    <xdr:pic>
      <xdr:nvPicPr>
        <xdr:cNvPr id="3" name="Picture 2">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1990725" y="14287500"/>
          <a:ext cx="561975" cy="19050"/>
        </a:xfrm>
        <a:prstGeom prst="rect">
          <a:avLst/>
        </a:prstGeom>
        <a:noFill/>
      </xdr:spPr>
    </xdr:pic>
    <xdr:clientData/>
  </xdr:twoCellAnchor>
  <xdr:twoCellAnchor>
    <xdr:from>
      <xdr:col>1</xdr:col>
      <xdr:colOff>38100</xdr:colOff>
      <xdr:row>35</xdr:row>
      <xdr:rowOff>0</xdr:rowOff>
    </xdr:from>
    <xdr:to>
      <xdr:col>1</xdr:col>
      <xdr:colOff>600075</xdr:colOff>
      <xdr:row>35</xdr:row>
      <xdr:rowOff>19050</xdr:rowOff>
    </xdr:to>
    <xdr:pic>
      <xdr:nvPicPr>
        <xdr:cNvPr id="4" name="Picture 2">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1990725" y="14287500"/>
          <a:ext cx="561975" cy="190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32</xdr:row>
      <xdr:rowOff>0</xdr:rowOff>
    </xdr:from>
    <xdr:to>
      <xdr:col>1</xdr:col>
      <xdr:colOff>600075</xdr:colOff>
      <xdr:row>32</xdr:row>
      <xdr:rowOff>19050</xdr:rowOff>
    </xdr:to>
    <xdr:pic>
      <xdr:nvPicPr>
        <xdr:cNvPr id="2" name="Picture 2">
          <a:extLst>
            <a:ext uri="{FF2B5EF4-FFF2-40B4-BE49-F238E27FC236}">
              <a16:creationId xmlns:a16="http://schemas.microsoft.com/office/drawing/2014/main" xmlns=""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2000250" y="9820275"/>
          <a:ext cx="561975" cy="19050"/>
        </a:xfrm>
        <a:prstGeom prst="rect">
          <a:avLst/>
        </a:prstGeom>
        <a:noFill/>
      </xdr:spPr>
    </xdr:pic>
    <xdr:clientData/>
  </xdr:twoCellAnchor>
  <xdr:twoCellAnchor>
    <xdr:from>
      <xdr:col>1</xdr:col>
      <xdr:colOff>38100</xdr:colOff>
      <xdr:row>32</xdr:row>
      <xdr:rowOff>0</xdr:rowOff>
    </xdr:from>
    <xdr:to>
      <xdr:col>1</xdr:col>
      <xdr:colOff>600075</xdr:colOff>
      <xdr:row>32</xdr:row>
      <xdr:rowOff>19050</xdr:rowOff>
    </xdr:to>
    <xdr:pic>
      <xdr:nvPicPr>
        <xdr:cNvPr id="3" name="Picture 2">
          <a:extLst>
            <a:ext uri="{FF2B5EF4-FFF2-40B4-BE49-F238E27FC236}">
              <a16:creationId xmlns:a16="http://schemas.microsoft.com/office/drawing/2014/main" xmlns="" id="{00000000-0008-0000-02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2000250" y="9820275"/>
          <a:ext cx="561975" cy="19050"/>
        </a:xfrm>
        <a:prstGeom prst="rect">
          <a:avLst/>
        </a:prstGeom>
        <a:noFill/>
      </xdr:spPr>
    </xdr:pic>
    <xdr:clientData/>
  </xdr:twoCellAnchor>
  <xdr:twoCellAnchor>
    <xdr:from>
      <xdr:col>1</xdr:col>
      <xdr:colOff>38100</xdr:colOff>
      <xdr:row>32</xdr:row>
      <xdr:rowOff>0</xdr:rowOff>
    </xdr:from>
    <xdr:to>
      <xdr:col>1</xdr:col>
      <xdr:colOff>600075</xdr:colOff>
      <xdr:row>32</xdr:row>
      <xdr:rowOff>19050</xdr:rowOff>
    </xdr:to>
    <xdr:pic>
      <xdr:nvPicPr>
        <xdr:cNvPr id="4" name="Picture 2">
          <a:extLst>
            <a:ext uri="{FF2B5EF4-FFF2-40B4-BE49-F238E27FC236}">
              <a16:creationId xmlns:a16="http://schemas.microsoft.com/office/drawing/2014/main" xmlns="" id="{00000000-0008-0000-02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2000250" y="9820275"/>
          <a:ext cx="561975" cy="190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28575</xdr:colOff>
      <xdr:row>58</xdr:row>
      <xdr:rowOff>9525</xdr:rowOff>
    </xdr:from>
    <xdr:to>
      <xdr:col>2</xdr:col>
      <xdr:colOff>590550</xdr:colOff>
      <xdr:row>59</xdr:row>
      <xdr:rowOff>180975</xdr:rowOff>
    </xdr:to>
    <xdr:pic>
      <xdr:nvPicPr>
        <xdr:cNvPr id="2" name="Picture 1">
          <a:extLst>
            <a:ext uri="{FF2B5EF4-FFF2-40B4-BE49-F238E27FC236}">
              <a16:creationId xmlns:a16="http://schemas.microsoft.com/office/drawing/2014/main" xmlns=""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2686050" y="14458950"/>
          <a:ext cx="561975" cy="35242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28575</xdr:colOff>
      <xdr:row>53</xdr:row>
      <xdr:rowOff>9525</xdr:rowOff>
    </xdr:from>
    <xdr:to>
      <xdr:col>2</xdr:col>
      <xdr:colOff>590550</xdr:colOff>
      <xdr:row>54</xdr:row>
      <xdr:rowOff>180975</xdr:rowOff>
    </xdr:to>
    <xdr:pic>
      <xdr:nvPicPr>
        <xdr:cNvPr id="2" name="Picture 1">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a:xfrm>
          <a:off x="2686050" y="13115925"/>
          <a:ext cx="561975" cy="352425"/>
        </a:xfrm>
        <a:prstGeom prst="rect">
          <a:avLst/>
        </a:prstGeom>
        <a:noFill/>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39"/>
  <sheetViews>
    <sheetView workbookViewId="0">
      <selection activeCell="I30" sqref="I30"/>
    </sheetView>
  </sheetViews>
  <sheetFormatPr defaultColWidth="9.42578125" defaultRowHeight="12.75"/>
  <cols>
    <col min="1" max="1" width="10.42578125" customWidth="1"/>
    <col min="2" max="2" width="13.5703125" customWidth="1"/>
    <col min="4" max="4" width="16" customWidth="1"/>
    <col min="5" max="5" width="62.28515625" style="157" customWidth="1"/>
  </cols>
  <sheetData>
    <row r="4" spans="2:5">
      <c r="B4" t="s">
        <v>0</v>
      </c>
      <c r="C4" t="s">
        <v>1</v>
      </c>
      <c r="D4" t="s">
        <v>2</v>
      </c>
      <c r="E4" s="157" t="s">
        <v>3</v>
      </c>
    </row>
    <row r="5" spans="2:5">
      <c r="B5" s="158" t="s">
        <v>4</v>
      </c>
      <c r="C5" s="36">
        <v>1</v>
      </c>
      <c r="D5" t="s">
        <v>5</v>
      </c>
      <c r="E5" s="157" t="s">
        <v>6</v>
      </c>
    </row>
    <row r="6" spans="2:5" ht="51">
      <c r="B6" s="158" t="s">
        <v>7</v>
      </c>
      <c r="C6" s="36">
        <v>3</v>
      </c>
      <c r="D6" t="s">
        <v>5</v>
      </c>
      <c r="E6" s="157" t="s">
        <v>8</v>
      </c>
    </row>
    <row r="7" spans="2:5">
      <c r="B7" s="158" t="s">
        <v>10</v>
      </c>
      <c r="C7" s="36">
        <v>6</v>
      </c>
      <c r="D7" t="s">
        <v>11</v>
      </c>
      <c r="E7" s="157" t="s">
        <v>9</v>
      </c>
    </row>
    <row r="8" spans="2:5">
      <c r="B8" s="158" t="s">
        <v>12</v>
      </c>
      <c r="C8" s="36">
        <v>14</v>
      </c>
      <c r="D8" t="s">
        <v>14</v>
      </c>
      <c r="E8" s="157" t="s">
        <v>9</v>
      </c>
    </row>
    <row r="9" spans="2:5">
      <c r="B9" s="158" t="s">
        <v>12</v>
      </c>
      <c r="C9" s="36">
        <v>15</v>
      </c>
      <c r="D9" t="s">
        <v>14</v>
      </c>
      <c r="E9" s="157" t="s">
        <v>15</v>
      </c>
    </row>
    <row r="10" spans="2:5">
      <c r="B10" s="158" t="s">
        <v>12</v>
      </c>
      <c r="C10" s="36">
        <v>16</v>
      </c>
      <c r="D10" t="s">
        <v>16</v>
      </c>
      <c r="E10" s="157" t="s">
        <v>9</v>
      </c>
    </row>
    <row r="11" spans="2:5">
      <c r="B11" s="158" t="s">
        <v>12</v>
      </c>
      <c r="C11" s="36">
        <v>17</v>
      </c>
      <c r="D11" t="s">
        <v>16</v>
      </c>
      <c r="E11" s="157" t="s">
        <v>9</v>
      </c>
    </row>
    <row r="12" spans="2:5">
      <c r="B12" s="159" t="s">
        <v>13</v>
      </c>
      <c r="C12" s="160">
        <v>18</v>
      </c>
      <c r="D12" s="57" t="s">
        <v>17</v>
      </c>
      <c r="E12" s="57" t="s">
        <v>9</v>
      </c>
    </row>
    <row r="13" spans="2:5">
      <c r="B13" s="158" t="s">
        <v>18</v>
      </c>
      <c r="C13" s="160">
        <v>19</v>
      </c>
      <c r="D13" s="57" t="s">
        <v>19</v>
      </c>
      <c r="E13" s="157" t="s">
        <v>20</v>
      </c>
    </row>
    <row r="14" spans="2:5">
      <c r="B14" s="158" t="s">
        <v>21</v>
      </c>
      <c r="C14" s="36">
        <v>20</v>
      </c>
      <c r="D14" s="57" t="s">
        <v>22</v>
      </c>
      <c r="E14" s="157" t="s">
        <v>9</v>
      </c>
    </row>
    <row r="15" spans="2:5">
      <c r="B15" s="158" t="s">
        <v>21</v>
      </c>
      <c r="C15" s="36">
        <v>22</v>
      </c>
      <c r="D15" s="57" t="s">
        <v>19</v>
      </c>
      <c r="E15" s="157" t="s">
        <v>23</v>
      </c>
    </row>
    <row r="16" spans="2:5" ht="38.25">
      <c r="B16" s="158" t="s">
        <v>21</v>
      </c>
      <c r="C16" s="36">
        <v>23</v>
      </c>
      <c r="D16" t="s">
        <v>5</v>
      </c>
      <c r="E16" s="157" t="s">
        <v>24</v>
      </c>
    </row>
    <row r="17" spans="2:5">
      <c r="B17" s="158" t="s">
        <v>25</v>
      </c>
      <c r="C17" s="36">
        <v>25</v>
      </c>
      <c r="D17" s="57" t="s">
        <v>14</v>
      </c>
      <c r="E17" s="157" t="s">
        <v>26</v>
      </c>
    </row>
    <row r="18" spans="2:5" ht="25.5">
      <c r="B18" s="158" t="s">
        <v>27</v>
      </c>
      <c r="C18" s="36">
        <v>28</v>
      </c>
      <c r="D18" t="s">
        <v>11</v>
      </c>
      <c r="E18" s="157" t="s">
        <v>28</v>
      </c>
    </row>
    <row r="19" spans="2:5">
      <c r="B19" s="158" t="s">
        <v>27</v>
      </c>
      <c r="C19" s="36">
        <v>29</v>
      </c>
      <c r="D19" t="s">
        <v>19</v>
      </c>
    </row>
    <row r="20" spans="2:5" ht="51">
      <c r="B20" s="161" t="s">
        <v>29</v>
      </c>
      <c r="C20" s="36">
        <v>31</v>
      </c>
      <c r="D20" s="36" t="s">
        <v>5</v>
      </c>
      <c r="E20" s="157" t="s">
        <v>30</v>
      </c>
    </row>
    <row r="21" spans="2:5">
      <c r="B21" s="158" t="s">
        <v>31</v>
      </c>
      <c r="C21" s="36">
        <v>32</v>
      </c>
      <c r="D21" t="s">
        <v>16</v>
      </c>
      <c r="E21" s="157" t="s">
        <v>23</v>
      </c>
    </row>
    <row r="22" spans="2:5">
      <c r="B22" s="158" t="s">
        <v>31</v>
      </c>
      <c r="C22" s="36">
        <v>33</v>
      </c>
      <c r="D22" t="s">
        <v>11</v>
      </c>
      <c r="E22" s="157" t="s">
        <v>32</v>
      </c>
    </row>
    <row r="23" spans="2:5">
      <c r="B23" s="158" t="s">
        <v>33</v>
      </c>
      <c r="C23" s="36">
        <v>37</v>
      </c>
      <c r="D23" t="s">
        <v>19</v>
      </c>
      <c r="E23" s="157" t="s">
        <v>34</v>
      </c>
    </row>
    <row r="24" spans="2:5" ht="51">
      <c r="B24" s="158" t="s">
        <v>33</v>
      </c>
      <c r="C24" s="36">
        <v>38</v>
      </c>
      <c r="D24" t="s">
        <v>5</v>
      </c>
      <c r="E24" s="157" t="s">
        <v>35</v>
      </c>
    </row>
    <row r="25" spans="2:5" ht="51">
      <c r="B25" s="158" t="s">
        <v>36</v>
      </c>
      <c r="C25" s="36">
        <v>39</v>
      </c>
      <c r="D25" t="s">
        <v>5</v>
      </c>
      <c r="E25" s="157" t="s">
        <v>37</v>
      </c>
    </row>
    <row r="26" spans="2:5">
      <c r="B26" s="158" t="s">
        <v>38</v>
      </c>
      <c r="C26" s="36">
        <v>40</v>
      </c>
      <c r="D26" t="s">
        <v>5</v>
      </c>
      <c r="E26" s="157" t="s">
        <v>39</v>
      </c>
    </row>
    <row r="27" spans="2:5">
      <c r="B27" s="158" t="s">
        <v>38</v>
      </c>
      <c r="C27" s="36">
        <v>41</v>
      </c>
      <c r="D27" t="s">
        <v>5</v>
      </c>
      <c r="E27" s="157" t="s">
        <v>40</v>
      </c>
    </row>
    <row r="28" spans="2:5">
      <c r="B28" s="163" t="s">
        <v>366</v>
      </c>
      <c r="C28" s="36">
        <v>42</v>
      </c>
      <c r="D28" s="164" t="s">
        <v>367</v>
      </c>
      <c r="E28" s="166" t="s">
        <v>368</v>
      </c>
    </row>
    <row r="29" spans="2:5" ht="25.5">
      <c r="B29" s="163" t="s">
        <v>371</v>
      </c>
      <c r="C29" s="165">
        <v>43</v>
      </c>
      <c r="D29" s="164" t="s">
        <v>372</v>
      </c>
      <c r="E29" s="157" t="s">
        <v>373</v>
      </c>
    </row>
    <row r="30" spans="2:5">
      <c r="B30" s="158" t="s">
        <v>374</v>
      </c>
      <c r="C30" s="172">
        <v>46</v>
      </c>
      <c r="D30" t="s">
        <v>5</v>
      </c>
      <c r="E30" s="166" t="s">
        <v>375</v>
      </c>
    </row>
    <row r="31" spans="2:5" ht="63.75">
      <c r="B31" s="163" t="s">
        <v>377</v>
      </c>
      <c r="C31" s="173">
        <v>47</v>
      </c>
      <c r="D31" t="s">
        <v>380</v>
      </c>
      <c r="E31" s="166" t="s">
        <v>381</v>
      </c>
    </row>
    <row r="32" spans="2:5">
      <c r="B32" s="158"/>
      <c r="C32" s="174"/>
      <c r="E32" s="166"/>
    </row>
    <row r="33" spans="2:2">
      <c r="B33" s="158"/>
    </row>
    <row r="34" spans="2:2">
      <c r="B34" s="158"/>
    </row>
    <row r="35" spans="2:2">
      <c r="B35" s="158"/>
    </row>
    <row r="36" spans="2:2">
      <c r="B36" s="158"/>
    </row>
    <row r="37" spans="2:2">
      <c r="B37" s="158"/>
    </row>
    <row r="38" spans="2:2">
      <c r="B38" s="158"/>
    </row>
    <row r="39" spans="2:2">
      <c r="B39" s="158"/>
    </row>
  </sheetData>
  <phoneticPr fontId="14" type="noConversion"/>
  <pageMargins left="0.69930555555555596" right="0.69930555555555596"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zoomScale="85" zoomScaleNormal="85" workbookViewId="0">
      <pane xSplit="2" ySplit="3" topLeftCell="J4" activePane="bottomRight" state="frozen"/>
      <selection pane="topRight"/>
      <selection pane="bottomLeft"/>
      <selection pane="bottomRight" activeCell="G1" sqref="G1:G1048576"/>
    </sheetView>
  </sheetViews>
  <sheetFormatPr defaultColWidth="9.42578125" defaultRowHeight="14.25"/>
  <cols>
    <col min="1" max="1" width="29.28515625" style="84" customWidth="1"/>
    <col min="2" max="2" width="49.7109375" style="84" customWidth="1"/>
    <col min="3" max="3" width="31.42578125" style="139" customWidth="1"/>
    <col min="4" max="4" width="31.5703125" style="149" customWidth="1"/>
    <col min="5" max="5" width="31.42578125" style="139" customWidth="1"/>
    <col min="6" max="6" width="31.42578125" style="149" customWidth="1"/>
    <col min="7" max="7" width="31.42578125" style="139" customWidth="1"/>
    <col min="8" max="8" width="31.42578125" style="149" customWidth="1"/>
    <col min="9" max="11" width="31.42578125" style="85" customWidth="1"/>
    <col min="12" max="12" width="24.28515625" style="84" customWidth="1"/>
    <col min="13" max="13" width="22" style="84" customWidth="1"/>
    <col min="14" max="14" width="28.42578125" style="84" customWidth="1"/>
    <col min="15" max="16384" width="9.42578125" style="84"/>
  </cols>
  <sheetData>
    <row r="1" spans="1:14">
      <c r="A1" s="127" t="s">
        <v>41</v>
      </c>
      <c r="B1" s="85"/>
      <c r="L1" s="118"/>
      <c r="M1" s="118"/>
      <c r="N1"/>
    </row>
    <row r="2" spans="1:14" s="126" customFormat="1" ht="24" customHeight="1">
      <c r="A2" s="210" t="s">
        <v>42</v>
      </c>
      <c r="B2" s="212" t="s">
        <v>43</v>
      </c>
      <c r="C2" s="206" t="s">
        <v>5</v>
      </c>
      <c r="D2" s="207"/>
      <c r="E2" s="206" t="s">
        <v>11</v>
      </c>
      <c r="F2" s="207"/>
      <c r="G2" s="206" t="s">
        <v>14</v>
      </c>
      <c r="H2" s="207"/>
      <c r="I2" s="206" t="s">
        <v>16</v>
      </c>
      <c r="J2" s="207"/>
      <c r="K2" s="87" t="s">
        <v>17</v>
      </c>
      <c r="L2" s="208" t="s">
        <v>19</v>
      </c>
      <c r="M2" s="209"/>
      <c r="N2" s="87" t="s">
        <v>22</v>
      </c>
    </row>
    <row r="3" spans="1:14" s="126" customFormat="1" ht="12" customHeight="1">
      <c r="A3" s="211"/>
      <c r="B3" s="213"/>
      <c r="C3" s="111" t="s">
        <v>44</v>
      </c>
      <c r="D3" s="112" t="s">
        <v>45</v>
      </c>
      <c r="E3" s="111" t="s">
        <v>44</v>
      </c>
      <c r="F3" s="112" t="s">
        <v>45</v>
      </c>
      <c r="G3" s="111" t="s">
        <v>44</v>
      </c>
      <c r="H3" s="112" t="s">
        <v>45</v>
      </c>
      <c r="I3" s="111" t="s">
        <v>44</v>
      </c>
      <c r="J3" s="112" t="s">
        <v>45</v>
      </c>
      <c r="K3" s="119" t="s">
        <v>45</v>
      </c>
      <c r="L3" s="108" t="s">
        <v>45</v>
      </c>
      <c r="M3" s="108" t="s">
        <v>44</v>
      </c>
      <c r="N3" s="119" t="s">
        <v>45</v>
      </c>
    </row>
    <row r="4" spans="1:14">
      <c r="A4" s="93" t="s">
        <v>46</v>
      </c>
      <c r="B4" s="128" t="s">
        <v>47</v>
      </c>
      <c r="C4" s="129" t="s">
        <v>48</v>
      </c>
      <c r="D4" s="129" t="s">
        <v>48</v>
      </c>
      <c r="E4" s="129" t="s">
        <v>48</v>
      </c>
      <c r="F4" s="129" t="s">
        <v>48</v>
      </c>
      <c r="G4" s="129" t="s">
        <v>48</v>
      </c>
      <c r="H4" s="129" t="s">
        <v>48</v>
      </c>
      <c r="I4" s="129" t="s">
        <v>48</v>
      </c>
      <c r="J4" s="129" t="s">
        <v>48</v>
      </c>
      <c r="K4" s="129" t="s">
        <v>48</v>
      </c>
      <c r="L4" s="120" t="s">
        <v>48</v>
      </c>
      <c r="M4" s="120" t="s">
        <v>48</v>
      </c>
      <c r="N4" s="129" t="s">
        <v>48</v>
      </c>
    </row>
    <row r="5" spans="1:14">
      <c r="A5" s="93" t="s">
        <v>49</v>
      </c>
      <c r="B5" s="128"/>
      <c r="C5" s="129" t="s">
        <v>50</v>
      </c>
      <c r="D5" s="136" t="s">
        <v>51</v>
      </c>
      <c r="E5" s="129" t="s">
        <v>50</v>
      </c>
      <c r="F5" s="136" t="s">
        <v>51</v>
      </c>
      <c r="G5" s="129" t="s">
        <v>50</v>
      </c>
      <c r="H5" s="136" t="s">
        <v>51</v>
      </c>
      <c r="I5" s="129" t="s">
        <v>50</v>
      </c>
      <c r="J5" s="136" t="s">
        <v>51</v>
      </c>
      <c r="K5" s="136" t="s">
        <v>51</v>
      </c>
      <c r="L5" s="122" t="s">
        <v>51</v>
      </c>
      <c r="M5" s="120" t="s">
        <v>50</v>
      </c>
      <c r="N5" s="136" t="s">
        <v>51</v>
      </c>
    </row>
    <row r="6" spans="1:14">
      <c r="A6" s="116" t="s">
        <v>52</v>
      </c>
      <c r="B6" s="128" t="s">
        <v>53</v>
      </c>
      <c r="C6" s="129" t="s">
        <v>48</v>
      </c>
      <c r="D6" s="129" t="s">
        <v>48</v>
      </c>
      <c r="E6" s="129" t="s">
        <v>48</v>
      </c>
      <c r="F6" s="129" t="s">
        <v>48</v>
      </c>
      <c r="G6" s="129" t="s">
        <v>48</v>
      </c>
      <c r="H6" s="129" t="s">
        <v>48</v>
      </c>
      <c r="I6" s="129" t="s">
        <v>48</v>
      </c>
      <c r="J6" s="129" t="s">
        <v>48</v>
      </c>
      <c r="K6" s="129" t="s">
        <v>48</v>
      </c>
      <c r="L6" s="120" t="s">
        <v>48</v>
      </c>
      <c r="M6" s="120" t="s">
        <v>48</v>
      </c>
      <c r="N6" s="129" t="s">
        <v>48</v>
      </c>
    </row>
    <row r="7" spans="1:14">
      <c r="A7" s="93" t="s">
        <v>54</v>
      </c>
      <c r="B7" s="128" t="s">
        <v>55</v>
      </c>
      <c r="C7" s="129" t="s">
        <v>48</v>
      </c>
      <c r="D7" s="129" t="s">
        <v>48</v>
      </c>
      <c r="E7" s="129" t="s">
        <v>48</v>
      </c>
      <c r="F7" s="129" t="s">
        <v>48</v>
      </c>
      <c r="G7" s="129" t="s">
        <v>48</v>
      </c>
      <c r="H7" s="129" t="s">
        <v>48</v>
      </c>
      <c r="I7" s="129" t="s">
        <v>48</v>
      </c>
      <c r="J7" s="129" t="s">
        <v>48</v>
      </c>
      <c r="K7" s="129" t="s">
        <v>48</v>
      </c>
      <c r="L7" s="120" t="s">
        <v>48</v>
      </c>
      <c r="M7" s="120" t="s">
        <v>48</v>
      </c>
      <c r="N7" s="129" t="s">
        <v>48</v>
      </c>
    </row>
    <row r="8" spans="1:14" ht="36">
      <c r="A8" s="93" t="s">
        <v>56</v>
      </c>
      <c r="B8" s="90" t="s">
        <v>57</v>
      </c>
      <c r="C8" s="129" t="s">
        <v>48</v>
      </c>
      <c r="D8" s="129" t="s">
        <v>48</v>
      </c>
      <c r="E8" s="129" t="s">
        <v>48</v>
      </c>
      <c r="F8" s="129" t="s">
        <v>48</v>
      </c>
      <c r="G8" s="129" t="s">
        <v>48</v>
      </c>
      <c r="H8" s="129" t="s">
        <v>48</v>
      </c>
      <c r="I8" s="129" t="s">
        <v>48</v>
      </c>
      <c r="J8" s="129" t="s">
        <v>48</v>
      </c>
      <c r="K8" s="148" t="s">
        <v>48</v>
      </c>
      <c r="L8" s="120" t="s">
        <v>48</v>
      </c>
      <c r="M8" s="120" t="s">
        <v>48</v>
      </c>
      <c r="N8" s="129" t="s">
        <v>48</v>
      </c>
    </row>
    <row r="9" spans="1:14" ht="24">
      <c r="A9" s="93" t="s">
        <v>58</v>
      </c>
      <c r="B9" s="90" t="s">
        <v>59</v>
      </c>
      <c r="C9" s="129" t="s">
        <v>60</v>
      </c>
      <c r="D9" s="129" t="s">
        <v>61</v>
      </c>
      <c r="E9" s="129" t="s">
        <v>60</v>
      </c>
      <c r="F9" s="129" t="s">
        <v>62</v>
      </c>
      <c r="G9" s="129" t="s">
        <v>60</v>
      </c>
      <c r="H9" s="129" t="s">
        <v>63</v>
      </c>
      <c r="I9" s="129" t="s">
        <v>60</v>
      </c>
      <c r="J9" s="129" t="s">
        <v>60</v>
      </c>
      <c r="K9" s="129" t="s">
        <v>63</v>
      </c>
      <c r="L9" s="120" t="s">
        <v>64</v>
      </c>
      <c r="M9" s="120" t="s">
        <v>65</v>
      </c>
      <c r="N9" s="129" t="s">
        <v>63</v>
      </c>
    </row>
    <row r="10" spans="1:14" ht="36">
      <c r="A10" s="90" t="s">
        <v>66</v>
      </c>
      <c r="B10" s="130" t="s">
        <v>67</v>
      </c>
      <c r="C10" s="129" t="s">
        <v>48</v>
      </c>
      <c r="D10" s="129" t="s">
        <v>48</v>
      </c>
      <c r="E10" s="129" t="s">
        <v>48</v>
      </c>
      <c r="F10" s="129" t="s">
        <v>48</v>
      </c>
      <c r="G10" s="129" t="s">
        <v>48</v>
      </c>
      <c r="H10" s="129" t="s">
        <v>48</v>
      </c>
      <c r="I10" s="129" t="s">
        <v>48</v>
      </c>
      <c r="J10" s="129" t="s">
        <v>48</v>
      </c>
      <c r="K10" s="129" t="s">
        <v>68</v>
      </c>
      <c r="L10" s="120" t="s">
        <v>48</v>
      </c>
      <c r="M10" s="120" t="s">
        <v>48</v>
      </c>
      <c r="N10" s="129" t="s">
        <v>48</v>
      </c>
    </row>
    <row r="11" spans="1:14" ht="24">
      <c r="A11" s="93" t="s">
        <v>69</v>
      </c>
      <c r="B11" s="129" t="s">
        <v>70</v>
      </c>
      <c r="C11" s="129" t="s">
        <v>48</v>
      </c>
      <c r="D11" s="129" t="s">
        <v>48</v>
      </c>
      <c r="E11" s="129" t="s">
        <v>48</v>
      </c>
      <c r="F11" s="129" t="s">
        <v>48</v>
      </c>
      <c r="G11" s="129" t="s">
        <v>48</v>
      </c>
      <c r="H11" s="129" t="s">
        <v>48</v>
      </c>
      <c r="I11" s="129" t="s">
        <v>48</v>
      </c>
      <c r="J11" s="129" t="s">
        <v>48</v>
      </c>
      <c r="K11" s="129" t="s">
        <v>72</v>
      </c>
      <c r="L11" s="122" t="s">
        <v>72</v>
      </c>
      <c r="M11" s="120" t="s">
        <v>71</v>
      </c>
      <c r="N11" s="129" t="s">
        <v>48</v>
      </c>
    </row>
    <row r="12" spans="1:14" ht="48">
      <c r="A12" s="93" t="s">
        <v>73</v>
      </c>
      <c r="B12" s="128"/>
      <c r="C12" s="129" t="s">
        <v>74</v>
      </c>
      <c r="D12" s="136" t="s">
        <v>75</v>
      </c>
      <c r="E12" s="129" t="s">
        <v>74</v>
      </c>
      <c r="F12" s="136" t="s">
        <v>76</v>
      </c>
      <c r="G12" s="129" t="s">
        <v>74</v>
      </c>
      <c r="H12" s="136" t="s">
        <v>75</v>
      </c>
      <c r="I12" s="129" t="s">
        <v>74</v>
      </c>
      <c r="J12" s="136" t="s">
        <v>76</v>
      </c>
      <c r="K12" s="129" t="s">
        <v>77</v>
      </c>
      <c r="L12" s="120" t="s">
        <v>78</v>
      </c>
      <c r="M12" s="120" t="s">
        <v>79</v>
      </c>
      <c r="N12" s="136" t="s">
        <v>75</v>
      </c>
    </row>
    <row r="13" spans="1:14" ht="24">
      <c r="A13" s="93" t="s">
        <v>81</v>
      </c>
      <c r="B13" s="131" t="s">
        <v>82</v>
      </c>
      <c r="C13" s="129" t="s">
        <v>48</v>
      </c>
      <c r="D13" s="129" t="s">
        <v>48</v>
      </c>
      <c r="E13" s="129" t="s">
        <v>48</v>
      </c>
      <c r="F13" s="129" t="s">
        <v>48</v>
      </c>
      <c r="G13" s="129" t="s">
        <v>48</v>
      </c>
      <c r="H13" s="129" t="s">
        <v>48</v>
      </c>
      <c r="I13" s="129" t="s">
        <v>48</v>
      </c>
      <c r="J13" s="129" t="s">
        <v>48</v>
      </c>
      <c r="K13" s="129" t="s">
        <v>48</v>
      </c>
      <c r="L13" s="152" t="s">
        <v>83</v>
      </c>
      <c r="M13" s="152" t="s">
        <v>83</v>
      </c>
      <c r="N13" s="129" t="s">
        <v>48</v>
      </c>
    </row>
    <row r="14" spans="1:14" ht="36">
      <c r="A14" s="93" t="s">
        <v>84</v>
      </c>
      <c r="B14" s="128"/>
      <c r="C14" s="131" t="s">
        <v>85</v>
      </c>
      <c r="D14" s="131" t="s">
        <v>86</v>
      </c>
      <c r="E14" s="131" t="s">
        <v>85</v>
      </c>
      <c r="F14" s="129" t="s">
        <v>87</v>
      </c>
      <c r="G14" s="131" t="s">
        <v>85</v>
      </c>
      <c r="H14" s="129" t="s">
        <v>88</v>
      </c>
      <c r="I14" s="131" t="s">
        <v>85</v>
      </c>
      <c r="J14" s="129" t="s">
        <v>88</v>
      </c>
      <c r="K14" s="129" t="s">
        <v>89</v>
      </c>
      <c r="L14" s="153" t="s">
        <v>90</v>
      </c>
      <c r="M14" s="152" t="s">
        <v>85</v>
      </c>
      <c r="N14" s="129" t="s">
        <v>88</v>
      </c>
    </row>
    <row r="15" spans="1:14" ht="60">
      <c r="A15" s="93" t="s">
        <v>91</v>
      </c>
      <c r="B15" s="128"/>
      <c r="C15" s="131" t="s">
        <v>92</v>
      </c>
      <c r="D15" s="131" t="s">
        <v>93</v>
      </c>
      <c r="E15" s="131" t="s">
        <v>92</v>
      </c>
      <c r="F15" s="129" t="s">
        <v>94</v>
      </c>
      <c r="G15" s="131" t="s">
        <v>92</v>
      </c>
      <c r="H15" s="136" t="s">
        <v>95</v>
      </c>
      <c r="I15" s="131" t="s">
        <v>92</v>
      </c>
      <c r="J15" s="136" t="s">
        <v>95</v>
      </c>
      <c r="K15" s="146" t="s">
        <v>95</v>
      </c>
      <c r="L15" s="124" t="s">
        <v>95</v>
      </c>
      <c r="M15" s="124" t="s">
        <v>96</v>
      </c>
      <c r="N15" s="136" t="s">
        <v>95</v>
      </c>
    </row>
    <row r="16" spans="1:14">
      <c r="A16" s="116" t="s">
        <v>97</v>
      </c>
      <c r="B16" s="128"/>
      <c r="C16" s="131" t="s">
        <v>98</v>
      </c>
      <c r="D16" s="131" t="s">
        <v>98</v>
      </c>
      <c r="E16" s="131" t="s">
        <v>98</v>
      </c>
      <c r="F16" s="131" t="s">
        <v>98</v>
      </c>
      <c r="G16" s="131" t="s">
        <v>98</v>
      </c>
      <c r="H16" s="131" t="s">
        <v>98</v>
      </c>
      <c r="I16" s="131" t="s">
        <v>98</v>
      </c>
      <c r="J16" s="131" t="s">
        <v>98</v>
      </c>
      <c r="K16" s="154" t="s">
        <v>98</v>
      </c>
      <c r="L16" s="152" t="s">
        <v>98</v>
      </c>
      <c r="M16" s="152" t="s">
        <v>98</v>
      </c>
      <c r="N16" s="131" t="s">
        <v>98</v>
      </c>
    </row>
    <row r="17" spans="1:14">
      <c r="A17" s="93" t="s">
        <v>99</v>
      </c>
      <c r="B17" s="128"/>
      <c r="C17" s="131" t="s">
        <v>100</v>
      </c>
      <c r="D17" s="131" t="s">
        <v>100</v>
      </c>
      <c r="E17" s="131" t="s">
        <v>100</v>
      </c>
      <c r="F17" s="131" t="s">
        <v>100</v>
      </c>
      <c r="G17" s="131" t="s">
        <v>100</v>
      </c>
      <c r="H17" s="131" t="s">
        <v>100</v>
      </c>
      <c r="I17" s="131" t="s">
        <v>100</v>
      </c>
      <c r="J17" s="131" t="s">
        <v>100</v>
      </c>
      <c r="K17" s="131" t="s">
        <v>100</v>
      </c>
      <c r="L17" s="152" t="s">
        <v>100</v>
      </c>
      <c r="M17" s="152" t="s">
        <v>100</v>
      </c>
      <c r="N17" s="131" t="s">
        <v>100</v>
      </c>
    </row>
    <row r="18" spans="1:14">
      <c r="A18" s="93" t="s">
        <v>101</v>
      </c>
      <c r="B18" s="128"/>
      <c r="C18" s="131" t="s">
        <v>102</v>
      </c>
      <c r="D18" s="131" t="s">
        <v>102</v>
      </c>
      <c r="E18" s="131" t="s">
        <v>102</v>
      </c>
      <c r="F18" s="131" t="s">
        <v>102</v>
      </c>
      <c r="G18" s="131" t="s">
        <v>103</v>
      </c>
      <c r="H18" s="131" t="s">
        <v>102</v>
      </c>
      <c r="I18" s="131" t="s">
        <v>102</v>
      </c>
      <c r="J18" s="131" t="s">
        <v>102</v>
      </c>
      <c r="K18" s="131" t="s">
        <v>102</v>
      </c>
      <c r="L18" s="152" t="s">
        <v>102</v>
      </c>
      <c r="M18" s="152" t="s">
        <v>102</v>
      </c>
      <c r="N18" s="131" t="s">
        <v>102</v>
      </c>
    </row>
    <row r="19" spans="1:14" ht="24">
      <c r="A19" s="93" t="s">
        <v>104</v>
      </c>
      <c r="B19" s="90" t="s">
        <v>105</v>
      </c>
      <c r="C19" s="129" t="s">
        <v>48</v>
      </c>
      <c r="D19" s="129" t="s">
        <v>48</v>
      </c>
      <c r="E19" s="129" t="s">
        <v>48</v>
      </c>
      <c r="F19" s="129" t="s">
        <v>48</v>
      </c>
      <c r="G19" s="129" t="s">
        <v>48</v>
      </c>
      <c r="H19" s="129" t="s">
        <v>48</v>
      </c>
      <c r="I19" s="129" t="s">
        <v>48</v>
      </c>
      <c r="J19" s="129" t="s">
        <v>48</v>
      </c>
      <c r="K19" s="148" t="s">
        <v>48</v>
      </c>
      <c r="L19" s="120" t="s">
        <v>48</v>
      </c>
      <c r="M19" s="120" t="s">
        <v>48</v>
      </c>
      <c r="N19" s="129" t="s">
        <v>48</v>
      </c>
    </row>
    <row r="20" spans="1:14" ht="72">
      <c r="A20" s="93" t="s">
        <v>106</v>
      </c>
      <c r="B20" s="114" t="s">
        <v>107</v>
      </c>
      <c r="C20" s="131" t="s">
        <v>95</v>
      </c>
      <c r="D20" s="129" t="s">
        <v>108</v>
      </c>
      <c r="E20" s="131" t="s">
        <v>95</v>
      </c>
      <c r="F20" s="129" t="s">
        <v>109</v>
      </c>
      <c r="G20" s="131" t="s">
        <v>95</v>
      </c>
      <c r="H20" s="129" t="s">
        <v>110</v>
      </c>
      <c r="I20" s="131" t="s">
        <v>95</v>
      </c>
      <c r="J20" s="129" t="s">
        <v>110</v>
      </c>
      <c r="K20" s="148" t="s">
        <v>111</v>
      </c>
      <c r="L20" s="152" t="s">
        <v>112</v>
      </c>
      <c r="M20" s="152" t="s">
        <v>95</v>
      </c>
      <c r="N20" s="129" t="s">
        <v>110</v>
      </c>
    </row>
    <row r="21" spans="1:14" ht="36">
      <c r="A21" s="93" t="s">
        <v>113</v>
      </c>
      <c r="B21" s="128"/>
      <c r="C21" s="131" t="s">
        <v>114</v>
      </c>
      <c r="D21" s="129" t="s">
        <v>115</v>
      </c>
      <c r="E21" s="131" t="s">
        <v>116</v>
      </c>
      <c r="F21" s="129" t="s">
        <v>117</v>
      </c>
      <c r="G21" s="131" t="s">
        <v>114</v>
      </c>
      <c r="H21" s="129" t="s">
        <v>115</v>
      </c>
      <c r="I21" s="131" t="s">
        <v>114</v>
      </c>
      <c r="J21" s="129" t="s">
        <v>115</v>
      </c>
      <c r="K21" s="148" t="s">
        <v>118</v>
      </c>
      <c r="L21" s="152" t="s">
        <v>114</v>
      </c>
      <c r="M21" s="152" t="s">
        <v>114</v>
      </c>
      <c r="N21" s="129" t="s">
        <v>115</v>
      </c>
    </row>
    <row r="22" spans="1:14" ht="36">
      <c r="A22" s="93" t="s">
        <v>119</v>
      </c>
      <c r="B22" s="128"/>
      <c r="C22" s="131" t="s">
        <v>120</v>
      </c>
      <c r="D22" s="131" t="s">
        <v>120</v>
      </c>
      <c r="E22" s="131" t="s">
        <v>120</v>
      </c>
      <c r="F22" s="131" t="s">
        <v>120</v>
      </c>
      <c r="G22" s="131" t="s">
        <v>120</v>
      </c>
      <c r="H22" s="131" t="s">
        <v>120</v>
      </c>
      <c r="I22" s="131" t="s">
        <v>120</v>
      </c>
      <c r="J22" s="131" t="s">
        <v>120</v>
      </c>
      <c r="K22" s="154" t="s">
        <v>120</v>
      </c>
      <c r="L22" s="152" t="s">
        <v>120</v>
      </c>
      <c r="M22" s="152" t="s">
        <v>120</v>
      </c>
      <c r="N22" s="131" t="s">
        <v>120</v>
      </c>
    </row>
    <row r="23" spans="1:14">
      <c r="A23" s="93" t="s">
        <v>121</v>
      </c>
      <c r="B23" s="136">
        <v>1</v>
      </c>
      <c r="C23" s="129" t="s">
        <v>48</v>
      </c>
      <c r="D23" s="129" t="s">
        <v>48</v>
      </c>
      <c r="E23" s="129" t="s">
        <v>48</v>
      </c>
      <c r="F23" s="129" t="s">
        <v>48</v>
      </c>
      <c r="G23" s="129" t="s">
        <v>48</v>
      </c>
      <c r="H23" s="129" t="s">
        <v>48</v>
      </c>
      <c r="I23" s="129" t="s">
        <v>48</v>
      </c>
      <c r="J23" s="129" t="s">
        <v>48</v>
      </c>
      <c r="K23" s="129" t="s">
        <v>48</v>
      </c>
      <c r="L23" s="120" t="s">
        <v>48</v>
      </c>
      <c r="M23" s="120" t="s">
        <v>48</v>
      </c>
      <c r="N23" s="129" t="s">
        <v>48</v>
      </c>
    </row>
    <row r="24" spans="1:14">
      <c r="A24" s="93" t="s">
        <v>122</v>
      </c>
      <c r="B24" s="128" t="s">
        <v>123</v>
      </c>
      <c r="C24" s="131" t="s">
        <v>124</v>
      </c>
      <c r="D24" s="131" t="s">
        <v>124</v>
      </c>
      <c r="E24" s="131" t="s">
        <v>124</v>
      </c>
      <c r="F24" s="131" t="s">
        <v>124</v>
      </c>
      <c r="G24" s="131" t="s">
        <v>124</v>
      </c>
      <c r="H24" s="131" t="s">
        <v>124</v>
      </c>
      <c r="I24" s="131" t="s">
        <v>124</v>
      </c>
      <c r="J24" s="131" t="s">
        <v>124</v>
      </c>
      <c r="K24" s="154" t="s">
        <v>124</v>
      </c>
      <c r="L24" s="152" t="s">
        <v>124</v>
      </c>
      <c r="M24" s="152" t="s">
        <v>124</v>
      </c>
      <c r="N24" s="131" t="s">
        <v>124</v>
      </c>
    </row>
    <row r="25" spans="1:14" ht="24">
      <c r="A25" s="93" t="s">
        <v>125</v>
      </c>
      <c r="B25" s="128"/>
      <c r="C25" s="129" t="s">
        <v>126</v>
      </c>
      <c r="D25" s="129" t="s">
        <v>126</v>
      </c>
      <c r="E25" s="129" t="s">
        <v>126</v>
      </c>
      <c r="F25" s="129" t="s">
        <v>126</v>
      </c>
      <c r="G25" s="129" t="s">
        <v>126</v>
      </c>
      <c r="H25" s="129" t="s">
        <v>126</v>
      </c>
      <c r="I25" s="129" t="s">
        <v>126</v>
      </c>
      <c r="J25" s="129" t="s">
        <v>126</v>
      </c>
      <c r="K25" s="148" t="s">
        <v>126</v>
      </c>
      <c r="L25" s="120" t="s">
        <v>127</v>
      </c>
      <c r="M25" s="120" t="s">
        <v>127</v>
      </c>
      <c r="N25" s="129" t="s">
        <v>126</v>
      </c>
    </row>
    <row r="26" spans="1:14" ht="144">
      <c r="A26" s="96" t="s">
        <v>128</v>
      </c>
      <c r="B26" s="96" t="s">
        <v>129</v>
      </c>
      <c r="C26" s="132" t="s">
        <v>130</v>
      </c>
      <c r="D26" s="132" t="s">
        <v>131</v>
      </c>
      <c r="E26" s="132" t="s">
        <v>132</v>
      </c>
      <c r="F26" s="132" t="s">
        <v>133</v>
      </c>
      <c r="G26" s="132" t="s">
        <v>130</v>
      </c>
      <c r="H26" s="132" t="s">
        <v>135</v>
      </c>
      <c r="I26" s="132" t="s">
        <v>130</v>
      </c>
      <c r="J26" s="132" t="s">
        <v>135</v>
      </c>
      <c r="K26" s="132" t="s">
        <v>136</v>
      </c>
      <c r="L26" s="120" t="s">
        <v>137</v>
      </c>
      <c r="M26" s="120" t="s">
        <v>137</v>
      </c>
      <c r="N26" s="132" t="s">
        <v>134</v>
      </c>
    </row>
    <row r="27" spans="1:14" ht="71.25" customHeight="1">
      <c r="A27" s="96" t="s">
        <v>138</v>
      </c>
      <c r="B27" s="96" t="s">
        <v>139</v>
      </c>
      <c r="C27" s="129" t="s">
        <v>140</v>
      </c>
      <c r="D27" s="129" t="s">
        <v>140</v>
      </c>
      <c r="E27" s="129" t="s">
        <v>140</v>
      </c>
      <c r="F27" s="129" t="s">
        <v>140</v>
      </c>
      <c r="G27" s="129" t="s">
        <v>140</v>
      </c>
      <c r="H27" s="129" t="s">
        <v>140</v>
      </c>
      <c r="I27" s="129" t="s">
        <v>140</v>
      </c>
      <c r="J27" s="129" t="s">
        <v>140</v>
      </c>
      <c r="K27" s="129" t="s">
        <v>140</v>
      </c>
      <c r="L27" s="91" t="s">
        <v>141</v>
      </c>
      <c r="M27" s="91" t="s">
        <v>141</v>
      </c>
      <c r="N27" s="129" t="s">
        <v>140</v>
      </c>
    </row>
    <row r="28" spans="1:14">
      <c r="A28" s="93" t="s">
        <v>142</v>
      </c>
      <c r="B28" s="128" t="s">
        <v>143</v>
      </c>
      <c r="C28" s="129" t="s">
        <v>48</v>
      </c>
      <c r="D28" s="129" t="s">
        <v>48</v>
      </c>
      <c r="E28" s="129" t="s">
        <v>48</v>
      </c>
      <c r="F28" s="129" t="s">
        <v>48</v>
      </c>
      <c r="G28" s="129" t="s">
        <v>48</v>
      </c>
      <c r="H28" s="129" t="s">
        <v>48</v>
      </c>
      <c r="I28" s="129" t="s">
        <v>48</v>
      </c>
      <c r="J28" s="129" t="s">
        <v>48</v>
      </c>
      <c r="K28" s="129" t="s">
        <v>48</v>
      </c>
      <c r="L28" s="120" t="s">
        <v>48</v>
      </c>
      <c r="M28" s="120" t="s">
        <v>48</v>
      </c>
      <c r="N28" s="129" t="s">
        <v>48</v>
      </c>
    </row>
    <row r="29" spans="1:14">
      <c r="A29" s="93" t="s">
        <v>144</v>
      </c>
      <c r="B29" s="128" t="s">
        <v>145</v>
      </c>
      <c r="C29" s="129" t="s">
        <v>48</v>
      </c>
      <c r="D29" s="129" t="s">
        <v>48</v>
      </c>
      <c r="E29" s="129" t="s">
        <v>48</v>
      </c>
      <c r="F29" s="129" t="s">
        <v>48</v>
      </c>
      <c r="G29" s="129" t="s">
        <v>48</v>
      </c>
      <c r="H29" s="129" t="s">
        <v>48</v>
      </c>
      <c r="I29" s="129" t="s">
        <v>48</v>
      </c>
      <c r="J29" s="129" t="s">
        <v>48</v>
      </c>
      <c r="K29" s="129" t="s">
        <v>48</v>
      </c>
      <c r="L29" s="91" t="s">
        <v>48</v>
      </c>
      <c r="M29" s="91" t="s">
        <v>48</v>
      </c>
      <c r="N29" s="129" t="s">
        <v>48</v>
      </c>
    </row>
    <row r="30" spans="1:14">
      <c r="A30" s="93" t="s">
        <v>146</v>
      </c>
      <c r="B30" s="128"/>
      <c r="C30" s="129" t="s">
        <v>147</v>
      </c>
      <c r="D30" s="129" t="s">
        <v>147</v>
      </c>
      <c r="E30" s="129" t="s">
        <v>147</v>
      </c>
      <c r="F30" s="129" t="s">
        <v>147</v>
      </c>
      <c r="G30" s="129" t="s">
        <v>147</v>
      </c>
      <c r="H30" s="129" t="s">
        <v>147</v>
      </c>
      <c r="I30" s="129" t="s">
        <v>147</v>
      </c>
      <c r="J30" s="129" t="s">
        <v>147</v>
      </c>
      <c r="K30" s="129" t="s">
        <v>147</v>
      </c>
      <c r="L30" s="120" t="s">
        <v>147</v>
      </c>
      <c r="M30" s="120" t="s">
        <v>147</v>
      </c>
      <c r="N30" s="129" t="s">
        <v>148</v>
      </c>
    </row>
    <row r="31" spans="1:14">
      <c r="C31" s="143"/>
      <c r="D31" s="136"/>
      <c r="E31" s="143"/>
      <c r="F31" s="136"/>
      <c r="G31" s="143"/>
      <c r="H31" s="136"/>
      <c r="I31" s="93"/>
      <c r="J31" s="93"/>
      <c r="K31" s="136"/>
      <c r="L31" s="122"/>
      <c r="M31" s="122"/>
      <c r="N31" s="136"/>
    </row>
    <row r="32" spans="1:14" ht="27" customHeight="1">
      <c r="A32" s="127" t="s">
        <v>149</v>
      </c>
      <c r="B32" s="134" t="s">
        <v>150</v>
      </c>
      <c r="C32" s="129"/>
      <c r="D32" s="136"/>
      <c r="E32" s="129"/>
      <c r="F32" s="136"/>
      <c r="G32" s="129"/>
      <c r="H32" s="136"/>
      <c r="I32" s="93"/>
      <c r="J32" s="93"/>
      <c r="K32" s="136"/>
      <c r="L32" s="122"/>
      <c r="M32" s="122"/>
      <c r="N32" s="136"/>
    </row>
    <row r="33" spans="1:14">
      <c r="A33" s="96" t="s">
        <v>151</v>
      </c>
      <c r="B33" s="133" t="s">
        <v>152</v>
      </c>
      <c r="C33" s="137" t="s">
        <v>48</v>
      </c>
      <c r="D33" s="137" t="s">
        <v>48</v>
      </c>
      <c r="E33" s="137" t="s">
        <v>48</v>
      </c>
      <c r="F33" s="137" t="s">
        <v>48</v>
      </c>
      <c r="G33" s="137" t="s">
        <v>48</v>
      </c>
      <c r="H33" s="137" t="s">
        <v>48</v>
      </c>
      <c r="I33" s="137" t="s">
        <v>48</v>
      </c>
      <c r="J33" s="137" t="s">
        <v>48</v>
      </c>
      <c r="K33" s="137" t="s">
        <v>48</v>
      </c>
      <c r="L33" s="155" t="s">
        <v>48</v>
      </c>
      <c r="M33" s="155" t="s">
        <v>48</v>
      </c>
      <c r="N33" s="137" t="s">
        <v>48</v>
      </c>
    </row>
    <row r="34" spans="1:14">
      <c r="A34" s="96" t="s">
        <v>153</v>
      </c>
      <c r="B34" s="132" t="s">
        <v>154</v>
      </c>
      <c r="C34" s="137" t="s">
        <v>48</v>
      </c>
      <c r="D34" s="137" t="s">
        <v>48</v>
      </c>
      <c r="E34" s="132" t="s">
        <v>155</v>
      </c>
      <c r="F34" s="132" t="s">
        <v>155</v>
      </c>
      <c r="G34" s="137" t="s">
        <v>48</v>
      </c>
      <c r="H34" s="137" t="s">
        <v>48</v>
      </c>
      <c r="I34" s="137" t="s">
        <v>48</v>
      </c>
      <c r="J34" s="137" t="s">
        <v>48</v>
      </c>
      <c r="K34" s="137" t="s">
        <v>48</v>
      </c>
      <c r="L34" s="100" t="s">
        <v>48</v>
      </c>
      <c r="M34" s="100" t="s">
        <v>48</v>
      </c>
      <c r="N34" s="137" t="s">
        <v>48</v>
      </c>
    </row>
    <row r="35" spans="1:14">
      <c r="A35" s="96" t="s">
        <v>156</v>
      </c>
      <c r="B35" s="150"/>
      <c r="C35" s="133">
        <v>1</v>
      </c>
      <c r="D35" s="133">
        <v>1</v>
      </c>
      <c r="E35" s="133">
        <v>1</v>
      </c>
      <c r="F35" s="133">
        <v>1</v>
      </c>
      <c r="G35" s="133">
        <v>1</v>
      </c>
      <c r="H35" s="133">
        <v>1</v>
      </c>
      <c r="I35" s="133">
        <v>1</v>
      </c>
      <c r="J35" s="133">
        <v>1</v>
      </c>
      <c r="K35" s="147">
        <v>1</v>
      </c>
      <c r="L35" s="100">
        <v>1</v>
      </c>
      <c r="M35" s="100">
        <v>1</v>
      </c>
      <c r="N35" s="133">
        <v>1</v>
      </c>
    </row>
    <row r="36" spans="1:14" ht="24.75" customHeight="1">
      <c r="A36" s="96" t="s">
        <v>157</v>
      </c>
      <c r="B36" s="133" t="s">
        <v>158</v>
      </c>
      <c r="C36" s="133" t="s">
        <v>48</v>
      </c>
      <c r="D36" s="133" t="s">
        <v>48</v>
      </c>
      <c r="E36" s="133" t="s">
        <v>48</v>
      </c>
      <c r="F36" s="133" t="s">
        <v>48</v>
      </c>
      <c r="G36" s="133" t="s">
        <v>48</v>
      </c>
      <c r="H36" s="133" t="s">
        <v>48</v>
      </c>
      <c r="I36" s="133" t="s">
        <v>48</v>
      </c>
      <c r="J36" s="133" t="s">
        <v>48</v>
      </c>
      <c r="K36" s="133" t="s">
        <v>48</v>
      </c>
      <c r="L36" s="100" t="s">
        <v>48</v>
      </c>
      <c r="M36" s="100" t="s">
        <v>48</v>
      </c>
      <c r="N36" s="133" t="s">
        <v>48</v>
      </c>
    </row>
    <row r="37" spans="1:14">
      <c r="A37" s="96" t="s">
        <v>159</v>
      </c>
      <c r="B37" s="133" t="s">
        <v>160</v>
      </c>
      <c r="C37" s="133" t="s">
        <v>48</v>
      </c>
      <c r="D37" s="133" t="s">
        <v>48</v>
      </c>
      <c r="E37" s="133" t="s">
        <v>48</v>
      </c>
      <c r="F37" s="133" t="s">
        <v>48</v>
      </c>
      <c r="G37" s="133" t="s">
        <v>48</v>
      </c>
      <c r="H37" s="133" t="s">
        <v>48</v>
      </c>
      <c r="I37" s="133" t="s">
        <v>48</v>
      </c>
      <c r="J37" s="133" t="s">
        <v>48</v>
      </c>
      <c r="K37" s="133" t="s">
        <v>48</v>
      </c>
      <c r="L37" s="156" t="s">
        <v>48</v>
      </c>
      <c r="M37" s="156" t="s">
        <v>48</v>
      </c>
      <c r="N37" s="133" t="s">
        <v>48</v>
      </c>
    </row>
    <row r="38" spans="1:14" ht="36">
      <c r="A38" s="96" t="s">
        <v>161</v>
      </c>
      <c r="B38" s="100" t="s">
        <v>127</v>
      </c>
      <c r="C38" s="133" t="s">
        <v>127</v>
      </c>
      <c r="D38" s="133" t="s">
        <v>127</v>
      </c>
      <c r="E38" s="133" t="s">
        <v>127</v>
      </c>
      <c r="F38" s="133" t="s">
        <v>127</v>
      </c>
      <c r="G38" s="133" t="s">
        <v>127</v>
      </c>
      <c r="H38" s="133" t="s">
        <v>127</v>
      </c>
      <c r="I38" s="133" t="s">
        <v>127</v>
      </c>
      <c r="J38" s="133" t="s">
        <v>127</v>
      </c>
      <c r="K38" s="133" t="s">
        <v>127</v>
      </c>
      <c r="L38" s="100" t="s">
        <v>127</v>
      </c>
      <c r="M38" s="100" t="s">
        <v>127</v>
      </c>
      <c r="N38" s="133" t="s">
        <v>127</v>
      </c>
    </row>
    <row r="39" spans="1:14" ht="36">
      <c r="A39" s="96" t="s">
        <v>162</v>
      </c>
      <c r="B39" s="100" t="s">
        <v>127</v>
      </c>
      <c r="C39" s="133" t="s">
        <v>127</v>
      </c>
      <c r="D39" s="133" t="s">
        <v>127</v>
      </c>
      <c r="E39" s="133" t="s">
        <v>127</v>
      </c>
      <c r="F39" s="133" t="s">
        <v>127</v>
      </c>
      <c r="G39" s="133" t="s">
        <v>127</v>
      </c>
      <c r="H39" s="133" t="s">
        <v>127</v>
      </c>
      <c r="I39" s="133" t="s">
        <v>127</v>
      </c>
      <c r="J39" s="133" t="s">
        <v>127</v>
      </c>
      <c r="K39" s="133" t="s">
        <v>127</v>
      </c>
      <c r="L39" s="100" t="s">
        <v>127</v>
      </c>
      <c r="M39" s="100" t="s">
        <v>127</v>
      </c>
      <c r="N39" s="133" t="s">
        <v>127</v>
      </c>
    </row>
    <row r="40" spans="1:14" ht="24">
      <c r="A40" s="96" t="s">
        <v>163</v>
      </c>
      <c r="B40" s="133" t="s">
        <v>164</v>
      </c>
      <c r="C40" s="133" t="s">
        <v>48</v>
      </c>
      <c r="D40" s="133" t="s">
        <v>48</v>
      </c>
      <c r="E40" s="133" t="s">
        <v>48</v>
      </c>
      <c r="F40" s="133" t="s">
        <v>48</v>
      </c>
      <c r="G40" s="133" t="s">
        <v>48</v>
      </c>
      <c r="H40" s="133" t="s">
        <v>48</v>
      </c>
      <c r="I40" s="133" t="s">
        <v>48</v>
      </c>
      <c r="J40" s="133" t="s">
        <v>48</v>
      </c>
      <c r="K40" s="133" t="s">
        <v>48</v>
      </c>
      <c r="L40" s="100" t="s">
        <v>48</v>
      </c>
      <c r="M40" s="100" t="s">
        <v>48</v>
      </c>
      <c r="N40" s="133" t="s">
        <v>48</v>
      </c>
    </row>
    <row r="41" spans="1:14" ht="24">
      <c r="A41" s="96" t="s">
        <v>165</v>
      </c>
      <c r="B41" s="100" t="s">
        <v>127</v>
      </c>
      <c r="C41" s="133" t="s">
        <v>127</v>
      </c>
      <c r="D41" s="133" t="s">
        <v>127</v>
      </c>
      <c r="E41" s="133" t="s">
        <v>127</v>
      </c>
      <c r="F41" s="133" t="s">
        <v>127</v>
      </c>
      <c r="G41" s="133" t="s">
        <v>127</v>
      </c>
      <c r="H41" s="133" t="s">
        <v>127</v>
      </c>
      <c r="I41" s="133" t="s">
        <v>127</v>
      </c>
      <c r="J41" s="133" t="s">
        <v>127</v>
      </c>
      <c r="K41" s="133" t="s">
        <v>127</v>
      </c>
      <c r="L41" s="100" t="s">
        <v>127</v>
      </c>
      <c r="M41" s="100" t="s">
        <v>127</v>
      </c>
      <c r="N41" s="133" t="s">
        <v>127</v>
      </c>
    </row>
    <row r="42" spans="1:14" ht="24">
      <c r="A42" s="96" t="s">
        <v>166</v>
      </c>
      <c r="B42" s="100" t="s">
        <v>127</v>
      </c>
      <c r="C42" s="133" t="s">
        <v>127</v>
      </c>
      <c r="D42" s="133" t="s">
        <v>127</v>
      </c>
      <c r="E42" s="133" t="s">
        <v>127</v>
      </c>
      <c r="F42" s="133" t="s">
        <v>127</v>
      </c>
      <c r="G42" s="133" t="s">
        <v>127</v>
      </c>
      <c r="H42" s="133" t="s">
        <v>127</v>
      </c>
      <c r="I42" s="133" t="s">
        <v>127</v>
      </c>
      <c r="J42" s="133" t="s">
        <v>127</v>
      </c>
      <c r="K42" s="133" t="s">
        <v>127</v>
      </c>
      <c r="L42" s="100" t="s">
        <v>127</v>
      </c>
      <c r="M42" s="100" t="s">
        <v>127</v>
      </c>
      <c r="N42" s="133" t="s">
        <v>127</v>
      </c>
    </row>
    <row r="43" spans="1:14">
      <c r="A43" s="151" t="s">
        <v>167</v>
      </c>
      <c r="L43" s="118"/>
      <c r="M43" s="118"/>
      <c r="N43"/>
    </row>
  </sheetData>
  <mergeCells count="7">
    <mergeCell ref="I2:J2"/>
    <mergeCell ref="L2:M2"/>
    <mergeCell ref="A2:A3"/>
    <mergeCell ref="B2:B3"/>
    <mergeCell ref="C2:D2"/>
    <mergeCell ref="E2:F2"/>
    <mergeCell ref="G2:H2"/>
  </mergeCells>
  <phoneticPr fontId="14" type="noConversion"/>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drawing r:id="rId1"/>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workbookViewId="0">
      <pane xSplit="2" ySplit="3" topLeftCell="G7" activePane="bottomRight" state="frozen"/>
      <selection pane="topRight"/>
      <selection pane="bottomLeft"/>
      <selection pane="bottomRight" activeCell="I18" sqref="I18"/>
    </sheetView>
  </sheetViews>
  <sheetFormatPr defaultColWidth="9.42578125" defaultRowHeight="14.25"/>
  <cols>
    <col min="1" max="1" width="29.42578125" style="138" customWidth="1"/>
    <col min="2" max="2" width="44.42578125" style="138" customWidth="1"/>
    <col min="3" max="3" width="31.42578125" style="139" customWidth="1"/>
    <col min="4" max="4" width="31.42578125" style="85" customWidth="1"/>
    <col min="5" max="5" width="31.42578125" style="139" customWidth="1"/>
    <col min="6" max="6" width="31.42578125" style="85" customWidth="1"/>
    <col min="7" max="7" width="31.5703125" style="85" customWidth="1"/>
    <col min="8" max="12" width="31.42578125" style="85" customWidth="1"/>
    <col min="13" max="16384" width="9.42578125" style="84"/>
  </cols>
  <sheetData>
    <row r="1" spans="1:12">
      <c r="A1" s="127" t="s">
        <v>41</v>
      </c>
      <c r="B1" s="85"/>
    </row>
    <row r="2" spans="1:12" s="126" customFormat="1" ht="24" customHeight="1">
      <c r="A2" s="210" t="s">
        <v>42</v>
      </c>
      <c r="B2" s="212" t="s">
        <v>168</v>
      </c>
      <c r="C2" s="214" t="s">
        <v>5</v>
      </c>
      <c r="D2" s="215"/>
      <c r="E2" s="214" t="s">
        <v>11</v>
      </c>
      <c r="F2" s="215"/>
      <c r="G2" s="108" t="s">
        <v>19</v>
      </c>
      <c r="H2" s="214" t="s">
        <v>382</v>
      </c>
      <c r="I2" s="215"/>
      <c r="J2" s="87"/>
      <c r="K2" s="87"/>
      <c r="L2" s="87"/>
    </row>
    <row r="3" spans="1:12" s="126" customFormat="1" ht="11.25" customHeight="1">
      <c r="A3" s="211"/>
      <c r="B3" s="213"/>
      <c r="C3" s="140" t="s">
        <v>44</v>
      </c>
      <c r="D3" s="141" t="s">
        <v>45</v>
      </c>
      <c r="E3" s="140" t="s">
        <v>44</v>
      </c>
      <c r="F3" s="141" t="s">
        <v>45</v>
      </c>
      <c r="G3" s="145" t="s">
        <v>45</v>
      </c>
      <c r="H3" s="140" t="s">
        <v>44</v>
      </c>
      <c r="I3" s="141" t="s">
        <v>45</v>
      </c>
      <c r="J3" s="87"/>
      <c r="K3" s="87"/>
      <c r="L3" s="87"/>
    </row>
    <row r="4" spans="1:12">
      <c r="A4" s="93" t="s">
        <v>46</v>
      </c>
      <c r="B4" s="128" t="s">
        <v>47</v>
      </c>
      <c r="C4" s="129" t="s">
        <v>48</v>
      </c>
      <c r="D4" s="129" t="s">
        <v>48</v>
      </c>
      <c r="E4" s="129" t="s">
        <v>48</v>
      </c>
      <c r="F4" s="129" t="s">
        <v>48</v>
      </c>
      <c r="G4" s="129" t="s">
        <v>48</v>
      </c>
      <c r="H4" s="129" t="s">
        <v>48</v>
      </c>
      <c r="I4" s="129" t="s">
        <v>48</v>
      </c>
      <c r="J4" s="93"/>
      <c r="K4" s="93"/>
      <c r="L4" s="93"/>
    </row>
    <row r="5" spans="1:12">
      <c r="A5" s="93" t="s">
        <v>49</v>
      </c>
      <c r="B5" s="128"/>
      <c r="C5" s="129" t="s">
        <v>50</v>
      </c>
      <c r="D5" s="93" t="s">
        <v>51</v>
      </c>
      <c r="E5" s="129" t="s">
        <v>50</v>
      </c>
      <c r="F5" s="93" t="s">
        <v>51</v>
      </c>
      <c r="G5" s="93" t="s">
        <v>51</v>
      </c>
      <c r="H5" s="129" t="s">
        <v>50</v>
      </c>
      <c r="I5" s="93" t="s">
        <v>51</v>
      </c>
      <c r="J5" s="93"/>
      <c r="K5" s="93"/>
      <c r="L5" s="93"/>
    </row>
    <row r="6" spans="1:12">
      <c r="A6" s="116" t="s">
        <v>52</v>
      </c>
      <c r="B6" s="128" t="s">
        <v>53</v>
      </c>
      <c r="C6" s="129" t="s">
        <v>48</v>
      </c>
      <c r="D6" s="129" t="s">
        <v>48</v>
      </c>
      <c r="E6" s="129" t="s">
        <v>48</v>
      </c>
      <c r="F6" s="129" t="s">
        <v>48</v>
      </c>
      <c r="G6" s="129" t="s">
        <v>48</v>
      </c>
      <c r="H6" s="129" t="s">
        <v>48</v>
      </c>
      <c r="I6" s="129" t="s">
        <v>48</v>
      </c>
      <c r="J6" s="93"/>
      <c r="K6" s="93"/>
      <c r="L6" s="93"/>
    </row>
    <row r="7" spans="1:12">
      <c r="A7" s="93" t="s">
        <v>54</v>
      </c>
      <c r="B7" s="128" t="s">
        <v>169</v>
      </c>
      <c r="C7" s="129" t="s">
        <v>48</v>
      </c>
      <c r="D7" s="129" t="s">
        <v>48</v>
      </c>
      <c r="E7" s="129" t="s">
        <v>48</v>
      </c>
      <c r="F7" s="129" t="s">
        <v>48</v>
      </c>
      <c r="G7" s="129" t="s">
        <v>48</v>
      </c>
      <c r="H7" s="129" t="s">
        <v>48</v>
      </c>
      <c r="I7" s="129" t="s">
        <v>48</v>
      </c>
      <c r="J7" s="93"/>
      <c r="K7" s="93"/>
      <c r="L7" s="93"/>
    </row>
    <row r="8" spans="1:12" ht="36">
      <c r="A8" s="93" t="s">
        <v>170</v>
      </c>
      <c r="B8" s="90" t="s">
        <v>57</v>
      </c>
      <c r="C8" s="129" t="s">
        <v>48</v>
      </c>
      <c r="D8" s="129" t="s">
        <v>48</v>
      </c>
      <c r="E8" s="129" t="s">
        <v>48</v>
      </c>
      <c r="F8" s="129" t="s">
        <v>48</v>
      </c>
      <c r="G8" s="129" t="s">
        <v>48</v>
      </c>
      <c r="H8" s="129" t="s">
        <v>48</v>
      </c>
      <c r="I8" s="129" t="s">
        <v>48</v>
      </c>
      <c r="J8" s="93"/>
      <c r="K8" s="93"/>
      <c r="L8" s="84"/>
    </row>
    <row r="9" spans="1:12" ht="24">
      <c r="A9" s="93" t="s">
        <v>58</v>
      </c>
      <c r="B9" s="90" t="s">
        <v>59</v>
      </c>
      <c r="C9" s="129" t="s">
        <v>60</v>
      </c>
      <c r="D9" s="129" t="s">
        <v>61</v>
      </c>
      <c r="E9" s="129" t="s">
        <v>60</v>
      </c>
      <c r="F9" s="129" t="s">
        <v>62</v>
      </c>
      <c r="G9" s="129" t="s">
        <v>63</v>
      </c>
      <c r="H9" s="129" t="s">
        <v>60</v>
      </c>
      <c r="I9" s="129" t="s">
        <v>383</v>
      </c>
      <c r="J9" s="93"/>
      <c r="K9" s="93"/>
      <c r="L9" s="93"/>
    </row>
    <row r="10" spans="1:12" ht="36">
      <c r="A10" s="90" t="s">
        <v>66</v>
      </c>
      <c r="B10" s="130" t="s">
        <v>171</v>
      </c>
      <c r="C10" s="129" t="s">
        <v>48</v>
      </c>
      <c r="D10" s="129" t="s">
        <v>48</v>
      </c>
      <c r="E10" s="129" t="s">
        <v>48</v>
      </c>
      <c r="F10" s="129" t="s">
        <v>48</v>
      </c>
      <c r="G10" s="129" t="s">
        <v>48</v>
      </c>
      <c r="H10" s="129" t="s">
        <v>48</v>
      </c>
      <c r="I10" s="129" t="s">
        <v>48</v>
      </c>
      <c r="J10" s="93"/>
      <c r="K10" s="93"/>
      <c r="L10" s="93"/>
    </row>
    <row r="11" spans="1:12" ht="24">
      <c r="A11" s="93" t="s">
        <v>69</v>
      </c>
      <c r="B11" s="129" t="s">
        <v>70</v>
      </c>
      <c r="C11" s="129" t="s">
        <v>48</v>
      </c>
      <c r="D11" s="129" t="s">
        <v>48</v>
      </c>
      <c r="E11" s="129" t="s">
        <v>48</v>
      </c>
      <c r="F11" s="129" t="s">
        <v>48</v>
      </c>
      <c r="G11" s="129" t="s">
        <v>48</v>
      </c>
      <c r="H11" s="129" t="s">
        <v>48</v>
      </c>
      <c r="I11" s="129" t="s">
        <v>48</v>
      </c>
      <c r="J11" s="93"/>
      <c r="K11" s="93"/>
      <c r="L11" s="93"/>
    </row>
    <row r="12" spans="1:12" ht="24">
      <c r="A12" s="93" t="s">
        <v>73</v>
      </c>
      <c r="B12" s="128"/>
      <c r="C12" s="129" t="s">
        <v>172</v>
      </c>
      <c r="D12" s="93" t="s">
        <v>75</v>
      </c>
      <c r="E12" s="129" t="s">
        <v>172</v>
      </c>
      <c r="F12" s="93" t="s">
        <v>76</v>
      </c>
      <c r="G12" s="92" t="s">
        <v>78</v>
      </c>
      <c r="H12" s="129" t="s">
        <v>172</v>
      </c>
      <c r="I12" s="93" t="s">
        <v>75</v>
      </c>
      <c r="J12" s="93"/>
      <c r="K12" s="93"/>
      <c r="L12" s="93"/>
    </row>
    <row r="13" spans="1:12">
      <c r="A13" s="93" t="s">
        <v>81</v>
      </c>
      <c r="B13" s="131" t="s">
        <v>173</v>
      </c>
      <c r="C13" s="131" t="s">
        <v>174</v>
      </c>
      <c r="D13" s="131" t="s">
        <v>174</v>
      </c>
      <c r="E13" s="131" t="s">
        <v>174</v>
      </c>
      <c r="F13" s="131" t="s">
        <v>174</v>
      </c>
      <c r="G13" s="131" t="s">
        <v>174</v>
      </c>
      <c r="H13" s="131" t="s">
        <v>174</v>
      </c>
      <c r="I13" s="131" t="s">
        <v>174</v>
      </c>
      <c r="J13" s="93"/>
      <c r="K13" s="93"/>
      <c r="L13" s="93"/>
    </row>
    <row r="14" spans="1:12" ht="24">
      <c r="A14" s="93" t="s">
        <v>175</v>
      </c>
      <c r="B14" s="128"/>
      <c r="C14" s="131" t="s">
        <v>176</v>
      </c>
      <c r="D14" s="131" t="s">
        <v>176</v>
      </c>
      <c r="E14" s="131" t="s">
        <v>177</v>
      </c>
      <c r="F14" s="131" t="s">
        <v>95</v>
      </c>
      <c r="G14" s="131" t="s">
        <v>178</v>
      </c>
      <c r="H14" s="131" t="s">
        <v>384</v>
      </c>
      <c r="I14" s="131" t="s">
        <v>384</v>
      </c>
      <c r="J14" s="93"/>
      <c r="K14" s="93"/>
      <c r="L14" s="93"/>
    </row>
    <row r="15" spans="1:12">
      <c r="A15" s="93" t="s">
        <v>99</v>
      </c>
      <c r="B15" s="128"/>
      <c r="C15" s="131" t="s">
        <v>95</v>
      </c>
      <c r="D15" s="131" t="s">
        <v>95</v>
      </c>
      <c r="E15" s="131" t="s">
        <v>95</v>
      </c>
      <c r="F15" s="131" t="s">
        <v>95</v>
      </c>
      <c r="G15" s="131" t="s">
        <v>95</v>
      </c>
      <c r="H15" s="131" t="s">
        <v>95</v>
      </c>
      <c r="I15" s="131" t="s">
        <v>95</v>
      </c>
      <c r="J15" s="93"/>
      <c r="K15" s="93"/>
      <c r="L15" s="93"/>
    </row>
    <row r="16" spans="1:12">
      <c r="A16" s="93" t="s">
        <v>101</v>
      </c>
      <c r="B16" s="128"/>
      <c r="C16" s="131" t="s">
        <v>179</v>
      </c>
      <c r="D16" s="131" t="s">
        <v>179</v>
      </c>
      <c r="E16" s="131" t="s">
        <v>181</v>
      </c>
      <c r="F16" s="131" t="s">
        <v>181</v>
      </c>
      <c r="G16" s="131" t="s">
        <v>180</v>
      </c>
      <c r="H16" s="131" t="s">
        <v>385</v>
      </c>
      <c r="I16" s="131" t="s">
        <v>385</v>
      </c>
      <c r="J16" s="93"/>
      <c r="K16" s="93"/>
      <c r="L16" s="93"/>
    </row>
    <row r="17" spans="1:12" ht="24">
      <c r="A17" s="93" t="s">
        <v>104</v>
      </c>
      <c r="B17" s="90" t="s">
        <v>105</v>
      </c>
      <c r="C17" s="129" t="s">
        <v>48</v>
      </c>
      <c r="D17" s="129" t="s">
        <v>48</v>
      </c>
      <c r="E17" s="129" t="s">
        <v>48</v>
      </c>
      <c r="F17" s="129" t="s">
        <v>48</v>
      </c>
      <c r="G17" s="129" t="s">
        <v>48</v>
      </c>
      <c r="H17" s="129" t="s">
        <v>48</v>
      </c>
      <c r="I17" s="129" t="s">
        <v>48</v>
      </c>
      <c r="J17" s="93"/>
      <c r="K17" s="93"/>
      <c r="L17" s="84"/>
    </row>
    <row r="18" spans="1:12" ht="96">
      <c r="A18" s="93" t="s">
        <v>106</v>
      </c>
      <c r="B18" s="114" t="s">
        <v>107</v>
      </c>
      <c r="C18" s="129" t="s">
        <v>182</v>
      </c>
      <c r="D18" s="129" t="s">
        <v>182</v>
      </c>
      <c r="E18" s="129" t="s">
        <v>183</v>
      </c>
      <c r="F18" s="129" t="s">
        <v>184</v>
      </c>
      <c r="G18" s="92" t="s">
        <v>185</v>
      </c>
      <c r="H18" s="129" t="s">
        <v>388</v>
      </c>
      <c r="I18" s="129" t="s">
        <v>388</v>
      </c>
      <c r="J18" s="93"/>
      <c r="K18" s="93"/>
      <c r="L18" s="93"/>
    </row>
    <row r="19" spans="1:12" ht="60" customHeight="1">
      <c r="A19" s="96" t="s">
        <v>128</v>
      </c>
      <c r="B19" s="96" t="s">
        <v>129</v>
      </c>
      <c r="C19" s="132" t="s">
        <v>186</v>
      </c>
      <c r="D19" s="132" t="s">
        <v>187</v>
      </c>
      <c r="E19" s="132" t="s">
        <v>188</v>
      </c>
      <c r="F19" s="132" t="s">
        <v>188</v>
      </c>
      <c r="G19" s="132" t="s">
        <v>189</v>
      </c>
      <c r="H19" s="132" t="s">
        <v>386</v>
      </c>
      <c r="I19" s="132" t="s">
        <v>187</v>
      </c>
      <c r="J19" s="93"/>
      <c r="K19" s="93"/>
      <c r="L19" s="93"/>
    </row>
    <row r="20" spans="1:12" ht="71.25" customHeight="1">
      <c r="A20" s="96" t="s">
        <v>138</v>
      </c>
      <c r="B20" s="96" t="s">
        <v>139</v>
      </c>
      <c r="C20" s="132" t="s">
        <v>378</v>
      </c>
      <c r="D20" s="132" t="s">
        <v>378</v>
      </c>
      <c r="E20" s="132" t="s">
        <v>191</v>
      </c>
      <c r="F20" s="132" t="s">
        <v>191</v>
      </c>
      <c r="G20" s="132" t="s">
        <v>190</v>
      </c>
      <c r="H20" s="132" t="s">
        <v>387</v>
      </c>
      <c r="I20" s="132" t="s">
        <v>387</v>
      </c>
      <c r="J20" s="93"/>
      <c r="K20" s="93"/>
      <c r="L20" s="93"/>
    </row>
    <row r="21" spans="1:12" ht="15.75" customHeight="1">
      <c r="A21" s="142" t="s">
        <v>121</v>
      </c>
      <c r="B21" s="133">
        <v>1</v>
      </c>
      <c r="C21" s="129" t="s">
        <v>48</v>
      </c>
      <c r="D21" s="129" t="s">
        <v>48</v>
      </c>
      <c r="E21" s="129" t="s">
        <v>48</v>
      </c>
      <c r="F21" s="129" t="s">
        <v>48</v>
      </c>
      <c r="G21" s="129" t="s">
        <v>48</v>
      </c>
      <c r="H21" s="129" t="s">
        <v>48</v>
      </c>
      <c r="I21" s="129" t="s">
        <v>48</v>
      </c>
      <c r="J21" s="93"/>
      <c r="K21" s="93"/>
      <c r="L21" s="93"/>
    </row>
    <row r="22" spans="1:12" ht="27" customHeight="1">
      <c r="A22" s="142" t="s">
        <v>192</v>
      </c>
      <c r="B22" s="96"/>
      <c r="C22" s="132" t="s">
        <v>193</v>
      </c>
      <c r="D22" s="132" t="s">
        <v>193</v>
      </c>
      <c r="E22" s="132" t="s">
        <v>193</v>
      </c>
      <c r="F22" s="132" t="s">
        <v>193</v>
      </c>
      <c r="G22" s="162" t="s">
        <v>127</v>
      </c>
      <c r="H22" s="132" t="s">
        <v>193</v>
      </c>
      <c r="I22" s="132" t="s">
        <v>193</v>
      </c>
      <c r="J22" s="93"/>
      <c r="K22" s="93"/>
      <c r="L22" s="93"/>
    </row>
    <row r="23" spans="1:12">
      <c r="A23" s="93" t="s">
        <v>142</v>
      </c>
      <c r="B23" s="128" t="s">
        <v>143</v>
      </c>
      <c r="C23" s="129" t="s">
        <v>48</v>
      </c>
      <c r="D23" s="129" t="s">
        <v>48</v>
      </c>
      <c r="E23" s="129" t="s">
        <v>48</v>
      </c>
      <c r="F23" s="129" t="s">
        <v>48</v>
      </c>
      <c r="G23" s="129" t="s">
        <v>48</v>
      </c>
      <c r="H23" s="129" t="s">
        <v>48</v>
      </c>
      <c r="I23" s="129" t="s">
        <v>48</v>
      </c>
      <c r="J23" s="93"/>
      <c r="K23" s="93"/>
      <c r="L23" s="93"/>
    </row>
    <row r="24" spans="1:12">
      <c r="A24" s="93" t="s">
        <v>144</v>
      </c>
      <c r="B24" s="128" t="s">
        <v>145</v>
      </c>
      <c r="C24" s="129" t="s">
        <v>48</v>
      </c>
      <c r="D24" s="129" t="s">
        <v>48</v>
      </c>
      <c r="E24" s="129" t="s">
        <v>48</v>
      </c>
      <c r="F24" s="129" t="s">
        <v>48</v>
      </c>
      <c r="G24" s="129" t="s">
        <v>48</v>
      </c>
      <c r="H24" s="129" t="s">
        <v>48</v>
      </c>
      <c r="I24" s="129" t="s">
        <v>48</v>
      </c>
      <c r="J24" s="93"/>
      <c r="K24" s="93"/>
      <c r="L24" s="93"/>
    </row>
    <row r="25" spans="1:12">
      <c r="A25" s="93" t="s">
        <v>146</v>
      </c>
      <c r="B25" s="128"/>
      <c r="C25" s="129" t="s">
        <v>147</v>
      </c>
      <c r="D25" s="129" t="s">
        <v>147</v>
      </c>
      <c r="E25" s="129" t="s">
        <v>147</v>
      </c>
      <c r="F25" s="129" t="s">
        <v>147</v>
      </c>
      <c r="G25" s="129" t="s">
        <v>147</v>
      </c>
      <c r="H25" s="129" t="s">
        <v>147</v>
      </c>
      <c r="I25" s="129" t="s">
        <v>147</v>
      </c>
      <c r="J25" s="93"/>
      <c r="K25" s="93"/>
      <c r="L25" s="93"/>
    </row>
    <row r="26" spans="1:12">
      <c r="A26" s="93" t="s">
        <v>194</v>
      </c>
      <c r="B26" s="128"/>
      <c r="C26" s="132" t="s">
        <v>195</v>
      </c>
      <c r="D26" s="132" t="s">
        <v>195</v>
      </c>
      <c r="E26" s="132" t="s">
        <v>196</v>
      </c>
      <c r="F26" s="132" t="s">
        <v>196</v>
      </c>
      <c r="G26" s="132" t="s">
        <v>196</v>
      </c>
      <c r="H26" s="132" t="s">
        <v>195</v>
      </c>
      <c r="I26" s="132" t="s">
        <v>195</v>
      </c>
      <c r="J26" s="93"/>
      <c r="K26" s="93"/>
      <c r="L26" s="93"/>
    </row>
    <row r="27" spans="1:12" ht="48">
      <c r="A27" s="93" t="s">
        <v>197</v>
      </c>
      <c r="B27" s="93"/>
      <c r="C27" s="90" t="s">
        <v>198</v>
      </c>
      <c r="D27" s="90" t="s">
        <v>198</v>
      </c>
      <c r="E27" s="90" t="s">
        <v>199</v>
      </c>
      <c r="F27" s="90" t="s">
        <v>199</v>
      </c>
      <c r="G27" s="162" t="s">
        <v>127</v>
      </c>
      <c r="H27" s="90" t="s">
        <v>198</v>
      </c>
      <c r="I27" s="90" t="s">
        <v>198</v>
      </c>
      <c r="J27" s="93"/>
      <c r="K27" s="93"/>
      <c r="L27" s="93"/>
    </row>
    <row r="28" spans="1:12">
      <c r="C28" s="143"/>
      <c r="D28" s="144"/>
      <c r="E28" s="143"/>
      <c r="F28" s="144"/>
      <c r="G28" s="93"/>
      <c r="H28" s="143"/>
      <c r="I28" s="144"/>
      <c r="J28" s="93"/>
      <c r="K28" s="93"/>
      <c r="L28" s="93"/>
    </row>
    <row r="29" spans="1:12">
      <c r="A29" s="127" t="s">
        <v>149</v>
      </c>
      <c r="B29" s="134" t="s">
        <v>150</v>
      </c>
      <c r="C29" s="129"/>
      <c r="D29" s="93"/>
      <c r="E29" s="129"/>
      <c r="F29" s="93"/>
      <c r="G29" s="93"/>
      <c r="H29" s="129"/>
      <c r="I29" s="93"/>
      <c r="J29" s="93"/>
      <c r="K29" s="93"/>
      <c r="L29" s="93"/>
    </row>
    <row r="30" spans="1:12" s="98" customFormat="1">
      <c r="A30" s="96" t="s">
        <v>151</v>
      </c>
      <c r="B30" s="133" t="s">
        <v>152</v>
      </c>
      <c r="C30" s="133" t="s">
        <v>48</v>
      </c>
      <c r="D30" s="133" t="s">
        <v>48</v>
      </c>
      <c r="E30" s="133" t="s">
        <v>48</v>
      </c>
      <c r="F30" s="133" t="s">
        <v>48</v>
      </c>
      <c r="G30" s="133" t="s">
        <v>48</v>
      </c>
      <c r="H30" s="133" t="s">
        <v>48</v>
      </c>
      <c r="I30" s="133" t="s">
        <v>48</v>
      </c>
      <c r="J30" s="116"/>
      <c r="K30" s="116"/>
      <c r="L30" s="116"/>
    </row>
    <row r="31" spans="1:12" s="98" customFormat="1">
      <c r="A31" s="96" t="s">
        <v>153</v>
      </c>
      <c r="B31" s="132" t="s">
        <v>154</v>
      </c>
      <c r="C31" s="132" t="s">
        <v>154</v>
      </c>
      <c r="D31" s="132" t="s">
        <v>154</v>
      </c>
      <c r="E31" s="132" t="s">
        <v>155</v>
      </c>
      <c r="F31" s="132" t="s">
        <v>155</v>
      </c>
      <c r="G31" s="133" t="s">
        <v>48</v>
      </c>
      <c r="H31" s="132" t="s">
        <v>154</v>
      </c>
      <c r="I31" s="132" t="s">
        <v>154</v>
      </c>
      <c r="J31" s="116"/>
      <c r="K31" s="116"/>
      <c r="L31" s="116"/>
    </row>
    <row r="32" spans="1:12" s="98" customFormat="1">
      <c r="A32" s="96" t="s">
        <v>156</v>
      </c>
      <c r="B32" s="133"/>
      <c r="C32" s="133">
        <v>1</v>
      </c>
      <c r="D32" s="133">
        <v>1</v>
      </c>
      <c r="E32" s="133">
        <v>1</v>
      </c>
      <c r="F32" s="133">
        <v>1</v>
      </c>
      <c r="G32" s="135">
        <v>1</v>
      </c>
      <c r="H32" s="133">
        <v>1</v>
      </c>
      <c r="I32" s="133">
        <v>1</v>
      </c>
      <c r="J32" s="116"/>
      <c r="K32" s="116"/>
      <c r="L32" s="116"/>
    </row>
    <row r="33" spans="1:12" s="98" customFormat="1" ht="28.5" customHeight="1">
      <c r="A33" s="96" t="s">
        <v>157</v>
      </c>
      <c r="B33" s="133" t="s">
        <v>158</v>
      </c>
      <c r="C33" s="133" t="s">
        <v>48</v>
      </c>
      <c r="D33" s="133" t="s">
        <v>48</v>
      </c>
      <c r="E33" s="133" t="s">
        <v>48</v>
      </c>
      <c r="F33" s="133" t="s">
        <v>48</v>
      </c>
      <c r="G33" s="133" t="s">
        <v>48</v>
      </c>
      <c r="H33" s="133" t="s">
        <v>48</v>
      </c>
      <c r="I33" s="133" t="s">
        <v>48</v>
      </c>
      <c r="J33" s="116"/>
      <c r="K33" s="116"/>
      <c r="L33" s="116"/>
    </row>
    <row r="34" spans="1:12" s="98" customFormat="1">
      <c r="A34" s="96" t="s">
        <v>159</v>
      </c>
      <c r="B34" s="133" t="s">
        <v>160</v>
      </c>
      <c r="C34" s="133" t="s">
        <v>48</v>
      </c>
      <c r="D34" s="133" t="s">
        <v>48</v>
      </c>
      <c r="E34" s="133" t="s">
        <v>48</v>
      </c>
      <c r="F34" s="133" t="s">
        <v>48</v>
      </c>
      <c r="G34" s="133" t="s">
        <v>48</v>
      </c>
      <c r="H34" s="133" t="s">
        <v>48</v>
      </c>
      <c r="I34" s="133" t="s">
        <v>48</v>
      </c>
      <c r="J34" s="116"/>
      <c r="K34" s="116"/>
      <c r="L34" s="116"/>
    </row>
    <row r="35" spans="1:12" s="98" customFormat="1" ht="36">
      <c r="A35" s="96" t="s">
        <v>161</v>
      </c>
      <c r="B35" s="100" t="s">
        <v>127</v>
      </c>
      <c r="C35" s="133" t="s">
        <v>127</v>
      </c>
      <c r="D35" s="133" t="s">
        <v>127</v>
      </c>
      <c r="E35" s="133" t="s">
        <v>127</v>
      </c>
      <c r="F35" s="133" t="s">
        <v>127</v>
      </c>
      <c r="G35" s="133" t="s">
        <v>127</v>
      </c>
      <c r="H35" s="133" t="s">
        <v>127</v>
      </c>
      <c r="I35" s="133" t="s">
        <v>127</v>
      </c>
      <c r="J35" s="116"/>
      <c r="K35" s="116"/>
      <c r="L35" s="116"/>
    </row>
    <row r="36" spans="1:12" s="98" customFormat="1" ht="36">
      <c r="A36" s="96" t="s">
        <v>162</v>
      </c>
      <c r="B36" s="100" t="s">
        <v>127</v>
      </c>
      <c r="C36" s="133" t="s">
        <v>127</v>
      </c>
      <c r="D36" s="133" t="s">
        <v>127</v>
      </c>
      <c r="E36" s="133" t="s">
        <v>127</v>
      </c>
      <c r="F36" s="133" t="s">
        <v>127</v>
      </c>
      <c r="G36" s="133" t="s">
        <v>127</v>
      </c>
      <c r="H36" s="133" t="s">
        <v>127</v>
      </c>
      <c r="I36" s="133" t="s">
        <v>127</v>
      </c>
      <c r="J36" s="116"/>
      <c r="K36" s="116"/>
      <c r="L36" s="116"/>
    </row>
    <row r="37" spans="1:12" s="98" customFormat="1" ht="24">
      <c r="A37" s="96" t="s">
        <v>163</v>
      </c>
      <c r="B37" s="133" t="s">
        <v>164</v>
      </c>
      <c r="C37" s="133" t="s">
        <v>48</v>
      </c>
      <c r="D37" s="133" t="s">
        <v>48</v>
      </c>
      <c r="E37" s="133" t="s">
        <v>48</v>
      </c>
      <c r="F37" s="133" t="s">
        <v>48</v>
      </c>
      <c r="G37" s="133" t="s">
        <v>48</v>
      </c>
      <c r="H37" s="133" t="s">
        <v>48</v>
      </c>
      <c r="I37" s="133" t="s">
        <v>48</v>
      </c>
      <c r="J37" s="116"/>
      <c r="K37" s="116"/>
      <c r="L37" s="116"/>
    </row>
    <row r="38" spans="1:12" s="98" customFormat="1" ht="24">
      <c r="A38" s="96" t="s">
        <v>165</v>
      </c>
      <c r="B38" s="100" t="s">
        <v>127</v>
      </c>
      <c r="C38" s="133" t="s">
        <v>127</v>
      </c>
      <c r="D38" s="133" t="s">
        <v>127</v>
      </c>
      <c r="E38" s="133" t="s">
        <v>127</v>
      </c>
      <c r="F38" s="133" t="s">
        <v>127</v>
      </c>
      <c r="G38" s="133" t="s">
        <v>127</v>
      </c>
      <c r="H38" s="133" t="s">
        <v>127</v>
      </c>
      <c r="I38" s="133" t="s">
        <v>127</v>
      </c>
      <c r="J38" s="116"/>
      <c r="K38" s="116"/>
      <c r="L38" s="116"/>
    </row>
    <row r="39" spans="1:12" s="98" customFormat="1" ht="24">
      <c r="A39" s="96" t="s">
        <v>166</v>
      </c>
      <c r="B39" s="100" t="s">
        <v>127</v>
      </c>
      <c r="C39" s="133" t="s">
        <v>127</v>
      </c>
      <c r="D39" s="133" t="s">
        <v>127</v>
      </c>
      <c r="E39" s="133" t="s">
        <v>127</v>
      </c>
      <c r="F39" s="133" t="s">
        <v>127</v>
      </c>
      <c r="G39" s="133" t="s">
        <v>127</v>
      </c>
      <c r="H39" s="133" t="s">
        <v>127</v>
      </c>
      <c r="I39" s="133" t="s">
        <v>127</v>
      </c>
      <c r="J39" s="116"/>
      <c r="K39" s="116"/>
      <c r="L39" s="116"/>
    </row>
  </sheetData>
  <mergeCells count="5">
    <mergeCell ref="C2:D2"/>
    <mergeCell ref="E2:F2"/>
    <mergeCell ref="A2:A3"/>
    <mergeCell ref="B2:B3"/>
    <mergeCell ref="H2:I2"/>
  </mergeCells>
  <phoneticPr fontId="14" type="noConversion"/>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drawing r:id="rId1"/>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workbookViewId="0">
      <selection activeCell="C21" sqref="C21"/>
    </sheetView>
  </sheetViews>
  <sheetFormatPr defaultColWidth="9.42578125" defaultRowHeight="14.25"/>
  <cols>
    <col min="1" max="1" width="10.42578125" style="84" customWidth="1"/>
    <col min="2" max="2" width="29.42578125" style="84" customWidth="1"/>
    <col min="3" max="3" width="43" style="84" customWidth="1"/>
    <col min="4" max="4" width="30" style="85" customWidth="1"/>
    <col min="5" max="5" width="28.28515625" style="85" customWidth="1"/>
    <col min="6" max="6" width="29.28515625" style="85" customWidth="1"/>
    <col min="7" max="7" width="28.28515625" style="85" customWidth="1"/>
    <col min="8" max="8" width="30" style="85" customWidth="1"/>
    <col min="9" max="9" width="28.28515625" style="85" customWidth="1"/>
    <col min="10" max="12" width="31.42578125" style="85" customWidth="1"/>
    <col min="13" max="13" width="17.28515625" style="84" customWidth="1"/>
    <col min="14" max="14" width="18.28515625" style="84" customWidth="1"/>
    <col min="15" max="15" width="27.7109375" style="84" customWidth="1"/>
    <col min="16" max="16384" width="9.42578125" style="84"/>
  </cols>
  <sheetData>
    <row r="1" spans="1:15" ht="45">
      <c r="A1" s="216" t="s">
        <v>41</v>
      </c>
      <c r="B1" s="217"/>
      <c r="C1" s="86" t="s">
        <v>200</v>
      </c>
      <c r="M1" s="118"/>
      <c r="N1" s="118"/>
      <c r="O1"/>
    </row>
    <row r="2" spans="1:15" ht="14.25" customHeight="1">
      <c r="A2" s="216" t="s">
        <v>201</v>
      </c>
      <c r="B2" s="217"/>
      <c r="C2" s="227" t="s">
        <v>168</v>
      </c>
      <c r="D2" s="218" t="s">
        <v>5</v>
      </c>
      <c r="E2" s="219"/>
      <c r="F2" s="218" t="s">
        <v>11</v>
      </c>
      <c r="G2" s="219"/>
      <c r="H2" s="218" t="s">
        <v>14</v>
      </c>
      <c r="I2" s="219"/>
      <c r="J2" s="218" t="s">
        <v>16</v>
      </c>
      <c r="K2" s="219"/>
      <c r="L2" s="87" t="s">
        <v>17</v>
      </c>
      <c r="M2" s="208" t="s">
        <v>19</v>
      </c>
      <c r="N2" s="209"/>
      <c r="O2" s="87" t="s">
        <v>22</v>
      </c>
    </row>
    <row r="3" spans="1:15">
      <c r="A3" s="230"/>
      <c r="B3" s="231"/>
      <c r="C3" s="228"/>
      <c r="D3" s="111" t="s">
        <v>44</v>
      </c>
      <c r="E3" s="112" t="s">
        <v>45</v>
      </c>
      <c r="F3" s="111" t="s">
        <v>44</v>
      </c>
      <c r="G3" s="112" t="s">
        <v>45</v>
      </c>
      <c r="H3" s="111" t="s">
        <v>44</v>
      </c>
      <c r="I3" s="112" t="s">
        <v>45</v>
      </c>
      <c r="J3" s="87" t="s">
        <v>50</v>
      </c>
      <c r="K3" s="87" t="s">
        <v>51</v>
      </c>
      <c r="L3" s="119" t="s">
        <v>45</v>
      </c>
      <c r="M3" s="108" t="s">
        <v>50</v>
      </c>
      <c r="N3" s="108" t="s">
        <v>51</v>
      </c>
      <c r="O3" s="119" t="s">
        <v>45</v>
      </c>
    </row>
    <row r="4" spans="1:15">
      <c r="A4" s="220" t="s">
        <v>202</v>
      </c>
      <c r="B4" s="113" t="s">
        <v>203</v>
      </c>
      <c r="C4" s="94"/>
      <c r="D4" s="90" t="s">
        <v>204</v>
      </c>
      <c r="E4" s="90" t="s">
        <v>204</v>
      </c>
      <c r="F4" s="90" t="s">
        <v>204</v>
      </c>
      <c r="G4" s="90" t="s">
        <v>204</v>
      </c>
      <c r="H4" s="90" t="s">
        <v>204</v>
      </c>
      <c r="I4" s="90" t="s">
        <v>204</v>
      </c>
      <c r="J4" s="90" t="s">
        <v>204</v>
      </c>
      <c r="K4" s="90" t="s">
        <v>204</v>
      </c>
      <c r="L4" s="90" t="s">
        <v>204</v>
      </c>
      <c r="M4" s="120" t="s">
        <v>204</v>
      </c>
      <c r="N4" s="120" t="s">
        <v>204</v>
      </c>
      <c r="O4" s="90" t="s">
        <v>204</v>
      </c>
    </row>
    <row r="5" spans="1:15">
      <c r="A5" s="221"/>
      <c r="B5" s="113" t="s">
        <v>205</v>
      </c>
      <c r="C5" s="94"/>
      <c r="D5" s="114" t="s">
        <v>206</v>
      </c>
      <c r="E5" s="114" t="s">
        <v>206</v>
      </c>
      <c r="F5" s="114" t="s">
        <v>206</v>
      </c>
      <c r="G5" s="114" t="s">
        <v>206</v>
      </c>
      <c r="H5" s="114" t="s">
        <v>206</v>
      </c>
      <c r="I5" s="114" t="s">
        <v>206</v>
      </c>
      <c r="J5" s="114" t="s">
        <v>206</v>
      </c>
      <c r="K5" s="114" t="s">
        <v>206</v>
      </c>
      <c r="L5" s="92" t="s">
        <v>207</v>
      </c>
      <c r="M5" s="121" t="s">
        <v>208</v>
      </c>
      <c r="N5" s="121" t="s">
        <v>208</v>
      </c>
      <c r="O5" s="114" t="s">
        <v>206</v>
      </c>
    </row>
    <row r="6" spans="1:15" ht="72">
      <c r="A6" s="221"/>
      <c r="B6" s="88" t="s">
        <v>209</v>
      </c>
      <c r="C6" s="92"/>
      <c r="D6" s="92" t="s">
        <v>210</v>
      </c>
      <c r="E6" s="115" t="s">
        <v>211</v>
      </c>
      <c r="F6" s="92" t="s">
        <v>212</v>
      </c>
      <c r="G6" s="115" t="s">
        <v>213</v>
      </c>
      <c r="H6" s="92" t="s">
        <v>210</v>
      </c>
      <c r="I6" s="115" t="s">
        <v>214</v>
      </c>
      <c r="J6" s="92" t="s">
        <v>215</v>
      </c>
      <c r="K6" s="92" t="s">
        <v>216</v>
      </c>
      <c r="L6" s="92" t="s">
        <v>217</v>
      </c>
      <c r="M6" s="120" t="s">
        <v>210</v>
      </c>
      <c r="N6" s="121" t="s">
        <v>218</v>
      </c>
      <c r="O6" s="115" t="s">
        <v>214</v>
      </c>
    </row>
    <row r="7" spans="1:15" ht="36">
      <c r="A7" s="221"/>
      <c r="B7" s="88" t="s">
        <v>219</v>
      </c>
      <c r="C7" s="92"/>
      <c r="D7" s="92" t="s">
        <v>220</v>
      </c>
      <c r="E7" s="92" t="s">
        <v>220</v>
      </c>
      <c r="F7" s="92" t="s">
        <v>221</v>
      </c>
      <c r="G7" s="92" t="s">
        <v>221</v>
      </c>
      <c r="H7" s="92" t="s">
        <v>220</v>
      </c>
      <c r="I7" s="92" t="s">
        <v>220</v>
      </c>
      <c r="J7" s="90" t="s">
        <v>222</v>
      </c>
      <c r="K7" s="90" t="s">
        <v>222</v>
      </c>
      <c r="L7" s="92" t="s">
        <v>223</v>
      </c>
      <c r="M7" s="120" t="s">
        <v>220</v>
      </c>
      <c r="N7" s="121" t="s">
        <v>95</v>
      </c>
      <c r="O7" s="92" t="s">
        <v>220</v>
      </c>
    </row>
    <row r="8" spans="1:15">
      <c r="A8" s="221"/>
      <c r="B8" s="88" t="s">
        <v>224</v>
      </c>
      <c r="C8" s="92"/>
      <c r="D8" s="116" t="s">
        <v>225</v>
      </c>
      <c r="E8" s="116" t="s">
        <v>225</v>
      </c>
      <c r="F8" s="116" t="s">
        <v>226</v>
      </c>
      <c r="G8" s="116" t="s">
        <v>226</v>
      </c>
      <c r="H8" s="116" t="s">
        <v>225</v>
      </c>
      <c r="I8" s="116" t="s">
        <v>225</v>
      </c>
      <c r="J8" s="116" t="s">
        <v>225</v>
      </c>
      <c r="K8" s="116" t="s">
        <v>225</v>
      </c>
      <c r="L8" s="116" t="s">
        <v>225</v>
      </c>
      <c r="M8" s="122" t="s">
        <v>225</v>
      </c>
      <c r="N8" s="122" t="s">
        <v>225</v>
      </c>
      <c r="O8" s="116" t="s">
        <v>225</v>
      </c>
    </row>
    <row r="9" spans="1:15" ht="72">
      <c r="A9" s="221"/>
      <c r="B9" s="88" t="s">
        <v>227</v>
      </c>
      <c r="C9" s="92"/>
      <c r="D9" s="92" t="s">
        <v>228</v>
      </c>
      <c r="E9" s="92" t="s">
        <v>228</v>
      </c>
      <c r="F9" s="117" t="s">
        <v>229</v>
      </c>
      <c r="G9" s="117" t="s">
        <v>229</v>
      </c>
      <c r="H9" s="92" t="s">
        <v>228</v>
      </c>
      <c r="I9" s="92" t="s">
        <v>230</v>
      </c>
      <c r="J9" s="123" t="s">
        <v>231</v>
      </c>
      <c r="K9" s="123" t="s">
        <v>232</v>
      </c>
      <c r="L9" s="92" t="s">
        <v>228</v>
      </c>
      <c r="M9" s="120" t="s">
        <v>233</v>
      </c>
      <c r="N9" s="120" t="s">
        <v>233</v>
      </c>
      <c r="O9" s="92" t="s">
        <v>228</v>
      </c>
    </row>
    <row r="10" spans="1:15">
      <c r="A10" s="221"/>
      <c r="B10" s="88" t="s">
        <v>234</v>
      </c>
      <c r="C10" s="92"/>
      <c r="D10" s="116" t="s">
        <v>95</v>
      </c>
      <c r="E10" s="90" t="s">
        <v>204</v>
      </c>
      <c r="F10" s="116" t="s">
        <v>95</v>
      </c>
      <c r="G10" s="116" t="s">
        <v>95</v>
      </c>
      <c r="H10" s="116" t="s">
        <v>95</v>
      </c>
      <c r="I10" s="90" t="s">
        <v>204</v>
      </c>
      <c r="J10" s="116" t="s">
        <v>95</v>
      </c>
      <c r="K10" s="116" t="s">
        <v>235</v>
      </c>
      <c r="L10" s="92" t="s">
        <v>236</v>
      </c>
      <c r="M10" s="122" t="s">
        <v>95</v>
      </c>
      <c r="N10" s="122" t="s">
        <v>204</v>
      </c>
      <c r="O10" s="90" t="s">
        <v>204</v>
      </c>
    </row>
    <row r="11" spans="1:15">
      <c r="A11" s="222"/>
      <c r="B11" s="88" t="s">
        <v>237</v>
      </c>
      <c r="C11" s="92"/>
      <c r="D11" s="90" t="s">
        <v>204</v>
      </c>
      <c r="E11" s="90" t="s">
        <v>204</v>
      </c>
      <c r="F11" s="116" t="s">
        <v>95</v>
      </c>
      <c r="G11" s="116" t="s">
        <v>95</v>
      </c>
      <c r="H11" s="90" t="s">
        <v>204</v>
      </c>
      <c r="I11" s="90" t="s">
        <v>204</v>
      </c>
      <c r="J11" s="90" t="s">
        <v>204</v>
      </c>
      <c r="K11" s="90" t="s">
        <v>204</v>
      </c>
      <c r="L11" s="92" t="s">
        <v>236</v>
      </c>
      <c r="M11" s="120" t="s">
        <v>204</v>
      </c>
      <c r="N11" s="120" t="s">
        <v>204</v>
      </c>
      <c r="O11" s="90" t="s">
        <v>238</v>
      </c>
    </row>
    <row r="12" spans="1:15" ht="43.5" customHeight="1">
      <c r="A12" s="220"/>
      <c r="B12" s="113"/>
      <c r="C12" s="92"/>
      <c r="D12" s="116"/>
      <c r="E12" s="90"/>
      <c r="F12" s="90"/>
      <c r="G12" s="90"/>
      <c r="H12" s="116"/>
      <c r="I12" s="90"/>
      <c r="J12" s="116"/>
      <c r="K12" s="116"/>
      <c r="L12" s="116"/>
      <c r="M12" s="122"/>
      <c r="N12" s="124"/>
      <c r="O12" s="116"/>
    </row>
    <row r="13" spans="1:15">
      <c r="A13" s="221"/>
      <c r="B13" s="113"/>
      <c r="C13" s="92"/>
      <c r="D13" s="116"/>
      <c r="E13" s="90"/>
      <c r="F13" s="116"/>
      <c r="G13" s="90"/>
      <c r="H13" s="116"/>
      <c r="I13" s="90"/>
      <c r="J13" s="116"/>
      <c r="K13" s="116"/>
      <c r="L13" s="116"/>
      <c r="M13" s="122"/>
      <c r="N13" s="124"/>
      <c r="O13" s="116"/>
    </row>
    <row r="14" spans="1:15">
      <c r="A14" s="221"/>
      <c r="B14" s="88"/>
      <c r="C14" s="92"/>
      <c r="D14" s="116"/>
      <c r="E14" s="92"/>
      <c r="F14" s="116"/>
      <c r="G14" s="92"/>
      <c r="H14" s="116"/>
      <c r="I14" s="92"/>
      <c r="J14" s="116"/>
      <c r="K14" s="116"/>
      <c r="L14" s="116"/>
      <c r="M14" s="122"/>
      <c r="N14" s="124"/>
      <c r="O14" s="116"/>
    </row>
    <row r="15" spans="1:15">
      <c r="A15" s="221"/>
      <c r="B15" s="88"/>
      <c r="C15" s="92"/>
      <c r="D15" s="116"/>
      <c r="E15" s="92"/>
      <c r="F15" s="116"/>
      <c r="G15" s="92"/>
      <c r="H15" s="116"/>
      <c r="I15" s="92"/>
      <c r="J15" s="116"/>
      <c r="K15" s="116"/>
      <c r="L15" s="116"/>
      <c r="M15" s="122"/>
      <c r="N15" s="124"/>
      <c r="O15" s="116"/>
    </row>
    <row r="16" spans="1:15">
      <c r="A16" s="221"/>
      <c r="B16" s="88"/>
      <c r="C16" s="92"/>
      <c r="D16" s="116"/>
      <c r="E16" s="92"/>
      <c r="F16" s="116"/>
      <c r="G16" s="92"/>
      <c r="H16" s="116"/>
      <c r="I16" s="92"/>
      <c r="J16" s="116"/>
      <c r="K16" s="116"/>
      <c r="L16" s="116"/>
      <c r="M16" s="122"/>
      <c r="N16" s="124"/>
      <c r="O16" s="116"/>
    </row>
    <row r="17" spans="1:15">
      <c r="A17" s="221"/>
      <c r="B17" s="88"/>
      <c r="C17" s="92"/>
      <c r="D17" s="116"/>
      <c r="E17" s="92"/>
      <c r="F17" s="116"/>
      <c r="G17" s="92"/>
      <c r="H17" s="116"/>
      <c r="I17" s="92"/>
      <c r="J17" s="116"/>
      <c r="K17" s="116"/>
      <c r="L17" s="116"/>
      <c r="M17" s="122"/>
      <c r="N17" s="124"/>
      <c r="O17" s="116"/>
    </row>
    <row r="18" spans="1:15" ht="57.75" customHeight="1">
      <c r="A18" s="221"/>
      <c r="B18" s="88"/>
      <c r="C18" s="96"/>
      <c r="D18" s="116"/>
      <c r="E18" s="92"/>
      <c r="F18" s="116"/>
      <c r="G18" s="117"/>
      <c r="H18" s="116"/>
      <c r="I18" s="92"/>
      <c r="J18" s="116"/>
      <c r="K18" s="116"/>
      <c r="L18" s="116"/>
      <c r="M18" s="122"/>
      <c r="N18" s="124"/>
      <c r="O18" s="116"/>
    </row>
    <row r="19" spans="1:15" ht="38.25" customHeight="1">
      <c r="A19" s="221"/>
      <c r="B19" s="95"/>
      <c r="C19" s="96"/>
      <c r="D19" s="116"/>
      <c r="E19" s="92"/>
      <c r="F19" s="116"/>
      <c r="G19" s="92"/>
      <c r="H19" s="116"/>
      <c r="I19" s="92"/>
      <c r="J19" s="116"/>
      <c r="K19" s="116"/>
      <c r="L19" s="116"/>
      <c r="M19" s="122"/>
      <c r="N19" s="124"/>
      <c r="O19" s="116"/>
    </row>
    <row r="20" spans="1:15" ht="14.25" customHeight="1">
      <c r="A20" s="222"/>
      <c r="B20" s="88"/>
      <c r="C20" s="92"/>
      <c r="D20" s="116"/>
      <c r="E20" s="116"/>
      <c r="F20" s="116"/>
      <c r="G20" s="116"/>
      <c r="H20" s="116"/>
      <c r="I20" s="116"/>
      <c r="J20" s="116"/>
      <c r="K20" s="116"/>
      <c r="L20" s="116"/>
      <c r="M20" s="122"/>
      <c r="N20" s="122"/>
      <c r="O20" s="116"/>
    </row>
    <row r="21" spans="1:15">
      <c r="A21" s="94"/>
      <c r="B21" s="88"/>
      <c r="C21" s="92"/>
      <c r="D21" s="116"/>
      <c r="E21" s="93"/>
      <c r="F21" s="116"/>
      <c r="G21" s="93"/>
      <c r="H21" s="116"/>
      <c r="I21" s="93"/>
      <c r="J21" s="93"/>
      <c r="K21" s="93"/>
      <c r="L21" s="93"/>
      <c r="O21" s="93"/>
    </row>
    <row r="22" spans="1:15">
      <c r="A22" s="94"/>
      <c r="B22" s="88"/>
      <c r="C22" s="92"/>
      <c r="D22" s="116"/>
      <c r="E22" s="93"/>
      <c r="F22" s="116"/>
      <c r="G22" s="93"/>
      <c r="H22" s="116"/>
      <c r="I22" s="93"/>
      <c r="J22" s="93"/>
      <c r="K22" s="93"/>
      <c r="L22" s="93"/>
      <c r="O22" s="93"/>
    </row>
    <row r="23" spans="1:15">
      <c r="A23" s="94"/>
      <c r="B23" s="88"/>
      <c r="C23" s="92"/>
      <c r="D23" s="116"/>
      <c r="E23" s="93"/>
      <c r="F23" s="116"/>
      <c r="G23" s="93"/>
      <c r="H23" s="116"/>
      <c r="I23" s="93"/>
      <c r="J23" s="93"/>
      <c r="K23" s="93"/>
      <c r="L23" s="93"/>
      <c r="O23" s="93"/>
    </row>
    <row r="24" spans="1:15" ht="24.75" customHeight="1">
      <c r="A24" s="94"/>
      <c r="B24" s="97"/>
      <c r="C24" s="92"/>
      <c r="D24" s="116"/>
      <c r="E24" s="93"/>
      <c r="F24" s="116"/>
      <c r="G24" s="93"/>
      <c r="H24" s="116"/>
      <c r="I24" s="93"/>
      <c r="J24" s="93"/>
      <c r="K24" s="93"/>
      <c r="L24" s="93"/>
      <c r="O24" s="93"/>
    </row>
    <row r="25" spans="1:15">
      <c r="A25" s="94"/>
      <c r="B25" s="98"/>
      <c r="C25" s="98"/>
      <c r="D25" s="116"/>
      <c r="E25" s="93"/>
      <c r="F25" s="116"/>
      <c r="G25" s="93"/>
      <c r="H25" s="116"/>
      <c r="I25" s="93"/>
      <c r="J25" s="93"/>
      <c r="K25" s="93"/>
      <c r="L25" s="93"/>
      <c r="O25" s="93"/>
    </row>
    <row r="26" spans="1:15">
      <c r="A26" s="94"/>
      <c r="B26" s="99"/>
      <c r="C26" s="100"/>
      <c r="D26" s="116"/>
      <c r="E26" s="93"/>
      <c r="F26" s="116"/>
      <c r="G26" s="93"/>
      <c r="H26" s="116"/>
      <c r="I26" s="93"/>
      <c r="J26" s="93"/>
      <c r="K26" s="93"/>
      <c r="L26" s="93"/>
      <c r="O26" s="93"/>
    </row>
    <row r="27" spans="1:15">
      <c r="A27" s="94"/>
      <c r="B27" s="101"/>
      <c r="C27" s="100"/>
      <c r="D27" s="116"/>
      <c r="E27" s="93"/>
      <c r="F27" s="116"/>
      <c r="G27" s="93"/>
      <c r="H27" s="116"/>
      <c r="I27" s="93"/>
      <c r="J27" s="93"/>
      <c r="K27" s="93"/>
      <c r="L27" s="93"/>
      <c r="O27" s="93"/>
    </row>
    <row r="28" spans="1:15">
      <c r="A28" s="94"/>
      <c r="B28" s="101"/>
      <c r="C28" s="100"/>
      <c r="D28" s="116"/>
      <c r="E28" s="93"/>
      <c r="F28" s="116"/>
      <c r="G28" s="93"/>
      <c r="H28" s="116"/>
      <c r="I28" s="93"/>
      <c r="J28" s="93"/>
      <c r="K28" s="93"/>
      <c r="L28" s="93"/>
      <c r="O28" s="93"/>
    </row>
    <row r="29" spans="1:15">
      <c r="A29" s="94"/>
      <c r="B29" s="101"/>
      <c r="C29" s="100"/>
      <c r="D29" s="116"/>
      <c r="E29" s="93"/>
      <c r="F29" s="116"/>
      <c r="G29" s="93"/>
      <c r="H29" s="116"/>
      <c r="I29" s="93"/>
      <c r="J29" s="93"/>
      <c r="K29" s="93"/>
      <c r="L29" s="93"/>
      <c r="O29" s="93"/>
    </row>
    <row r="30" spans="1:15">
      <c r="A30" s="94"/>
      <c r="B30" s="101"/>
      <c r="C30" s="100"/>
      <c r="D30" s="116"/>
      <c r="E30" s="93"/>
      <c r="F30" s="116"/>
      <c r="G30" s="93"/>
      <c r="H30" s="116"/>
      <c r="I30" s="93"/>
      <c r="J30" s="93"/>
      <c r="K30" s="93"/>
      <c r="L30" s="93"/>
      <c r="O30" s="93"/>
    </row>
    <row r="31" spans="1:15">
      <c r="A31" s="94"/>
      <c r="B31" s="101"/>
      <c r="C31" s="103"/>
      <c r="D31" s="116"/>
      <c r="E31" s="93"/>
      <c r="F31" s="116"/>
      <c r="G31" s="93"/>
      <c r="H31" s="116"/>
      <c r="I31" s="93"/>
      <c r="J31" s="93"/>
      <c r="K31" s="93"/>
      <c r="L31" s="93"/>
      <c r="O31" s="93"/>
    </row>
    <row r="32" spans="1:15">
      <c r="A32" s="94"/>
      <c r="B32" s="95"/>
      <c r="C32" s="100"/>
      <c r="D32" s="116"/>
      <c r="E32" s="93"/>
      <c r="F32" s="116"/>
      <c r="G32" s="93"/>
      <c r="H32" s="116"/>
      <c r="I32" s="93"/>
      <c r="J32" s="93"/>
      <c r="K32" s="93"/>
      <c r="L32" s="93"/>
      <c r="O32" s="93"/>
    </row>
    <row r="33" spans="1:15">
      <c r="A33" s="94"/>
      <c r="B33" s="223"/>
      <c r="C33" s="100"/>
      <c r="D33" s="116"/>
      <c r="E33" s="93"/>
      <c r="F33" s="116"/>
      <c r="G33" s="93"/>
      <c r="H33" s="116"/>
      <c r="I33" s="93"/>
      <c r="J33" s="93"/>
      <c r="K33" s="93"/>
      <c r="L33" s="93"/>
      <c r="O33" s="93"/>
    </row>
    <row r="34" spans="1:15">
      <c r="A34" s="94"/>
      <c r="B34" s="223"/>
      <c r="C34" s="100"/>
      <c r="D34" s="116"/>
      <c r="E34" s="93"/>
      <c r="F34" s="116"/>
      <c r="G34" s="93"/>
      <c r="H34" s="116"/>
      <c r="I34" s="93"/>
      <c r="J34" s="93"/>
      <c r="K34" s="93"/>
      <c r="L34" s="93"/>
      <c r="O34" s="93"/>
    </row>
    <row r="35" spans="1:15">
      <c r="A35" s="94"/>
      <c r="B35" s="101"/>
      <c r="C35" s="100"/>
      <c r="D35" s="116"/>
      <c r="E35" s="93"/>
      <c r="F35" s="116"/>
      <c r="G35" s="93"/>
      <c r="H35" s="116"/>
      <c r="I35" s="93"/>
      <c r="J35" s="93"/>
      <c r="K35" s="93"/>
      <c r="L35" s="93"/>
      <c r="O35" s="93"/>
    </row>
    <row r="36" spans="1:15">
      <c r="B36" s="102"/>
      <c r="C36" s="104"/>
      <c r="D36" s="116"/>
      <c r="E36" s="93"/>
      <c r="F36" s="116"/>
      <c r="G36" s="93"/>
      <c r="H36" s="116"/>
      <c r="I36" s="93"/>
      <c r="J36" s="93"/>
      <c r="K36" s="93"/>
      <c r="L36" s="93"/>
      <c r="O36" s="93"/>
    </row>
    <row r="37" spans="1:15">
      <c r="B37" s="102"/>
      <c r="C37" s="100"/>
      <c r="D37" s="116"/>
      <c r="E37" s="93"/>
      <c r="F37" s="116"/>
      <c r="G37" s="93"/>
      <c r="H37" s="116"/>
      <c r="I37" s="93"/>
      <c r="J37" s="93"/>
      <c r="K37" s="93"/>
      <c r="L37" s="93"/>
      <c r="O37" s="93"/>
    </row>
    <row r="38" spans="1:15">
      <c r="B38" s="102"/>
      <c r="C38" s="100"/>
      <c r="D38" s="116"/>
      <c r="E38" s="93"/>
      <c r="F38" s="116"/>
      <c r="G38" s="93"/>
      <c r="H38" s="116"/>
      <c r="I38" s="93"/>
      <c r="J38" s="93"/>
      <c r="K38" s="93"/>
      <c r="L38" s="93"/>
      <c r="O38" s="93"/>
    </row>
    <row r="39" spans="1:15">
      <c r="B39" s="224"/>
      <c r="C39" s="229"/>
      <c r="D39" s="116"/>
      <c r="E39" s="93"/>
      <c r="F39" s="116"/>
      <c r="G39" s="93"/>
      <c r="H39" s="116"/>
      <c r="I39" s="93"/>
      <c r="J39" s="93"/>
      <c r="K39" s="93"/>
      <c r="L39" s="93"/>
      <c r="O39" s="93"/>
    </row>
    <row r="40" spans="1:15">
      <c r="B40" s="224"/>
      <c r="C40" s="229"/>
      <c r="D40" s="116"/>
      <c r="E40" s="93"/>
      <c r="F40" s="116"/>
      <c r="G40" s="93"/>
      <c r="H40" s="116"/>
      <c r="I40" s="93"/>
      <c r="J40" s="93"/>
      <c r="K40" s="93"/>
      <c r="L40" s="93"/>
      <c r="O40" s="93"/>
    </row>
    <row r="41" spans="1:15">
      <c r="B41" s="102"/>
      <c r="C41" s="100"/>
      <c r="D41" s="116"/>
      <c r="E41" s="93"/>
      <c r="F41" s="116"/>
      <c r="G41" s="93"/>
      <c r="H41" s="116"/>
      <c r="I41" s="93"/>
      <c r="J41" s="93"/>
      <c r="K41" s="93"/>
      <c r="L41" s="93"/>
      <c r="O41" s="93"/>
    </row>
    <row r="42" spans="1:15">
      <c r="B42" s="102"/>
      <c r="C42" s="100"/>
      <c r="D42" s="116"/>
      <c r="E42" s="93"/>
      <c r="F42" s="116"/>
      <c r="G42" s="93"/>
      <c r="H42" s="116"/>
      <c r="I42" s="93"/>
      <c r="J42" s="93"/>
      <c r="K42" s="93"/>
      <c r="L42" s="93"/>
      <c r="O42" s="93"/>
    </row>
    <row r="43" spans="1:15">
      <c r="B43" s="102"/>
      <c r="C43" s="100"/>
      <c r="D43" s="116"/>
      <c r="E43" s="93"/>
      <c r="F43" s="116"/>
      <c r="G43" s="93"/>
      <c r="H43" s="116"/>
      <c r="I43" s="93"/>
      <c r="J43" s="93"/>
      <c r="K43" s="93"/>
      <c r="L43" s="93"/>
      <c r="O43" s="93"/>
    </row>
    <row r="44" spans="1:15">
      <c r="B44" s="102"/>
      <c r="C44" s="105"/>
      <c r="D44" s="116"/>
      <c r="E44" s="93"/>
      <c r="F44" s="116"/>
      <c r="G44" s="93"/>
      <c r="H44" s="116"/>
      <c r="I44" s="93"/>
      <c r="J44" s="93"/>
      <c r="K44" s="93"/>
      <c r="L44" s="93"/>
      <c r="O44" s="93"/>
    </row>
    <row r="45" spans="1:15">
      <c r="B45" s="102"/>
      <c r="C45" s="103"/>
      <c r="D45" s="116"/>
      <c r="E45" s="93"/>
      <c r="F45" s="116"/>
      <c r="G45" s="93"/>
      <c r="H45" s="116"/>
      <c r="I45" s="93"/>
      <c r="J45" s="93"/>
      <c r="K45" s="93"/>
      <c r="L45" s="93"/>
      <c r="O45" s="93"/>
    </row>
    <row r="46" spans="1:15">
      <c r="B46" s="102"/>
      <c r="C46" s="106"/>
      <c r="D46" s="116"/>
      <c r="E46" s="93"/>
      <c r="F46" s="116"/>
      <c r="G46" s="93"/>
      <c r="H46" s="116"/>
      <c r="I46" s="93"/>
      <c r="J46" s="93"/>
      <c r="K46" s="93"/>
      <c r="L46" s="93"/>
      <c r="O46" s="93"/>
    </row>
    <row r="47" spans="1:15">
      <c r="B47" s="102"/>
      <c r="C47" s="104"/>
      <c r="D47" s="116"/>
      <c r="E47" s="93"/>
      <c r="F47" s="116"/>
      <c r="G47" s="93"/>
      <c r="H47" s="116"/>
      <c r="I47" s="93"/>
      <c r="J47" s="93"/>
      <c r="K47" s="93"/>
      <c r="L47" s="93"/>
      <c r="O47" s="93"/>
    </row>
    <row r="48" spans="1:15">
      <c r="B48" s="102"/>
      <c r="C48" s="100"/>
      <c r="D48" s="116"/>
      <c r="E48" s="93"/>
      <c r="F48" s="116"/>
      <c r="G48" s="93"/>
      <c r="H48" s="116"/>
      <c r="I48" s="93"/>
      <c r="J48" s="93"/>
      <c r="K48" s="93"/>
      <c r="L48" s="93"/>
      <c r="O48" s="93"/>
    </row>
    <row r="49" spans="2:15">
      <c r="B49" s="224"/>
      <c r="C49" s="100"/>
      <c r="D49" s="116"/>
      <c r="E49" s="93"/>
      <c r="F49" s="116"/>
      <c r="G49" s="93"/>
      <c r="H49" s="116"/>
      <c r="I49" s="93"/>
      <c r="J49" s="93"/>
      <c r="K49" s="93"/>
      <c r="L49" s="93"/>
      <c r="O49" s="93"/>
    </row>
    <row r="50" spans="2:15">
      <c r="B50" s="224"/>
      <c r="C50" s="100"/>
      <c r="D50" s="116"/>
      <c r="E50" s="93"/>
      <c r="F50" s="116"/>
      <c r="G50" s="93"/>
      <c r="H50" s="116"/>
      <c r="I50" s="93"/>
      <c r="J50" s="93"/>
      <c r="K50" s="93"/>
      <c r="L50" s="93"/>
      <c r="O50" s="93"/>
    </row>
    <row r="51" spans="2:15">
      <c r="B51" s="224"/>
      <c r="C51" s="100"/>
      <c r="D51" s="116"/>
      <c r="E51" s="93"/>
      <c r="F51" s="116"/>
      <c r="G51" s="93"/>
      <c r="H51" s="116"/>
      <c r="I51" s="93"/>
      <c r="J51" s="93"/>
      <c r="K51" s="93"/>
      <c r="L51" s="93"/>
      <c r="O51" s="93"/>
    </row>
    <row r="52" spans="2:15">
      <c r="B52" s="224"/>
      <c r="C52" s="100"/>
      <c r="D52" s="116"/>
      <c r="E52" s="93"/>
      <c r="F52" s="116"/>
      <c r="G52" s="93"/>
      <c r="H52" s="116"/>
      <c r="I52" s="93"/>
      <c r="J52" s="93"/>
      <c r="K52" s="93"/>
      <c r="L52" s="93"/>
      <c r="O52" s="93"/>
    </row>
    <row r="53" spans="2:15">
      <c r="B53" s="225"/>
      <c r="C53" s="229"/>
      <c r="D53" s="116"/>
      <c r="E53" s="93"/>
      <c r="F53" s="116"/>
      <c r="G53" s="93"/>
      <c r="H53" s="116"/>
      <c r="I53" s="93"/>
      <c r="J53" s="93"/>
      <c r="K53" s="93"/>
      <c r="L53" s="93"/>
      <c r="O53" s="93"/>
    </row>
    <row r="54" spans="2:15">
      <c r="B54" s="225"/>
      <c r="C54" s="229"/>
      <c r="D54" s="116"/>
      <c r="E54" s="93"/>
      <c r="F54" s="116"/>
      <c r="G54" s="93"/>
      <c r="H54" s="116"/>
      <c r="I54" s="93"/>
      <c r="J54" s="93"/>
      <c r="K54" s="93"/>
      <c r="L54" s="93"/>
      <c r="O54" s="93"/>
    </row>
    <row r="55" spans="2:15">
      <c r="B55" s="96"/>
      <c r="C55" s="100"/>
      <c r="D55" s="116"/>
      <c r="E55" s="93"/>
      <c r="F55" s="116"/>
      <c r="G55" s="93"/>
      <c r="H55" s="116"/>
      <c r="I55" s="93"/>
      <c r="J55" s="93"/>
      <c r="K55" s="93"/>
      <c r="L55" s="93"/>
      <c r="O55" s="93"/>
    </row>
    <row r="56" spans="2:15">
      <c r="B56" s="96"/>
      <c r="C56" s="100"/>
      <c r="D56" s="116"/>
      <c r="E56" s="93"/>
      <c r="F56" s="116"/>
      <c r="G56" s="93"/>
      <c r="H56" s="116"/>
      <c r="I56" s="93"/>
      <c r="J56" s="93"/>
      <c r="K56" s="93"/>
      <c r="L56" s="93"/>
      <c r="O56" s="93"/>
    </row>
    <row r="57" spans="2:15">
      <c r="B57" s="96"/>
      <c r="C57" s="100"/>
      <c r="D57" s="116"/>
      <c r="E57" s="93"/>
      <c r="F57" s="116"/>
      <c r="G57" s="93"/>
      <c r="H57" s="116"/>
      <c r="I57" s="93"/>
      <c r="J57" s="93"/>
      <c r="K57" s="93"/>
      <c r="L57" s="93"/>
      <c r="O57" s="93"/>
    </row>
    <row r="58" spans="2:15">
      <c r="B58" s="96"/>
      <c r="C58" s="104"/>
      <c r="D58" s="116"/>
      <c r="E58" s="93"/>
      <c r="F58" s="116"/>
      <c r="G58" s="93"/>
      <c r="H58" s="116"/>
      <c r="I58" s="93"/>
      <c r="J58" s="93"/>
      <c r="K58" s="93"/>
      <c r="L58" s="93"/>
      <c r="O58" s="93"/>
    </row>
    <row r="59" spans="2:15" ht="14.25" customHeight="1">
      <c r="B59" s="226"/>
      <c r="C59" s="229"/>
      <c r="D59" s="116"/>
      <c r="E59" s="93"/>
      <c r="F59" s="116"/>
      <c r="G59" s="93"/>
      <c r="H59" s="116"/>
      <c r="I59" s="93"/>
      <c r="J59" s="93"/>
      <c r="K59" s="93"/>
      <c r="L59" s="93"/>
      <c r="O59" s="93"/>
    </row>
    <row r="60" spans="2:15">
      <c r="B60" s="226"/>
      <c r="C60" s="229"/>
      <c r="D60" s="116"/>
      <c r="E60" s="93"/>
      <c r="F60" s="116"/>
      <c r="G60" s="93"/>
      <c r="H60" s="116"/>
      <c r="I60" s="93"/>
      <c r="J60" s="93"/>
      <c r="K60" s="93"/>
      <c r="L60" s="93"/>
      <c r="O60" s="93"/>
    </row>
    <row r="61" spans="2:15">
      <c r="B61" s="96"/>
      <c r="C61" s="100"/>
      <c r="D61" s="116"/>
      <c r="E61" s="93"/>
      <c r="F61" s="116"/>
      <c r="G61" s="93"/>
      <c r="H61" s="116"/>
      <c r="I61" s="93"/>
      <c r="J61" s="93"/>
      <c r="K61" s="93"/>
      <c r="L61" s="93"/>
      <c r="O61" s="93"/>
    </row>
    <row r="62" spans="2:15">
      <c r="B62" s="96"/>
      <c r="C62" s="100"/>
      <c r="D62" s="116"/>
      <c r="E62" s="93"/>
      <c r="F62" s="116"/>
      <c r="G62" s="93"/>
      <c r="H62" s="116"/>
      <c r="I62" s="93"/>
      <c r="J62" s="93"/>
      <c r="K62" s="93"/>
      <c r="L62" s="93"/>
      <c r="O62" s="93"/>
    </row>
    <row r="63" spans="2:15">
      <c r="B63" s="96"/>
      <c r="C63" s="100"/>
      <c r="D63" s="116"/>
      <c r="E63" s="93"/>
      <c r="F63" s="116"/>
      <c r="G63" s="93"/>
      <c r="H63" s="116"/>
      <c r="I63" s="93"/>
      <c r="J63" s="93"/>
      <c r="K63" s="93"/>
      <c r="L63" s="93"/>
      <c r="O63" s="93"/>
    </row>
    <row r="64" spans="2:15">
      <c r="B64" s="96"/>
      <c r="C64" s="100"/>
      <c r="D64" s="116"/>
      <c r="E64" s="93"/>
      <c r="F64" s="116"/>
      <c r="G64" s="93"/>
      <c r="H64" s="116"/>
      <c r="I64" s="93"/>
      <c r="J64" s="93"/>
      <c r="K64" s="93"/>
      <c r="L64" s="93"/>
      <c r="O64" s="93"/>
    </row>
    <row r="65" spans="2:15">
      <c r="B65" s="96"/>
      <c r="C65" s="100"/>
      <c r="D65" s="116"/>
      <c r="E65" s="93"/>
      <c r="F65" s="116"/>
      <c r="G65" s="93"/>
      <c r="H65" s="116"/>
      <c r="I65" s="93"/>
      <c r="J65" s="93"/>
      <c r="K65" s="93"/>
      <c r="L65" s="93"/>
      <c r="O65" s="93"/>
    </row>
    <row r="66" spans="2:15">
      <c r="B66" s="96"/>
      <c r="C66" s="100"/>
      <c r="D66" s="116"/>
      <c r="E66" s="93"/>
      <c r="F66" s="116"/>
      <c r="G66" s="93"/>
      <c r="H66" s="116"/>
      <c r="I66" s="93"/>
      <c r="J66" s="93"/>
      <c r="K66" s="93"/>
      <c r="L66" s="93"/>
      <c r="O66" s="93"/>
    </row>
    <row r="67" spans="2:15">
      <c r="B67" s="96"/>
      <c r="C67" s="100"/>
      <c r="D67" s="116"/>
      <c r="E67" s="93"/>
      <c r="F67" s="116"/>
      <c r="G67" s="93"/>
      <c r="H67" s="116"/>
      <c r="I67" s="93"/>
      <c r="J67" s="93"/>
      <c r="K67" s="93"/>
      <c r="L67" s="93"/>
      <c r="O67" s="93"/>
    </row>
    <row r="68" spans="2:15">
      <c r="B68" s="96"/>
      <c r="C68" s="100"/>
      <c r="D68" s="116"/>
      <c r="E68" s="93"/>
      <c r="F68" s="125"/>
      <c r="H68" s="116"/>
      <c r="I68" s="93"/>
      <c r="J68" s="93"/>
      <c r="K68" s="93"/>
      <c r="L68" s="93"/>
      <c r="O68" s="93"/>
    </row>
    <row r="69" spans="2:15">
      <c r="B69" s="96"/>
      <c r="C69" s="104"/>
      <c r="D69" s="125"/>
      <c r="H69" s="125"/>
      <c r="O69"/>
    </row>
  </sheetData>
  <mergeCells count="18">
    <mergeCell ref="B49:B52"/>
    <mergeCell ref="B53:B54"/>
    <mergeCell ref="B59:B60"/>
    <mergeCell ref="C2:C3"/>
    <mergeCell ref="C39:C40"/>
    <mergeCell ref="C53:C54"/>
    <mergeCell ref="C59:C60"/>
    <mergeCell ref="A2:B3"/>
    <mergeCell ref="M2:N2"/>
    <mergeCell ref="A4:A11"/>
    <mergeCell ref="A12:A20"/>
    <mergeCell ref="B33:B34"/>
    <mergeCell ref="B39:B40"/>
    <mergeCell ref="A1:B1"/>
    <mergeCell ref="D2:E2"/>
    <mergeCell ref="F2:G2"/>
    <mergeCell ref="H2:I2"/>
    <mergeCell ref="J2:K2"/>
  </mergeCells>
  <phoneticPr fontId="14" type="noConversion"/>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drawing r:id="rId1"/>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4"/>
  <sheetViews>
    <sheetView topLeftCell="E1" workbookViewId="0">
      <selection activeCell="I2" sqref="I2:J3"/>
    </sheetView>
  </sheetViews>
  <sheetFormatPr defaultColWidth="9.42578125" defaultRowHeight="14.25"/>
  <cols>
    <col min="1" max="1" width="10.42578125" style="84" customWidth="1"/>
    <col min="2" max="2" width="29.42578125" style="84" customWidth="1"/>
    <col min="3" max="3" width="43" style="84" customWidth="1"/>
    <col min="4" max="7" width="31.42578125" style="85" customWidth="1"/>
    <col min="8" max="8" width="31.5703125" style="85" customWidth="1"/>
    <col min="9" max="15" width="31.42578125" style="85" customWidth="1"/>
    <col min="16" max="16384" width="9.42578125" style="84"/>
  </cols>
  <sheetData>
    <row r="1" spans="1:15" ht="45">
      <c r="A1" s="216" t="s">
        <v>41</v>
      </c>
      <c r="B1" s="217"/>
      <c r="C1" s="86" t="s">
        <v>200</v>
      </c>
    </row>
    <row r="2" spans="1:15" ht="14.25" customHeight="1">
      <c r="A2" s="216" t="s">
        <v>201</v>
      </c>
      <c r="B2" s="217"/>
      <c r="C2" s="227" t="s">
        <v>168</v>
      </c>
      <c r="D2" s="218" t="s">
        <v>5</v>
      </c>
      <c r="E2" s="219"/>
      <c r="F2" s="218" t="s">
        <v>11</v>
      </c>
      <c r="G2" s="219"/>
      <c r="H2" s="108" t="s">
        <v>19</v>
      </c>
      <c r="I2" s="233" t="s">
        <v>395</v>
      </c>
      <c r="J2" s="234"/>
      <c r="K2" s="107"/>
      <c r="L2" s="107"/>
      <c r="M2" s="107"/>
      <c r="N2" s="107"/>
      <c r="O2" s="107"/>
    </row>
    <row r="3" spans="1:15">
      <c r="A3" s="230"/>
      <c r="B3" s="231"/>
      <c r="C3" s="232"/>
      <c r="D3" s="87" t="s">
        <v>50</v>
      </c>
      <c r="E3" s="87" t="s">
        <v>51</v>
      </c>
      <c r="F3" s="87" t="s">
        <v>50</v>
      </c>
      <c r="G3" s="87" t="s">
        <v>51</v>
      </c>
      <c r="H3" s="108" t="s">
        <v>51</v>
      </c>
      <c r="I3" s="203" t="s">
        <v>396</v>
      </c>
      <c r="J3" s="203" t="s">
        <v>397</v>
      </c>
      <c r="K3" s="107"/>
      <c r="L3" s="107"/>
      <c r="M3" s="107"/>
      <c r="N3" s="107"/>
      <c r="O3" s="107"/>
    </row>
    <row r="4" spans="1:15" ht="51">
      <c r="A4" s="220" t="s">
        <v>202</v>
      </c>
      <c r="B4" s="88" t="s">
        <v>239</v>
      </c>
      <c r="D4" s="89" t="s">
        <v>240</v>
      </c>
      <c r="E4" s="90" t="s">
        <v>241</v>
      </c>
      <c r="F4" s="89" t="s">
        <v>242</v>
      </c>
      <c r="G4" s="89" t="s">
        <v>243</v>
      </c>
      <c r="H4" s="109" t="s">
        <v>244</v>
      </c>
      <c r="I4" s="110" t="s">
        <v>390</v>
      </c>
      <c r="J4" s="110" t="s">
        <v>391</v>
      </c>
      <c r="K4" s="93"/>
      <c r="L4" s="93"/>
      <c r="M4" s="93"/>
      <c r="N4" s="93"/>
      <c r="O4" s="93"/>
    </row>
    <row r="5" spans="1:15" ht="36">
      <c r="A5" s="221"/>
      <c r="B5" s="88" t="s">
        <v>224</v>
      </c>
      <c r="C5" s="92"/>
      <c r="D5" s="90" t="s">
        <v>245</v>
      </c>
      <c r="E5" s="90" t="s">
        <v>246</v>
      </c>
      <c r="F5" s="90" t="s">
        <v>247</v>
      </c>
      <c r="G5" s="90" t="s">
        <v>247</v>
      </c>
      <c r="H5" s="109" t="s">
        <v>248</v>
      </c>
      <c r="I5" s="110" t="s">
        <v>392</v>
      </c>
      <c r="J5" s="110" t="s">
        <v>393</v>
      </c>
      <c r="K5" s="93"/>
      <c r="L5" s="93"/>
      <c r="M5" s="93"/>
      <c r="N5" s="93"/>
      <c r="O5" s="93"/>
    </row>
    <row r="6" spans="1:15">
      <c r="A6" s="222"/>
      <c r="B6" s="88" t="s">
        <v>237</v>
      </c>
      <c r="C6" s="92"/>
      <c r="D6" s="89" t="s">
        <v>249</v>
      </c>
      <c r="E6" s="89" t="s">
        <v>249</v>
      </c>
      <c r="F6" s="89" t="s">
        <v>250</v>
      </c>
      <c r="G6" s="89" t="s">
        <v>250</v>
      </c>
      <c r="H6" s="110" t="s">
        <v>250</v>
      </c>
      <c r="I6" s="110" t="s">
        <v>394</v>
      </c>
      <c r="J6" s="110" t="s">
        <v>394</v>
      </c>
      <c r="K6" s="93"/>
      <c r="L6" s="93"/>
      <c r="M6" s="93"/>
      <c r="N6" s="93"/>
      <c r="O6" s="93"/>
    </row>
    <row r="7" spans="1:15">
      <c r="A7" s="220"/>
      <c r="B7" s="88"/>
      <c r="C7" s="92"/>
      <c r="D7" s="93"/>
      <c r="E7" s="90"/>
      <c r="F7" s="93"/>
      <c r="G7" s="89"/>
      <c r="H7" s="109"/>
      <c r="I7" s="93"/>
      <c r="J7" s="93"/>
      <c r="K7" s="93"/>
      <c r="L7" s="93"/>
      <c r="M7" s="93"/>
      <c r="N7" s="93"/>
      <c r="O7" s="93"/>
    </row>
    <row r="8" spans="1:15">
      <c r="A8" s="221"/>
      <c r="B8" s="88"/>
      <c r="C8" s="92"/>
      <c r="D8" s="93"/>
      <c r="E8" s="90"/>
      <c r="F8" s="93"/>
      <c r="G8" s="90"/>
      <c r="H8" s="109"/>
      <c r="I8" s="93"/>
      <c r="J8" s="93"/>
      <c r="K8" s="93"/>
      <c r="L8" s="93"/>
      <c r="M8" s="93"/>
      <c r="N8" s="93"/>
      <c r="O8" s="93"/>
    </row>
    <row r="9" spans="1:15" ht="26.25" customHeight="1">
      <c r="A9" s="221"/>
      <c r="B9" s="88"/>
      <c r="C9" s="92"/>
      <c r="D9" s="93"/>
      <c r="E9" s="90"/>
      <c r="F9" s="93"/>
      <c r="G9" s="90"/>
      <c r="H9" s="109"/>
      <c r="I9" s="93"/>
      <c r="J9" s="93"/>
      <c r="K9" s="93"/>
      <c r="L9" s="93"/>
      <c r="M9" s="93"/>
      <c r="N9" s="93"/>
      <c r="O9" s="93"/>
    </row>
    <row r="10" spans="1:15">
      <c r="A10" s="222"/>
      <c r="B10" s="88"/>
      <c r="C10" s="92"/>
      <c r="D10" s="93"/>
      <c r="E10" s="90"/>
      <c r="F10" s="93"/>
      <c r="G10" s="90"/>
      <c r="H10" s="109"/>
      <c r="I10" s="93"/>
      <c r="J10" s="93"/>
      <c r="K10" s="93"/>
      <c r="L10" s="93"/>
      <c r="M10" s="93"/>
      <c r="N10" s="93"/>
      <c r="O10" s="93"/>
    </row>
    <row r="11" spans="1:15">
      <c r="A11" s="94"/>
      <c r="B11" s="88"/>
      <c r="C11" s="92"/>
      <c r="D11" s="93"/>
      <c r="E11" s="93"/>
      <c r="F11" s="93"/>
      <c r="G11" s="93"/>
      <c r="H11" s="93"/>
      <c r="I11" s="93"/>
      <c r="J11" s="93"/>
      <c r="K11" s="93"/>
      <c r="L11" s="93"/>
      <c r="M11" s="93"/>
      <c r="N11" s="93"/>
      <c r="O11" s="93"/>
    </row>
    <row r="12" spans="1:15">
      <c r="A12" s="94"/>
      <c r="B12" s="88"/>
      <c r="C12" s="92"/>
      <c r="D12" s="93"/>
      <c r="E12" s="93"/>
      <c r="F12" s="93"/>
      <c r="G12" s="93"/>
      <c r="H12" s="93"/>
      <c r="I12" s="93"/>
      <c r="J12" s="93"/>
      <c r="K12" s="93"/>
      <c r="L12" s="93"/>
      <c r="M12" s="93"/>
      <c r="N12" s="93"/>
      <c r="O12" s="93"/>
    </row>
    <row r="13" spans="1:15">
      <c r="A13" s="94"/>
      <c r="B13" s="88"/>
      <c r="C13" s="92"/>
      <c r="D13" s="93"/>
      <c r="E13" s="93"/>
      <c r="F13" s="93"/>
      <c r="G13" s="93"/>
      <c r="H13" s="93"/>
      <c r="I13" s="93"/>
      <c r="J13" s="93"/>
      <c r="K13" s="93"/>
      <c r="L13" s="93"/>
      <c r="M13" s="93"/>
      <c r="N13" s="93"/>
      <c r="O13" s="93"/>
    </row>
    <row r="14" spans="1:15" ht="60" customHeight="1">
      <c r="A14" s="94"/>
      <c r="B14" s="95"/>
      <c r="C14" s="96"/>
      <c r="D14" s="93"/>
      <c r="E14" s="93"/>
      <c r="F14" s="93"/>
      <c r="G14" s="93"/>
      <c r="H14" s="93"/>
      <c r="I14" s="93"/>
      <c r="J14" s="93"/>
      <c r="K14" s="93"/>
      <c r="L14" s="93"/>
      <c r="M14" s="93"/>
      <c r="N14" s="93"/>
      <c r="O14" s="93"/>
    </row>
    <row r="15" spans="1:15" ht="58.5" customHeight="1">
      <c r="A15" s="94"/>
      <c r="B15" s="95"/>
      <c r="C15" s="96"/>
      <c r="D15" s="93"/>
      <c r="E15" s="93"/>
      <c r="F15" s="93"/>
      <c r="G15" s="93"/>
      <c r="H15" s="93"/>
      <c r="I15" s="93"/>
      <c r="J15" s="93"/>
      <c r="K15" s="93"/>
      <c r="L15" s="93"/>
      <c r="M15" s="93"/>
      <c r="N15" s="93"/>
      <c r="O15" s="93"/>
    </row>
    <row r="16" spans="1:15">
      <c r="A16" s="94"/>
      <c r="B16" s="88"/>
      <c r="C16" s="92"/>
      <c r="D16" s="93"/>
      <c r="E16" s="93"/>
      <c r="F16" s="93"/>
      <c r="G16" s="93"/>
      <c r="H16" s="93"/>
      <c r="I16" s="93"/>
      <c r="J16" s="93"/>
      <c r="K16" s="93"/>
      <c r="L16" s="93"/>
      <c r="M16" s="93"/>
      <c r="N16" s="93"/>
      <c r="O16" s="93"/>
    </row>
    <row r="17" spans="1:15">
      <c r="A17" s="94"/>
      <c r="B17" s="88"/>
      <c r="C17" s="92"/>
      <c r="D17" s="93"/>
      <c r="E17" s="93"/>
      <c r="F17" s="93"/>
      <c r="G17" s="93"/>
      <c r="H17" s="93"/>
      <c r="I17" s="93"/>
      <c r="J17" s="93"/>
      <c r="K17" s="93"/>
      <c r="L17" s="93"/>
      <c r="M17" s="93"/>
      <c r="N17" s="93"/>
      <c r="O17" s="93"/>
    </row>
    <row r="18" spans="1:15">
      <c r="A18" s="94"/>
      <c r="B18" s="88"/>
      <c r="C18" s="92"/>
      <c r="D18" s="93"/>
      <c r="E18" s="93"/>
      <c r="F18" s="93"/>
      <c r="G18" s="93"/>
      <c r="H18" s="93"/>
      <c r="I18" s="93"/>
      <c r="J18" s="93"/>
      <c r="K18" s="93"/>
      <c r="L18" s="93"/>
      <c r="M18" s="93"/>
      <c r="N18" s="93"/>
      <c r="O18" s="93"/>
    </row>
    <row r="19" spans="1:15" ht="24.75" customHeight="1">
      <c r="A19" s="94"/>
      <c r="B19" s="97"/>
      <c r="C19" s="92"/>
      <c r="D19" s="93"/>
      <c r="E19" s="93"/>
      <c r="F19" s="93"/>
      <c r="G19" s="93"/>
      <c r="H19" s="93"/>
      <c r="I19" s="93"/>
      <c r="J19" s="93"/>
      <c r="K19" s="93"/>
      <c r="L19" s="93"/>
      <c r="M19" s="93"/>
      <c r="N19" s="93"/>
      <c r="O19" s="93"/>
    </row>
    <row r="20" spans="1:15">
      <c r="A20" s="94"/>
      <c r="B20" s="98"/>
      <c r="C20" s="98"/>
      <c r="D20" s="93"/>
      <c r="E20" s="93"/>
      <c r="F20" s="93"/>
      <c r="G20" s="93"/>
      <c r="H20" s="93"/>
      <c r="I20" s="93"/>
      <c r="J20" s="93"/>
      <c r="K20" s="93"/>
      <c r="L20" s="93"/>
      <c r="M20" s="93"/>
      <c r="N20" s="93"/>
      <c r="O20" s="93"/>
    </row>
    <row r="21" spans="1:15">
      <c r="A21" s="94"/>
      <c r="B21" s="99"/>
      <c r="C21" s="100"/>
      <c r="D21" s="93"/>
      <c r="E21" s="93"/>
      <c r="F21" s="93"/>
      <c r="G21" s="93"/>
      <c r="H21" s="93"/>
      <c r="I21" s="93"/>
      <c r="J21" s="93"/>
      <c r="K21" s="93"/>
      <c r="L21" s="93"/>
      <c r="M21" s="93"/>
      <c r="N21" s="93"/>
      <c r="O21" s="93"/>
    </row>
    <row r="22" spans="1:15">
      <c r="A22" s="94"/>
      <c r="B22" s="101"/>
      <c r="C22" s="100"/>
      <c r="D22" s="93"/>
      <c r="E22" s="93"/>
      <c r="F22" s="93"/>
      <c r="G22" s="93"/>
      <c r="H22" s="93"/>
      <c r="I22" s="93"/>
      <c r="J22" s="93"/>
      <c r="K22" s="93"/>
      <c r="L22" s="93"/>
      <c r="M22" s="93"/>
      <c r="N22" s="93"/>
      <c r="O22" s="93"/>
    </row>
    <row r="23" spans="1:15">
      <c r="A23" s="94"/>
      <c r="B23" s="101"/>
      <c r="C23" s="100"/>
      <c r="D23" s="93"/>
      <c r="E23" s="93"/>
      <c r="F23" s="93"/>
      <c r="G23" s="93"/>
      <c r="H23" s="93"/>
      <c r="I23" s="93"/>
      <c r="J23" s="93"/>
      <c r="K23" s="93"/>
      <c r="L23" s="93"/>
      <c r="M23" s="93"/>
      <c r="N23" s="93"/>
      <c r="O23" s="93"/>
    </row>
    <row r="24" spans="1:15">
      <c r="A24" s="94"/>
      <c r="B24" s="101"/>
      <c r="C24" s="100"/>
      <c r="D24" s="93"/>
      <c r="E24" s="93"/>
      <c r="F24" s="93"/>
      <c r="G24" s="93"/>
      <c r="H24" s="93"/>
      <c r="I24" s="93"/>
      <c r="J24" s="93"/>
      <c r="K24" s="93"/>
      <c r="L24" s="93"/>
      <c r="M24" s="93"/>
      <c r="N24" s="93"/>
      <c r="O24" s="93"/>
    </row>
    <row r="25" spans="1:15">
      <c r="B25" s="102"/>
      <c r="C25" s="100"/>
      <c r="D25" s="93"/>
      <c r="E25" s="93"/>
      <c r="F25" s="93"/>
      <c r="G25" s="93"/>
      <c r="H25" s="93"/>
      <c r="I25" s="93"/>
      <c r="J25" s="93"/>
      <c r="K25" s="93"/>
      <c r="L25" s="93"/>
      <c r="M25" s="93"/>
      <c r="N25" s="93"/>
      <c r="O25" s="93"/>
    </row>
    <row r="26" spans="1:15">
      <c r="B26" s="102"/>
      <c r="C26" s="103"/>
      <c r="D26" s="93"/>
      <c r="E26" s="93"/>
      <c r="F26" s="93"/>
      <c r="G26" s="93"/>
      <c r="H26" s="93"/>
      <c r="I26" s="93"/>
      <c r="J26" s="93"/>
      <c r="K26" s="93"/>
      <c r="L26" s="93"/>
      <c r="M26" s="93"/>
      <c r="N26" s="93"/>
      <c r="O26" s="93"/>
    </row>
    <row r="27" spans="1:15">
      <c r="B27" s="96"/>
      <c r="C27" s="100"/>
      <c r="D27" s="93"/>
      <c r="E27" s="93"/>
      <c r="F27" s="93"/>
      <c r="G27" s="93"/>
      <c r="H27" s="93"/>
      <c r="I27" s="93"/>
      <c r="J27" s="93"/>
      <c r="K27" s="93"/>
      <c r="L27" s="93"/>
      <c r="M27" s="93"/>
      <c r="N27" s="93"/>
      <c r="O27" s="93"/>
    </row>
    <row r="28" spans="1:15">
      <c r="B28" s="224"/>
      <c r="C28" s="100"/>
      <c r="D28" s="93"/>
      <c r="E28" s="93"/>
      <c r="F28" s="93"/>
      <c r="G28" s="93"/>
      <c r="H28" s="93"/>
      <c r="I28" s="93"/>
      <c r="J28" s="93"/>
      <c r="K28" s="93"/>
      <c r="L28" s="93"/>
      <c r="M28" s="93"/>
      <c r="N28" s="93"/>
      <c r="O28" s="93"/>
    </row>
    <row r="29" spans="1:15">
      <c r="B29" s="224"/>
      <c r="C29" s="100"/>
      <c r="D29" s="93"/>
      <c r="E29" s="93"/>
      <c r="F29" s="93"/>
      <c r="G29" s="93"/>
      <c r="H29" s="93"/>
      <c r="I29" s="93"/>
      <c r="J29" s="93"/>
      <c r="K29" s="93"/>
      <c r="L29" s="93"/>
      <c r="M29" s="93"/>
      <c r="N29" s="93"/>
      <c r="O29" s="93"/>
    </row>
    <row r="30" spans="1:15">
      <c r="B30" s="102"/>
      <c r="C30" s="100"/>
      <c r="D30" s="93"/>
      <c r="E30" s="93"/>
      <c r="F30" s="93"/>
      <c r="G30" s="93"/>
      <c r="H30" s="93"/>
      <c r="I30" s="93"/>
      <c r="J30" s="93"/>
      <c r="K30" s="93"/>
      <c r="L30" s="93"/>
      <c r="M30" s="93"/>
      <c r="N30" s="93"/>
      <c r="O30" s="93"/>
    </row>
    <row r="31" spans="1:15">
      <c r="B31" s="102"/>
      <c r="C31" s="104"/>
      <c r="D31" s="93"/>
      <c r="E31" s="93"/>
      <c r="F31" s="93"/>
      <c r="G31" s="93"/>
      <c r="H31" s="93"/>
      <c r="I31" s="93"/>
      <c r="J31" s="93"/>
      <c r="K31" s="93"/>
      <c r="L31" s="93"/>
      <c r="M31" s="93"/>
      <c r="N31" s="93"/>
      <c r="O31" s="93"/>
    </row>
    <row r="32" spans="1:15">
      <c r="B32" s="102"/>
      <c r="C32" s="100"/>
      <c r="D32" s="93"/>
      <c r="E32" s="93"/>
      <c r="F32" s="93"/>
      <c r="G32" s="93"/>
      <c r="H32" s="93"/>
      <c r="I32" s="93"/>
      <c r="J32" s="93"/>
      <c r="K32" s="93"/>
      <c r="L32" s="93"/>
      <c r="M32" s="93"/>
      <c r="N32" s="93"/>
      <c r="O32" s="93"/>
    </row>
    <row r="33" spans="2:15">
      <c r="B33" s="102"/>
      <c r="C33" s="100"/>
      <c r="D33" s="93"/>
      <c r="E33" s="93"/>
      <c r="F33" s="93"/>
      <c r="G33" s="93"/>
      <c r="H33" s="93"/>
      <c r="I33" s="93"/>
      <c r="J33" s="93"/>
      <c r="K33" s="93"/>
      <c r="L33" s="93"/>
      <c r="M33" s="93"/>
      <c r="N33" s="93"/>
      <c r="O33" s="93"/>
    </row>
    <row r="34" spans="2:15">
      <c r="B34" s="224"/>
      <c r="C34" s="229"/>
      <c r="D34" s="93"/>
      <c r="E34" s="93"/>
      <c r="F34" s="93"/>
      <c r="G34" s="93"/>
      <c r="H34" s="93"/>
      <c r="I34" s="93"/>
      <c r="J34" s="93"/>
      <c r="K34" s="93"/>
      <c r="L34" s="93"/>
      <c r="M34" s="93"/>
      <c r="N34" s="93"/>
      <c r="O34" s="93"/>
    </row>
    <row r="35" spans="2:15">
      <c r="B35" s="224"/>
      <c r="C35" s="229"/>
      <c r="D35" s="93"/>
      <c r="E35" s="93"/>
      <c r="F35" s="93"/>
      <c r="G35" s="93"/>
      <c r="H35" s="93"/>
      <c r="I35" s="93"/>
      <c r="J35" s="93"/>
      <c r="K35" s="93"/>
      <c r="L35" s="93"/>
      <c r="M35" s="93"/>
      <c r="N35" s="93"/>
      <c r="O35" s="93"/>
    </row>
    <row r="36" spans="2:15">
      <c r="B36" s="102"/>
      <c r="C36" s="100"/>
      <c r="D36" s="93"/>
      <c r="E36" s="93"/>
      <c r="F36" s="93"/>
      <c r="G36" s="93"/>
      <c r="H36" s="93"/>
      <c r="I36" s="93"/>
      <c r="J36" s="93"/>
      <c r="K36" s="93"/>
      <c r="L36" s="93"/>
      <c r="M36" s="93"/>
      <c r="N36" s="93"/>
      <c r="O36" s="93"/>
    </row>
    <row r="37" spans="2:15">
      <c r="B37" s="102"/>
      <c r="C37" s="100"/>
      <c r="D37" s="93"/>
      <c r="E37" s="93"/>
      <c r="F37" s="93"/>
      <c r="G37" s="93"/>
      <c r="H37" s="93"/>
      <c r="I37" s="93"/>
      <c r="J37" s="93"/>
      <c r="K37" s="93"/>
      <c r="L37" s="93"/>
      <c r="M37" s="93"/>
      <c r="N37" s="93"/>
      <c r="O37" s="93"/>
    </row>
    <row r="38" spans="2:15">
      <c r="B38" s="102"/>
      <c r="C38" s="100"/>
      <c r="D38" s="93"/>
      <c r="E38" s="93"/>
      <c r="F38" s="93"/>
      <c r="G38" s="93"/>
      <c r="H38" s="93"/>
      <c r="I38" s="93"/>
      <c r="J38" s="93"/>
      <c r="K38" s="93"/>
      <c r="L38" s="93"/>
      <c r="M38" s="93"/>
      <c r="N38" s="93"/>
      <c r="O38" s="93"/>
    </row>
    <row r="39" spans="2:15">
      <c r="B39" s="102"/>
      <c r="C39" s="105"/>
      <c r="D39" s="93"/>
      <c r="E39" s="93"/>
      <c r="F39" s="93"/>
      <c r="G39" s="93"/>
      <c r="H39" s="93"/>
      <c r="I39" s="93"/>
      <c r="J39" s="93"/>
      <c r="K39" s="93"/>
      <c r="L39" s="93"/>
      <c r="M39" s="93"/>
      <c r="N39" s="93"/>
      <c r="O39" s="93"/>
    </row>
    <row r="40" spans="2:15">
      <c r="B40" s="102"/>
      <c r="C40" s="103"/>
      <c r="D40" s="93"/>
      <c r="E40" s="93"/>
      <c r="F40" s="93"/>
      <c r="G40" s="93"/>
      <c r="H40" s="93"/>
      <c r="I40" s="93"/>
      <c r="J40" s="93"/>
      <c r="K40" s="93"/>
      <c r="L40" s="93"/>
      <c r="M40" s="93"/>
      <c r="N40" s="93"/>
      <c r="O40" s="93"/>
    </row>
    <row r="41" spans="2:15">
      <c r="B41" s="102"/>
      <c r="C41" s="106"/>
      <c r="D41" s="93"/>
      <c r="E41" s="93"/>
      <c r="F41" s="93"/>
      <c r="G41" s="93"/>
      <c r="H41" s="93"/>
      <c r="I41" s="93"/>
      <c r="J41" s="93"/>
      <c r="K41" s="93"/>
      <c r="L41" s="93"/>
      <c r="M41" s="93"/>
      <c r="N41" s="93"/>
      <c r="O41" s="93"/>
    </row>
    <row r="42" spans="2:15">
      <c r="B42" s="102"/>
      <c r="C42" s="104"/>
      <c r="D42" s="93"/>
      <c r="E42" s="93"/>
      <c r="F42" s="93"/>
      <c r="G42" s="93"/>
      <c r="H42" s="93"/>
      <c r="I42" s="93"/>
      <c r="J42" s="93"/>
      <c r="K42" s="93"/>
      <c r="L42" s="93"/>
      <c r="M42" s="93"/>
      <c r="N42" s="93"/>
      <c r="O42" s="93"/>
    </row>
    <row r="43" spans="2:15">
      <c r="B43" s="102"/>
      <c r="C43" s="100"/>
      <c r="D43" s="93"/>
      <c r="E43" s="93"/>
      <c r="F43" s="93"/>
      <c r="G43" s="93"/>
      <c r="H43" s="93"/>
      <c r="I43" s="93"/>
      <c r="J43" s="93"/>
      <c r="K43" s="93"/>
      <c r="L43" s="93"/>
      <c r="M43" s="93"/>
      <c r="N43" s="93"/>
      <c r="O43" s="93"/>
    </row>
    <row r="44" spans="2:15">
      <c r="B44" s="224"/>
      <c r="C44" s="100"/>
      <c r="D44" s="93"/>
      <c r="E44" s="93"/>
      <c r="F44" s="93"/>
      <c r="G44" s="93"/>
      <c r="H44" s="93"/>
      <c r="I44" s="93"/>
      <c r="J44" s="93"/>
      <c r="K44" s="93"/>
      <c r="L44" s="93"/>
      <c r="M44" s="93"/>
      <c r="N44" s="93"/>
      <c r="O44" s="93"/>
    </row>
    <row r="45" spans="2:15">
      <c r="B45" s="224"/>
      <c r="C45" s="100"/>
      <c r="D45" s="93"/>
      <c r="E45" s="93"/>
      <c r="F45" s="93"/>
      <c r="G45" s="93"/>
      <c r="H45" s="93"/>
      <c r="I45" s="93"/>
      <c r="J45" s="93"/>
      <c r="K45" s="93"/>
      <c r="L45" s="93"/>
      <c r="M45" s="93"/>
      <c r="N45" s="93"/>
      <c r="O45" s="93"/>
    </row>
    <row r="46" spans="2:15">
      <c r="B46" s="224"/>
      <c r="C46" s="100"/>
      <c r="D46" s="93"/>
      <c r="E46" s="93"/>
      <c r="F46" s="93"/>
      <c r="G46" s="93"/>
      <c r="H46" s="93"/>
      <c r="I46" s="93"/>
      <c r="J46" s="93"/>
      <c r="K46" s="93"/>
      <c r="L46" s="93"/>
      <c r="M46" s="93"/>
      <c r="N46" s="93"/>
      <c r="O46" s="93"/>
    </row>
    <row r="47" spans="2:15">
      <c r="B47" s="224"/>
      <c r="C47" s="100"/>
      <c r="D47" s="93"/>
      <c r="E47" s="93"/>
      <c r="F47" s="93"/>
      <c r="G47" s="93"/>
      <c r="H47" s="93"/>
      <c r="I47" s="93"/>
      <c r="J47" s="93"/>
      <c r="K47" s="93"/>
      <c r="L47" s="93"/>
      <c r="M47" s="93"/>
      <c r="N47" s="93"/>
      <c r="O47" s="93"/>
    </row>
    <row r="48" spans="2:15">
      <c r="B48" s="225"/>
      <c r="C48" s="229"/>
      <c r="D48" s="93"/>
      <c r="E48" s="93"/>
      <c r="F48" s="93"/>
      <c r="G48" s="93"/>
      <c r="H48" s="93"/>
      <c r="I48" s="93"/>
      <c r="J48" s="93"/>
      <c r="K48" s="93"/>
      <c r="L48" s="93"/>
      <c r="M48" s="93"/>
      <c r="N48" s="93"/>
      <c r="O48" s="93"/>
    </row>
    <row r="49" spans="2:15">
      <c r="B49" s="225"/>
      <c r="C49" s="229"/>
      <c r="D49" s="93"/>
      <c r="E49" s="93"/>
      <c r="F49" s="93"/>
      <c r="G49" s="93"/>
      <c r="H49" s="93"/>
      <c r="I49" s="93"/>
      <c r="J49" s="93"/>
      <c r="K49" s="93"/>
      <c r="L49" s="93"/>
      <c r="M49" s="93"/>
      <c r="N49" s="93"/>
      <c r="O49" s="93"/>
    </row>
    <row r="50" spans="2:15">
      <c r="B50" s="96"/>
      <c r="C50" s="100"/>
      <c r="D50" s="93"/>
      <c r="E50" s="93"/>
      <c r="F50" s="93"/>
      <c r="G50" s="93"/>
      <c r="H50" s="93"/>
      <c r="I50" s="93"/>
      <c r="J50" s="93"/>
      <c r="K50" s="93"/>
      <c r="L50" s="93"/>
      <c r="M50" s="93"/>
      <c r="N50" s="93"/>
      <c r="O50" s="93"/>
    </row>
    <row r="51" spans="2:15">
      <c r="B51" s="96"/>
      <c r="C51" s="100"/>
      <c r="D51" s="93"/>
      <c r="E51" s="93"/>
      <c r="F51" s="93"/>
      <c r="G51" s="93"/>
      <c r="H51" s="93"/>
      <c r="I51" s="93"/>
      <c r="J51" s="93"/>
      <c r="K51" s="93"/>
      <c r="L51" s="93"/>
      <c r="M51" s="93"/>
      <c r="N51" s="93"/>
      <c r="O51" s="93"/>
    </row>
    <row r="52" spans="2:15">
      <c r="B52" s="96"/>
      <c r="C52" s="100"/>
      <c r="D52" s="93"/>
      <c r="E52" s="93"/>
      <c r="F52" s="93"/>
      <c r="G52" s="93"/>
      <c r="H52" s="93"/>
      <c r="I52" s="93"/>
      <c r="J52" s="93"/>
      <c r="K52" s="93"/>
      <c r="L52" s="93"/>
      <c r="M52" s="93"/>
      <c r="N52" s="93"/>
      <c r="O52" s="93"/>
    </row>
    <row r="53" spans="2:15">
      <c r="B53" s="96"/>
      <c r="C53" s="104"/>
      <c r="D53" s="93"/>
      <c r="E53" s="93"/>
      <c r="F53" s="93"/>
      <c r="G53" s="93"/>
      <c r="H53" s="93"/>
      <c r="I53" s="93"/>
      <c r="J53" s="93"/>
      <c r="K53" s="93"/>
      <c r="L53" s="93"/>
      <c r="M53" s="93"/>
      <c r="N53" s="93"/>
      <c r="O53" s="93"/>
    </row>
    <row r="54" spans="2:15" ht="14.25" customHeight="1">
      <c r="B54" s="226"/>
      <c r="C54" s="229"/>
      <c r="D54" s="93"/>
      <c r="E54" s="93"/>
      <c r="F54" s="93"/>
      <c r="G54" s="93"/>
      <c r="H54" s="93"/>
      <c r="I54" s="93"/>
      <c r="J54" s="93"/>
      <c r="K54" s="93"/>
      <c r="L54" s="93"/>
      <c r="M54" s="93"/>
      <c r="N54" s="93"/>
      <c r="O54" s="93"/>
    </row>
    <row r="55" spans="2:15">
      <c r="B55" s="226"/>
      <c r="C55" s="229"/>
      <c r="D55" s="93"/>
      <c r="E55" s="93"/>
      <c r="F55" s="93"/>
      <c r="G55" s="93"/>
      <c r="H55" s="93"/>
      <c r="I55" s="93"/>
      <c r="J55" s="93"/>
      <c r="K55" s="93"/>
      <c r="L55" s="93"/>
      <c r="M55" s="93"/>
      <c r="N55" s="93"/>
      <c r="O55" s="93"/>
    </row>
    <row r="56" spans="2:15">
      <c r="B56" s="96"/>
      <c r="C56" s="100"/>
      <c r="D56" s="93"/>
      <c r="E56" s="93"/>
      <c r="F56" s="93"/>
      <c r="G56" s="93"/>
      <c r="H56" s="93"/>
      <c r="I56" s="93"/>
      <c r="J56" s="93"/>
      <c r="K56" s="93"/>
      <c r="L56" s="93"/>
      <c r="M56" s="93"/>
      <c r="N56" s="93"/>
      <c r="O56" s="93"/>
    </row>
    <row r="57" spans="2:15">
      <c r="B57" s="96"/>
      <c r="C57" s="100"/>
      <c r="D57" s="93"/>
      <c r="E57" s="93"/>
      <c r="F57" s="93"/>
      <c r="G57" s="93"/>
      <c r="H57" s="93"/>
      <c r="I57" s="93"/>
      <c r="J57" s="93"/>
      <c r="K57" s="93"/>
      <c r="L57" s="93"/>
      <c r="M57" s="93"/>
      <c r="N57" s="93"/>
      <c r="O57" s="93"/>
    </row>
    <row r="58" spans="2:15">
      <c r="B58" s="96"/>
      <c r="C58" s="100"/>
      <c r="D58" s="93"/>
      <c r="E58" s="93"/>
      <c r="F58" s="93"/>
      <c r="G58" s="93"/>
      <c r="H58" s="93"/>
      <c r="I58" s="93"/>
      <c r="J58" s="93"/>
      <c r="K58" s="93"/>
      <c r="L58" s="93"/>
      <c r="M58" s="93"/>
      <c r="N58" s="93"/>
      <c r="O58" s="93"/>
    </row>
    <row r="59" spans="2:15">
      <c r="B59" s="96"/>
      <c r="C59" s="100"/>
      <c r="D59" s="93"/>
      <c r="E59" s="93"/>
      <c r="F59" s="93"/>
      <c r="G59" s="93"/>
      <c r="H59" s="93"/>
      <c r="I59" s="93"/>
      <c r="J59" s="93"/>
      <c r="K59" s="93"/>
      <c r="L59" s="93"/>
      <c r="M59" s="93"/>
      <c r="N59" s="93"/>
      <c r="O59" s="93"/>
    </row>
    <row r="60" spans="2:15">
      <c r="B60" s="96"/>
      <c r="C60" s="100"/>
      <c r="D60" s="93"/>
      <c r="E60" s="93"/>
      <c r="F60" s="93"/>
      <c r="G60" s="93"/>
      <c r="H60" s="93"/>
      <c r="I60" s="93"/>
      <c r="J60" s="93"/>
      <c r="K60" s="93"/>
      <c r="L60" s="93"/>
      <c r="M60" s="93"/>
      <c r="N60" s="93"/>
      <c r="O60" s="93"/>
    </row>
    <row r="61" spans="2:15">
      <c r="B61" s="96"/>
      <c r="C61" s="100"/>
      <c r="D61" s="93"/>
      <c r="E61" s="93"/>
      <c r="F61" s="93"/>
      <c r="G61" s="93"/>
      <c r="H61" s="93"/>
      <c r="I61" s="93"/>
      <c r="J61" s="93"/>
      <c r="K61" s="93"/>
      <c r="L61" s="93"/>
      <c r="M61" s="93"/>
      <c r="N61" s="93"/>
      <c r="O61" s="93"/>
    </row>
    <row r="62" spans="2:15">
      <c r="B62" s="96"/>
      <c r="C62" s="100"/>
      <c r="D62" s="93"/>
      <c r="E62" s="93"/>
      <c r="F62" s="93"/>
      <c r="G62" s="93"/>
      <c r="H62" s="93"/>
      <c r="I62" s="93"/>
      <c r="J62" s="93"/>
      <c r="K62" s="93"/>
      <c r="L62" s="93"/>
      <c r="M62" s="93"/>
      <c r="N62" s="93"/>
      <c r="O62" s="93"/>
    </row>
    <row r="63" spans="2:15">
      <c r="B63" s="96"/>
      <c r="C63" s="100"/>
      <c r="D63" s="93"/>
      <c r="E63" s="93"/>
      <c r="F63" s="93"/>
      <c r="G63" s="93"/>
      <c r="H63" s="93"/>
      <c r="I63" s="93"/>
      <c r="J63" s="93"/>
      <c r="K63" s="93"/>
      <c r="L63" s="93"/>
      <c r="M63" s="93"/>
      <c r="N63" s="93"/>
      <c r="O63" s="93"/>
    </row>
    <row r="64" spans="2:15">
      <c r="B64" s="96"/>
      <c r="C64" s="104"/>
    </row>
  </sheetData>
  <mergeCells count="16">
    <mergeCell ref="I2:J2"/>
    <mergeCell ref="C34:C35"/>
    <mergeCell ref="C48:C49"/>
    <mergeCell ref="C54:C55"/>
    <mergeCell ref="A2:B3"/>
    <mergeCell ref="B28:B29"/>
    <mergeCell ref="B34:B35"/>
    <mergeCell ref="B44:B47"/>
    <mergeCell ref="B48:B49"/>
    <mergeCell ref="B54:B55"/>
    <mergeCell ref="A1:B1"/>
    <mergeCell ref="D2:E2"/>
    <mergeCell ref="F2:G2"/>
    <mergeCell ref="A4:A6"/>
    <mergeCell ref="A7:A10"/>
    <mergeCell ref="C2:C3"/>
  </mergeCells>
  <phoneticPr fontId="14" type="noConversion"/>
  <pageMargins left="0.74791666666666701" right="0.74791666666666701" top="0.98402777777777795" bottom="0.98402777777777795" header="0.51180555555555596" footer="0.51180555555555596"/>
  <pageSetup paperSize="9" orientation="portrait"/>
  <headerFooter alignWithMargins="0">
    <oddHeader>&amp;L&amp;G&amp;C&amp;F&amp;R文档密级</oddHeader>
    <oddFooter>&amp;L&amp;D&amp;C华为保密信息,未经授权禁止扩散&amp;R第&amp;P页，共&amp;N页</oddFooter>
  </headerFooter>
  <drawing r:id="rId1"/>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6"/>
  <sheetViews>
    <sheetView topLeftCell="A7" zoomScale="85" zoomScaleNormal="85" workbookViewId="0">
      <selection activeCell="D17" sqref="D17"/>
    </sheetView>
  </sheetViews>
  <sheetFormatPr defaultColWidth="8.85546875" defaultRowHeight="12.75"/>
  <cols>
    <col min="1" max="1" width="10.28515625" customWidth="1"/>
    <col min="2" max="2" width="39" customWidth="1"/>
    <col min="3" max="3" width="22.42578125" customWidth="1"/>
    <col min="4" max="4" width="23.28515625" style="35" customWidth="1"/>
    <col min="5" max="5" width="15.28515625" style="35" customWidth="1"/>
    <col min="6" max="6" width="15.42578125" style="35" customWidth="1"/>
    <col min="7" max="10" width="8.85546875" style="35"/>
    <col min="11" max="11" width="11.140625" style="35" customWidth="1"/>
    <col min="12" max="12" width="11.28515625" customWidth="1"/>
    <col min="13" max="13" width="16" style="35" customWidth="1"/>
    <col min="14" max="14" width="13.85546875" style="35" customWidth="1"/>
    <col min="15" max="15" width="14.42578125" style="65" customWidth="1"/>
    <col min="16" max="16" width="10.140625" style="35" customWidth="1"/>
    <col min="17" max="17" width="13.5703125" style="35" customWidth="1"/>
    <col min="18" max="18" width="14" style="65" customWidth="1"/>
    <col min="19" max="19" width="15.28515625" customWidth="1"/>
    <col min="20" max="20" width="10.5703125" style="35" customWidth="1"/>
    <col min="21" max="21" width="14.42578125" customWidth="1"/>
    <col min="22" max="22" width="11.140625" customWidth="1"/>
    <col min="23" max="23" width="12.42578125" customWidth="1"/>
    <col min="24" max="24" width="12.7109375" customWidth="1"/>
    <col min="25" max="25" width="11.7109375" customWidth="1"/>
    <col min="26" max="26" width="10.5703125" customWidth="1"/>
    <col min="27" max="27" width="11.85546875" customWidth="1"/>
    <col min="28" max="28" width="12" customWidth="1"/>
    <col min="29" max="29" width="12.28515625" customWidth="1"/>
  </cols>
  <sheetData>
    <row r="1" spans="1:27" ht="57.75" customHeight="1">
      <c r="B1" s="235" t="s">
        <v>251</v>
      </c>
      <c r="C1" s="235"/>
      <c r="D1" s="235"/>
      <c r="E1" s="235"/>
      <c r="F1" s="235"/>
      <c r="G1" s="235"/>
      <c r="H1" s="235"/>
      <c r="I1" s="235"/>
      <c r="J1" s="235"/>
    </row>
    <row r="2" spans="1:27" ht="15">
      <c r="B2" s="50" t="s">
        <v>252</v>
      </c>
      <c r="C2" s="50"/>
    </row>
    <row r="3" spans="1:27" ht="15">
      <c r="B3" s="50" t="s">
        <v>253</v>
      </c>
      <c r="C3" s="50"/>
      <c r="D3" s="35" t="s">
        <v>254</v>
      </c>
      <c r="E3" s="35" t="s">
        <v>255</v>
      </c>
      <c r="F3" s="35" t="s">
        <v>256</v>
      </c>
    </row>
    <row r="4" spans="1:27" ht="15">
      <c r="B4" s="50" t="s">
        <v>257</v>
      </c>
      <c r="D4" s="35">
        <v>10</v>
      </c>
      <c r="E4" s="35">
        <v>20</v>
      </c>
      <c r="F4" s="35">
        <v>40</v>
      </c>
    </row>
    <row r="5" spans="1:27" ht="15">
      <c r="B5" s="50" t="s">
        <v>258</v>
      </c>
      <c r="C5" s="50"/>
      <c r="D5" s="35">
        <f>52</f>
        <v>52</v>
      </c>
      <c r="E5" s="35">
        <v>106</v>
      </c>
      <c r="F5" s="35">
        <v>216</v>
      </c>
    </row>
    <row r="6" spans="1:27" ht="15">
      <c r="B6" s="50" t="s">
        <v>259</v>
      </c>
      <c r="D6" s="71">
        <v>6.4000000000000001E-2</v>
      </c>
      <c r="E6" s="71">
        <v>4.5999999999999999E-2</v>
      </c>
      <c r="F6" s="71">
        <v>2.8000000000000001E-2</v>
      </c>
    </row>
    <row r="7" spans="1:27" ht="64.5" customHeight="1">
      <c r="B7" s="38"/>
      <c r="C7" s="38" t="s">
        <v>260</v>
      </c>
      <c r="D7" s="38"/>
      <c r="E7" s="38" t="s">
        <v>224</v>
      </c>
      <c r="F7" s="38" t="s">
        <v>261</v>
      </c>
      <c r="G7" s="38" t="s">
        <v>262</v>
      </c>
      <c r="H7" s="38" t="s">
        <v>227</v>
      </c>
      <c r="I7" s="38" t="s">
        <v>205</v>
      </c>
      <c r="J7" s="38" t="s">
        <v>203</v>
      </c>
      <c r="K7" s="38"/>
      <c r="L7" s="38"/>
      <c r="M7" s="51" t="s">
        <v>263</v>
      </c>
      <c r="N7" s="51" t="s">
        <v>264</v>
      </c>
      <c r="O7" s="51" t="s">
        <v>265</v>
      </c>
      <c r="P7" s="52" t="s">
        <v>266</v>
      </c>
      <c r="Q7" s="52" t="s">
        <v>267</v>
      </c>
      <c r="R7" s="63" t="s">
        <v>268</v>
      </c>
      <c r="S7" s="64" t="s">
        <v>269</v>
      </c>
      <c r="T7" s="52" t="s">
        <v>270</v>
      </c>
      <c r="U7" s="52" t="s">
        <v>271</v>
      </c>
      <c r="V7" s="63" t="s">
        <v>272</v>
      </c>
      <c r="W7" s="64" t="s">
        <v>273</v>
      </c>
      <c r="X7" s="52" t="s">
        <v>274</v>
      </c>
      <c r="Y7" s="52" t="s">
        <v>275</v>
      </c>
      <c r="Z7" s="63" t="s">
        <v>276</v>
      </c>
      <c r="AA7" s="64" t="s">
        <v>277</v>
      </c>
    </row>
    <row r="8" spans="1:27">
      <c r="A8">
        <v>1</v>
      </c>
      <c r="B8" s="43" t="s">
        <v>11</v>
      </c>
      <c r="C8" s="43" t="s">
        <v>278</v>
      </c>
      <c r="D8" s="43"/>
      <c r="E8" s="43">
        <f>2*12*D5*10</f>
        <v>12480</v>
      </c>
      <c r="F8" s="43">
        <f>32*D5</f>
        <v>1664</v>
      </c>
      <c r="G8" s="43">
        <f>4*D5</f>
        <v>208</v>
      </c>
      <c r="H8" s="43">
        <f>4*3*D5*10/80</f>
        <v>78</v>
      </c>
      <c r="I8" s="43">
        <f>4*240*1/2</f>
        <v>480</v>
      </c>
      <c r="J8" s="43">
        <f>2*12*D5*10</f>
        <v>12480</v>
      </c>
      <c r="K8" s="43"/>
      <c r="L8" s="34"/>
      <c r="M8" s="43">
        <f>12*14*D5*10</f>
        <v>87360</v>
      </c>
      <c r="N8" s="43">
        <f>SUM(E8:J8)</f>
        <v>27390</v>
      </c>
      <c r="O8" s="76">
        <f>100*N8/M8</f>
        <v>31.353021978021978</v>
      </c>
      <c r="P8" s="43">
        <v>87360</v>
      </c>
      <c r="Q8" s="43">
        <v>27390</v>
      </c>
      <c r="R8" s="76">
        <v>31.353021978021999</v>
      </c>
      <c r="S8" s="65">
        <f t="shared" ref="S8:S11" si="0">(1-R8/100)/(1-O8/100)</f>
        <v>0.99999999999999967</v>
      </c>
      <c r="T8" s="35">
        <f t="shared" ref="T8:T11" si="1">P8*$E$5/$D$5</f>
        <v>178080</v>
      </c>
      <c r="U8" s="80">
        <f t="shared" ref="U8:U11" si="2">SUM(E8:G8)*$E$5/$D$5+H8+I8+12*CEILING($E$5*2*$D$4/$E$4,1)*10</f>
        <v>42534</v>
      </c>
      <c r="V8" s="76">
        <f t="shared" ref="V8:V11" si="3">100*U8/T8</f>
        <v>23.884770889487871</v>
      </c>
      <c r="W8" s="65">
        <f t="shared" ref="W8:W11" si="4">(1-V8/100)/(1-R8/100)*(1-$E$6)/(1-$D$6)</f>
        <v>1.1301150575287648</v>
      </c>
      <c r="X8" s="35">
        <f t="shared" ref="X8:X11" si="5">P8*$F$5/$D$5</f>
        <v>362880</v>
      </c>
      <c r="Y8" s="80">
        <f t="shared" ref="Y8:Y11" si="6">SUM(E8:G8)*$F$5/$D$5+H8+I8+12*CEILING($F$5*2*$D$4/$F$4,1)*10</f>
        <v>73134</v>
      </c>
      <c r="Z8" s="76">
        <f t="shared" ref="Z8:Z11" si="7">100*Y8/X8</f>
        <v>20.153769841269842</v>
      </c>
      <c r="AA8" s="65">
        <f t="shared" ref="AA8:AA11" si="8">(1-Z8/100)/(1-R8/100)*(1-$F$6)/(1-$D$6)</f>
        <v>1.2078789394697353</v>
      </c>
    </row>
    <row r="9" spans="1:27">
      <c r="A9">
        <v>2</v>
      </c>
      <c r="B9" s="43" t="s">
        <v>5</v>
      </c>
      <c r="C9" s="43" t="s">
        <v>278</v>
      </c>
      <c r="D9" s="43"/>
      <c r="E9" s="43">
        <v>9410</v>
      </c>
      <c r="F9" s="43">
        <f>32*D5*2</f>
        <v>3328</v>
      </c>
      <c r="G9" s="43">
        <f>4*D5*2</f>
        <v>416</v>
      </c>
      <c r="H9" s="43">
        <f>4*3*D5*10/20</f>
        <v>312</v>
      </c>
      <c r="I9" s="43">
        <f>1*4*240*10/20</f>
        <v>480</v>
      </c>
      <c r="J9" s="43">
        <f>2*12*D5*10</f>
        <v>12480</v>
      </c>
      <c r="K9" s="43"/>
      <c r="L9" s="34"/>
      <c r="M9" s="43">
        <f>12*14*D5*10</f>
        <v>87360</v>
      </c>
      <c r="N9" s="43">
        <f>SUM(E9:J9)</f>
        <v>26426</v>
      </c>
      <c r="O9" s="76">
        <f>100*N9/M9</f>
        <v>30.249542124542124</v>
      </c>
      <c r="P9" s="43">
        <v>87360</v>
      </c>
      <c r="Q9" s="43">
        <v>26426</v>
      </c>
      <c r="R9" s="76">
        <v>30.249542124542099</v>
      </c>
      <c r="S9" s="65">
        <f t="shared" si="0"/>
        <v>1.0000000000000002</v>
      </c>
      <c r="T9" s="35">
        <f t="shared" si="1"/>
        <v>178080</v>
      </c>
      <c r="U9" s="80">
        <f t="shared" si="2"/>
        <v>40325.923076923078</v>
      </c>
      <c r="V9" s="76">
        <f t="shared" si="3"/>
        <v>22.644835510401549</v>
      </c>
      <c r="W9" s="65">
        <f t="shared" si="4"/>
        <v>1.1303547848744286</v>
      </c>
      <c r="X9" s="35">
        <f t="shared" si="5"/>
        <v>362880</v>
      </c>
      <c r="Y9" s="80">
        <f t="shared" si="6"/>
        <v>68391.692307692312</v>
      </c>
      <c r="Z9" s="76">
        <f t="shared" si="7"/>
        <v>18.846916971916972</v>
      </c>
      <c r="AA9" s="65">
        <f t="shared" si="8"/>
        <v>1.2082265553398248</v>
      </c>
    </row>
    <row r="10" spans="1:27">
      <c r="A10">
        <v>3</v>
      </c>
      <c r="B10" s="35" t="s">
        <v>14</v>
      </c>
      <c r="C10" s="35" t="s">
        <v>278</v>
      </c>
      <c r="E10" s="44">
        <f>12*D5*10</f>
        <v>6240</v>
      </c>
      <c r="F10" s="44">
        <f>32*D5*2</f>
        <v>3328</v>
      </c>
      <c r="G10" s="44">
        <f>4*D5*2</f>
        <v>416</v>
      </c>
      <c r="H10" s="44">
        <f>12*52*10/20</f>
        <v>312</v>
      </c>
      <c r="I10" s="44">
        <f>4*240*1/2</f>
        <v>480</v>
      </c>
      <c r="J10" s="44">
        <f>2*12*D5*10</f>
        <v>12480</v>
      </c>
      <c r="M10" s="77">
        <f>D5*12*10*14</f>
        <v>87360</v>
      </c>
      <c r="N10" s="44">
        <f t="shared" ref="N10:N11" si="9">SUM(E10:J10)</f>
        <v>23256</v>
      </c>
      <c r="O10" s="55">
        <f>100*N10/M10</f>
        <v>26.62087912087912</v>
      </c>
      <c r="P10" s="35">
        <v>87360</v>
      </c>
      <c r="Q10" s="35">
        <v>23256</v>
      </c>
      <c r="R10" s="65">
        <v>26.620879120879099</v>
      </c>
      <c r="S10" s="65">
        <f t="shared" si="0"/>
        <v>1.0000000000000002</v>
      </c>
      <c r="T10" s="35">
        <f t="shared" si="1"/>
        <v>178080</v>
      </c>
      <c r="U10" s="80">
        <f t="shared" si="2"/>
        <v>33864</v>
      </c>
      <c r="V10" s="76">
        <f t="shared" si="3"/>
        <v>19.016172506738545</v>
      </c>
      <c r="W10" s="65">
        <f t="shared" si="4"/>
        <v>1.124859603144889</v>
      </c>
      <c r="X10" s="35">
        <f t="shared" si="5"/>
        <v>362880</v>
      </c>
      <c r="Y10" s="80">
        <f t="shared" si="6"/>
        <v>55224</v>
      </c>
      <c r="Z10" s="76">
        <f t="shared" si="7"/>
        <v>15.218253968253968</v>
      </c>
      <c r="AA10" s="65">
        <f t="shared" si="8"/>
        <v>1.1998315237738673</v>
      </c>
    </row>
    <row r="11" spans="1:27">
      <c r="A11">
        <v>4</v>
      </c>
      <c r="B11" s="35" t="s">
        <v>16</v>
      </c>
      <c r="C11" s="44" t="s">
        <v>278</v>
      </c>
      <c r="E11" s="44">
        <f>8*D5*10</f>
        <v>4160</v>
      </c>
      <c r="F11" s="44">
        <f>32*D5*2</f>
        <v>3328</v>
      </c>
      <c r="G11" s="44">
        <f>4*D5*2</f>
        <v>416</v>
      </c>
      <c r="H11" s="44">
        <f>12*52*10/20</f>
        <v>312</v>
      </c>
      <c r="I11" s="44">
        <f>4*240*1/2</f>
        <v>480</v>
      </c>
      <c r="J11" s="44">
        <f>2*12*D5*10</f>
        <v>12480</v>
      </c>
      <c r="M11" s="77">
        <f>D5*12*10*14</f>
        <v>87360</v>
      </c>
      <c r="N11" s="44">
        <f t="shared" si="9"/>
        <v>21176</v>
      </c>
      <c r="O11" s="55">
        <f>100*N11/M11</f>
        <v>24.239926739926741</v>
      </c>
      <c r="P11" s="35">
        <v>87360</v>
      </c>
      <c r="Q11" s="35">
        <v>21176</v>
      </c>
      <c r="R11" s="65">
        <v>24.239926739926702</v>
      </c>
      <c r="S11" s="65">
        <f t="shared" si="0"/>
        <v>1.0000000000000007</v>
      </c>
      <c r="T11" s="35">
        <f t="shared" si="1"/>
        <v>178080</v>
      </c>
      <c r="U11" s="80">
        <f t="shared" si="2"/>
        <v>29624</v>
      </c>
      <c r="V11" s="76">
        <f t="shared" si="3"/>
        <v>16.635220125786162</v>
      </c>
      <c r="W11" s="65">
        <f t="shared" si="4"/>
        <v>1.1215399492324423</v>
      </c>
      <c r="X11" s="35">
        <f t="shared" si="5"/>
        <v>362880</v>
      </c>
      <c r="Y11" s="80">
        <f t="shared" si="6"/>
        <v>46584</v>
      </c>
      <c r="Z11" s="76">
        <f t="shared" si="7"/>
        <v>12.837301587301587</v>
      </c>
      <c r="AA11" s="65">
        <f t="shared" si="8"/>
        <v>1.1947600628550703</v>
      </c>
    </row>
    <row r="12" spans="1:27">
      <c r="S12" s="81"/>
    </row>
    <row r="13" spans="1:27" ht="15">
      <c r="B13" s="50" t="s">
        <v>279</v>
      </c>
      <c r="C13" s="50"/>
      <c r="S13" s="81"/>
    </row>
    <row r="14" spans="1:27" ht="15">
      <c r="B14" s="50" t="s">
        <v>280</v>
      </c>
      <c r="C14" s="50"/>
      <c r="D14" s="35" t="s">
        <v>254</v>
      </c>
      <c r="E14" s="35" t="s">
        <v>255</v>
      </c>
      <c r="F14" s="35" t="s">
        <v>256</v>
      </c>
      <c r="S14" s="81"/>
    </row>
    <row r="15" spans="1:27" ht="15">
      <c r="B15" s="50" t="s">
        <v>257</v>
      </c>
      <c r="D15" s="35">
        <v>20</v>
      </c>
      <c r="E15" s="35">
        <v>40</v>
      </c>
      <c r="F15" s="35">
        <v>100</v>
      </c>
      <c r="S15" s="81"/>
    </row>
    <row r="16" spans="1:27" ht="15">
      <c r="B16" s="50" t="s">
        <v>281</v>
      </c>
      <c r="C16" s="50"/>
      <c r="D16" s="35">
        <v>106</v>
      </c>
      <c r="E16" s="35">
        <v>216</v>
      </c>
      <c r="F16" s="35" t="s">
        <v>127</v>
      </c>
      <c r="S16" s="81"/>
    </row>
    <row r="17" spans="1:26" ht="15">
      <c r="B17" s="50" t="s">
        <v>259</v>
      </c>
      <c r="D17" s="71">
        <v>4.5999999999999999E-2</v>
      </c>
      <c r="E17" s="71">
        <v>2.8000000000000001E-2</v>
      </c>
      <c r="F17" s="35" t="s">
        <v>127</v>
      </c>
      <c r="S17" s="81"/>
    </row>
    <row r="18" spans="1:26" ht="58.5" customHeight="1">
      <c r="B18" s="38"/>
      <c r="C18" s="38" t="s">
        <v>260</v>
      </c>
      <c r="D18" s="38" t="s">
        <v>282</v>
      </c>
      <c r="E18" s="38" t="s">
        <v>224</v>
      </c>
      <c r="F18" s="38" t="s">
        <v>261</v>
      </c>
      <c r="G18" s="38" t="s">
        <v>262</v>
      </c>
      <c r="H18" s="38" t="s">
        <v>227</v>
      </c>
      <c r="I18" s="38" t="s">
        <v>205</v>
      </c>
      <c r="J18" s="38" t="s">
        <v>203</v>
      </c>
      <c r="K18" s="38" t="s">
        <v>283</v>
      </c>
      <c r="L18" s="38"/>
      <c r="M18" s="51" t="s">
        <v>263</v>
      </c>
      <c r="N18" s="51" t="s">
        <v>264</v>
      </c>
      <c r="O18" s="51" t="s">
        <v>265</v>
      </c>
      <c r="P18" s="52" t="s">
        <v>266</v>
      </c>
      <c r="Q18" s="52" t="s">
        <v>267</v>
      </c>
      <c r="R18" s="63" t="s">
        <v>268</v>
      </c>
      <c r="S18" s="64" t="s">
        <v>269</v>
      </c>
      <c r="T18" s="52" t="s">
        <v>284</v>
      </c>
      <c r="U18" s="52" t="s">
        <v>285</v>
      </c>
      <c r="V18" s="63" t="s">
        <v>286</v>
      </c>
      <c r="W18" s="64" t="s">
        <v>273</v>
      </c>
      <c r="X18" s="35"/>
      <c r="Y18" s="80"/>
      <c r="Z18" s="76"/>
    </row>
    <row r="19" spans="1:26">
      <c r="A19">
        <v>1</v>
      </c>
      <c r="B19" s="43" t="s">
        <v>288</v>
      </c>
      <c r="C19" s="43" t="s">
        <v>278</v>
      </c>
      <c r="D19" s="43" t="s">
        <v>289</v>
      </c>
      <c r="E19" s="43">
        <f>2*12*D16*6</f>
        <v>15264</v>
      </c>
      <c r="F19" s="43">
        <f>32*D16</f>
        <v>3392</v>
      </c>
      <c r="G19" s="43">
        <f>4*D16</f>
        <v>424</v>
      </c>
      <c r="H19" s="43">
        <f t="shared" ref="H19:H20" si="10">4*3*52*10/80</f>
        <v>78</v>
      </c>
      <c r="I19" s="43">
        <f t="shared" ref="I19:I23" si="11">4*240*1/2</f>
        <v>480</v>
      </c>
      <c r="J19" s="43">
        <f>2*12*D16*6</f>
        <v>15264</v>
      </c>
      <c r="K19" s="43">
        <f>12*D16</f>
        <v>1272</v>
      </c>
      <c r="L19" s="43"/>
      <c r="M19" s="43">
        <f>12*D16*14*4+12*D16*11*2+12*D16*1</f>
        <v>100488</v>
      </c>
      <c r="N19" s="43">
        <f>SUM(E19:K19)</f>
        <v>36174</v>
      </c>
      <c r="O19" s="76">
        <f t="shared" ref="O19:O23" si="12">100*N19/M19</f>
        <v>35.998328158586098</v>
      </c>
      <c r="P19" s="43">
        <f>D16*(12*14*4+12*11*2+12*0.5*2)</f>
        <v>100488</v>
      </c>
      <c r="Q19" s="43">
        <f t="shared" ref="Q19:Q25" si="13">SUM(E19:K19)</f>
        <v>36174</v>
      </c>
      <c r="R19" s="76">
        <f t="shared" ref="R19:R23" si="14">100*Q19/P19</f>
        <v>35.998328158586098</v>
      </c>
      <c r="S19" s="65">
        <f t="shared" ref="S19:S25" si="15">(1-R19/100)/(1-O19/100)</f>
        <v>1</v>
      </c>
      <c r="T19" s="35">
        <f t="shared" ref="T19:T25" si="16">P19*$E$16/$D$16</f>
        <v>204768</v>
      </c>
      <c r="U19" s="80">
        <f t="shared" ref="U19:U24" si="17">SUM(E19:G19,K19)*$E$16/$D$16+H19+I19+12*CEILING($E$16*2*$D$15/$E$15,1)*6</f>
        <v>57582</v>
      </c>
      <c r="V19" s="76">
        <f t="shared" ref="V19:V25" si="18">100*U19/T19</f>
        <v>28.120604781997187</v>
      </c>
      <c r="W19" s="65">
        <f t="shared" ref="W19:W25" si="19">(1-V19/100)/(1-R19/100)*(1-$E$17)/(1-$D$17)</f>
        <v>1.1442765183319343</v>
      </c>
      <c r="X19" s="35"/>
      <c r="Y19" s="80"/>
      <c r="Z19" s="76"/>
    </row>
    <row r="20" spans="1:26">
      <c r="A20">
        <v>2</v>
      </c>
      <c r="B20" s="43" t="s">
        <v>290</v>
      </c>
      <c r="C20" s="43" t="s">
        <v>291</v>
      </c>
      <c r="D20" s="43" t="s">
        <v>289</v>
      </c>
      <c r="E20" s="43">
        <f>2*12*D16*6</f>
        <v>15264</v>
      </c>
      <c r="F20" s="43">
        <f>40*D16</f>
        <v>4240</v>
      </c>
      <c r="G20" s="43">
        <f>4*D16</f>
        <v>424</v>
      </c>
      <c r="H20" s="43">
        <f t="shared" si="10"/>
        <v>78</v>
      </c>
      <c r="I20" s="43">
        <f t="shared" si="11"/>
        <v>480</v>
      </c>
      <c r="J20" s="43">
        <f>2*12*D16*6</f>
        <v>15264</v>
      </c>
      <c r="K20" s="43">
        <f>12*D16</f>
        <v>1272</v>
      </c>
      <c r="L20" s="43"/>
      <c r="M20" s="43">
        <f>12*D16*14*4+12*D16*11*2+12*D16*1</f>
        <v>100488</v>
      </c>
      <c r="N20" s="43">
        <f>SUM(E20:K20)</f>
        <v>37022</v>
      </c>
      <c r="O20" s="76">
        <f t="shared" si="12"/>
        <v>36.842210015126184</v>
      </c>
      <c r="P20" s="43">
        <f>D16*(12*14*4+12*11*2+12*0.5*2)</f>
        <v>100488</v>
      </c>
      <c r="Q20" s="43">
        <f t="shared" si="13"/>
        <v>37022</v>
      </c>
      <c r="R20" s="76">
        <f t="shared" si="14"/>
        <v>36.842210015126184</v>
      </c>
      <c r="S20" s="65">
        <f t="shared" si="15"/>
        <v>1</v>
      </c>
      <c r="T20" s="35">
        <f t="shared" si="16"/>
        <v>204768</v>
      </c>
      <c r="U20" s="80">
        <f t="shared" si="17"/>
        <v>59310</v>
      </c>
      <c r="V20" s="76">
        <f t="shared" si="18"/>
        <v>28.96448663853727</v>
      </c>
      <c r="W20" s="65">
        <f t="shared" si="19"/>
        <v>1.1459521633630607</v>
      </c>
      <c r="X20" s="35"/>
      <c r="Y20" s="80"/>
      <c r="Z20" s="76"/>
    </row>
    <row r="21" spans="1:26" s="34" customFormat="1">
      <c r="A21">
        <v>3</v>
      </c>
      <c r="B21" s="43" t="s">
        <v>16</v>
      </c>
      <c r="C21" s="44" t="s">
        <v>278</v>
      </c>
      <c r="D21" s="44" t="s">
        <v>289</v>
      </c>
      <c r="E21" s="44">
        <f>8*D16*6</f>
        <v>5088</v>
      </c>
      <c r="F21" s="44">
        <f>40*D16*2</f>
        <v>8480</v>
      </c>
      <c r="G21" s="44">
        <f>4*D16*2</f>
        <v>848</v>
      </c>
      <c r="H21" s="44">
        <f>12*52*10/20</f>
        <v>312</v>
      </c>
      <c r="I21" s="44">
        <f t="shared" si="11"/>
        <v>480</v>
      </c>
      <c r="J21" s="77">
        <f>12*2*6*D16</f>
        <v>15264</v>
      </c>
      <c r="K21" s="77">
        <f>12*1*D16</f>
        <v>1272</v>
      </c>
      <c r="L21" s="77"/>
      <c r="M21" s="77">
        <f>D16*(12*14*4+12*12*2)</f>
        <v>101760</v>
      </c>
      <c r="N21" s="44">
        <f>SUM(E21:J21)+K21</f>
        <v>31744</v>
      </c>
      <c r="O21" s="55">
        <f t="shared" si="12"/>
        <v>31.19496855345912</v>
      </c>
      <c r="P21" s="43">
        <f>D16*(12*14*4+12*11*2+12*0.5*2)</f>
        <v>100488</v>
      </c>
      <c r="Q21" s="43">
        <f t="shared" si="13"/>
        <v>31744</v>
      </c>
      <c r="R21" s="76">
        <f t="shared" si="14"/>
        <v>31.589841573123159</v>
      </c>
      <c r="S21" s="65">
        <f t="shared" si="15"/>
        <v>0.99426098627727744</v>
      </c>
      <c r="T21" s="35">
        <f t="shared" si="16"/>
        <v>204768</v>
      </c>
      <c r="U21" s="80">
        <f t="shared" si="17"/>
        <v>48312</v>
      </c>
      <c r="V21" s="76">
        <f t="shared" si="18"/>
        <v>23.593530239099859</v>
      </c>
      <c r="W21" s="65">
        <f t="shared" si="19"/>
        <v>1.1379611311532645</v>
      </c>
      <c r="X21" s="35"/>
      <c r="Y21" s="80"/>
      <c r="Z21" s="76"/>
    </row>
    <row r="22" spans="1:26" s="34" customFormat="1">
      <c r="A22">
        <v>4</v>
      </c>
      <c r="B22" s="43" t="s">
        <v>5</v>
      </c>
      <c r="C22" s="43" t="s">
        <v>278</v>
      </c>
      <c r="D22" s="43" t="s">
        <v>292</v>
      </c>
      <c r="E22" s="43">
        <v>15413</v>
      </c>
      <c r="F22" s="43">
        <f>32*D16*2</f>
        <v>6784</v>
      </c>
      <c r="G22" s="43">
        <f>4*D16*2</f>
        <v>848</v>
      </c>
      <c r="H22" s="43">
        <f>4*3*MIN(D16,52)*10/20</f>
        <v>312</v>
      </c>
      <c r="I22" s="43">
        <f t="shared" si="11"/>
        <v>480</v>
      </c>
      <c r="J22" s="77">
        <f>12*2*8*D16</f>
        <v>20352</v>
      </c>
      <c r="K22" s="77">
        <f>12*2*D16</f>
        <v>2544</v>
      </c>
      <c r="M22" s="77">
        <f>D16*(12*14*6+12*10*2+12*2*2)</f>
        <v>137376</v>
      </c>
      <c r="N22" s="44">
        <f>SUM(E22:J22)+K22*2</f>
        <v>49277</v>
      </c>
      <c r="O22" s="55">
        <f t="shared" si="12"/>
        <v>35.870166550198</v>
      </c>
      <c r="P22" s="77">
        <f>D16*(12*14*6+12*10*2+12*1*2)</f>
        <v>134832</v>
      </c>
      <c r="Q22" s="44">
        <f t="shared" si="13"/>
        <v>46733</v>
      </c>
      <c r="R22" s="55">
        <f t="shared" si="14"/>
        <v>34.660169692654563</v>
      </c>
      <c r="S22" s="65">
        <f t="shared" si="15"/>
        <v>1.0188679245283019</v>
      </c>
      <c r="T22" s="35">
        <f t="shared" si="16"/>
        <v>274752</v>
      </c>
      <c r="U22" s="80">
        <f>SUM(E22:G22,K22)*$E$16/$D$16+H22+I22+12*CEILING($E$16*2*$D$15/$E$15,1)*8</f>
        <v>73671.622641509428</v>
      </c>
      <c r="V22" s="76">
        <f t="shared" si="18"/>
        <v>26.813862188995685</v>
      </c>
      <c r="W22" s="65">
        <f t="shared" si="19"/>
        <v>1.1412182735246175</v>
      </c>
      <c r="X22" s="35"/>
      <c r="Y22" s="80"/>
      <c r="Z22" s="76"/>
    </row>
    <row r="23" spans="1:26" s="34" customFormat="1">
      <c r="A23">
        <v>5</v>
      </c>
      <c r="B23" s="43" t="s">
        <v>5</v>
      </c>
      <c r="C23" s="43" t="s">
        <v>293</v>
      </c>
      <c r="D23" s="43" t="s">
        <v>292</v>
      </c>
      <c r="E23" s="43">
        <v>17696</v>
      </c>
      <c r="F23" s="43">
        <f>40*D16*2</f>
        <v>8480</v>
      </c>
      <c r="G23" s="43">
        <f>4*D16*2</f>
        <v>848</v>
      </c>
      <c r="H23" s="43">
        <f>4*3*MIN(D16,52)*10/20</f>
        <v>312</v>
      </c>
      <c r="I23" s="43">
        <f t="shared" si="11"/>
        <v>480</v>
      </c>
      <c r="J23" s="77">
        <f>12*2*8*D16</f>
        <v>20352</v>
      </c>
      <c r="K23" s="77">
        <f>12*2*D16</f>
        <v>2544</v>
      </c>
      <c r="M23" s="77">
        <f>D16*(12*14*6+12*10*2+12*2*2)</f>
        <v>137376</v>
      </c>
      <c r="N23" s="44">
        <f>SUM(E23:J23)+K23*2</f>
        <v>53256</v>
      </c>
      <c r="O23" s="55">
        <f t="shared" si="12"/>
        <v>38.766596785464706</v>
      </c>
      <c r="P23" s="77">
        <f>D16*(12*14*6+12*10*2+12*1*2)</f>
        <v>134832</v>
      </c>
      <c r="Q23" s="44">
        <f t="shared" si="13"/>
        <v>50712</v>
      </c>
      <c r="R23" s="55">
        <f t="shared" si="14"/>
        <v>37.611249555001777</v>
      </c>
      <c r="S23" s="65">
        <f t="shared" si="15"/>
        <v>1.0188679245283019</v>
      </c>
      <c r="T23" s="35">
        <f t="shared" si="16"/>
        <v>274752</v>
      </c>
      <c r="U23" s="80">
        <f>SUM(E23:G23,K23)*$E$16/$D$16+H23+I23+12*CEILING($E$16*2*$D$15/$E$15,1)*8</f>
        <v>81779.773584905663</v>
      </c>
      <c r="V23" s="76">
        <f t="shared" si="18"/>
        <v>29.764942051342906</v>
      </c>
      <c r="W23" s="65">
        <f t="shared" si="19"/>
        <v>1.1470056253869134</v>
      </c>
      <c r="X23" s="35"/>
      <c r="Y23" s="80"/>
      <c r="Z23" s="76"/>
    </row>
    <row r="24" spans="1:26" s="34" customFormat="1">
      <c r="A24" s="34">
        <v>6</v>
      </c>
      <c r="B24" s="43" t="s">
        <v>19</v>
      </c>
      <c r="C24" s="43" t="s">
        <v>293</v>
      </c>
      <c r="D24" s="43" t="s">
        <v>287</v>
      </c>
      <c r="E24" s="43">
        <v>7632</v>
      </c>
      <c r="F24" s="43">
        <v>4240</v>
      </c>
      <c r="G24" s="43">
        <v>424</v>
      </c>
      <c r="H24" s="43">
        <v>159</v>
      </c>
      <c r="I24" s="43">
        <v>480</v>
      </c>
      <c r="J24" s="43">
        <v>15264</v>
      </c>
      <c r="K24" s="77">
        <f>12*2*D16</f>
        <v>2544</v>
      </c>
      <c r="M24" s="43">
        <v>86496</v>
      </c>
      <c r="N24" s="43">
        <f t="shared" ref="N24:N25" si="20">SUM(E24:J24)</f>
        <v>28199</v>
      </c>
      <c r="O24" s="76">
        <v>32.601507584165702</v>
      </c>
      <c r="P24" s="43">
        <f>D16*(12*14*4+12*6*2+12*1*2)</f>
        <v>89040</v>
      </c>
      <c r="Q24" s="43">
        <f t="shared" si="13"/>
        <v>30743</v>
      </c>
      <c r="R24" s="76">
        <f t="shared" ref="R24:R25" si="21">100*Q24/P24</f>
        <v>34.527178796046719</v>
      </c>
      <c r="S24" s="65">
        <f t="shared" si="15"/>
        <v>0.97142857142857086</v>
      </c>
      <c r="T24" s="35">
        <f t="shared" si="16"/>
        <v>181440</v>
      </c>
      <c r="U24" s="80">
        <f t="shared" si="17"/>
        <v>46431</v>
      </c>
      <c r="V24" s="76">
        <f t="shared" si="18"/>
        <v>25.590277777777779</v>
      </c>
      <c r="W24" s="65">
        <f t="shared" si="19"/>
        <v>1.1579412319673397</v>
      </c>
      <c r="X24" s="35"/>
      <c r="Y24" s="80"/>
      <c r="Z24" s="76"/>
    </row>
    <row r="25" spans="1:26" s="34" customFormat="1">
      <c r="A25" s="34">
        <v>7</v>
      </c>
      <c r="B25" s="43" t="s">
        <v>19</v>
      </c>
      <c r="C25" s="43" t="s">
        <v>293</v>
      </c>
      <c r="D25" s="43" t="s">
        <v>294</v>
      </c>
      <c r="E25" s="43">
        <v>10176</v>
      </c>
      <c r="F25" s="43">
        <v>3392</v>
      </c>
      <c r="G25" s="43">
        <v>424</v>
      </c>
      <c r="H25" s="43">
        <v>78</v>
      </c>
      <c r="I25" s="43">
        <v>480</v>
      </c>
      <c r="J25" s="43">
        <v>20352</v>
      </c>
      <c r="K25" s="77">
        <f>12*2*D16</f>
        <v>2544</v>
      </c>
      <c r="M25" s="77">
        <f>D16*(12*14*6+12*10*2)</f>
        <v>132288</v>
      </c>
      <c r="N25" s="43">
        <f t="shared" si="20"/>
        <v>34902</v>
      </c>
      <c r="O25" s="76">
        <v>26.383345428156701</v>
      </c>
      <c r="P25" s="43">
        <f>D16*(12*14*6+12*10*2+12*1*2)</f>
        <v>134832</v>
      </c>
      <c r="Q25" s="43">
        <f t="shared" si="13"/>
        <v>37446</v>
      </c>
      <c r="R25" s="76">
        <f t="shared" si="21"/>
        <v>27.772338910644358</v>
      </c>
      <c r="S25" s="65">
        <f t="shared" si="15"/>
        <v>0.98113207547169745</v>
      </c>
      <c r="T25" s="35">
        <f t="shared" si="16"/>
        <v>274752</v>
      </c>
      <c r="U25" s="80">
        <f>SUM(E25:G25,K25)*$E$16/$D$16+H25+I25+12*CEILING($E$16*2*$D$15/$E$15,1)*8</f>
        <v>54990</v>
      </c>
      <c r="V25" s="76">
        <f t="shared" si="18"/>
        <v>20.014412997903563</v>
      </c>
      <c r="W25" s="65">
        <f t="shared" si="19"/>
        <v>1.1283038629782516</v>
      </c>
      <c r="X25" s="35"/>
      <c r="Y25" s="80"/>
      <c r="Z25" s="76"/>
    </row>
    <row r="26" spans="1:26" s="34" customFormat="1">
      <c r="B26" s="43"/>
      <c r="C26" s="43"/>
      <c r="D26" s="43"/>
      <c r="E26" s="43"/>
      <c r="F26" s="43"/>
      <c r="G26" s="43"/>
      <c r="H26" s="43"/>
      <c r="I26" s="43"/>
      <c r="J26" s="43"/>
      <c r="K26" s="43"/>
      <c r="M26" s="43"/>
      <c r="N26" s="43"/>
      <c r="O26" s="76"/>
      <c r="P26" s="43"/>
      <c r="Q26" s="43"/>
      <c r="R26" s="76"/>
      <c r="S26" s="82"/>
      <c r="T26" s="43"/>
    </row>
    <row r="27" spans="1:26" s="34" customFormat="1">
      <c r="B27" s="43"/>
      <c r="C27" s="43"/>
      <c r="D27" s="43"/>
      <c r="E27" s="43"/>
      <c r="F27" s="43"/>
      <c r="G27" s="43"/>
      <c r="H27" s="43"/>
      <c r="I27" s="43"/>
      <c r="J27" s="43"/>
      <c r="K27" s="43"/>
      <c r="M27" s="43"/>
      <c r="N27" s="43"/>
      <c r="O27" s="76"/>
      <c r="P27" s="43"/>
      <c r="Q27" s="43"/>
      <c r="R27" s="76"/>
      <c r="S27" s="82"/>
      <c r="T27" s="43"/>
    </row>
    <row r="28" spans="1:26" ht="15">
      <c r="B28" s="50" t="s">
        <v>279</v>
      </c>
      <c r="C28" s="50"/>
      <c r="S28" s="81"/>
    </row>
    <row r="29" spans="1:26" ht="15">
      <c r="B29" s="50" t="s">
        <v>295</v>
      </c>
      <c r="C29" s="50"/>
      <c r="D29" s="35" t="s">
        <v>254</v>
      </c>
      <c r="E29" s="35" t="s">
        <v>255</v>
      </c>
      <c r="F29" s="35" t="s">
        <v>256</v>
      </c>
      <c r="S29" s="81"/>
    </row>
    <row r="30" spans="1:26" ht="15">
      <c r="B30" s="50" t="s">
        <v>296</v>
      </c>
      <c r="D30" s="35">
        <v>20</v>
      </c>
      <c r="E30" s="35">
        <v>40</v>
      </c>
      <c r="F30" s="35">
        <v>100</v>
      </c>
      <c r="S30" s="81"/>
    </row>
    <row r="31" spans="1:26" ht="15">
      <c r="B31" s="50" t="s">
        <v>281</v>
      </c>
      <c r="C31" s="50"/>
      <c r="D31" s="35">
        <v>51</v>
      </c>
      <c r="E31" s="35">
        <v>106</v>
      </c>
      <c r="F31" s="35">
        <v>273</v>
      </c>
      <c r="S31" s="81"/>
    </row>
    <row r="32" spans="1:26" ht="15">
      <c r="B32" s="50" t="s">
        <v>259</v>
      </c>
      <c r="D32" s="71">
        <v>8.2000000000000003E-2</v>
      </c>
      <c r="E32" s="71">
        <v>4.5999999999999999E-2</v>
      </c>
      <c r="F32" s="71">
        <v>1.72E-2</v>
      </c>
      <c r="S32" s="81"/>
    </row>
    <row r="33" spans="1:27" ht="60">
      <c r="B33" s="38"/>
      <c r="C33" s="38" t="s">
        <v>260</v>
      </c>
      <c r="D33" s="38" t="s">
        <v>282</v>
      </c>
      <c r="E33" s="38" t="s">
        <v>224</v>
      </c>
      <c r="F33" s="38" t="s">
        <v>261</v>
      </c>
      <c r="G33" s="38" t="s">
        <v>262</v>
      </c>
      <c r="H33" s="38" t="s">
        <v>227</v>
      </c>
      <c r="I33" s="38" t="s">
        <v>205</v>
      </c>
      <c r="J33" s="38" t="s">
        <v>203</v>
      </c>
      <c r="K33" s="38" t="s">
        <v>283</v>
      </c>
      <c r="L33" s="38"/>
      <c r="M33" s="51" t="s">
        <v>263</v>
      </c>
      <c r="N33" s="51" t="s">
        <v>264</v>
      </c>
      <c r="O33" s="51" t="s">
        <v>265</v>
      </c>
      <c r="P33" s="52" t="s">
        <v>266</v>
      </c>
      <c r="Q33" s="52" t="s">
        <v>267</v>
      </c>
      <c r="R33" s="63" t="s">
        <v>268</v>
      </c>
      <c r="S33" s="64" t="s">
        <v>269</v>
      </c>
      <c r="T33" s="52" t="s">
        <v>284</v>
      </c>
      <c r="U33" s="52" t="s">
        <v>285</v>
      </c>
      <c r="V33" s="63" t="s">
        <v>286</v>
      </c>
      <c r="W33" s="64" t="s">
        <v>273</v>
      </c>
      <c r="X33" s="52" t="s">
        <v>297</v>
      </c>
      <c r="Y33" s="52" t="s">
        <v>298</v>
      </c>
      <c r="Z33" s="63" t="s">
        <v>299</v>
      </c>
      <c r="AA33" s="64" t="s">
        <v>277</v>
      </c>
    </row>
    <row r="34" spans="1:27" ht="15">
      <c r="A34">
        <v>1</v>
      </c>
      <c r="B34" s="49" t="s">
        <v>19</v>
      </c>
      <c r="C34" s="43" t="s">
        <v>293</v>
      </c>
      <c r="D34" s="48" t="s">
        <v>287</v>
      </c>
      <c r="E34" s="49">
        <f>2*8*D31*6*2</f>
        <v>9792</v>
      </c>
      <c r="F34" s="47">
        <f>40*D31*2</f>
        <v>4080</v>
      </c>
      <c r="G34" s="47">
        <f>4*D31*2</f>
        <v>408</v>
      </c>
      <c r="H34" s="47">
        <f>3*4*D31*2*1/8</f>
        <v>153</v>
      </c>
      <c r="I34" s="47">
        <f>1*4*240/2</f>
        <v>480</v>
      </c>
      <c r="J34" s="47">
        <f>12*2*6*51*2</f>
        <v>14688</v>
      </c>
      <c r="K34" s="49">
        <f>12*2*D31*2</f>
        <v>2448</v>
      </c>
      <c r="L34" s="49"/>
      <c r="M34" s="47">
        <f>D31*2*(12*14*4+12*6*2)</f>
        <v>83232</v>
      </c>
      <c r="N34" s="47">
        <f>SUM(E34:J34)</f>
        <v>29601</v>
      </c>
      <c r="O34" s="78">
        <f>100*N34/M34</f>
        <v>35.564446366782008</v>
      </c>
      <c r="P34" s="43">
        <f>12*D31*14*4*2+12*D31*6*2*2+12*2*D31*2</f>
        <v>85680</v>
      </c>
      <c r="Q34" s="43">
        <f t="shared" ref="Q34:Q42" si="22">SUM(E34:K34)</f>
        <v>32049</v>
      </c>
      <c r="R34" s="65">
        <f t="shared" ref="R34:R42" si="23">100*Q34/P34</f>
        <v>37.405462184873947</v>
      </c>
      <c r="S34" s="65">
        <f>(1-R34/100)/(1-O34/100)</f>
        <v>0.97142857142857142</v>
      </c>
      <c r="T34" s="35">
        <f>P34*$E$31/$D$31</f>
        <v>178080</v>
      </c>
      <c r="U34" s="80">
        <f>SUM(E34:G34,K34)*$E$31/$D$31+H34+I34+12*CEILING($E$31*2*$D$30/$E$30,1)*6*2</f>
        <v>50665</v>
      </c>
      <c r="V34" s="76">
        <f>100*U34/T34</f>
        <v>28.450696316262356</v>
      </c>
      <c r="W34" s="65">
        <f>(1-V34/100)/(1-R34/100)*(1-$E$32)/(1-$D$32)</f>
        <v>1.1878857377263148</v>
      </c>
      <c r="X34" s="35">
        <f>P34*$F$31/$D$31</f>
        <v>458640</v>
      </c>
      <c r="Y34" s="80">
        <f>SUM(E34:G34,K34)*$F$31/$D$31+H34+I34+12*CEILING($F$31*2*$D$30/$F$30,1)*6*2</f>
        <v>106017</v>
      </c>
      <c r="Z34" s="76">
        <f>100*Y34/X34</f>
        <v>23.115515436944008</v>
      </c>
      <c r="AA34" s="65">
        <f>(1-Z34/100)/(1-R34/100)*(1-$F$32)/(1-$D$32)</f>
        <v>1.3149969234211558</v>
      </c>
    </row>
    <row r="35" spans="1:27">
      <c r="A35">
        <v>2</v>
      </c>
      <c r="B35" s="43" t="s">
        <v>288</v>
      </c>
      <c r="C35" s="43" t="s">
        <v>278</v>
      </c>
      <c r="D35" s="46" t="s">
        <v>289</v>
      </c>
      <c r="E35" s="43">
        <f>2*12*D31*6*2</f>
        <v>14688</v>
      </c>
      <c r="F35" s="43">
        <f>32*D31*2</f>
        <v>3264</v>
      </c>
      <c r="G35" s="43">
        <f>4*D31*2</f>
        <v>408</v>
      </c>
      <c r="H35" s="43">
        <f>4*3*D31*10/80</f>
        <v>76.5</v>
      </c>
      <c r="I35" s="43">
        <f>4*240*1/2</f>
        <v>480</v>
      </c>
      <c r="J35" s="43">
        <f>2*12*D31*6*2</f>
        <v>14688</v>
      </c>
      <c r="K35" s="43">
        <f>12*D31*2</f>
        <v>1224</v>
      </c>
      <c r="L35" s="43"/>
      <c r="M35" s="43">
        <f>12*D31*14*4*2+12*D31*11*2*2+12*D31*1*2</f>
        <v>96696</v>
      </c>
      <c r="N35" s="43">
        <f>SUM(E35:K35)</f>
        <v>34828.5</v>
      </c>
      <c r="O35" s="76">
        <f>100*N35/M35</f>
        <v>36.01855299081658</v>
      </c>
      <c r="P35" s="43">
        <f>12*D31*14*4*2+12*D31*11*2*2+12*D31*2</f>
        <v>96696</v>
      </c>
      <c r="Q35" s="43">
        <f t="shared" si="22"/>
        <v>34828.5</v>
      </c>
      <c r="R35" s="65">
        <f t="shared" si="23"/>
        <v>36.01855299081658</v>
      </c>
      <c r="S35" s="65">
        <f t="shared" ref="S35:S42" si="24">(1-R35/100)/(1-O35/100)</f>
        <v>1</v>
      </c>
      <c r="T35" s="35">
        <f t="shared" ref="T35:T42" si="25">P35*$E$31/$D$31</f>
        <v>200976</v>
      </c>
      <c r="U35" s="80">
        <f t="shared" ref="U35:U36" si="26">SUM(E35:G35,K35)*$E$31/$D$31+H35+I35+12*CEILING($E$31*2*$D$30/$E$30,1)*6*2</f>
        <v>56524.5</v>
      </c>
      <c r="V35" s="76">
        <f t="shared" ref="V35:V42" si="27">100*U35/T35</f>
        <v>28.125</v>
      </c>
      <c r="W35" s="65">
        <f t="shared" ref="W35:W42" si="28">(1-V35/100)/(1-R35/100)*(1-$E$32)/(1-$D$32)</f>
        <v>1.1674263547096617</v>
      </c>
      <c r="X35" s="35">
        <f t="shared" ref="X35:X42" si="29">P35*$F$31/$D$31</f>
        <v>517608</v>
      </c>
      <c r="Y35" s="80">
        <f t="shared" ref="Y35:Y36" si="30">SUM(E35:G35,K35)*$F$31/$D$31+H35+I35+12*CEILING($F$31*2*$D$30/$F$30,1)*6*2</f>
        <v>121228.5</v>
      </c>
      <c r="Z35" s="76">
        <f t="shared" ref="Z35:Z42" si="31">100*Y35/X35</f>
        <v>23.420909259516854</v>
      </c>
      <c r="AA35" s="65">
        <f t="shared" ref="AA35:AA42" si="32">(1-Z35/100)/(1-R35/100)*(1-$F$32)/(1-$D$32)</f>
        <v>1.2813819856952358</v>
      </c>
    </row>
    <row r="36" spans="1:27">
      <c r="A36">
        <v>3</v>
      </c>
      <c r="B36" s="43" t="s">
        <v>290</v>
      </c>
      <c r="C36" s="43" t="s">
        <v>291</v>
      </c>
      <c r="D36" s="46" t="s">
        <v>289</v>
      </c>
      <c r="E36" s="43">
        <f>2*12*D31*6*2</f>
        <v>14688</v>
      </c>
      <c r="F36" s="43">
        <f>40*D31*2</f>
        <v>4080</v>
      </c>
      <c r="G36" s="43">
        <f>4*D31*2</f>
        <v>408</v>
      </c>
      <c r="H36" s="43">
        <f>4*3*D31*10/80</f>
        <v>76.5</v>
      </c>
      <c r="I36" s="43">
        <f>4*240*1/2</f>
        <v>480</v>
      </c>
      <c r="J36" s="43">
        <f>2*12*D31*6*2</f>
        <v>14688</v>
      </c>
      <c r="K36" s="43">
        <f>12*D31*2</f>
        <v>1224</v>
      </c>
      <c r="L36" s="43"/>
      <c r="M36" s="43">
        <f>12*D31*14*4*2+12*D31*11*2*2+12*D31*1*2</f>
        <v>96696</v>
      </c>
      <c r="N36" s="43">
        <f>SUM(E36:K36)</f>
        <v>35644.5</v>
      </c>
      <c r="O36" s="76">
        <f>100*N36/M36</f>
        <v>36.862434847356667</v>
      </c>
      <c r="P36" s="43">
        <f>12*D31*14*4*2+12*D31*11*2*2+12*D31*2</f>
        <v>96696</v>
      </c>
      <c r="Q36" s="43">
        <f t="shared" si="22"/>
        <v>35644.5</v>
      </c>
      <c r="R36" s="65">
        <f t="shared" si="23"/>
        <v>36.862434847356667</v>
      </c>
      <c r="S36" s="65">
        <f t="shared" si="24"/>
        <v>1</v>
      </c>
      <c r="T36" s="35">
        <f t="shared" si="25"/>
        <v>200976</v>
      </c>
      <c r="U36" s="80">
        <f t="shared" si="26"/>
        <v>58220.5</v>
      </c>
      <c r="V36" s="76">
        <f t="shared" si="27"/>
        <v>28.968881856540083</v>
      </c>
      <c r="W36" s="65">
        <f t="shared" si="28"/>
        <v>1.1691399883704741</v>
      </c>
      <c r="X36" s="35">
        <f t="shared" si="29"/>
        <v>517608</v>
      </c>
      <c r="Y36" s="80">
        <f t="shared" si="30"/>
        <v>125596.5</v>
      </c>
      <c r="Z36" s="76">
        <f t="shared" si="31"/>
        <v>24.264791116056937</v>
      </c>
      <c r="AA36" s="65">
        <f t="shared" si="32"/>
        <v>1.2841994054200143</v>
      </c>
    </row>
    <row r="37" spans="1:27">
      <c r="A37" s="34">
        <v>4</v>
      </c>
      <c r="B37" s="43" t="s">
        <v>5</v>
      </c>
      <c r="C37" s="43" t="s">
        <v>278</v>
      </c>
      <c r="D37" s="43" t="s">
        <v>292</v>
      </c>
      <c r="E37" s="43">
        <v>14922</v>
      </c>
      <c r="F37" s="43">
        <f>32*D31*4</f>
        <v>6528</v>
      </c>
      <c r="G37" s="43">
        <f>4*D31*4</f>
        <v>816</v>
      </c>
      <c r="H37" s="43">
        <f>4*3*MIN(D31,52)*10/20</f>
        <v>306</v>
      </c>
      <c r="I37" s="43">
        <f>1*4*240*1/2</f>
        <v>480</v>
      </c>
      <c r="J37" s="43">
        <f>2*12*D31*8*2</f>
        <v>19584</v>
      </c>
      <c r="K37" s="43">
        <f>2*12*D31*2</f>
        <v>2448</v>
      </c>
      <c r="L37" s="34"/>
      <c r="M37" s="43">
        <f>D31*12*(14*6+10*2+2*2)*2</f>
        <v>132192</v>
      </c>
      <c r="N37" s="43">
        <f>SUM(E37:J37)+K37*2</f>
        <v>47532</v>
      </c>
      <c r="O37" s="76">
        <f t="shared" ref="O37:O39" si="33">100*N37/M37</f>
        <v>35.956790123456791</v>
      </c>
      <c r="P37" s="43">
        <f>D31*12*(14*6+10*2+1*2)*2</f>
        <v>129744</v>
      </c>
      <c r="Q37" s="43">
        <f t="shared" si="22"/>
        <v>45084</v>
      </c>
      <c r="R37" s="76">
        <f t="shared" si="23"/>
        <v>34.748427672955977</v>
      </c>
      <c r="S37" s="65">
        <f t="shared" si="24"/>
        <v>1.0188679245283017</v>
      </c>
      <c r="T37" s="35">
        <f t="shared" si="25"/>
        <v>269664</v>
      </c>
      <c r="U37" s="80">
        <f>SUM(E37:G37,K37)*$E$31/$D$31+H37+I37+12*CEILING($E$31*2*$D$30/$E$30,1)*8*2</f>
        <v>72504.352941176476</v>
      </c>
      <c r="V37" s="76">
        <f t="shared" si="27"/>
        <v>26.886923334659603</v>
      </c>
      <c r="W37" s="65">
        <f t="shared" si="28"/>
        <v>1.1644203110017926</v>
      </c>
      <c r="X37" s="35">
        <f t="shared" si="29"/>
        <v>694512</v>
      </c>
      <c r="Y37" s="80">
        <f>SUM(E37:G37,K37)*$F$31/$D$31+H37+I37+12*CEILING($F$31*2*$D$30/$F$30,1)*8*2</f>
        <v>154198.58823529413</v>
      </c>
      <c r="Z37" s="76">
        <f t="shared" si="31"/>
        <v>22.202436852825311</v>
      </c>
      <c r="AA37" s="65">
        <f t="shared" si="32"/>
        <v>1.276431400341852</v>
      </c>
    </row>
    <row r="38" spans="1:27" ht="15">
      <c r="A38" s="34">
        <v>5</v>
      </c>
      <c r="B38" s="72" t="s">
        <v>19</v>
      </c>
      <c r="C38" s="43" t="s">
        <v>300</v>
      </c>
      <c r="D38" s="73" t="s">
        <v>294</v>
      </c>
      <c r="E38" s="73">
        <f>2*12*D31*8*2</f>
        <v>19584</v>
      </c>
      <c r="F38" s="74">
        <f>32*D31*2</f>
        <v>3264</v>
      </c>
      <c r="G38" s="74">
        <f>4*D31*2</f>
        <v>408</v>
      </c>
      <c r="H38" s="74">
        <f>3*4*D31*1/8</f>
        <v>76.5</v>
      </c>
      <c r="I38" s="74">
        <f>1*4*240/2</f>
        <v>480</v>
      </c>
      <c r="J38" s="74">
        <f>12*2*8*D31*2</f>
        <v>19584</v>
      </c>
      <c r="K38" s="49">
        <f>12*2*D31*2</f>
        <v>2448</v>
      </c>
      <c r="L38" s="73"/>
      <c r="M38" s="74">
        <f>12*D31*14*6*2+12*D31*10*2*2</f>
        <v>127296</v>
      </c>
      <c r="N38" s="74">
        <f t="shared" ref="N38:N39" si="34">SUM(E38:J38)</f>
        <v>43396.5</v>
      </c>
      <c r="O38" s="79">
        <f t="shared" si="33"/>
        <v>34.091016214177976</v>
      </c>
      <c r="P38" s="43">
        <f>D31*12*(14*6+10*2+1*2)*2</f>
        <v>129744</v>
      </c>
      <c r="Q38" s="43">
        <f t="shared" si="22"/>
        <v>45844.5</v>
      </c>
      <c r="R38" s="76">
        <f t="shared" si="23"/>
        <v>35.334581945985938</v>
      </c>
      <c r="S38" s="65">
        <f t="shared" si="24"/>
        <v>0.98113207547169834</v>
      </c>
      <c r="T38" s="35">
        <f t="shared" si="25"/>
        <v>269664</v>
      </c>
      <c r="U38" s="80">
        <f>SUM(E38:G38,K38)*$E$31/$D$31+H38+I38+12*CEILING($E$31*2*$D$30/$E$30,1)*8*2</f>
        <v>74332.5</v>
      </c>
      <c r="V38" s="76">
        <f t="shared" si="27"/>
        <v>27.564858490566039</v>
      </c>
      <c r="W38" s="65">
        <f t="shared" si="28"/>
        <v>1.1640802388572038</v>
      </c>
      <c r="X38" s="35">
        <f t="shared" si="29"/>
        <v>694512</v>
      </c>
      <c r="Y38" s="80">
        <f t="shared" ref="Y38:Y42" si="35">SUM(E38:G38,K38)*$F$31/$D$31+H38+I38+12*CEILING($F$31*2*$D$30/$F$30,1)*8*2</f>
        <v>159268.5</v>
      </c>
      <c r="Z38" s="76">
        <f t="shared" si="31"/>
        <v>22.93243313290483</v>
      </c>
      <c r="AA38" s="65">
        <f t="shared" si="32"/>
        <v>1.2759158278654819</v>
      </c>
    </row>
    <row r="39" spans="1:27" ht="15">
      <c r="A39" s="34">
        <v>6</v>
      </c>
      <c r="B39" s="43" t="s">
        <v>22</v>
      </c>
      <c r="C39" s="43" t="s">
        <v>301</v>
      </c>
      <c r="D39" s="43" t="s">
        <v>292</v>
      </c>
      <c r="E39" s="43">
        <v>15602</v>
      </c>
      <c r="F39" s="43">
        <v>8160</v>
      </c>
      <c r="G39" s="43">
        <v>816</v>
      </c>
      <c r="H39" s="43">
        <v>306</v>
      </c>
      <c r="I39" s="43">
        <v>480</v>
      </c>
      <c r="J39" s="43">
        <v>19584</v>
      </c>
      <c r="K39" s="49">
        <f>12*2*D31*2</f>
        <v>2448</v>
      </c>
      <c r="L39" s="34"/>
      <c r="M39" s="74">
        <f>12*D31*14*6*2+12*D31*10*2*2</f>
        <v>127296</v>
      </c>
      <c r="N39" s="43">
        <f t="shared" si="34"/>
        <v>44948</v>
      </c>
      <c r="O39" s="76">
        <f t="shared" si="33"/>
        <v>35.309829059829063</v>
      </c>
      <c r="P39" s="43">
        <f>D31*12*(14*6+10*2+1*2)*2</f>
        <v>129744</v>
      </c>
      <c r="Q39" s="43">
        <f t="shared" si="22"/>
        <v>47396</v>
      </c>
      <c r="R39" s="76">
        <f t="shared" si="23"/>
        <v>36.530398322851156</v>
      </c>
      <c r="S39" s="65">
        <f t="shared" si="24"/>
        <v>0.98113207547169823</v>
      </c>
      <c r="T39" s="35">
        <f t="shared" si="25"/>
        <v>269664</v>
      </c>
      <c r="U39" s="80">
        <f>SUM(E39:G39,K39)*$E$31/$D$31+H39+I39+12*CEILING($E$31*2*$D$30/$E$30,1)*8*2</f>
        <v>77309.686274509804</v>
      </c>
      <c r="V39" s="76">
        <f t="shared" si="27"/>
        <v>28.668893984554781</v>
      </c>
      <c r="W39" s="65">
        <f t="shared" si="28"/>
        <v>1.1679355523236155</v>
      </c>
      <c r="X39" s="35">
        <f t="shared" si="29"/>
        <v>694512</v>
      </c>
      <c r="Y39" s="80">
        <f t="shared" si="35"/>
        <v>166574.58823529413</v>
      </c>
      <c r="Z39" s="76">
        <f t="shared" si="31"/>
        <v>23.98440750272049</v>
      </c>
      <c r="AA39" s="65">
        <f t="shared" si="32"/>
        <v>1.28221064692453</v>
      </c>
    </row>
    <row r="40" spans="1:27">
      <c r="A40" s="34">
        <v>7</v>
      </c>
      <c r="B40" s="43" t="s">
        <v>5</v>
      </c>
      <c r="C40" s="43" t="s">
        <v>293</v>
      </c>
      <c r="D40" s="43" t="s">
        <v>292</v>
      </c>
      <c r="E40" s="43">
        <v>17039</v>
      </c>
      <c r="F40" s="43">
        <f>40*D31*4</f>
        <v>8160</v>
      </c>
      <c r="G40" s="43">
        <f>4*D31*4</f>
        <v>816</v>
      </c>
      <c r="H40" s="43">
        <f>4*3*MIN(D31,52)*10/20</f>
        <v>306</v>
      </c>
      <c r="I40" s="43">
        <f>1*4*240*1/2</f>
        <v>480</v>
      </c>
      <c r="J40" s="43">
        <f>2*12*D31*8*2</f>
        <v>19584</v>
      </c>
      <c r="K40" s="43">
        <f>1*12*D31*2*2</f>
        <v>2448</v>
      </c>
      <c r="L40" s="34"/>
      <c r="M40" s="43">
        <f>D31*12*(14*6+10*2+2*2)*2</f>
        <v>132192</v>
      </c>
      <c r="N40" s="43">
        <f>SUM(E40:J40)+K40*2</f>
        <v>51281</v>
      </c>
      <c r="O40" s="76">
        <f t="shared" ref="O40:O42" si="36">100*N40/M40</f>
        <v>38.792816509319778</v>
      </c>
      <c r="P40" s="43">
        <f>D31*12*(14*6+10*2+1*2)*2</f>
        <v>129744</v>
      </c>
      <c r="Q40" s="43">
        <f t="shared" si="22"/>
        <v>48833</v>
      </c>
      <c r="R40" s="76">
        <f t="shared" si="23"/>
        <v>37.637963990627696</v>
      </c>
      <c r="S40" s="65">
        <f t="shared" si="24"/>
        <v>1.0188679245283019</v>
      </c>
      <c r="T40" s="35">
        <f t="shared" si="25"/>
        <v>269664</v>
      </c>
      <c r="U40" s="80">
        <f t="shared" ref="U40:U42" si="37">SUM(E40:G40,K40)*$E$31/$D$31+H40+I40+12*CEILING($E$31*2*$D$30/$E$30,1)*8*2</f>
        <v>80296.392156862741</v>
      </c>
      <c r="V40" s="76">
        <f t="shared" si="27"/>
        <v>29.776459652331322</v>
      </c>
      <c r="W40" s="65">
        <f t="shared" si="28"/>
        <v>1.1702216499804554</v>
      </c>
      <c r="X40" s="35">
        <f t="shared" si="29"/>
        <v>694512</v>
      </c>
      <c r="Y40" s="80">
        <f t="shared" si="35"/>
        <v>174266.76470588235</v>
      </c>
      <c r="Z40" s="76">
        <f t="shared" si="31"/>
        <v>25.091973170497031</v>
      </c>
      <c r="AA40" s="65">
        <f t="shared" si="32"/>
        <v>1.2859691149389272</v>
      </c>
    </row>
    <row r="41" spans="1:27">
      <c r="A41" s="34">
        <v>8</v>
      </c>
      <c r="B41" s="43" t="s">
        <v>14</v>
      </c>
      <c r="C41" s="43" t="s">
        <v>278</v>
      </c>
      <c r="D41" s="43" t="s">
        <v>302</v>
      </c>
      <c r="E41" s="43">
        <f>12*D31*8*2</f>
        <v>9792</v>
      </c>
      <c r="F41" s="43">
        <f>40*D31*4</f>
        <v>8160</v>
      </c>
      <c r="G41" s="43">
        <f>4*D31*4</f>
        <v>816</v>
      </c>
      <c r="H41" s="43">
        <f>3*4*D31*10/20</f>
        <v>306</v>
      </c>
      <c r="I41" s="43">
        <f>1*4*240*1/2</f>
        <v>480</v>
      </c>
      <c r="J41" s="43">
        <f>2*12*D31*8*2</f>
        <v>19584</v>
      </c>
      <c r="K41" s="43">
        <f>12*D31*1*2</f>
        <v>1224</v>
      </c>
      <c r="L41" s="34"/>
      <c r="M41" s="43">
        <f>D31*12*(14*6+10*2+2*2)*2</f>
        <v>132192</v>
      </c>
      <c r="N41" s="43">
        <f>SUM(E41:J41)+K41*2</f>
        <v>41586</v>
      </c>
      <c r="O41" s="76">
        <f t="shared" si="36"/>
        <v>31.458787218591141</v>
      </c>
      <c r="P41" s="43">
        <f>D31*12*(14*6+10*2+0.5*2)*2</f>
        <v>128520</v>
      </c>
      <c r="Q41" s="43">
        <f t="shared" si="22"/>
        <v>40362</v>
      </c>
      <c r="R41" s="76">
        <f t="shared" si="23"/>
        <v>31.405228758169933</v>
      </c>
      <c r="S41" s="65">
        <f t="shared" si="24"/>
        <v>1.0007814052049533</v>
      </c>
      <c r="T41" s="35">
        <f t="shared" si="25"/>
        <v>267120</v>
      </c>
      <c r="U41" s="80">
        <f t="shared" si="37"/>
        <v>62690</v>
      </c>
      <c r="V41" s="76">
        <f t="shared" si="27"/>
        <v>23.468852949985024</v>
      </c>
      <c r="W41" s="65">
        <f t="shared" si="28"/>
        <v>1.1594523469225706</v>
      </c>
      <c r="X41" s="35">
        <f t="shared" si="29"/>
        <v>687960</v>
      </c>
      <c r="Y41" s="80">
        <f t="shared" si="35"/>
        <v>128922</v>
      </c>
      <c r="Z41" s="76">
        <f t="shared" si="31"/>
        <v>18.739752311180883</v>
      </c>
      <c r="AA41" s="65">
        <f t="shared" si="32"/>
        <v>1.2682637990880012</v>
      </c>
    </row>
    <row r="42" spans="1:27" ht="26.25">
      <c r="A42" s="34">
        <v>9</v>
      </c>
      <c r="B42" s="43" t="s">
        <v>17</v>
      </c>
      <c r="C42" s="43" t="s">
        <v>293</v>
      </c>
      <c r="D42" s="75" t="s">
        <v>303</v>
      </c>
      <c r="E42" s="43">
        <f>24*D31*8*2</f>
        <v>19584</v>
      </c>
      <c r="F42" s="43">
        <f>40*D31*10/5</f>
        <v>4080</v>
      </c>
      <c r="G42" s="43">
        <f>4*D31*10/5</f>
        <v>408</v>
      </c>
      <c r="H42" s="43">
        <f>3*4*D31*10/20</f>
        <v>306</v>
      </c>
      <c r="I42" s="43">
        <f>4*4*240*1/2</f>
        <v>1920</v>
      </c>
      <c r="J42" s="43">
        <f>2*12*D31*8*2</f>
        <v>19584</v>
      </c>
      <c r="K42" s="43">
        <f>2*12*D31*2</f>
        <v>2448</v>
      </c>
      <c r="L42" s="34"/>
      <c r="M42" s="74">
        <f>12*D31*14*7*2+12*D31*6*1*2</f>
        <v>127296</v>
      </c>
      <c r="N42" s="43">
        <f t="shared" ref="N42" si="38">SUM(E42:J42)</f>
        <v>45882</v>
      </c>
      <c r="O42" s="76">
        <f t="shared" si="36"/>
        <v>36.043552036199095</v>
      </c>
      <c r="P42" s="43">
        <f>D31*12*(14*7+6*1+2)*2</f>
        <v>129744</v>
      </c>
      <c r="Q42" s="43">
        <f t="shared" si="22"/>
        <v>48330</v>
      </c>
      <c r="R42" s="76">
        <f t="shared" si="23"/>
        <v>37.250277469478355</v>
      </c>
      <c r="S42" s="65">
        <f t="shared" si="24"/>
        <v>0.98113207547169812</v>
      </c>
      <c r="T42" s="35">
        <f t="shared" si="25"/>
        <v>269664</v>
      </c>
      <c r="U42" s="80">
        <f t="shared" si="37"/>
        <v>77698</v>
      </c>
      <c r="V42" s="76">
        <f t="shared" si="27"/>
        <v>28.812893081761008</v>
      </c>
      <c r="W42" s="65">
        <f t="shared" si="28"/>
        <v>1.1789495664136389</v>
      </c>
      <c r="X42" s="35">
        <f t="shared" si="29"/>
        <v>694512</v>
      </c>
      <c r="Y42" s="80">
        <f t="shared" si="35"/>
        <v>165306</v>
      </c>
      <c r="Z42" s="76">
        <f t="shared" si="31"/>
        <v>23.801748565899508</v>
      </c>
      <c r="AA42" s="65">
        <f t="shared" si="32"/>
        <v>1.3000368486992411</v>
      </c>
    </row>
    <row r="44" spans="1:27">
      <c r="D44" s="36"/>
      <c r="E44"/>
      <c r="F44"/>
      <c r="G44"/>
      <c r="H44"/>
      <c r="I44"/>
      <c r="J44"/>
      <c r="K44"/>
      <c r="N44"/>
      <c r="O44"/>
    </row>
    <row r="45" spans="1:27">
      <c r="D45" s="36"/>
      <c r="E45"/>
      <c r="F45"/>
      <c r="G45"/>
      <c r="H45"/>
      <c r="I45"/>
      <c r="J45"/>
      <c r="K45"/>
      <c r="N45"/>
      <c r="O45"/>
    </row>
    <row r="46" spans="1:27">
      <c r="D46" s="36"/>
      <c r="E46"/>
      <c r="F46"/>
      <c r="G46"/>
      <c r="H46"/>
      <c r="I46"/>
      <c r="J46"/>
      <c r="K46"/>
      <c r="N46"/>
      <c r="O46"/>
    </row>
    <row r="47" spans="1:27">
      <c r="D47" s="36"/>
      <c r="E47"/>
      <c r="F47"/>
      <c r="G47"/>
      <c r="H47"/>
      <c r="I47"/>
      <c r="J47"/>
      <c r="K47"/>
      <c r="N47"/>
      <c r="O47"/>
    </row>
    <row r="48" spans="1:27">
      <c r="D48" s="36"/>
      <c r="E48"/>
      <c r="F48"/>
      <c r="G48"/>
      <c r="H48"/>
      <c r="I48"/>
      <c r="J48"/>
      <c r="K48"/>
      <c r="N48"/>
      <c r="O48"/>
    </row>
    <row r="49" spans="2:25" s="42" customFormat="1" ht="15">
      <c r="B49" s="181"/>
      <c r="C49" s="181"/>
      <c r="D49" s="41"/>
      <c r="M49" s="40"/>
      <c r="P49" s="40"/>
      <c r="Q49" s="40"/>
      <c r="R49" s="175"/>
      <c r="T49" s="40"/>
    </row>
    <row r="50" spans="2:25" s="42" customFormat="1" ht="15">
      <c r="B50" s="181"/>
      <c r="C50" s="181"/>
      <c r="D50" s="40"/>
      <c r="E50" s="40"/>
      <c r="F50" s="40"/>
      <c r="M50" s="40"/>
      <c r="P50" s="40"/>
      <c r="Q50" s="40"/>
      <c r="R50" s="175"/>
      <c r="T50" s="40"/>
    </row>
    <row r="51" spans="2:25" s="42" customFormat="1" ht="15">
      <c r="B51" s="181"/>
      <c r="D51" s="40"/>
      <c r="E51" s="40"/>
      <c r="M51" s="40"/>
      <c r="P51" s="40"/>
      <c r="Q51" s="40"/>
      <c r="R51" s="175"/>
      <c r="T51" s="40"/>
    </row>
    <row r="52" spans="2:25" s="42" customFormat="1" ht="15">
      <c r="B52" s="181"/>
      <c r="C52" s="181"/>
      <c r="D52" s="40"/>
      <c r="E52" s="40"/>
      <c r="M52" s="40"/>
      <c r="P52" s="40"/>
      <c r="Q52" s="40"/>
      <c r="R52" s="175"/>
      <c r="T52" s="40"/>
    </row>
    <row r="53" spans="2:25" s="42" customFormat="1" ht="15">
      <c r="B53" s="181"/>
      <c r="D53" s="182"/>
      <c r="E53" s="182"/>
      <c r="M53" s="40"/>
      <c r="P53" s="40"/>
      <c r="Q53" s="40"/>
      <c r="R53" s="175"/>
      <c r="T53" s="40"/>
    </row>
    <row r="54" spans="2:25" s="42" customFormat="1" ht="51.75" customHeight="1">
      <c r="B54" s="188"/>
      <c r="C54" s="188"/>
      <c r="D54" s="189"/>
      <c r="E54" s="188"/>
      <c r="F54" s="188"/>
      <c r="G54" s="188"/>
      <c r="H54" s="188"/>
      <c r="I54" s="188"/>
      <c r="J54" s="188"/>
      <c r="K54" s="188"/>
      <c r="L54" s="188"/>
      <c r="M54" s="188"/>
      <c r="N54" s="188"/>
      <c r="O54" s="190"/>
      <c r="P54" s="190"/>
      <c r="Q54" s="190"/>
      <c r="R54" s="191"/>
      <c r="S54" s="190"/>
      <c r="T54" s="192"/>
      <c r="U54" s="192"/>
      <c r="V54" s="190"/>
      <c r="W54" s="190"/>
      <c r="X54" s="192"/>
      <c r="Y54" s="192"/>
    </row>
    <row r="55" spans="2:25" s="42" customFormat="1">
      <c r="B55" s="40"/>
      <c r="C55" s="40"/>
      <c r="D55" s="41"/>
      <c r="E55" s="40"/>
      <c r="F55" s="40"/>
      <c r="G55" s="40"/>
      <c r="H55" s="40"/>
      <c r="I55" s="40"/>
      <c r="J55" s="40"/>
      <c r="K55" s="40"/>
      <c r="L55" s="40"/>
      <c r="M55" s="40"/>
      <c r="N55" s="40"/>
      <c r="O55" s="40"/>
      <c r="P55" s="40"/>
      <c r="Q55" s="176"/>
      <c r="R55" s="177"/>
      <c r="S55" s="40"/>
      <c r="T55" s="176"/>
      <c r="U55" s="175"/>
      <c r="V55" s="40"/>
      <c r="W55" s="183"/>
      <c r="X55" s="175"/>
      <c r="Y55" s="175"/>
    </row>
    <row r="56" spans="2:25" s="42" customFormat="1">
      <c r="B56" s="40"/>
      <c r="C56" s="40"/>
      <c r="D56" s="41"/>
      <c r="E56" s="40"/>
      <c r="F56" s="40"/>
      <c r="G56" s="40"/>
      <c r="H56" s="40"/>
      <c r="I56" s="40"/>
      <c r="J56" s="40"/>
      <c r="K56" s="40"/>
      <c r="L56" s="40"/>
      <c r="M56" s="40"/>
      <c r="O56" s="40"/>
      <c r="P56" s="40"/>
      <c r="Q56" s="176"/>
      <c r="R56" s="177"/>
      <c r="S56" s="40"/>
      <c r="T56" s="176"/>
      <c r="U56" s="175"/>
      <c r="V56" s="40"/>
      <c r="W56" s="183"/>
      <c r="X56" s="175"/>
      <c r="Y56" s="175"/>
    </row>
    <row r="57" spans="2:25" s="42" customFormat="1">
      <c r="B57" s="40"/>
      <c r="C57" s="40"/>
      <c r="D57" s="40"/>
      <c r="M57" s="40"/>
      <c r="P57" s="40"/>
      <c r="Q57" s="40"/>
      <c r="R57" s="177"/>
      <c r="T57" s="40"/>
    </row>
    <row r="58" spans="2:25" s="42" customFormat="1">
      <c r="D58" s="41"/>
      <c r="M58" s="40"/>
      <c r="P58" s="40"/>
      <c r="Q58" s="40"/>
      <c r="R58" s="177"/>
      <c r="T58" s="40"/>
    </row>
    <row r="59" spans="2:25" s="42" customFormat="1">
      <c r="D59" s="41"/>
      <c r="M59" s="40"/>
      <c r="P59" s="40"/>
      <c r="Q59" s="40"/>
      <c r="R59" s="177"/>
      <c r="T59" s="40"/>
    </row>
    <row r="60" spans="2:25" s="42" customFormat="1">
      <c r="D60" s="41"/>
      <c r="M60" s="40"/>
      <c r="P60" s="40"/>
      <c r="Q60" s="40"/>
      <c r="R60" s="177"/>
      <c r="T60" s="40"/>
    </row>
    <row r="61" spans="2:25" s="42" customFormat="1" ht="15">
      <c r="B61" s="181"/>
      <c r="C61" s="181"/>
      <c r="D61" s="41"/>
      <c r="M61" s="40"/>
      <c r="P61" s="40"/>
      <c r="Q61" s="40"/>
      <c r="R61" s="177"/>
      <c r="T61" s="40"/>
    </row>
    <row r="62" spans="2:25" s="42" customFormat="1" ht="15">
      <c r="B62" s="181"/>
      <c r="C62" s="181"/>
      <c r="D62" s="40"/>
      <c r="E62" s="40"/>
      <c r="M62" s="40"/>
      <c r="P62" s="40"/>
      <c r="Q62" s="40"/>
      <c r="R62" s="177"/>
      <c r="T62" s="40"/>
    </row>
    <row r="63" spans="2:25" s="42" customFormat="1" ht="15">
      <c r="B63" s="181"/>
      <c r="D63" s="40"/>
      <c r="E63" s="40"/>
      <c r="M63" s="40"/>
      <c r="P63" s="40"/>
      <c r="Q63" s="40"/>
      <c r="R63" s="177"/>
      <c r="T63" s="40"/>
    </row>
    <row r="64" spans="2:25" s="42" customFormat="1" ht="15">
      <c r="B64" s="181"/>
      <c r="C64" s="181"/>
      <c r="D64" s="40"/>
      <c r="E64" s="40"/>
      <c r="M64" s="40"/>
      <c r="P64" s="40"/>
      <c r="Q64" s="40"/>
      <c r="R64" s="177"/>
      <c r="T64" s="40"/>
    </row>
    <row r="65" spans="2:25" s="42" customFormat="1" ht="15">
      <c r="B65" s="181"/>
      <c r="D65" s="182"/>
      <c r="E65" s="182"/>
      <c r="M65" s="40"/>
      <c r="P65" s="40"/>
      <c r="Q65" s="40"/>
      <c r="R65" s="177"/>
      <c r="T65" s="40"/>
    </row>
    <row r="66" spans="2:25" s="42" customFormat="1" ht="53.25" customHeight="1">
      <c r="B66" s="188"/>
      <c r="C66" s="188"/>
      <c r="D66" s="189"/>
      <c r="E66" s="188"/>
      <c r="F66" s="188"/>
      <c r="G66" s="188"/>
      <c r="H66" s="188"/>
      <c r="I66" s="188"/>
      <c r="J66" s="188"/>
      <c r="K66" s="188"/>
      <c r="L66" s="188"/>
      <c r="M66" s="188"/>
      <c r="N66" s="188"/>
      <c r="O66" s="190"/>
      <c r="P66" s="190"/>
      <c r="Q66" s="190"/>
      <c r="R66" s="191"/>
      <c r="S66" s="190"/>
      <c r="T66" s="192"/>
      <c r="U66" s="192"/>
      <c r="V66" s="190"/>
      <c r="W66" s="190"/>
      <c r="X66" s="192"/>
      <c r="Y66" s="192"/>
    </row>
    <row r="67" spans="2:25" s="42" customFormat="1">
      <c r="B67" s="40"/>
      <c r="C67" s="40"/>
      <c r="D67" s="41"/>
      <c r="E67" s="40"/>
      <c r="F67" s="40"/>
      <c r="G67" s="40"/>
      <c r="H67" s="40"/>
      <c r="I67" s="40"/>
      <c r="J67" s="40"/>
      <c r="K67" s="40"/>
      <c r="L67" s="40"/>
      <c r="M67" s="40"/>
      <c r="O67" s="40"/>
      <c r="P67" s="40"/>
      <c r="Q67" s="176"/>
      <c r="R67" s="177"/>
      <c r="S67" s="40"/>
      <c r="T67" s="176"/>
      <c r="U67" s="175"/>
      <c r="V67" s="40"/>
      <c r="W67" s="183"/>
      <c r="X67" s="175"/>
      <c r="Y67" s="175"/>
    </row>
    <row r="68" spans="2:25" s="42" customFormat="1">
      <c r="B68" s="40"/>
      <c r="C68" s="40"/>
      <c r="D68" s="41"/>
      <c r="E68" s="40"/>
      <c r="F68" s="40"/>
      <c r="G68" s="40"/>
      <c r="H68" s="40"/>
      <c r="I68" s="40"/>
      <c r="J68" s="40"/>
      <c r="K68" s="40"/>
      <c r="L68" s="40"/>
      <c r="M68" s="40"/>
      <c r="O68" s="40"/>
      <c r="P68" s="40"/>
      <c r="Q68" s="176"/>
      <c r="R68" s="177"/>
      <c r="S68" s="40"/>
      <c r="T68" s="176"/>
      <c r="U68" s="175"/>
      <c r="V68" s="40"/>
      <c r="W68" s="183"/>
      <c r="X68" s="175"/>
      <c r="Y68" s="175"/>
    </row>
    <row r="69" spans="2:25" s="42" customFormat="1">
      <c r="B69" s="40"/>
      <c r="C69" s="40"/>
      <c r="D69" s="41"/>
      <c r="E69" s="178"/>
      <c r="F69" s="178"/>
      <c r="G69" s="178"/>
      <c r="H69" s="178"/>
      <c r="I69" s="178"/>
      <c r="J69" s="178"/>
      <c r="K69" s="178"/>
      <c r="L69" s="40"/>
      <c r="M69" s="179"/>
      <c r="N69" s="178"/>
      <c r="O69" s="40"/>
      <c r="P69" s="40"/>
      <c r="Q69" s="176"/>
      <c r="R69" s="177"/>
      <c r="S69" s="178"/>
      <c r="T69" s="180"/>
      <c r="U69" s="175"/>
      <c r="V69" s="40"/>
      <c r="W69" s="183"/>
      <c r="X69" s="175"/>
      <c r="Y69" s="175"/>
    </row>
    <row r="70" spans="2:25" s="42" customFormat="1">
      <c r="D70" s="40"/>
      <c r="E70" s="40"/>
      <c r="F70" s="40"/>
      <c r="G70" s="40"/>
      <c r="H70" s="40"/>
      <c r="I70" s="40"/>
      <c r="J70" s="40"/>
      <c r="K70" s="40"/>
      <c r="M70" s="40"/>
      <c r="N70" s="40"/>
      <c r="O70" s="175"/>
      <c r="P70" s="40"/>
      <c r="Q70" s="40"/>
      <c r="R70" s="177"/>
      <c r="T70" s="40"/>
    </row>
    <row r="71" spans="2:25" s="42" customFormat="1">
      <c r="D71" s="40"/>
      <c r="E71" s="40"/>
      <c r="F71" s="40"/>
      <c r="G71" s="40"/>
      <c r="H71" s="40"/>
      <c r="I71" s="40"/>
      <c r="J71" s="40"/>
      <c r="K71" s="40"/>
      <c r="M71" s="40"/>
      <c r="N71" s="40"/>
      <c r="O71" s="175"/>
      <c r="P71" s="40"/>
      <c r="Q71" s="40"/>
      <c r="R71" s="177"/>
      <c r="T71" s="40"/>
    </row>
    <row r="72" spans="2:25" s="42" customFormat="1" ht="15">
      <c r="B72" s="181"/>
      <c r="C72" s="181"/>
      <c r="D72" s="41"/>
      <c r="M72" s="40"/>
      <c r="P72" s="40"/>
      <c r="Q72" s="40"/>
      <c r="R72" s="177"/>
      <c r="T72" s="40"/>
    </row>
    <row r="73" spans="2:25" s="42" customFormat="1" ht="15">
      <c r="B73" s="181"/>
      <c r="C73" s="181"/>
      <c r="D73" s="41"/>
      <c r="M73" s="40"/>
      <c r="P73" s="40"/>
      <c r="Q73" s="40"/>
      <c r="R73" s="177"/>
      <c r="T73" s="40"/>
    </row>
    <row r="74" spans="2:25" s="42" customFormat="1">
      <c r="D74" s="41"/>
      <c r="M74" s="40"/>
      <c r="P74" s="40"/>
      <c r="Q74" s="40"/>
      <c r="R74" s="177"/>
      <c r="T74" s="40"/>
    </row>
    <row r="75" spans="2:25" s="42" customFormat="1" ht="15">
      <c r="B75" s="181"/>
      <c r="C75" s="181"/>
      <c r="D75" s="184"/>
      <c r="M75" s="40"/>
      <c r="P75" s="40"/>
      <c r="Q75" s="40"/>
      <c r="R75" s="177"/>
      <c r="T75" s="40"/>
    </row>
    <row r="76" spans="2:25" s="42" customFormat="1">
      <c r="D76" s="41"/>
      <c r="M76" s="40"/>
      <c r="P76" s="40"/>
      <c r="Q76" s="40"/>
      <c r="R76" s="177"/>
      <c r="T76" s="40"/>
    </row>
    <row r="77" spans="2:25" s="42" customFormat="1" ht="15">
      <c r="B77" s="188"/>
      <c r="C77" s="188"/>
      <c r="D77" s="189"/>
      <c r="E77" s="188"/>
      <c r="F77" s="188"/>
      <c r="G77" s="188"/>
      <c r="H77" s="188"/>
      <c r="I77" s="188"/>
      <c r="J77" s="188"/>
      <c r="K77" s="188"/>
      <c r="L77" s="188"/>
      <c r="M77" s="188"/>
      <c r="N77" s="188"/>
      <c r="O77" s="190"/>
      <c r="P77" s="190"/>
      <c r="Q77" s="190"/>
      <c r="R77" s="191"/>
      <c r="S77" s="190"/>
      <c r="T77" s="190"/>
      <c r="U77" s="192"/>
    </row>
    <row r="78" spans="2:25" s="42" customFormat="1" ht="15">
      <c r="B78" s="185"/>
      <c r="C78" s="185"/>
      <c r="D78" s="186"/>
      <c r="E78" s="185"/>
      <c r="F78" s="185"/>
      <c r="G78" s="185"/>
      <c r="H78" s="185"/>
      <c r="I78" s="185"/>
      <c r="J78" s="185"/>
      <c r="K78" s="185"/>
      <c r="L78" s="185"/>
      <c r="M78" s="185"/>
      <c r="N78" s="185"/>
      <c r="O78" s="185"/>
      <c r="P78" s="185"/>
      <c r="Q78" s="187"/>
      <c r="R78" s="177"/>
      <c r="T78" s="40"/>
    </row>
    <row r="79" spans="2:25" s="42" customFormat="1">
      <c r="D79" s="41"/>
      <c r="M79" s="40"/>
      <c r="P79" s="40"/>
      <c r="Q79" s="40"/>
      <c r="R79" s="177"/>
      <c r="T79" s="40"/>
    </row>
    <row r="80" spans="2:25" s="42" customFormat="1">
      <c r="D80" s="41"/>
      <c r="M80" s="40"/>
      <c r="P80" s="40"/>
      <c r="Q80" s="40"/>
      <c r="R80" s="177"/>
      <c r="T80" s="40"/>
    </row>
    <row r="81" spans="2:21" s="42" customFormat="1">
      <c r="D81" s="41"/>
      <c r="M81" s="40"/>
      <c r="P81" s="40"/>
      <c r="Q81" s="40"/>
      <c r="R81" s="177"/>
      <c r="T81" s="40"/>
    </row>
    <row r="82" spans="2:21" s="42" customFormat="1">
      <c r="D82" s="41"/>
      <c r="M82" s="40"/>
      <c r="P82" s="40"/>
      <c r="Q82" s="40"/>
      <c r="R82" s="177"/>
      <c r="T82" s="40"/>
    </row>
    <row r="83" spans="2:21" s="42" customFormat="1" ht="15">
      <c r="B83" s="181"/>
      <c r="C83" s="181"/>
      <c r="D83" s="41"/>
      <c r="M83" s="40"/>
      <c r="P83" s="40"/>
      <c r="Q83" s="40"/>
      <c r="R83" s="177"/>
      <c r="T83" s="40"/>
    </row>
    <row r="84" spans="2:21" s="42" customFormat="1" ht="15">
      <c r="B84" s="181"/>
      <c r="C84" s="181"/>
      <c r="D84" s="40"/>
      <c r="E84" s="40"/>
      <c r="F84" s="40"/>
      <c r="M84" s="40"/>
      <c r="P84" s="40"/>
      <c r="Q84" s="40"/>
      <c r="R84" s="177"/>
      <c r="T84" s="40"/>
    </row>
    <row r="85" spans="2:21" s="42" customFormat="1" ht="15">
      <c r="B85" s="181"/>
      <c r="D85" s="40"/>
      <c r="E85" s="40"/>
      <c r="F85" s="40"/>
      <c r="M85" s="40"/>
      <c r="P85" s="40"/>
      <c r="Q85" s="40"/>
      <c r="R85" s="177"/>
      <c r="T85" s="40"/>
    </row>
    <row r="86" spans="2:21" s="42" customFormat="1" ht="15">
      <c r="B86" s="181"/>
      <c r="C86" s="181"/>
      <c r="D86" s="184"/>
      <c r="E86" s="40"/>
      <c r="F86" s="40"/>
      <c r="M86" s="40"/>
      <c r="P86" s="40"/>
      <c r="Q86" s="40"/>
      <c r="R86" s="177"/>
      <c r="T86" s="40"/>
    </row>
    <row r="87" spans="2:21" s="42" customFormat="1">
      <c r="D87" s="41"/>
      <c r="M87" s="40"/>
      <c r="P87" s="40"/>
      <c r="Q87" s="40"/>
      <c r="R87" s="177"/>
      <c r="T87" s="40"/>
    </row>
    <row r="88" spans="2:21" s="42" customFormat="1" ht="59.25" customHeight="1">
      <c r="B88" s="188"/>
      <c r="C88" s="188"/>
      <c r="D88" s="189"/>
      <c r="E88" s="188"/>
      <c r="F88" s="188"/>
      <c r="G88" s="188"/>
      <c r="H88" s="188"/>
      <c r="I88" s="188"/>
      <c r="J88" s="188"/>
      <c r="K88" s="188"/>
      <c r="L88" s="188"/>
      <c r="M88" s="188"/>
      <c r="N88" s="188"/>
      <c r="O88" s="190"/>
      <c r="P88" s="190"/>
      <c r="Q88" s="190"/>
      <c r="R88" s="191"/>
      <c r="S88" s="190"/>
      <c r="T88" s="192"/>
      <c r="U88" s="192"/>
    </row>
    <row r="89" spans="2:21" s="42" customFormat="1">
      <c r="D89" s="40"/>
      <c r="E89" s="40"/>
      <c r="F89" s="40"/>
      <c r="G89" s="40"/>
      <c r="H89" s="40"/>
      <c r="I89" s="40"/>
      <c r="J89" s="40"/>
      <c r="K89" s="40"/>
      <c r="M89" s="40"/>
      <c r="N89" s="40"/>
      <c r="O89" s="175"/>
      <c r="P89" s="40"/>
      <c r="Q89" s="40"/>
      <c r="R89" s="177"/>
      <c r="T89" s="40"/>
    </row>
    <row r="90" spans="2:21" s="42" customFormat="1">
      <c r="D90" s="40"/>
      <c r="E90" s="40"/>
      <c r="F90" s="40"/>
      <c r="G90" s="40"/>
      <c r="H90" s="40"/>
      <c r="I90" s="40"/>
      <c r="J90" s="40"/>
      <c r="K90" s="40"/>
      <c r="M90" s="40"/>
      <c r="N90" s="40"/>
      <c r="O90" s="175"/>
      <c r="P90" s="40"/>
      <c r="Q90" s="40"/>
      <c r="R90" s="177"/>
      <c r="T90" s="40"/>
    </row>
    <row r="91" spans="2:21" s="42" customFormat="1">
      <c r="D91" s="40"/>
      <c r="E91" s="40"/>
      <c r="F91" s="40"/>
      <c r="G91" s="40"/>
      <c r="H91" s="40"/>
      <c r="I91" s="40"/>
      <c r="J91" s="40"/>
      <c r="K91" s="40"/>
      <c r="M91" s="40"/>
      <c r="N91" s="40"/>
      <c r="O91" s="175"/>
      <c r="P91" s="40"/>
      <c r="Q91" s="40"/>
      <c r="R91" s="177"/>
      <c r="T91" s="40"/>
    </row>
    <row r="92" spans="2:21" s="42" customFormat="1" ht="15">
      <c r="B92" s="181"/>
      <c r="C92" s="181"/>
      <c r="D92" s="41"/>
      <c r="M92" s="40"/>
      <c r="P92" s="40"/>
      <c r="Q92" s="40"/>
      <c r="R92" s="177"/>
      <c r="T92" s="40"/>
    </row>
    <row r="93" spans="2:21" s="42" customFormat="1" ht="15">
      <c r="B93" s="181"/>
      <c r="C93" s="181"/>
      <c r="D93" s="41"/>
      <c r="M93" s="40"/>
      <c r="P93" s="40"/>
      <c r="Q93" s="40"/>
      <c r="R93" s="177"/>
      <c r="T93" s="40"/>
    </row>
    <row r="94" spans="2:21" s="42" customFormat="1">
      <c r="D94" s="41"/>
      <c r="M94" s="40"/>
      <c r="P94" s="40"/>
      <c r="Q94" s="40"/>
      <c r="R94" s="177"/>
      <c r="T94" s="40"/>
    </row>
    <row r="95" spans="2:21" s="42" customFormat="1" ht="15">
      <c r="B95" s="181"/>
      <c r="C95" s="181"/>
      <c r="D95" s="184"/>
      <c r="M95" s="40"/>
      <c r="P95" s="40"/>
      <c r="Q95" s="40"/>
      <c r="R95" s="177"/>
      <c r="T95" s="40"/>
    </row>
    <row r="96" spans="2:21" s="42" customFormat="1">
      <c r="D96" s="41"/>
      <c r="M96" s="40"/>
      <c r="P96" s="40"/>
      <c r="Q96" s="40"/>
      <c r="R96" s="177"/>
      <c r="T96" s="40"/>
    </row>
    <row r="97" spans="2:21" s="42" customFormat="1" ht="15">
      <c r="B97" s="188"/>
      <c r="C97" s="188"/>
      <c r="D97" s="189"/>
      <c r="E97" s="188"/>
      <c r="F97" s="188"/>
      <c r="G97" s="188"/>
      <c r="H97" s="188"/>
      <c r="I97" s="188"/>
      <c r="J97" s="188"/>
      <c r="K97" s="188"/>
      <c r="L97" s="188"/>
      <c r="M97" s="188"/>
      <c r="N97" s="188"/>
      <c r="O97" s="190"/>
      <c r="P97" s="190"/>
      <c r="Q97" s="190"/>
      <c r="R97" s="191"/>
      <c r="S97" s="190"/>
      <c r="T97" s="192"/>
      <c r="U97" s="192"/>
    </row>
    <row r="98" spans="2:21" s="42" customFormat="1">
      <c r="B98" s="40"/>
      <c r="C98" s="40"/>
      <c r="D98" s="41"/>
      <c r="E98" s="40"/>
      <c r="F98" s="40"/>
      <c r="G98" s="40"/>
      <c r="H98" s="40"/>
      <c r="I98" s="40"/>
      <c r="J98" s="40"/>
      <c r="K98" s="40"/>
      <c r="L98" s="40"/>
      <c r="M98" s="40"/>
      <c r="N98" s="40"/>
      <c r="O98" s="40"/>
      <c r="P98" s="40"/>
      <c r="Q98" s="176"/>
      <c r="R98" s="177"/>
      <c r="T98" s="40"/>
    </row>
    <row r="99" spans="2:21" s="42" customFormat="1">
      <c r="D99" s="41"/>
      <c r="M99" s="40"/>
      <c r="P99" s="40"/>
      <c r="Q99" s="40"/>
      <c r="R99" s="177"/>
      <c r="T99" s="40"/>
    </row>
    <row r="100" spans="2:21" s="42" customFormat="1">
      <c r="D100" s="41"/>
      <c r="M100" s="40"/>
      <c r="P100" s="40"/>
      <c r="Q100" s="40"/>
      <c r="R100" s="177"/>
      <c r="T100" s="40"/>
    </row>
    <row r="101" spans="2:21" s="42" customFormat="1">
      <c r="D101" s="41"/>
      <c r="M101" s="40"/>
      <c r="P101" s="40"/>
      <c r="Q101" s="40"/>
      <c r="R101" s="177"/>
      <c r="T101" s="40"/>
    </row>
    <row r="102" spans="2:21" s="42" customFormat="1">
      <c r="D102" s="41"/>
      <c r="M102" s="40"/>
      <c r="P102" s="40"/>
      <c r="Q102" s="40"/>
      <c r="R102" s="177"/>
      <c r="T102" s="40"/>
    </row>
    <row r="103" spans="2:21" s="42" customFormat="1" ht="15">
      <c r="B103" s="181"/>
      <c r="C103" s="181"/>
      <c r="D103" s="41"/>
      <c r="M103" s="40"/>
      <c r="P103" s="40"/>
      <c r="Q103" s="40"/>
      <c r="R103" s="177"/>
      <c r="T103" s="40"/>
    </row>
    <row r="104" spans="2:21" s="42" customFormat="1" ht="15">
      <c r="B104" s="181"/>
      <c r="C104" s="181"/>
      <c r="D104" s="41"/>
      <c r="M104" s="40"/>
      <c r="P104" s="40"/>
      <c r="Q104" s="40"/>
      <c r="R104" s="177"/>
      <c r="T104" s="40"/>
    </row>
    <row r="105" spans="2:21" s="42" customFormat="1">
      <c r="D105" s="41"/>
      <c r="M105" s="40"/>
      <c r="P105" s="40"/>
      <c r="Q105" s="40"/>
      <c r="R105" s="177"/>
      <c r="T105" s="40"/>
    </row>
    <row r="106" spans="2:21" s="42" customFormat="1" ht="15">
      <c r="B106" s="181"/>
      <c r="C106" s="181"/>
      <c r="D106" s="184"/>
      <c r="M106" s="40"/>
      <c r="P106" s="40"/>
      <c r="Q106" s="40"/>
      <c r="R106" s="177"/>
      <c r="T106" s="40"/>
    </row>
    <row r="107" spans="2:21" s="42" customFormat="1">
      <c r="D107" s="41"/>
      <c r="M107" s="40"/>
      <c r="P107" s="40"/>
      <c r="Q107" s="40"/>
      <c r="R107" s="177"/>
      <c r="T107" s="40"/>
    </row>
    <row r="108" spans="2:21" s="42" customFormat="1" ht="15">
      <c r="B108" s="188"/>
      <c r="C108" s="188"/>
      <c r="D108" s="189"/>
      <c r="E108" s="188"/>
      <c r="F108" s="188"/>
      <c r="G108" s="188"/>
      <c r="H108" s="188"/>
      <c r="I108" s="188"/>
      <c r="J108" s="188"/>
      <c r="K108" s="188"/>
      <c r="L108" s="188"/>
      <c r="M108" s="188"/>
      <c r="N108" s="188"/>
      <c r="O108" s="190"/>
      <c r="P108" s="190"/>
      <c r="Q108" s="190"/>
      <c r="R108" s="191"/>
      <c r="S108" s="190"/>
      <c r="T108" s="190"/>
      <c r="U108" s="192"/>
    </row>
    <row r="109" spans="2:21" s="42" customFormat="1">
      <c r="D109" s="41"/>
      <c r="E109" s="40"/>
      <c r="F109" s="40"/>
      <c r="G109" s="40"/>
      <c r="H109" s="40"/>
      <c r="I109" s="40"/>
      <c r="J109" s="40"/>
      <c r="K109" s="40"/>
      <c r="M109" s="40"/>
      <c r="O109" s="40"/>
      <c r="P109" s="40"/>
      <c r="Q109" s="176"/>
      <c r="R109" s="177"/>
      <c r="T109" s="40"/>
    </row>
    <row r="110" spans="2:21" s="42" customFormat="1">
      <c r="D110" s="40"/>
      <c r="E110" s="40"/>
      <c r="F110" s="40"/>
      <c r="G110" s="40"/>
      <c r="H110" s="40"/>
      <c r="I110" s="40"/>
      <c r="J110" s="40"/>
      <c r="K110" s="40"/>
      <c r="M110" s="40"/>
      <c r="N110" s="40"/>
      <c r="O110" s="175"/>
      <c r="P110" s="40"/>
      <c r="Q110" s="40"/>
      <c r="R110" s="177"/>
      <c r="T110" s="40"/>
    </row>
    <row r="111" spans="2:21" s="42" customFormat="1">
      <c r="D111" s="40"/>
      <c r="E111" s="40"/>
      <c r="F111" s="40"/>
      <c r="G111" s="40"/>
      <c r="H111" s="40"/>
      <c r="I111" s="40"/>
      <c r="J111" s="40"/>
      <c r="K111" s="40"/>
      <c r="M111" s="40"/>
      <c r="N111" s="40"/>
      <c r="O111" s="175"/>
      <c r="P111" s="40"/>
      <c r="Q111" s="40"/>
      <c r="R111" s="177"/>
      <c r="T111" s="40"/>
    </row>
    <row r="112" spans="2:21">
      <c r="R112" s="83"/>
    </row>
    <row r="113" spans="18:18">
      <c r="R113" s="83"/>
    </row>
    <row r="114" spans="18:18">
      <c r="R114" s="83"/>
    </row>
    <row r="115" spans="18:18">
      <c r="R115" s="83"/>
    </row>
    <row r="116" spans="18:18">
      <c r="R116" s="83"/>
    </row>
  </sheetData>
  <mergeCells count="1">
    <mergeCell ref="B1:J1"/>
  </mergeCells>
  <phoneticPr fontId="14" type="noConversion"/>
  <pageMargins left="0.69930555555555596" right="0.69930555555555596"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1"/>
  <sheetViews>
    <sheetView topLeftCell="A4" workbookViewId="0">
      <selection activeCell="F36" sqref="F36"/>
    </sheetView>
  </sheetViews>
  <sheetFormatPr defaultColWidth="8.85546875" defaultRowHeight="12.75"/>
  <cols>
    <col min="1" max="1" width="10.28515625" customWidth="1"/>
    <col min="2" max="2" width="47.140625" style="35" customWidth="1"/>
    <col min="3" max="3" width="20.140625" style="36" customWidth="1"/>
    <col min="4" max="4" width="10.140625" style="35" customWidth="1"/>
    <col min="5" max="6" width="8.85546875" style="35"/>
    <col min="7" max="7" width="10.140625" customWidth="1"/>
    <col min="8" max="8" width="11.140625" customWidth="1"/>
    <col min="9" max="9" width="10.140625" customWidth="1"/>
    <col min="12" max="13" width="11.140625" style="35" customWidth="1"/>
    <col min="14" max="14" width="8.85546875" style="35"/>
    <col min="18" max="18" width="15.140625" customWidth="1"/>
  </cols>
  <sheetData>
    <row r="1" spans="1:18">
      <c r="B1" s="236" t="s">
        <v>304</v>
      </c>
      <c r="C1" s="236"/>
      <c r="D1" s="236"/>
      <c r="E1" s="236"/>
      <c r="F1" s="236"/>
      <c r="G1" s="236"/>
      <c r="H1" s="236"/>
      <c r="I1" s="236"/>
      <c r="J1" s="236"/>
    </row>
    <row r="2" spans="1:18" ht="15">
      <c r="B2" s="37" t="s">
        <v>252</v>
      </c>
    </row>
    <row r="3" spans="1:18" ht="15">
      <c r="B3" s="37" t="s">
        <v>305</v>
      </c>
    </row>
    <row r="5" spans="1:18" ht="15">
      <c r="B5" s="37" t="s">
        <v>258</v>
      </c>
      <c r="C5" s="36">
        <v>52</v>
      </c>
    </row>
    <row r="7" spans="1:18" ht="45.75" customHeight="1" thickBot="1">
      <c r="B7" s="38"/>
      <c r="C7" s="39"/>
      <c r="D7" s="38" t="s">
        <v>224</v>
      </c>
      <c r="E7" s="38" t="s">
        <v>237</v>
      </c>
      <c r="F7" s="38" t="s">
        <v>239</v>
      </c>
      <c r="G7" s="38"/>
      <c r="H7" s="38"/>
      <c r="I7" s="51"/>
      <c r="J7" s="38"/>
      <c r="K7" s="38"/>
      <c r="L7" s="51" t="s">
        <v>263</v>
      </c>
      <c r="M7" s="51" t="s">
        <v>264</v>
      </c>
      <c r="N7" s="51" t="s">
        <v>265</v>
      </c>
      <c r="O7" s="52" t="s">
        <v>266</v>
      </c>
      <c r="P7" s="52" t="s">
        <v>267</v>
      </c>
      <c r="Q7" s="63" t="s">
        <v>268</v>
      </c>
      <c r="R7" s="64" t="s">
        <v>269</v>
      </c>
    </row>
    <row r="8" spans="1:18" ht="13.5" thickTop="1">
      <c r="A8">
        <v>1</v>
      </c>
      <c r="B8" s="40" t="s">
        <v>11</v>
      </c>
      <c r="C8" s="41"/>
      <c r="D8" s="40">
        <f>24*(C5-3)*1+24*C5*9</f>
        <v>12408</v>
      </c>
      <c r="E8" s="40">
        <f>2*12*C5</f>
        <v>1248</v>
      </c>
      <c r="F8" s="40">
        <f>12*14*3*1+12*2*1*9</f>
        <v>720</v>
      </c>
      <c r="G8" s="40"/>
      <c r="H8" s="40"/>
      <c r="I8" s="40"/>
      <c r="J8" s="40"/>
      <c r="K8" s="43"/>
      <c r="L8" s="44">
        <f>12*C5*14*10</f>
        <v>87360</v>
      </c>
      <c r="M8" s="44">
        <f>SUM(D8:F8)</f>
        <v>14376</v>
      </c>
      <c r="N8" s="54">
        <f t="shared" ref="N8:N10" si="0">100*M8/L8</f>
        <v>16.456043956043956</v>
      </c>
      <c r="O8" s="45">
        <v>87360</v>
      </c>
      <c r="P8" s="45">
        <v>14376</v>
      </c>
      <c r="Q8" s="66">
        <v>16.456043956043999</v>
      </c>
      <c r="R8" s="65">
        <f t="shared" ref="R8:R10" si="1">(1-Q8/100)/(1-N8/100)</f>
        <v>0.99999999999999944</v>
      </c>
    </row>
    <row r="9" spans="1:18" s="34" customFormat="1" ht="14.25">
      <c r="A9">
        <v>2</v>
      </c>
      <c r="B9" s="40" t="s">
        <v>5</v>
      </c>
      <c r="C9" s="41"/>
      <c r="D9" s="40">
        <f>8*(C5-2)*10</f>
        <v>4000</v>
      </c>
      <c r="E9" s="40">
        <f>2*12*C5</f>
        <v>1248</v>
      </c>
      <c r="F9" s="40">
        <f>2*12*(14*8+12*2)</f>
        <v>3264</v>
      </c>
      <c r="G9" s="42"/>
      <c r="H9" s="42"/>
      <c r="I9" s="40"/>
      <c r="J9" s="42"/>
      <c r="L9" s="44">
        <f>12*C5*14*10</f>
        <v>87360</v>
      </c>
      <c r="M9" s="44">
        <f>SUM(D9:F9)</f>
        <v>8512</v>
      </c>
      <c r="N9" s="54">
        <f t="shared" si="0"/>
        <v>9.7435897435897427</v>
      </c>
      <c r="O9" s="45">
        <f t="shared" ref="O9" si="2">L9</f>
        <v>87360</v>
      </c>
      <c r="P9" s="45">
        <f>D9+E9+12*3*14*2+12*1*2*8</f>
        <v>6448</v>
      </c>
      <c r="Q9" s="53">
        <f t="shared" ref="Q9:Q10" si="3">100*P9/O9</f>
        <v>7.3809523809523814</v>
      </c>
      <c r="R9" s="65">
        <f t="shared" si="1"/>
        <v>1.026176948051948</v>
      </c>
    </row>
    <row r="10" spans="1:18" s="57" customFormat="1" ht="13.5" customHeight="1">
      <c r="A10" s="57">
        <v>3</v>
      </c>
      <c r="B10" s="196" t="s">
        <v>389</v>
      </c>
      <c r="C10" s="197"/>
      <c r="D10" s="196">
        <f>8*(C5-3)*2+8*C5*8</f>
        <v>4112</v>
      </c>
      <c r="E10" s="198">
        <f>2*12*C5*2</f>
        <v>2496</v>
      </c>
      <c r="F10" s="196">
        <f>3*12*14*2+1*12*2*8</f>
        <v>1200</v>
      </c>
      <c r="G10" s="199"/>
      <c r="H10" s="199"/>
      <c r="I10" s="199"/>
      <c r="J10" s="199"/>
      <c r="K10" s="199"/>
      <c r="L10" s="198">
        <f>12*C5*14*10</f>
        <v>87360</v>
      </c>
      <c r="M10" s="198">
        <f>SUM(D10:F10)</f>
        <v>7808</v>
      </c>
      <c r="N10" s="200">
        <f t="shared" si="0"/>
        <v>8.937728937728938</v>
      </c>
      <c r="O10" s="45">
        <f>L10</f>
        <v>87360</v>
      </c>
      <c r="P10" s="199">
        <f>M10</f>
        <v>7808</v>
      </c>
      <c r="Q10" s="53">
        <f t="shared" si="3"/>
        <v>8.937728937728938</v>
      </c>
      <c r="R10" s="201">
        <f t="shared" si="1"/>
        <v>1</v>
      </c>
    </row>
    <row r="11" spans="1:18">
      <c r="L11" s="56"/>
      <c r="M11" s="56"/>
      <c r="N11" s="56"/>
      <c r="O11" s="57"/>
      <c r="P11" s="57"/>
      <c r="Q11" s="57"/>
    </row>
    <row r="12" spans="1:18">
      <c r="L12" s="56"/>
      <c r="M12" s="56"/>
      <c r="N12" s="56"/>
      <c r="O12" s="57"/>
      <c r="P12" s="57"/>
      <c r="Q12" s="57"/>
    </row>
    <row r="13" spans="1:18" ht="15">
      <c r="B13" s="37" t="s">
        <v>279</v>
      </c>
      <c r="L13" s="56"/>
      <c r="M13" s="56"/>
      <c r="N13" s="56"/>
      <c r="O13" s="57"/>
      <c r="P13" s="57"/>
      <c r="Q13" s="57"/>
    </row>
    <row r="14" spans="1:18" ht="15">
      <c r="B14" s="37" t="s">
        <v>280</v>
      </c>
      <c r="L14" s="56"/>
      <c r="M14" s="56"/>
      <c r="N14" s="56"/>
      <c r="O14" s="57"/>
      <c r="P14" s="57"/>
      <c r="Q14" s="57"/>
    </row>
    <row r="15" spans="1:18">
      <c r="L15" s="56"/>
      <c r="M15" s="56"/>
      <c r="N15" s="56"/>
      <c r="O15" s="57"/>
      <c r="P15" s="57"/>
      <c r="Q15" s="57"/>
    </row>
    <row r="16" spans="1:18" ht="15">
      <c r="B16" s="37" t="s">
        <v>258</v>
      </c>
      <c r="C16" s="36">
        <v>106</v>
      </c>
      <c r="L16" s="56"/>
      <c r="M16" s="56"/>
      <c r="N16" s="56"/>
      <c r="O16" s="57"/>
      <c r="P16" s="57"/>
      <c r="Q16" s="57"/>
    </row>
    <row r="17" spans="1:18">
      <c r="L17" s="56"/>
      <c r="M17" s="56"/>
      <c r="N17" s="56"/>
      <c r="O17" s="57"/>
      <c r="P17" s="57"/>
      <c r="Q17" s="57"/>
    </row>
    <row r="18" spans="1:18" ht="45.75" thickBot="1">
      <c r="B18" s="38"/>
      <c r="C18" s="39" t="s">
        <v>282</v>
      </c>
      <c r="D18" s="38" t="s">
        <v>224</v>
      </c>
      <c r="E18" s="38" t="s">
        <v>237</v>
      </c>
      <c r="F18" s="38" t="s">
        <v>239</v>
      </c>
      <c r="G18" s="38" t="s">
        <v>283</v>
      </c>
      <c r="H18" s="38"/>
      <c r="I18" s="51"/>
      <c r="J18" s="38"/>
      <c r="K18" s="38"/>
      <c r="L18" s="58" t="s">
        <v>263</v>
      </c>
      <c r="M18" s="58" t="s">
        <v>264</v>
      </c>
      <c r="N18" s="58" t="s">
        <v>265</v>
      </c>
      <c r="O18" s="59" t="s">
        <v>266</v>
      </c>
      <c r="P18" s="59" t="s">
        <v>267</v>
      </c>
      <c r="Q18" s="67" t="s">
        <v>268</v>
      </c>
      <c r="R18" s="64" t="s">
        <v>269</v>
      </c>
    </row>
    <row r="19" spans="1:18" ht="13.5" thickTop="1">
      <c r="A19">
        <v>1</v>
      </c>
      <c r="B19" s="43" t="s">
        <v>11</v>
      </c>
      <c r="C19" s="46" t="s">
        <v>289</v>
      </c>
      <c r="D19" s="43">
        <f>24*(C16-3)*1+24*C16*3</f>
        <v>10104</v>
      </c>
      <c r="E19" s="43">
        <f>2*12*C16</f>
        <v>2544</v>
      </c>
      <c r="F19" s="43">
        <f>12*14*3*1+12*2*1*3</f>
        <v>576</v>
      </c>
      <c r="G19" s="43">
        <f>12*C16</f>
        <v>1272</v>
      </c>
      <c r="H19" s="43"/>
      <c r="I19" s="40"/>
      <c r="J19" s="43"/>
      <c r="K19" s="43"/>
      <c r="L19" s="44">
        <v>77592</v>
      </c>
      <c r="M19" s="44">
        <v>14496</v>
      </c>
      <c r="N19" s="54">
        <v>18.682338385400602</v>
      </c>
      <c r="O19" s="45">
        <f>12*14*C16*4+12*2*C16*2+12*C16</f>
        <v>77592</v>
      </c>
      <c r="P19" s="45">
        <f>SUM(D19:G19)</f>
        <v>14496</v>
      </c>
      <c r="Q19" s="68">
        <f>100*P19/O19</f>
        <v>18.682338385400556</v>
      </c>
      <c r="R19" s="65">
        <f t="shared" ref="R19:R20" si="4">(1-Q19/100)/(1-N19/100)</f>
        <v>1.0000000000000004</v>
      </c>
    </row>
    <row r="20" spans="1:18">
      <c r="A20">
        <v>2</v>
      </c>
      <c r="B20" s="43" t="s">
        <v>5</v>
      </c>
      <c r="C20" s="43" t="s">
        <v>292</v>
      </c>
      <c r="D20" s="43">
        <f>8*(C16-4)*2</f>
        <v>1632</v>
      </c>
      <c r="E20" s="43">
        <f>2*12*C16*2</f>
        <v>5088</v>
      </c>
      <c r="F20" s="43">
        <f>4*12*14*2</f>
        <v>1344</v>
      </c>
      <c r="G20" s="43">
        <f>2*12*C16</f>
        <v>2544</v>
      </c>
      <c r="H20" s="34"/>
      <c r="I20" s="40"/>
      <c r="J20" s="34"/>
      <c r="K20" s="34"/>
      <c r="L20" s="44">
        <f>C16*12*(14+2)*2</f>
        <v>40704</v>
      </c>
      <c r="M20" s="44">
        <f>SUM(D20:F20)</f>
        <v>8064</v>
      </c>
      <c r="N20" s="54">
        <f>100*M20/L20</f>
        <v>19.811320754716981</v>
      </c>
      <c r="O20" s="45">
        <f>L20+G20</f>
        <v>43248</v>
      </c>
      <c r="P20" s="45">
        <f>SUM(D20,E20,G20)+12*14*3*2</f>
        <v>10272</v>
      </c>
      <c r="Q20" s="68">
        <f>100*P20/O20</f>
        <v>23.751387347391788</v>
      </c>
      <c r="R20" s="65">
        <f t="shared" si="4"/>
        <v>0.95086505190311421</v>
      </c>
    </row>
    <row r="21" spans="1:18" ht="15">
      <c r="B21" s="37" t="s">
        <v>279</v>
      </c>
    </row>
    <row r="22" spans="1:18" ht="15">
      <c r="B22" s="37" t="s">
        <v>295</v>
      </c>
    </row>
    <row r="24" spans="1:18" ht="15">
      <c r="B24" s="37" t="s">
        <v>258</v>
      </c>
      <c r="C24" s="36">
        <v>51</v>
      </c>
    </row>
    <row r="26" spans="1:18" ht="45">
      <c r="B26" s="38"/>
      <c r="C26" s="39" t="s">
        <v>282</v>
      </c>
      <c r="D26" s="38" t="s">
        <v>224</v>
      </c>
      <c r="E26" s="38" t="s">
        <v>237</v>
      </c>
      <c r="F26" s="38" t="s">
        <v>239</v>
      </c>
      <c r="G26" s="38" t="s">
        <v>283</v>
      </c>
      <c r="H26" s="38"/>
      <c r="I26" s="38"/>
      <c r="J26" s="38"/>
      <c r="K26" s="38"/>
      <c r="L26" s="51" t="s">
        <v>263</v>
      </c>
      <c r="M26" s="51" t="s">
        <v>264</v>
      </c>
      <c r="N26" s="51" t="s">
        <v>265</v>
      </c>
      <c r="O26" s="52" t="s">
        <v>266</v>
      </c>
      <c r="P26" s="52" t="s">
        <v>267</v>
      </c>
      <c r="Q26" s="63" t="s">
        <v>268</v>
      </c>
      <c r="R26" s="64" t="s">
        <v>269</v>
      </c>
    </row>
    <row r="27" spans="1:18" ht="15">
      <c r="A27">
        <v>1</v>
      </c>
      <c r="B27" s="47" t="s">
        <v>19</v>
      </c>
      <c r="C27" s="48" t="s">
        <v>287</v>
      </c>
      <c r="D27" s="49">
        <f>4*2*(C24-4)*6*2</f>
        <v>4512</v>
      </c>
      <c r="E27" s="49">
        <f>12*2*(C24-4)*2</f>
        <v>2256</v>
      </c>
      <c r="F27" s="49">
        <f>(4*12*14*4)*2+(4*12*6*2)*2</f>
        <v>6528</v>
      </c>
      <c r="G27" s="43">
        <f>12*C24*2*2</f>
        <v>2448</v>
      </c>
      <c r="H27" s="49"/>
      <c r="I27" s="49"/>
      <c r="J27" s="49"/>
      <c r="K27" s="49"/>
      <c r="L27" s="49">
        <f>C24*2*(12*14*4+12*6*2)</f>
        <v>83232</v>
      </c>
      <c r="M27" s="60">
        <f>SUM(D27:F27)</f>
        <v>13296</v>
      </c>
      <c r="N27" s="61">
        <f t="shared" ref="N27" si="5">100*M27/L27</f>
        <v>15.974625144175317</v>
      </c>
      <c r="O27" s="34">
        <f>L27+G27</f>
        <v>85680</v>
      </c>
      <c r="P27" s="34">
        <f>SUM(D27,E27,G27)+(12*14*3*1+12*2*1*3)*2</f>
        <v>10368</v>
      </c>
      <c r="Q27" s="69">
        <f>100*P27/O27</f>
        <v>12.100840336134453</v>
      </c>
      <c r="R27" s="65">
        <f>(1-Q27/100)/(1-N27/100)</f>
        <v>1.0461025590744191</v>
      </c>
    </row>
    <row r="28" spans="1:18">
      <c r="A28">
        <v>2</v>
      </c>
      <c r="B28" s="43" t="s">
        <v>11</v>
      </c>
      <c r="C28" s="46" t="s">
        <v>289</v>
      </c>
      <c r="D28" s="43">
        <f>(24*(C24-3)*1+24*C24*3)*2</f>
        <v>9648</v>
      </c>
      <c r="E28" s="43">
        <f>2*12*C24*2</f>
        <v>2448</v>
      </c>
      <c r="F28" s="43">
        <f>(12*14*3*1+12*2*1*3)*2</f>
        <v>1152</v>
      </c>
      <c r="G28" s="43">
        <f>12*C24*2</f>
        <v>1224</v>
      </c>
      <c r="H28" s="43"/>
      <c r="I28" s="49"/>
      <c r="J28" s="43"/>
      <c r="K28" s="43"/>
      <c r="L28" s="43">
        <v>74664</v>
      </c>
      <c r="M28" s="43">
        <v>14472</v>
      </c>
      <c r="N28" s="62">
        <v>19.382835101253601</v>
      </c>
      <c r="O28" s="34">
        <f>12*14*C24*4*2+12*2*C24*2*2+12*C24*2</f>
        <v>74664</v>
      </c>
      <c r="P28" s="34">
        <f>SUM(D28:G28)</f>
        <v>14472</v>
      </c>
      <c r="Q28" s="70">
        <f>100*P28/O28</f>
        <v>19.382835101253615</v>
      </c>
      <c r="R28" s="65">
        <f t="shared" ref="R28:R31" si="6">(1-Q28/100)/(1-N28/100)</f>
        <v>0.99999999999999989</v>
      </c>
    </row>
    <row r="29" spans="1:18">
      <c r="A29">
        <v>3</v>
      </c>
      <c r="B29" s="43" t="s">
        <v>5</v>
      </c>
      <c r="C29" s="43" t="s">
        <v>292</v>
      </c>
      <c r="D29" s="43">
        <f>8*(C24-2)*2*2</f>
        <v>1568</v>
      </c>
      <c r="E29" s="43">
        <f>2*12*C24*2*2</f>
        <v>4896</v>
      </c>
      <c r="F29" s="43">
        <f>2*12*14*4</f>
        <v>1344</v>
      </c>
      <c r="G29" s="43">
        <f>12*C24*2*2</f>
        <v>2448</v>
      </c>
      <c r="H29" s="34"/>
      <c r="I29" s="40"/>
      <c r="J29" s="34"/>
      <c r="K29" s="34"/>
      <c r="L29" s="43">
        <f>C24*12*(14+2)*4</f>
        <v>39168</v>
      </c>
      <c r="M29" s="43">
        <f>SUM(D29:F29)</f>
        <v>7808</v>
      </c>
      <c r="N29" s="62">
        <f>100*M29/L29</f>
        <v>19.934640522875817</v>
      </c>
      <c r="O29" s="34">
        <f>L29+G29</f>
        <v>41616</v>
      </c>
      <c r="P29" s="34">
        <f>SUM(D29,E29,G29)+(12*14*3*2)*2</f>
        <v>10928</v>
      </c>
      <c r="Q29" s="69">
        <f>100*P29/O29</f>
        <v>26.259131103421762</v>
      </c>
      <c r="R29" s="65">
        <f t="shared" si="6"/>
        <v>0.92100840336134449</v>
      </c>
    </row>
    <row r="30" spans="1:18">
      <c r="A30">
        <v>4</v>
      </c>
      <c r="B30" s="43" t="s">
        <v>19</v>
      </c>
      <c r="C30" s="49" t="s">
        <v>294</v>
      </c>
      <c r="D30" s="49">
        <f>4*2*(C24-4)*4*2</f>
        <v>3008</v>
      </c>
      <c r="E30" s="49">
        <f>12*(C24-4)*2*2</f>
        <v>2256</v>
      </c>
      <c r="F30" s="49">
        <f>(4*12*14*2)*2+(4*12*2*2)*2</f>
        <v>3072</v>
      </c>
      <c r="G30" s="43">
        <f>12*C24*2*2</f>
        <v>2448</v>
      </c>
      <c r="H30" s="49"/>
      <c r="I30" s="49"/>
      <c r="J30" s="49"/>
      <c r="K30" s="49"/>
      <c r="L30" s="49">
        <f>C24*2*(12*14*2+12*2*2)</f>
        <v>39168</v>
      </c>
      <c r="M30" s="49">
        <f>SUM(D30:F30)</f>
        <v>8336</v>
      </c>
      <c r="N30" s="49">
        <f t="shared" ref="N30:N31" si="7">100*M30/L30</f>
        <v>21.282679738562091</v>
      </c>
      <c r="O30" s="34">
        <f>L30+G30</f>
        <v>41616</v>
      </c>
      <c r="P30" s="34">
        <f>SUM(D30,E30,G30)+(12*14*3*1+12*2)*2</f>
        <v>8768</v>
      </c>
      <c r="Q30" s="69">
        <f>100*P30/O30</f>
        <v>21.068819684736638</v>
      </c>
      <c r="R30" s="65">
        <f t="shared" si="6"/>
        <v>1.0027168106474558</v>
      </c>
    </row>
    <row r="31" spans="1:18" s="57" customFormat="1">
      <c r="A31" s="57">
        <v>5</v>
      </c>
      <c r="B31" s="56" t="s">
        <v>389</v>
      </c>
      <c r="C31" s="43" t="s">
        <v>302</v>
      </c>
      <c r="D31" s="56">
        <f>8*(C24-3)*4</f>
        <v>1536</v>
      </c>
      <c r="E31" s="56">
        <f>2*12*C24*4</f>
        <v>4896</v>
      </c>
      <c r="F31" s="56">
        <f>3*12*14*4</f>
        <v>2016</v>
      </c>
      <c r="G31" s="44">
        <f>12*C24*1/2*4</f>
        <v>1224</v>
      </c>
      <c r="L31" s="56">
        <f>12*C24*4*(14+2)</f>
        <v>39168</v>
      </c>
      <c r="M31" s="202">
        <f>SUM(D31:F31)</f>
        <v>8448</v>
      </c>
      <c r="N31" s="202">
        <f t="shared" si="7"/>
        <v>21.568627450980394</v>
      </c>
      <c r="O31" s="45">
        <f>L31+G31</f>
        <v>40392</v>
      </c>
      <c r="P31" s="57">
        <f>SUM(D31:G31)</f>
        <v>9672</v>
      </c>
      <c r="Q31" s="68">
        <f>100*P31/O31</f>
        <v>23.945335710041594</v>
      </c>
      <c r="R31" s="201">
        <f t="shared" si="6"/>
        <v>0.96969696969696972</v>
      </c>
    </row>
    <row r="32" spans="1:18">
      <c r="B32"/>
      <c r="D32"/>
      <c r="E32"/>
      <c r="F32"/>
      <c r="L32"/>
      <c r="M32"/>
      <c r="N32"/>
    </row>
    <row r="33" spans="2:18" s="42" customFormat="1" ht="15">
      <c r="B33" s="181"/>
      <c r="C33" s="41"/>
    </row>
    <row r="34" spans="2:18" s="42" customFormat="1" ht="15">
      <c r="B34" s="181"/>
      <c r="C34" s="41"/>
    </row>
    <row r="35" spans="2:18" s="42" customFormat="1">
      <c r="C35" s="41"/>
    </row>
    <row r="36" spans="2:18" s="42" customFormat="1" ht="15">
      <c r="B36" s="181"/>
      <c r="C36" s="41"/>
    </row>
    <row r="37" spans="2:18" s="42" customFormat="1">
      <c r="C37" s="41"/>
    </row>
    <row r="38" spans="2:18" s="42" customFormat="1" ht="15">
      <c r="B38" s="188"/>
      <c r="C38" s="189"/>
      <c r="D38" s="188"/>
      <c r="E38" s="188"/>
      <c r="F38" s="188"/>
      <c r="G38" s="188"/>
      <c r="H38" s="188"/>
      <c r="I38" s="188"/>
      <c r="J38" s="188"/>
      <c r="K38" s="188"/>
      <c r="L38" s="190"/>
      <c r="M38" s="190"/>
      <c r="N38" s="190"/>
      <c r="O38" s="190"/>
      <c r="P38" s="190"/>
      <c r="Q38" s="192"/>
      <c r="R38" s="192"/>
    </row>
    <row r="39" spans="2:18" s="42" customFormat="1">
      <c r="B39" s="40"/>
      <c r="C39" s="41"/>
      <c r="D39" s="40"/>
      <c r="E39" s="40"/>
      <c r="F39" s="40"/>
      <c r="G39" s="40"/>
      <c r="H39" s="40"/>
      <c r="L39" s="40"/>
      <c r="M39" s="40"/>
      <c r="N39" s="176"/>
      <c r="Q39" s="193"/>
      <c r="R39" s="175"/>
    </row>
    <row r="40" spans="2:18" s="42" customFormat="1">
      <c r="B40" s="40"/>
      <c r="C40" s="41"/>
      <c r="D40" s="40"/>
      <c r="E40" s="40"/>
      <c r="F40" s="40"/>
      <c r="G40" s="40"/>
      <c r="H40" s="40"/>
      <c r="L40" s="40"/>
      <c r="M40" s="40"/>
      <c r="N40" s="176"/>
      <c r="Q40" s="194"/>
      <c r="R40" s="175"/>
    </row>
    <row r="41" spans="2:18" s="42" customFormat="1">
      <c r="C41" s="41"/>
    </row>
    <row r="42" spans="2:18" s="42" customFormat="1">
      <c r="C42" s="41"/>
    </row>
    <row r="43" spans="2:18" s="42" customFormat="1">
      <c r="C43" s="41"/>
    </row>
    <row r="44" spans="2:18" s="42" customFormat="1">
      <c r="C44" s="41"/>
    </row>
    <row r="45" spans="2:18" s="42" customFormat="1">
      <c r="C45" s="41"/>
    </row>
    <row r="46" spans="2:18" s="42" customFormat="1">
      <c r="C46" s="41"/>
    </row>
    <row r="47" spans="2:18" s="42" customFormat="1" ht="15">
      <c r="B47" s="181"/>
      <c r="C47" s="41"/>
    </row>
    <row r="48" spans="2:18" s="42" customFormat="1" ht="15">
      <c r="B48" s="181"/>
      <c r="C48" s="41"/>
    </row>
    <row r="49" spans="2:18" s="42" customFormat="1">
      <c r="C49" s="41"/>
    </row>
    <row r="50" spans="2:18" s="42" customFormat="1" ht="15">
      <c r="B50" s="181"/>
      <c r="C50" s="41"/>
    </row>
    <row r="51" spans="2:18" s="42" customFormat="1">
      <c r="C51" s="41"/>
    </row>
    <row r="52" spans="2:18" s="42" customFormat="1" ht="15">
      <c r="B52" s="188"/>
      <c r="C52" s="189"/>
      <c r="D52" s="188"/>
      <c r="E52" s="188"/>
      <c r="F52" s="188"/>
      <c r="G52" s="188"/>
      <c r="H52" s="188"/>
      <c r="I52" s="188"/>
      <c r="J52" s="188"/>
      <c r="K52" s="188"/>
      <c r="L52" s="190"/>
      <c r="M52" s="190"/>
      <c r="N52" s="190"/>
      <c r="O52" s="190"/>
      <c r="P52" s="190"/>
      <c r="Q52" s="192"/>
      <c r="R52" s="192"/>
    </row>
    <row r="53" spans="2:18" s="42" customFormat="1">
      <c r="B53" s="40"/>
      <c r="C53" s="41"/>
      <c r="D53" s="40"/>
      <c r="E53" s="40"/>
      <c r="F53" s="40"/>
      <c r="G53" s="40"/>
      <c r="H53" s="40"/>
      <c r="L53" s="40"/>
      <c r="M53" s="40"/>
      <c r="N53" s="176"/>
      <c r="Q53" s="193"/>
      <c r="R53" s="175"/>
    </row>
    <row r="54" spans="2:18" s="42" customFormat="1">
      <c r="B54" s="40"/>
      <c r="C54" s="41"/>
      <c r="D54" s="40"/>
      <c r="E54" s="40"/>
      <c r="F54" s="40"/>
      <c r="G54" s="40"/>
      <c r="H54" s="40"/>
      <c r="L54" s="40"/>
      <c r="M54" s="40"/>
      <c r="N54" s="176"/>
      <c r="Q54" s="194"/>
      <c r="R54" s="175"/>
    </row>
    <row r="55" spans="2:18" s="42" customFormat="1">
      <c r="B55" s="40"/>
      <c r="C55" s="41"/>
      <c r="D55" s="40"/>
      <c r="E55" s="40"/>
      <c r="F55" s="40"/>
      <c r="L55" s="40"/>
      <c r="M55" s="40"/>
      <c r="N55" s="40"/>
    </row>
    <row r="56" spans="2:18" s="42" customFormat="1">
      <c r="B56" s="40"/>
      <c r="C56" s="41"/>
      <c r="D56" s="40"/>
      <c r="E56" s="40"/>
      <c r="F56" s="40"/>
      <c r="L56" s="40"/>
      <c r="M56" s="40"/>
      <c r="N56" s="40"/>
    </row>
    <row r="57" spans="2:18" s="42" customFormat="1">
      <c r="B57" s="40"/>
      <c r="C57" s="41"/>
      <c r="D57" s="40"/>
      <c r="E57" s="40"/>
      <c r="F57" s="40"/>
      <c r="L57" s="40"/>
      <c r="M57" s="40"/>
      <c r="N57" s="40"/>
    </row>
    <row r="58" spans="2:18" s="42" customFormat="1" ht="15">
      <c r="B58" s="181"/>
      <c r="C58" s="41"/>
    </row>
    <row r="59" spans="2:18" s="42" customFormat="1" ht="15">
      <c r="B59" s="181"/>
      <c r="C59" s="41"/>
    </row>
    <row r="60" spans="2:18" s="42" customFormat="1">
      <c r="C60" s="41"/>
    </row>
    <row r="61" spans="2:18" s="42" customFormat="1" ht="15">
      <c r="B61" s="181"/>
      <c r="C61" s="195"/>
    </row>
    <row r="62" spans="2:18" s="42" customFormat="1">
      <c r="C62" s="41"/>
    </row>
    <row r="63" spans="2:18" s="42" customFormat="1" ht="15">
      <c r="B63" s="188"/>
      <c r="C63" s="189"/>
      <c r="D63" s="188"/>
      <c r="E63" s="188"/>
      <c r="F63" s="188"/>
      <c r="G63" s="188"/>
      <c r="H63" s="188"/>
      <c r="I63" s="188"/>
      <c r="J63" s="188"/>
      <c r="K63" s="188"/>
      <c r="L63" s="190"/>
      <c r="M63" s="190"/>
      <c r="N63" s="190"/>
      <c r="O63" s="190"/>
      <c r="P63" s="190"/>
      <c r="Q63" s="192"/>
      <c r="R63" s="192"/>
    </row>
    <row r="64" spans="2:18" s="42" customFormat="1" ht="15">
      <c r="B64" s="185"/>
      <c r="C64" s="186"/>
      <c r="D64" s="185"/>
      <c r="E64" s="185"/>
      <c r="F64" s="185"/>
      <c r="G64" s="185"/>
      <c r="H64" s="185"/>
      <c r="I64" s="185"/>
      <c r="J64" s="185"/>
      <c r="K64" s="185"/>
      <c r="L64" s="185"/>
      <c r="M64" s="185"/>
      <c r="N64" s="187"/>
    </row>
    <row r="65" spans="2:18" s="42" customFormat="1">
      <c r="C65" s="41"/>
    </row>
    <row r="66" spans="2:18" s="42" customFormat="1">
      <c r="C66" s="41"/>
    </row>
    <row r="67" spans="2:18" s="42" customFormat="1">
      <c r="C67" s="41"/>
    </row>
    <row r="68" spans="2:18" s="42" customFormat="1">
      <c r="C68" s="41"/>
    </row>
    <row r="69" spans="2:18" s="42" customFormat="1">
      <c r="C69" s="41"/>
    </row>
    <row r="70" spans="2:18" s="42" customFormat="1">
      <c r="C70" s="41"/>
    </row>
    <row r="71" spans="2:18" s="42" customFormat="1" ht="15">
      <c r="B71" s="181"/>
      <c r="C71" s="41"/>
    </row>
    <row r="72" spans="2:18" s="42" customFormat="1" ht="15">
      <c r="B72" s="181"/>
      <c r="C72" s="41"/>
    </row>
    <row r="73" spans="2:18" s="42" customFormat="1">
      <c r="C73" s="41"/>
    </row>
    <row r="74" spans="2:18" s="42" customFormat="1" ht="15">
      <c r="B74" s="181"/>
      <c r="C74" s="195"/>
    </row>
    <row r="75" spans="2:18" s="42" customFormat="1">
      <c r="C75" s="41"/>
    </row>
    <row r="76" spans="2:18" s="42" customFormat="1" ht="15">
      <c r="B76" s="188"/>
      <c r="C76" s="189"/>
      <c r="D76" s="188"/>
      <c r="E76" s="188"/>
      <c r="F76" s="188"/>
      <c r="G76" s="188"/>
      <c r="H76" s="188"/>
      <c r="I76" s="188"/>
      <c r="J76" s="188"/>
      <c r="K76" s="188"/>
      <c r="L76" s="190"/>
      <c r="M76" s="190"/>
      <c r="N76" s="190"/>
      <c r="O76" s="190"/>
      <c r="P76" s="190"/>
      <c r="Q76" s="192"/>
      <c r="R76" s="192"/>
    </row>
    <row r="77" spans="2:18" s="42" customFormat="1">
      <c r="C77" s="41"/>
    </row>
    <row r="78" spans="2:18" s="42" customFormat="1">
      <c r="C78" s="41"/>
    </row>
    <row r="79" spans="2:18" s="42" customFormat="1">
      <c r="C79" s="41"/>
    </row>
    <row r="80" spans="2:18" s="42" customFormat="1" ht="15">
      <c r="B80" s="181"/>
      <c r="C80" s="41"/>
    </row>
    <row r="81" spans="2:18" s="42" customFormat="1" ht="15">
      <c r="B81" s="181"/>
      <c r="C81" s="41"/>
    </row>
    <row r="82" spans="2:18" s="42" customFormat="1">
      <c r="C82" s="41"/>
    </row>
    <row r="83" spans="2:18" s="42" customFormat="1" ht="15">
      <c r="B83" s="181"/>
      <c r="C83" s="195"/>
    </row>
    <row r="84" spans="2:18" s="42" customFormat="1">
      <c r="C84" s="41"/>
    </row>
    <row r="85" spans="2:18" s="42" customFormat="1" ht="15">
      <c r="B85" s="188"/>
      <c r="C85" s="189"/>
      <c r="D85" s="188"/>
      <c r="E85" s="188"/>
      <c r="F85" s="188"/>
      <c r="G85" s="188"/>
      <c r="H85" s="188"/>
      <c r="I85" s="188"/>
      <c r="J85" s="188"/>
      <c r="K85" s="188"/>
      <c r="L85" s="190"/>
      <c r="M85" s="190"/>
      <c r="N85" s="190"/>
      <c r="O85" s="190"/>
      <c r="P85" s="190"/>
      <c r="Q85" s="192"/>
      <c r="R85" s="192"/>
    </row>
    <row r="86" spans="2:18" s="42" customFormat="1">
      <c r="B86" s="40"/>
      <c r="C86" s="41"/>
      <c r="D86" s="40"/>
      <c r="E86" s="40"/>
      <c r="F86" s="40"/>
      <c r="G86" s="40"/>
      <c r="L86" s="40"/>
      <c r="M86" s="40"/>
      <c r="N86" s="176"/>
    </row>
    <row r="87" spans="2:18" s="42" customFormat="1">
      <c r="C87" s="41"/>
    </row>
    <row r="88" spans="2:18" s="42" customFormat="1">
      <c r="C88" s="41"/>
    </row>
    <row r="89" spans="2:18" s="42" customFormat="1">
      <c r="C89" s="41"/>
    </row>
    <row r="90" spans="2:18" s="42" customFormat="1">
      <c r="C90" s="41"/>
    </row>
    <row r="91" spans="2:18" s="42" customFormat="1">
      <c r="C91" s="41"/>
    </row>
    <row r="92" spans="2:18" s="42" customFormat="1">
      <c r="C92" s="41"/>
    </row>
    <row r="93" spans="2:18" s="42" customFormat="1" ht="15">
      <c r="B93" s="181"/>
      <c r="C93" s="41"/>
    </row>
    <row r="94" spans="2:18" s="42" customFormat="1" ht="15">
      <c r="B94" s="181"/>
      <c r="C94" s="41"/>
    </row>
    <row r="95" spans="2:18" s="42" customFormat="1">
      <c r="C95" s="41"/>
    </row>
    <row r="96" spans="2:18" s="42" customFormat="1" ht="15">
      <c r="B96" s="181"/>
      <c r="C96" s="195"/>
    </row>
    <row r="97" spans="2:18" s="42" customFormat="1">
      <c r="C97" s="41"/>
    </row>
    <row r="98" spans="2:18" s="42" customFormat="1" ht="15">
      <c r="B98" s="188"/>
      <c r="C98" s="189"/>
      <c r="D98" s="188"/>
      <c r="E98" s="188"/>
      <c r="F98" s="188"/>
      <c r="G98" s="188"/>
      <c r="H98" s="188"/>
      <c r="I98" s="188"/>
      <c r="J98" s="188"/>
      <c r="K98" s="188"/>
      <c r="L98" s="190"/>
      <c r="M98" s="190"/>
      <c r="N98" s="190"/>
      <c r="O98" s="190"/>
      <c r="P98" s="190"/>
      <c r="Q98" s="192"/>
      <c r="R98" s="192"/>
    </row>
    <row r="99" spans="2:18" s="42" customFormat="1">
      <c r="B99" s="40"/>
      <c r="C99" s="41"/>
      <c r="D99" s="40"/>
      <c r="E99" s="40"/>
      <c r="F99" s="40"/>
      <c r="L99" s="40"/>
      <c r="M99" s="40"/>
      <c r="N99" s="40"/>
    </row>
    <row r="100" spans="2:18" s="42" customFormat="1">
      <c r="B100" s="40"/>
      <c r="C100" s="41"/>
      <c r="D100" s="40"/>
      <c r="E100" s="40"/>
      <c r="F100" s="40"/>
      <c r="L100" s="40"/>
      <c r="M100" s="40"/>
      <c r="N100" s="40"/>
    </row>
    <row r="101" spans="2:18" s="42" customFormat="1">
      <c r="B101" s="40"/>
      <c r="C101" s="41"/>
      <c r="D101" s="40"/>
      <c r="E101" s="40"/>
      <c r="F101" s="40"/>
      <c r="L101" s="40"/>
      <c r="M101" s="40"/>
      <c r="N101" s="40"/>
    </row>
  </sheetData>
  <mergeCells count="1">
    <mergeCell ref="B1:J1"/>
  </mergeCells>
  <phoneticPr fontId="14" type="noConversion"/>
  <pageMargins left="0.69930555555555596" right="0.69930555555555596"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83"/>
  <sheetViews>
    <sheetView tabSelected="1" zoomScaleNormal="100" workbookViewId="0">
      <pane xSplit="8" ySplit="1" topLeftCell="I98" activePane="bottomRight" state="frozen"/>
      <selection pane="topRight"/>
      <selection pane="bottomLeft"/>
      <selection pane="bottomRight" activeCell="K100" sqref="K100:L111"/>
    </sheetView>
  </sheetViews>
  <sheetFormatPr defaultColWidth="9.42578125" defaultRowHeight="12.75"/>
  <cols>
    <col min="1" max="1" width="10.42578125" style="3" customWidth="1"/>
    <col min="2" max="2" width="6.5703125" style="3" customWidth="1"/>
    <col min="3" max="3" width="26.28515625" style="3" customWidth="1"/>
    <col min="4" max="4" width="24.42578125" style="3" customWidth="1"/>
    <col min="5" max="5" width="11.42578125" style="3" customWidth="1"/>
    <col min="6" max="6" width="9.28515625" style="3" customWidth="1"/>
    <col min="7" max="7" width="16.42578125" style="3" customWidth="1"/>
    <col min="8" max="8" width="7.28515625" style="3" customWidth="1"/>
    <col min="9" max="14" width="9.42578125" style="2" customWidth="1"/>
    <col min="15" max="15" width="9.42578125" style="3" customWidth="1"/>
    <col min="16" max="16" width="9.42578125" style="4" customWidth="1"/>
    <col min="17" max="20" width="9.42578125" style="3"/>
    <col min="21" max="26" width="9.42578125" style="2" customWidth="1"/>
    <col min="27" max="27" width="9.85546875" style="5" customWidth="1"/>
    <col min="28" max="28" width="9.42578125" style="4" customWidth="1"/>
    <col min="29" max="16384" width="9.42578125" style="3"/>
  </cols>
  <sheetData>
    <row r="1" spans="1:29" s="1" customFormat="1" ht="49.5" customHeight="1">
      <c r="A1" s="6" t="s">
        <v>306</v>
      </c>
      <c r="B1" s="1" t="s">
        <v>307</v>
      </c>
      <c r="C1" s="1" t="s">
        <v>308</v>
      </c>
      <c r="D1" s="7" t="s">
        <v>309</v>
      </c>
      <c r="E1" s="1" t="s">
        <v>58</v>
      </c>
      <c r="F1" s="1" t="s">
        <v>73</v>
      </c>
      <c r="G1" s="237" t="s">
        <v>310</v>
      </c>
      <c r="H1" s="237"/>
      <c r="I1" s="14" t="s">
        <v>5</v>
      </c>
      <c r="J1" s="15" t="s">
        <v>11</v>
      </c>
      <c r="K1" s="14" t="s">
        <v>14</v>
      </c>
      <c r="L1" s="14" t="s">
        <v>16</v>
      </c>
      <c r="M1" s="14" t="s">
        <v>17</v>
      </c>
      <c r="N1" s="15" t="s">
        <v>19</v>
      </c>
      <c r="O1" s="1" t="s">
        <v>311</v>
      </c>
      <c r="P1" s="21" t="s">
        <v>312</v>
      </c>
      <c r="Q1" s="1" t="s">
        <v>313</v>
      </c>
      <c r="T1" s="6" t="s">
        <v>314</v>
      </c>
      <c r="U1" s="14" t="str">
        <f>I1</f>
        <v>Huawei</v>
      </c>
      <c r="V1" s="15" t="s">
        <v>11</v>
      </c>
      <c r="W1" s="14" t="str">
        <f>K1</f>
        <v>CAICT</v>
      </c>
      <c r="X1" s="14" t="str">
        <f>L1</f>
        <v>OPPO</v>
      </c>
      <c r="Y1" s="15" t="s">
        <v>19</v>
      </c>
      <c r="Z1" s="15" t="s">
        <v>22</v>
      </c>
      <c r="AA1" s="24" t="s">
        <v>311</v>
      </c>
      <c r="AB1" s="21" t="s">
        <v>312</v>
      </c>
      <c r="AC1" s="1" t="s">
        <v>313</v>
      </c>
    </row>
    <row r="2" spans="1:29">
      <c r="A2" s="238" t="s">
        <v>315</v>
      </c>
      <c r="B2" s="8" t="s">
        <v>50</v>
      </c>
      <c r="C2" s="8"/>
      <c r="D2" s="8"/>
      <c r="E2" s="8"/>
      <c r="F2" s="8"/>
      <c r="G2" s="8"/>
      <c r="H2" s="8"/>
      <c r="I2" s="16"/>
      <c r="J2" s="16"/>
      <c r="K2" s="16"/>
      <c r="L2" s="16"/>
      <c r="M2" s="16"/>
      <c r="N2" s="16"/>
      <c r="O2" s="22"/>
      <c r="P2" s="22"/>
      <c r="Q2" s="13"/>
      <c r="T2" s="238" t="s">
        <v>315</v>
      </c>
      <c r="U2" s="16"/>
      <c r="V2" s="16"/>
      <c r="W2" s="16"/>
      <c r="X2" s="16"/>
      <c r="Y2" s="16"/>
      <c r="Z2" s="16"/>
      <c r="AA2" s="25"/>
      <c r="AB2" s="22"/>
      <c r="AC2" s="13"/>
    </row>
    <row r="3" spans="1:29" ht="48.75" customHeight="1">
      <c r="A3" s="238"/>
      <c r="B3" s="3" t="s">
        <v>316</v>
      </c>
      <c r="C3" s="3" t="s">
        <v>317</v>
      </c>
      <c r="D3" s="3" t="s">
        <v>318</v>
      </c>
      <c r="E3" s="3" t="s">
        <v>319</v>
      </c>
      <c r="G3" s="3" t="s">
        <v>320</v>
      </c>
      <c r="H3" s="3">
        <v>7.8</v>
      </c>
      <c r="I3" s="2">
        <f>11.45*DL_OH!S9</f>
        <v>11.450000000000001</v>
      </c>
      <c r="J3" s="2">
        <v>12.52</v>
      </c>
      <c r="K3" s="2">
        <v>12.048999999999999</v>
      </c>
      <c r="L3" s="2">
        <v>14.01</v>
      </c>
      <c r="O3" s="4">
        <f>AVERAGE(I3:N3)</f>
        <v>12.507249999999999</v>
      </c>
      <c r="P3" s="4">
        <f>SQRT(VAR(I3:N3))</f>
        <v>1.09334208583895</v>
      </c>
      <c r="Q3" s="3">
        <f>COUNT(I3:N3)</f>
        <v>4</v>
      </c>
      <c r="T3" s="238"/>
      <c r="U3" s="2">
        <v>11.417</v>
      </c>
      <c r="V3" s="2">
        <v>12.53</v>
      </c>
      <c r="X3" s="2">
        <v>13.79</v>
      </c>
      <c r="AA3" s="5">
        <f>AVERAGE(U3:Z3)</f>
        <v>12.578999999999999</v>
      </c>
      <c r="AB3" s="4">
        <f>SQRT(VAR(U3:Z3))</f>
        <v>1.1872586070439748</v>
      </c>
      <c r="AC3" s="3">
        <f>COUNT(U3:Z3)</f>
        <v>3</v>
      </c>
    </row>
    <row r="4" spans="1:29" ht="25.5">
      <c r="A4" s="238"/>
      <c r="G4" s="10" t="s">
        <v>321</v>
      </c>
      <c r="H4" s="10">
        <v>0.22500000000000001</v>
      </c>
      <c r="I4" s="18">
        <v>0.376</v>
      </c>
      <c r="J4" s="18">
        <v>0.439</v>
      </c>
      <c r="K4" s="18">
        <v>0.32290000000000002</v>
      </c>
      <c r="L4" s="18">
        <v>0.46200000000000002</v>
      </c>
      <c r="M4" s="18"/>
      <c r="N4" s="18"/>
      <c r="O4" s="23">
        <f>AVERAGE(I4:N4)</f>
        <v>0.39997499999999997</v>
      </c>
      <c r="P4" s="23">
        <f>SQRT(VAR(I4:N4))</f>
        <v>6.2942851063484864E-2</v>
      </c>
      <c r="Q4" s="10">
        <f>COUNT(I4:N4)</f>
        <v>4</v>
      </c>
      <c r="T4" s="238"/>
      <c r="U4" s="18">
        <v>0.379</v>
      </c>
      <c r="V4" s="18">
        <v>0.44800000000000001</v>
      </c>
      <c r="W4" s="18"/>
      <c r="X4" s="18">
        <v>0.432</v>
      </c>
      <c r="Y4" s="18"/>
      <c r="Z4" s="18"/>
      <c r="AA4" s="26">
        <f>AVERAGE(U4:Z4)</f>
        <v>0.41966666666666663</v>
      </c>
      <c r="AB4" s="23">
        <f>SQRT(VAR(U4:Z4))</f>
        <v>3.6115555282084939E-2</v>
      </c>
      <c r="AC4" s="10">
        <f>COUNT(U4:Z4)</f>
        <v>3</v>
      </c>
    </row>
    <row r="5" spans="1:29">
      <c r="A5" s="238"/>
      <c r="O5" s="4"/>
      <c r="T5" s="238"/>
    </row>
    <row r="6" spans="1:29" ht="48.75" customHeight="1">
      <c r="A6" s="238"/>
      <c r="B6" s="3" t="s">
        <v>316</v>
      </c>
      <c r="C6" s="3" t="s">
        <v>317</v>
      </c>
      <c r="D6" s="3" t="s">
        <v>322</v>
      </c>
      <c r="E6" s="3" t="s">
        <v>319</v>
      </c>
      <c r="G6" s="3" t="s">
        <v>320</v>
      </c>
      <c r="H6" s="3">
        <v>7.8</v>
      </c>
      <c r="O6" s="4" t="e">
        <f>AVERAGE(I6:N6)</f>
        <v>#DIV/0!</v>
      </c>
      <c r="P6" s="4" t="e">
        <f>SQRT(VAR(I6:N6))</f>
        <v>#DIV/0!</v>
      </c>
      <c r="Q6" s="3">
        <f>COUNT(I6:N6)</f>
        <v>0</v>
      </c>
      <c r="T6" s="238"/>
      <c r="AA6" s="5" t="e">
        <f>AVERAGE(U6:Z6)</f>
        <v>#DIV/0!</v>
      </c>
      <c r="AB6" s="4" t="e">
        <f>SQRT(VAR(U6:Z6))</f>
        <v>#DIV/0!</v>
      </c>
      <c r="AC6" s="3">
        <f>COUNT(U6:Z6)</f>
        <v>0</v>
      </c>
    </row>
    <row r="7" spans="1:29" ht="25.5">
      <c r="A7" s="238"/>
      <c r="G7" s="10" t="s">
        <v>321</v>
      </c>
      <c r="H7" s="10">
        <v>0.22500000000000001</v>
      </c>
      <c r="I7" s="18"/>
      <c r="J7" s="18"/>
      <c r="K7" s="18"/>
      <c r="L7" s="18"/>
      <c r="M7" s="18"/>
      <c r="N7" s="18"/>
      <c r="O7" s="23" t="e">
        <f>AVERAGE(I7:N7)</f>
        <v>#DIV/0!</v>
      </c>
      <c r="P7" s="23" t="e">
        <f>SQRT(VAR(I7:N7))</f>
        <v>#DIV/0!</v>
      </c>
      <c r="Q7" s="10">
        <f>COUNT(I7:N7)</f>
        <v>0</v>
      </c>
      <c r="T7" s="238"/>
      <c r="U7" s="18"/>
      <c r="V7" s="18"/>
      <c r="W7" s="18"/>
      <c r="X7" s="18"/>
      <c r="Y7" s="18"/>
      <c r="Z7" s="18"/>
      <c r="AA7" s="26" t="e">
        <f>AVERAGE(U7:Z7)</f>
        <v>#DIV/0!</v>
      </c>
      <c r="AB7" s="23" t="e">
        <f>SQRT(VAR(U7:Z7))</f>
        <v>#DIV/0!</v>
      </c>
      <c r="AC7" s="10">
        <f>COUNT(U7:Z7)</f>
        <v>0</v>
      </c>
    </row>
    <row r="8" spans="1:29">
      <c r="A8" s="238"/>
      <c r="O8" s="4"/>
      <c r="T8" s="238"/>
    </row>
    <row r="9" spans="1:29" ht="38.25">
      <c r="A9" s="238"/>
      <c r="B9" s="3" t="s">
        <v>316</v>
      </c>
      <c r="C9" s="3" t="s">
        <v>323</v>
      </c>
      <c r="D9" s="11" t="s">
        <v>324</v>
      </c>
      <c r="E9" s="3" t="s">
        <v>319</v>
      </c>
      <c r="G9" s="3" t="s">
        <v>320</v>
      </c>
      <c r="H9" s="3">
        <v>7.8</v>
      </c>
      <c r="O9" s="4" t="e">
        <f>AVERAGE(I9:N9)</f>
        <v>#DIV/0!</v>
      </c>
      <c r="P9" s="4" t="e">
        <f>SQRT(VAR(I9:N9))</f>
        <v>#DIV/0!</v>
      </c>
      <c r="Q9" s="3">
        <f>COUNT(I9:N9)</f>
        <v>0</v>
      </c>
      <c r="T9" s="238"/>
      <c r="AA9" s="5" t="e">
        <f>AVERAGE(U9:Z9)</f>
        <v>#DIV/0!</v>
      </c>
      <c r="AB9" s="4" t="e">
        <f>SQRT(VAR(U9:Z9))</f>
        <v>#DIV/0!</v>
      </c>
      <c r="AC9" s="3">
        <f>COUNT(U9:Z9)</f>
        <v>0</v>
      </c>
    </row>
    <row r="10" spans="1:29" ht="25.5">
      <c r="A10" s="238"/>
      <c r="G10" s="10" t="s">
        <v>321</v>
      </c>
      <c r="H10" s="10">
        <v>0.22500000000000001</v>
      </c>
      <c r="I10" s="18"/>
      <c r="J10" s="18"/>
      <c r="K10" s="18"/>
      <c r="L10" s="18"/>
      <c r="M10" s="18"/>
      <c r="N10" s="18"/>
      <c r="O10" s="23" t="e">
        <f>AVERAGE(I10:N10)</f>
        <v>#DIV/0!</v>
      </c>
      <c r="P10" s="23" t="e">
        <f>SQRT(VAR(I10:N10))</f>
        <v>#DIV/0!</v>
      </c>
      <c r="Q10" s="10">
        <f>COUNT(I10:N10)</f>
        <v>0</v>
      </c>
      <c r="T10" s="238"/>
      <c r="U10" s="18"/>
      <c r="V10" s="18"/>
      <c r="W10" s="18"/>
      <c r="X10" s="18"/>
      <c r="Y10" s="18"/>
      <c r="Z10" s="18"/>
      <c r="AA10" s="26" t="e">
        <f>AVERAGE(U10:Z10)</f>
        <v>#DIV/0!</v>
      </c>
      <c r="AB10" s="23" t="e">
        <f>SQRT(VAR(U10:Z10))</f>
        <v>#DIV/0!</v>
      </c>
      <c r="AC10" s="10">
        <f>COUNT(U10:Z10)</f>
        <v>0</v>
      </c>
    </row>
    <row r="11" spans="1:29">
      <c r="A11" s="238"/>
      <c r="O11" s="4"/>
      <c r="T11" s="238"/>
    </row>
    <row r="12" spans="1:29" ht="38.25">
      <c r="A12" s="238"/>
      <c r="B12" s="3" t="s">
        <v>316</v>
      </c>
      <c r="C12" s="3" t="s">
        <v>325</v>
      </c>
      <c r="D12" s="11" t="s">
        <v>324</v>
      </c>
      <c r="E12" s="3" t="s">
        <v>319</v>
      </c>
      <c r="G12" s="3" t="s">
        <v>320</v>
      </c>
      <c r="H12" s="3">
        <v>7.8</v>
      </c>
      <c r="J12" s="2">
        <v>13.74</v>
      </c>
      <c r="O12" s="4">
        <f>AVERAGE(I12:N12)</f>
        <v>13.74</v>
      </c>
      <c r="P12" s="4" t="e">
        <f>SQRT(VAR(I12:N12))</f>
        <v>#DIV/0!</v>
      </c>
      <c r="Q12" s="3">
        <f>COUNT(I12:N12)</f>
        <v>1</v>
      </c>
      <c r="T12" s="238"/>
      <c r="V12" s="2">
        <v>13.48</v>
      </c>
      <c r="AA12" s="5">
        <f>AVERAGE(U12:Z12)</f>
        <v>13.48</v>
      </c>
      <c r="AB12" s="4" t="e">
        <f>SQRT(VAR(U12:Z12))</f>
        <v>#DIV/0!</v>
      </c>
      <c r="AC12" s="3">
        <f>COUNT(U12:Z12)</f>
        <v>1</v>
      </c>
    </row>
    <row r="13" spans="1:29" ht="25.5">
      <c r="A13" s="238"/>
      <c r="G13" s="10" t="s">
        <v>321</v>
      </c>
      <c r="H13" s="10">
        <v>0.22500000000000001</v>
      </c>
      <c r="I13" s="18"/>
      <c r="J13" s="18">
        <v>0.47499999999999998</v>
      </c>
      <c r="K13" s="18"/>
      <c r="L13" s="18"/>
      <c r="M13" s="18"/>
      <c r="N13" s="18"/>
      <c r="O13" s="23">
        <f>AVERAGE(I13:N13)</f>
        <v>0.47499999999999998</v>
      </c>
      <c r="P13" s="23" t="e">
        <f>SQRT(VAR(I13:N13))</f>
        <v>#DIV/0!</v>
      </c>
      <c r="Q13" s="10">
        <f>COUNT(I13:N13)</f>
        <v>1</v>
      </c>
      <c r="T13" s="238"/>
      <c r="U13" s="18"/>
      <c r="V13" s="18">
        <v>0.499</v>
      </c>
      <c r="W13" s="18"/>
      <c r="X13" s="18"/>
      <c r="Y13" s="18"/>
      <c r="Z13" s="18"/>
      <c r="AA13" s="26">
        <f>AVERAGE(U13:Z13)</f>
        <v>0.499</v>
      </c>
      <c r="AB13" s="23" t="e">
        <f>SQRT(VAR(U13:Z13))</f>
        <v>#DIV/0!</v>
      </c>
      <c r="AC13" s="10">
        <f>COUNT(U13:Z13)</f>
        <v>1</v>
      </c>
    </row>
    <row r="14" spans="1:29">
      <c r="A14" s="238"/>
      <c r="O14" s="4"/>
      <c r="T14" s="238"/>
    </row>
    <row r="15" spans="1:29" ht="43.5" customHeight="1">
      <c r="A15" s="238"/>
      <c r="B15" s="3" t="s">
        <v>316</v>
      </c>
      <c r="C15" s="3" t="s">
        <v>317</v>
      </c>
      <c r="D15" s="3" t="s">
        <v>326</v>
      </c>
      <c r="E15" s="3" t="s">
        <v>319</v>
      </c>
      <c r="G15" s="3" t="s">
        <v>320</v>
      </c>
      <c r="H15" s="3">
        <v>7.8</v>
      </c>
      <c r="O15" s="4" t="e">
        <f>AVERAGE(I15:N15)</f>
        <v>#DIV/0!</v>
      </c>
      <c r="P15" s="4" t="e">
        <f>SQRT(VAR(I15:N15))</f>
        <v>#DIV/0!</v>
      </c>
      <c r="Q15" s="3">
        <f>COUNT(I15:N15)</f>
        <v>0</v>
      </c>
      <c r="T15" s="238"/>
      <c r="AA15" s="5" t="e">
        <f>AVERAGE(U15:Z15)</f>
        <v>#DIV/0!</v>
      </c>
      <c r="AB15" s="4" t="e">
        <f>SQRT(VAR(U15:Z15))</f>
        <v>#DIV/0!</v>
      </c>
      <c r="AC15" s="3">
        <f>COUNT(U15:Z15)</f>
        <v>0</v>
      </c>
    </row>
    <row r="16" spans="1:29" ht="25.5">
      <c r="A16" s="238"/>
      <c r="G16" s="10" t="s">
        <v>321</v>
      </c>
      <c r="H16" s="10">
        <v>0.22500000000000001</v>
      </c>
      <c r="I16" s="18"/>
      <c r="J16" s="18"/>
      <c r="K16" s="18"/>
      <c r="L16" s="18"/>
      <c r="M16" s="18"/>
      <c r="N16" s="18"/>
      <c r="O16" s="23" t="e">
        <f>AVERAGE(I16:N16)</f>
        <v>#DIV/0!</v>
      </c>
      <c r="P16" s="23" t="e">
        <f>SQRT(VAR(I16:N16))</f>
        <v>#DIV/0!</v>
      </c>
      <c r="Q16" s="10">
        <f>COUNT(I16:N16)</f>
        <v>0</v>
      </c>
      <c r="T16" s="238"/>
      <c r="U16" s="18"/>
      <c r="V16" s="18"/>
      <c r="W16" s="18"/>
      <c r="X16" s="18"/>
      <c r="Y16" s="18"/>
      <c r="Z16" s="18"/>
      <c r="AA16" s="26" t="e">
        <f>AVERAGE(U16:Z16)</f>
        <v>#DIV/0!</v>
      </c>
      <c r="AB16" s="23" t="e">
        <f>SQRT(VAR(U16:Z16))</f>
        <v>#DIV/0!</v>
      </c>
      <c r="AC16" s="10">
        <f>COUNT(U16:Z16)</f>
        <v>0</v>
      </c>
    </row>
    <row r="17" spans="1:29">
      <c r="A17" s="238"/>
      <c r="O17" s="4"/>
      <c r="T17" s="238"/>
    </row>
    <row r="18" spans="1:29" ht="38.25">
      <c r="A18" s="238"/>
      <c r="B18" s="3" t="s">
        <v>316</v>
      </c>
      <c r="C18" s="3" t="s">
        <v>327</v>
      </c>
      <c r="D18" s="11" t="s">
        <v>328</v>
      </c>
      <c r="E18" s="3" t="s">
        <v>319</v>
      </c>
      <c r="G18" s="3" t="s">
        <v>320</v>
      </c>
      <c r="H18" s="3">
        <v>7.8</v>
      </c>
      <c r="O18" s="4" t="e">
        <f>AVERAGE(I18:N18)</f>
        <v>#DIV/0!</v>
      </c>
      <c r="P18" s="4" t="e">
        <f>SQRT(VAR(I18:N18))</f>
        <v>#DIV/0!</v>
      </c>
      <c r="Q18" s="3">
        <f>COUNT(I18:N18)</f>
        <v>0</v>
      </c>
      <c r="T18" s="238"/>
      <c r="AA18" s="5" t="e">
        <f>AVERAGE(U18:Z18)</f>
        <v>#DIV/0!</v>
      </c>
      <c r="AB18" s="4" t="e">
        <f>SQRT(VAR(U18:Z18))</f>
        <v>#DIV/0!</v>
      </c>
      <c r="AC18" s="3">
        <f>COUNT(U18:Z18)</f>
        <v>0</v>
      </c>
    </row>
    <row r="19" spans="1:29" ht="25.5">
      <c r="A19" s="238"/>
      <c r="G19" s="10" t="s">
        <v>321</v>
      </c>
      <c r="H19" s="10">
        <v>0.22500000000000001</v>
      </c>
      <c r="I19" s="18"/>
      <c r="J19" s="18"/>
      <c r="K19" s="18"/>
      <c r="L19" s="18"/>
      <c r="M19" s="18"/>
      <c r="N19" s="18"/>
      <c r="O19" s="23" t="e">
        <f>AVERAGE(I19:N19)</f>
        <v>#DIV/0!</v>
      </c>
      <c r="P19" s="23" t="e">
        <f>SQRT(VAR(I19:N19))</f>
        <v>#DIV/0!</v>
      </c>
      <c r="Q19" s="10">
        <f>COUNT(I19:N19)</f>
        <v>0</v>
      </c>
      <c r="T19" s="238"/>
      <c r="U19" s="18"/>
      <c r="V19" s="18"/>
      <c r="W19" s="18"/>
      <c r="X19" s="18"/>
      <c r="Y19" s="18"/>
      <c r="Z19" s="18"/>
      <c r="AA19" s="26" t="e">
        <f>AVERAGE(U19:Z19)</f>
        <v>#DIV/0!</v>
      </c>
      <c r="AB19" s="23" t="e">
        <f>SQRT(VAR(U19:Z19))</f>
        <v>#DIV/0!</v>
      </c>
      <c r="AC19" s="10">
        <f>COUNT(U19:Z19)</f>
        <v>0</v>
      </c>
    </row>
    <row r="20" spans="1:29">
      <c r="A20" s="238"/>
      <c r="G20" s="12"/>
      <c r="H20" s="12"/>
      <c r="O20" s="4"/>
      <c r="T20" s="238"/>
    </row>
    <row r="21" spans="1:29" ht="25.5">
      <c r="A21" s="238"/>
      <c r="B21" s="3" t="s">
        <v>316</v>
      </c>
      <c r="C21" s="3" t="s">
        <v>329</v>
      </c>
      <c r="D21" s="11" t="s">
        <v>330</v>
      </c>
      <c r="E21" s="3" t="s">
        <v>319</v>
      </c>
      <c r="G21" s="3" t="s">
        <v>320</v>
      </c>
      <c r="H21" s="3">
        <v>7.8</v>
      </c>
      <c r="I21" s="20"/>
      <c r="J21" s="20"/>
      <c r="K21" s="20"/>
      <c r="L21" s="20"/>
      <c r="M21" s="20"/>
      <c r="N21" s="20"/>
      <c r="O21" s="4" t="e">
        <f>AVERAGE(I21:N21)</f>
        <v>#DIV/0!</v>
      </c>
      <c r="P21" s="4" t="e">
        <f>SQRT(VAR(I21:N21))</f>
        <v>#DIV/0!</v>
      </c>
      <c r="Q21" s="3">
        <f>COUNT(I21:N21)</f>
        <v>0</v>
      </c>
      <c r="T21" s="238"/>
      <c r="AA21" s="5" t="e">
        <f>AVERAGE(U21:Z21)</f>
        <v>#DIV/0!</v>
      </c>
      <c r="AB21" s="4" t="e">
        <f>SQRT(VAR(U21:Z21))</f>
        <v>#DIV/0!</v>
      </c>
      <c r="AC21" s="3">
        <f>COUNT(U21:Z21)</f>
        <v>0</v>
      </c>
    </row>
    <row r="22" spans="1:29" ht="25.5">
      <c r="A22" s="238"/>
      <c r="G22" s="10" t="s">
        <v>321</v>
      </c>
      <c r="H22" s="10">
        <v>0.22500000000000001</v>
      </c>
      <c r="I22" s="18"/>
      <c r="J22" s="18"/>
      <c r="K22" s="18"/>
      <c r="L22" s="18"/>
      <c r="M22" s="18"/>
      <c r="N22" s="18"/>
      <c r="O22" s="23" t="e">
        <f>AVERAGE(I22:N22)</f>
        <v>#DIV/0!</v>
      </c>
      <c r="P22" s="23" t="e">
        <f>SQRT(VAR(I22:N22))</f>
        <v>#DIV/0!</v>
      </c>
      <c r="Q22" s="10">
        <f>COUNT(I22:N22)</f>
        <v>0</v>
      </c>
      <c r="T22" s="238"/>
      <c r="U22" s="18"/>
      <c r="V22" s="18"/>
      <c r="W22" s="18"/>
      <c r="X22" s="18"/>
      <c r="Y22" s="18"/>
      <c r="Z22" s="27"/>
      <c r="AA22" s="26" t="e">
        <f>AVERAGE(U22:Z22)</f>
        <v>#DIV/0!</v>
      </c>
      <c r="AB22" s="23" t="e">
        <f>SQRT(VAR(U22:Z22))</f>
        <v>#DIV/0!</v>
      </c>
      <c r="AC22" s="10">
        <f>COUNT(U22:Z22)</f>
        <v>0</v>
      </c>
    </row>
    <row r="23" spans="1:29">
      <c r="A23" s="238"/>
      <c r="O23" s="4"/>
      <c r="T23" s="238"/>
    </row>
    <row r="24" spans="1:29" ht="38.25">
      <c r="A24" s="238"/>
      <c r="B24" s="3" t="s">
        <v>316</v>
      </c>
      <c r="C24" s="3" t="s">
        <v>325</v>
      </c>
      <c r="D24" s="3" t="s">
        <v>331</v>
      </c>
      <c r="E24" s="3" t="s">
        <v>319</v>
      </c>
      <c r="G24" s="3" t="s">
        <v>320</v>
      </c>
      <c r="H24" s="3">
        <v>7.8</v>
      </c>
      <c r="O24" s="4" t="e">
        <f>AVERAGE(I24:N24)</f>
        <v>#DIV/0!</v>
      </c>
      <c r="P24" s="4" t="e">
        <f>SQRT(VAR(I24:N24))</f>
        <v>#DIV/0!</v>
      </c>
      <c r="Q24" s="3">
        <f>COUNT(I24:N24)</f>
        <v>0</v>
      </c>
      <c r="T24" s="238"/>
      <c r="AA24" s="5" t="e">
        <f>AVERAGE(U24:Z24)</f>
        <v>#DIV/0!</v>
      </c>
      <c r="AB24" s="4" t="e">
        <f>SQRT(VAR(U24:Z24))</f>
        <v>#DIV/0!</v>
      </c>
      <c r="AC24" s="3">
        <f>COUNT(U24:Z24)</f>
        <v>0</v>
      </c>
    </row>
    <row r="25" spans="1:29" ht="25.5">
      <c r="A25" s="238"/>
      <c r="G25" s="10" t="s">
        <v>321</v>
      </c>
      <c r="H25" s="10">
        <v>0.22500000000000001</v>
      </c>
      <c r="I25" s="18"/>
      <c r="J25" s="18"/>
      <c r="K25" s="18"/>
      <c r="L25" s="18"/>
      <c r="M25" s="18"/>
      <c r="N25" s="18"/>
      <c r="O25" s="23" t="e">
        <f>AVERAGE(I25:N25)</f>
        <v>#DIV/0!</v>
      </c>
      <c r="P25" s="23" t="e">
        <f>SQRT(VAR(I25:N25))</f>
        <v>#DIV/0!</v>
      </c>
      <c r="Q25" s="10">
        <f>COUNT(I25:N25)</f>
        <v>0</v>
      </c>
      <c r="T25" s="238"/>
      <c r="U25" s="18"/>
      <c r="V25" s="18"/>
      <c r="W25" s="18"/>
      <c r="X25" s="18"/>
      <c r="Y25" s="18"/>
      <c r="Z25" s="18"/>
      <c r="AA25" s="26" t="e">
        <f>AVERAGE(U25:Z25)</f>
        <v>#DIV/0!</v>
      </c>
      <c r="AB25" s="23" t="e">
        <f>SQRT(VAR(U25:Z25))</f>
        <v>#DIV/0!</v>
      </c>
      <c r="AC25" s="10">
        <f>COUNT(U25:Z25)</f>
        <v>0</v>
      </c>
    </row>
    <row r="26" spans="1:29">
      <c r="A26" s="238"/>
      <c r="O26" s="4"/>
      <c r="T26" s="238"/>
    </row>
    <row r="27" spans="1:29">
      <c r="A27" s="238"/>
      <c r="B27" s="8" t="s">
        <v>51</v>
      </c>
      <c r="C27" s="8"/>
      <c r="D27" s="8"/>
      <c r="E27" s="8"/>
      <c r="F27" s="8"/>
      <c r="G27" s="13"/>
      <c r="H27" s="13"/>
      <c r="I27" s="16"/>
      <c r="J27" s="16"/>
      <c r="K27" s="16"/>
      <c r="L27" s="16"/>
      <c r="M27" s="16"/>
      <c r="N27" s="16"/>
      <c r="O27" s="22"/>
      <c r="P27" s="22"/>
      <c r="Q27" s="13"/>
      <c r="T27" s="238"/>
      <c r="U27" s="16"/>
      <c r="V27" s="16"/>
      <c r="W27" s="16"/>
      <c r="X27" s="16"/>
      <c r="Y27" s="16"/>
      <c r="Z27" s="16"/>
      <c r="AA27" s="25"/>
      <c r="AB27" s="22"/>
      <c r="AC27" s="13"/>
    </row>
    <row r="28" spans="1:29" ht="43.5" customHeight="1">
      <c r="A28" s="238"/>
      <c r="B28" s="3" t="s">
        <v>316</v>
      </c>
      <c r="C28" s="3" t="s">
        <v>317</v>
      </c>
      <c r="D28" s="3" t="s">
        <v>332</v>
      </c>
      <c r="E28" s="3" t="s">
        <v>333</v>
      </c>
      <c r="F28" s="3" t="s">
        <v>75</v>
      </c>
      <c r="G28" s="3" t="s">
        <v>320</v>
      </c>
      <c r="H28" s="3">
        <v>7.8</v>
      </c>
      <c r="I28" s="2">
        <f>12.8*DL_OH!S37</f>
        <v>13.041509433962261</v>
      </c>
      <c r="K28" s="2">
        <f>13.4981*DL_OH!S41</f>
        <v>13.508647485596981</v>
      </c>
      <c r="O28" s="4">
        <f>AVERAGE(I28:N28)</f>
        <v>13.275078459779621</v>
      </c>
      <c r="P28" s="4">
        <f>SQRT(VAR(I28:N28))</f>
        <v>0.33031648406118203</v>
      </c>
      <c r="Q28" s="3">
        <f>COUNT(I28:N28)</f>
        <v>2</v>
      </c>
      <c r="T28" s="238"/>
      <c r="U28" s="2">
        <f>12.581*DL_OH!S37</f>
        <v>12.818377358490563</v>
      </c>
      <c r="Z28" s="2">
        <f>13.25*DL_OH!S39</f>
        <v>13.000000000000002</v>
      </c>
      <c r="AA28" s="5">
        <f>AVERAGE(U28:Z28)</f>
        <v>12.909188679245283</v>
      </c>
      <c r="AB28" s="4">
        <f>SQRT(VAR(U28:Z28))</f>
        <v>0.12842660142833723</v>
      </c>
      <c r="AC28" s="3">
        <f>COUNT(U28:Z28)</f>
        <v>2</v>
      </c>
    </row>
    <row r="29" spans="1:29" ht="25.5">
      <c r="A29" s="238"/>
      <c r="G29" s="10" t="s">
        <v>321</v>
      </c>
      <c r="H29" s="10">
        <v>0.22500000000000001</v>
      </c>
      <c r="I29" s="18">
        <f>0.375*DL_OH!S37</f>
        <v>0.38207547169811312</v>
      </c>
      <c r="J29" s="18"/>
      <c r="K29" s="18">
        <f>0.4713*DL_OH!S41</f>
        <v>0.47166827627309449</v>
      </c>
      <c r="L29" s="18"/>
      <c r="M29" s="18"/>
      <c r="N29" s="18"/>
      <c r="O29" s="23">
        <f>AVERAGE(I29:N29)</f>
        <v>0.42687187398560378</v>
      </c>
      <c r="P29" s="23">
        <f>SQRT(VAR(I29:N29))</f>
        <v>6.3351679660490823E-2</v>
      </c>
      <c r="Q29" s="10">
        <f>COUNT(I29:N29)</f>
        <v>2</v>
      </c>
      <c r="T29" s="238"/>
      <c r="U29" s="18">
        <f>0.385*DL_OH!S37</f>
        <v>0.39226415094339617</v>
      </c>
      <c r="V29" s="18"/>
      <c r="W29" s="18"/>
      <c r="X29" s="18"/>
      <c r="Y29" s="18"/>
      <c r="Z29" s="18">
        <f>0.51*DL_OH!S39</f>
        <v>0.50037735849056608</v>
      </c>
      <c r="AA29" s="26">
        <f>AVERAGE(U29:Z29)</f>
        <v>0.44632075471698113</v>
      </c>
      <c r="AB29" s="23">
        <f>SQRT(VAR(U29:Z29))</f>
        <v>7.6447582192432181E-2</v>
      </c>
      <c r="AC29" s="10">
        <f>COUNT(U29:Z29)</f>
        <v>2</v>
      </c>
    </row>
    <row r="30" spans="1:29">
      <c r="A30" s="238"/>
      <c r="O30" s="4"/>
      <c r="T30" s="238"/>
    </row>
    <row r="31" spans="1:29" ht="43.5" customHeight="1">
      <c r="A31" s="238"/>
      <c r="B31" s="3" t="s">
        <v>316</v>
      </c>
      <c r="C31" s="3" t="s">
        <v>317</v>
      </c>
      <c r="D31" s="3" t="s">
        <v>332</v>
      </c>
      <c r="E31" s="3" t="s">
        <v>319</v>
      </c>
      <c r="F31" s="3" t="s">
        <v>75</v>
      </c>
      <c r="G31" s="3" t="s">
        <v>320</v>
      </c>
      <c r="H31" s="3">
        <v>7.8</v>
      </c>
      <c r="I31" s="2">
        <f>12.711*DL_OH!S22</f>
        <v>12.950830188679246</v>
      </c>
      <c r="O31" s="4">
        <f>AVERAGE(I31:N31)</f>
        <v>12.950830188679246</v>
      </c>
      <c r="P31" s="4" t="e">
        <f>SQRT(VAR(I31:N31))</f>
        <v>#DIV/0!</v>
      </c>
      <c r="Q31" s="3">
        <f>COUNT(I31:N31)</f>
        <v>1</v>
      </c>
      <c r="T31" s="238"/>
      <c r="U31" s="2">
        <f>12.506*DL_OH!S22</f>
        <v>12.741962264150944</v>
      </c>
      <c r="AA31" s="5">
        <f>AVERAGE(U31:Z31)</f>
        <v>12.741962264150944</v>
      </c>
      <c r="AB31" s="4" t="e">
        <f>SQRT(VAR(U31:Z31))</f>
        <v>#DIV/0!</v>
      </c>
      <c r="AC31" s="3">
        <f>COUNT(U31:Z31)</f>
        <v>1</v>
      </c>
    </row>
    <row r="32" spans="1:29" ht="25.5">
      <c r="A32" s="238"/>
      <c r="G32" s="10" t="s">
        <v>321</v>
      </c>
      <c r="H32" s="10">
        <v>0.22500000000000001</v>
      </c>
      <c r="I32" s="18">
        <f>0.381*DL_OH!S22</f>
        <v>0.388188679245283</v>
      </c>
      <c r="J32" s="18"/>
      <c r="K32" s="18"/>
      <c r="L32" s="18"/>
      <c r="M32" s="18"/>
      <c r="N32" s="18"/>
      <c r="O32" s="23">
        <f>AVERAGE(I32:N32)</f>
        <v>0.388188679245283</v>
      </c>
      <c r="P32" s="23" t="e">
        <f>SQRT(VAR(I32:N32))</f>
        <v>#DIV/0!</v>
      </c>
      <c r="Q32" s="10">
        <f>COUNT(I32:N32)</f>
        <v>1</v>
      </c>
      <c r="T32" s="238"/>
      <c r="U32" s="18">
        <f>0.395*DL_OH!S22</f>
        <v>0.40245283018867928</v>
      </c>
      <c r="V32" s="18"/>
      <c r="W32" s="18"/>
      <c r="X32" s="18"/>
      <c r="Y32" s="18"/>
      <c r="Z32" s="18"/>
      <c r="AA32" s="26">
        <f>AVERAGE(U32:Z32)</f>
        <v>0.40245283018867928</v>
      </c>
      <c r="AB32" s="23" t="e">
        <f>SQRT(VAR(U32:Z32))</f>
        <v>#DIV/0!</v>
      </c>
      <c r="AC32" s="10">
        <f>COUNT(U32:Z32)</f>
        <v>1</v>
      </c>
    </row>
    <row r="33" spans="1:29">
      <c r="A33" s="238"/>
      <c r="O33" s="4"/>
      <c r="T33" s="238"/>
      <c r="U33" s="17"/>
    </row>
    <row r="34" spans="1:29" ht="43.5" customHeight="1">
      <c r="A34" s="238"/>
      <c r="B34" s="3" t="s">
        <v>316</v>
      </c>
      <c r="C34" s="3" t="s">
        <v>329</v>
      </c>
      <c r="D34" s="11" t="s">
        <v>334</v>
      </c>
      <c r="E34" s="3" t="s">
        <v>333</v>
      </c>
      <c r="F34" s="3" t="s">
        <v>75</v>
      </c>
      <c r="G34" s="3" t="s">
        <v>320</v>
      </c>
      <c r="H34" s="3">
        <v>7.8</v>
      </c>
      <c r="I34" s="2">
        <f>15.8*DL_OH!S40</f>
        <v>16.098113207547172</v>
      </c>
      <c r="O34" s="4">
        <f>AVERAGE(I34:N34)</f>
        <v>16.098113207547172</v>
      </c>
      <c r="P34" s="4" t="e">
        <f>SQRT(VAR(I34:N34))</f>
        <v>#DIV/0!</v>
      </c>
      <c r="Q34" s="3">
        <f>COUNT(I34:N34)</f>
        <v>1</v>
      </c>
      <c r="T34" s="238"/>
      <c r="U34" s="2">
        <f>15.542*DL_OH!S40</f>
        <v>15.835245283018867</v>
      </c>
      <c r="Y34" s="2">
        <f>16.94*DL_OH!S25</f>
        <v>16.620377358490558</v>
      </c>
      <c r="AA34" s="5">
        <f>AVERAGE(U34:Z34)</f>
        <v>16.227811320754711</v>
      </c>
      <c r="AB34" s="4">
        <f>SQRT(VAR(U34:Z34))</f>
        <v>0.55517221469310041</v>
      </c>
      <c r="AC34" s="3">
        <f>COUNT(U34:Z34)</f>
        <v>2</v>
      </c>
    </row>
    <row r="35" spans="1:29" ht="25.5">
      <c r="A35" s="238"/>
      <c r="G35" s="10" t="s">
        <v>321</v>
      </c>
      <c r="H35" s="10">
        <v>0.22500000000000001</v>
      </c>
      <c r="I35" s="18">
        <f>0.485*DL_OH!S40</f>
        <v>0.49415094339622639</v>
      </c>
      <c r="J35" s="18"/>
      <c r="K35" s="18"/>
      <c r="L35" s="18"/>
      <c r="M35" s="18"/>
      <c r="N35" s="18"/>
      <c r="O35" s="23">
        <f>AVERAGE(I35:N35)</f>
        <v>0.49415094339622639</v>
      </c>
      <c r="P35" s="23" t="e">
        <f>SQRT(VAR(I35:N35))</f>
        <v>#DIV/0!</v>
      </c>
      <c r="Q35" s="10">
        <f>COUNT(I35:N35)</f>
        <v>1</v>
      </c>
      <c r="T35" s="238"/>
      <c r="U35" s="18">
        <f>0.475*DL_OH!S40</f>
        <v>0.48396226415094334</v>
      </c>
      <c r="V35" s="18"/>
      <c r="W35" s="18"/>
      <c r="X35" s="18"/>
      <c r="Y35" s="27">
        <f>0.57*DL_OH!S25</f>
        <v>0.55924528301886745</v>
      </c>
      <c r="Z35" s="27"/>
      <c r="AA35" s="26">
        <f>AVERAGE(U35:Z35)</f>
        <v>0.52160377358490539</v>
      </c>
      <c r="AB35" s="23">
        <f>SQRT(VAR(U35:Z35))</f>
        <v>5.3233133149703939E-2</v>
      </c>
      <c r="AC35" s="10">
        <f>COUNT(U35:Z35)</f>
        <v>2</v>
      </c>
    </row>
    <row r="36" spans="1:29">
      <c r="A36" s="238"/>
      <c r="O36" s="4"/>
      <c r="T36" s="238"/>
    </row>
    <row r="37" spans="1:29" ht="43.5" customHeight="1">
      <c r="A37" s="238"/>
      <c r="B37" s="3" t="s">
        <v>316</v>
      </c>
      <c r="C37" s="3" t="s">
        <v>329</v>
      </c>
      <c r="D37" s="11" t="s">
        <v>334</v>
      </c>
      <c r="E37" s="3" t="s">
        <v>319</v>
      </c>
      <c r="F37" s="3" t="s">
        <v>75</v>
      </c>
      <c r="G37" s="3" t="s">
        <v>320</v>
      </c>
      <c r="H37" s="3">
        <v>7.8</v>
      </c>
      <c r="I37" s="2">
        <f>15.417*DL_OH!S23</f>
        <v>15.707886792452831</v>
      </c>
      <c r="O37" s="4">
        <f>AVERAGE(I37:N37)</f>
        <v>15.707886792452831</v>
      </c>
      <c r="P37" s="4" t="e">
        <f>SQRT(VAR(I37:N37))</f>
        <v>#DIV/0!</v>
      </c>
      <c r="Q37" s="3">
        <f>COUNT(I37:N37)</f>
        <v>1</v>
      </c>
      <c r="T37" s="238"/>
      <c r="U37" s="2">
        <f>15.172*DL_OH!S23</f>
        <v>15.458264150943396</v>
      </c>
      <c r="AA37" s="5">
        <f>AVERAGE(U37:Z37)</f>
        <v>15.458264150943396</v>
      </c>
      <c r="AB37" s="4" t="e">
        <f>SQRT(VAR(U37:Z37))</f>
        <v>#DIV/0!</v>
      </c>
      <c r="AC37" s="3">
        <f>COUNT(U37:Z37)</f>
        <v>1</v>
      </c>
    </row>
    <row r="38" spans="1:29" ht="25.5">
      <c r="A38" s="238"/>
      <c r="G38" s="10" t="s">
        <v>321</v>
      </c>
      <c r="H38" s="10">
        <v>0.22500000000000001</v>
      </c>
      <c r="I38" s="18">
        <f>0.475*DL_OH!S23</f>
        <v>0.48396226415094334</v>
      </c>
      <c r="J38" s="18"/>
      <c r="K38" s="18"/>
      <c r="L38" s="18"/>
      <c r="M38" s="18"/>
      <c r="N38" s="18"/>
      <c r="O38" s="23">
        <f>AVERAGE(I38:N38)</f>
        <v>0.48396226415094334</v>
      </c>
      <c r="P38" s="23" t="e">
        <f>SQRT(VAR(I38:N38))</f>
        <v>#DIV/0!</v>
      </c>
      <c r="Q38" s="10">
        <f>COUNT(I38:N38)</f>
        <v>1</v>
      </c>
      <c r="T38" s="238"/>
      <c r="U38" s="18">
        <f>0.483*DL_OH!S23</f>
        <v>0.49211320754716981</v>
      </c>
      <c r="V38" s="18"/>
      <c r="W38" s="18"/>
      <c r="X38" s="18"/>
      <c r="Y38" s="27"/>
      <c r="Z38" s="27"/>
      <c r="AA38" s="26">
        <f>AVERAGE(U38:Z38)</f>
        <v>0.49211320754716981</v>
      </c>
      <c r="AB38" s="23" t="e">
        <f>SQRT(VAR(U38:Z38))</f>
        <v>#DIV/0!</v>
      </c>
      <c r="AC38" s="10">
        <f>COUNT(U38:Z38)</f>
        <v>1</v>
      </c>
    </row>
    <row r="39" spans="1:29">
      <c r="A39" s="238"/>
      <c r="O39" s="4"/>
      <c r="T39" s="238"/>
    </row>
    <row r="40" spans="1:29" ht="38.25">
      <c r="A40" s="238"/>
      <c r="B40" s="3" t="s">
        <v>316</v>
      </c>
      <c r="C40" s="3" t="s">
        <v>323</v>
      </c>
      <c r="D40" s="171" t="s">
        <v>376</v>
      </c>
      <c r="E40" s="3" t="s">
        <v>319</v>
      </c>
      <c r="F40" s="3" t="s">
        <v>76</v>
      </c>
      <c r="G40" s="3" t="s">
        <v>320</v>
      </c>
      <c r="H40" s="3">
        <v>7.8</v>
      </c>
      <c r="J40" s="28"/>
      <c r="O40" s="4" t="e">
        <f>AVERAGE(I40:N40)</f>
        <v>#DIV/0!</v>
      </c>
      <c r="P40" s="4" t="e">
        <f>SQRT(VAR(I40:N40))</f>
        <v>#DIV/0!</v>
      </c>
      <c r="Q40" s="3">
        <f>COUNT(I40:N40)</f>
        <v>0</v>
      </c>
      <c r="T40" s="238"/>
      <c r="V40" s="28"/>
      <c r="AA40" s="5" t="e">
        <f>AVERAGE(U40:Z40)</f>
        <v>#DIV/0!</v>
      </c>
      <c r="AB40" s="4" t="e">
        <f>SQRT(VAR(U40:Z40))</f>
        <v>#DIV/0!</v>
      </c>
      <c r="AC40" s="3">
        <f>COUNT(U40:Z40)</f>
        <v>0</v>
      </c>
    </row>
    <row r="41" spans="1:29" ht="25.5">
      <c r="A41" s="238"/>
      <c r="G41" s="10" t="s">
        <v>321</v>
      </c>
      <c r="H41" s="10">
        <v>0.22500000000000001</v>
      </c>
      <c r="I41" s="18"/>
      <c r="J41" s="29"/>
      <c r="K41" s="18"/>
      <c r="L41" s="18"/>
      <c r="M41" s="18"/>
      <c r="N41" s="18"/>
      <c r="O41" s="23" t="e">
        <f>AVERAGE(I41:N41)</f>
        <v>#DIV/0!</v>
      </c>
      <c r="P41" s="23" t="e">
        <f>SQRT(VAR(I41:N41))</f>
        <v>#DIV/0!</v>
      </c>
      <c r="Q41" s="10">
        <f>COUNT(I41:N41)</f>
        <v>0</v>
      </c>
      <c r="T41" s="238"/>
      <c r="U41" s="18"/>
      <c r="V41" s="29"/>
      <c r="W41" s="18"/>
      <c r="X41" s="18"/>
      <c r="Y41" s="18"/>
      <c r="Z41" s="18"/>
      <c r="AA41" s="26" t="e">
        <f>AVERAGE(U41:Z41)</f>
        <v>#DIV/0!</v>
      </c>
      <c r="AB41" s="23" t="e">
        <f>SQRT(VAR(U41:Z41))</f>
        <v>#DIV/0!</v>
      </c>
      <c r="AC41" s="10">
        <f>COUNT(U41:Z41)</f>
        <v>0</v>
      </c>
    </row>
    <row r="42" spans="1:29">
      <c r="A42" s="238"/>
      <c r="O42" s="4"/>
      <c r="T42" s="238"/>
    </row>
    <row r="43" spans="1:29" ht="38.25">
      <c r="A43" s="238"/>
      <c r="B43" s="3" t="s">
        <v>316</v>
      </c>
      <c r="C43" s="3" t="s">
        <v>325</v>
      </c>
      <c r="D43" s="11" t="s">
        <v>335</v>
      </c>
      <c r="E43" s="3" t="s">
        <v>319</v>
      </c>
      <c r="F43" s="3" t="s">
        <v>76</v>
      </c>
      <c r="G43" s="3" t="s">
        <v>320</v>
      </c>
      <c r="H43" s="3">
        <v>7.8</v>
      </c>
      <c r="J43" s="2">
        <v>15.87</v>
      </c>
      <c r="O43" s="4">
        <f>AVERAGE(I43:N43)</f>
        <v>15.87</v>
      </c>
      <c r="P43" s="4" t="e">
        <f>SQRT(VAR(I43:N43))</f>
        <v>#DIV/0!</v>
      </c>
      <c r="Q43" s="3">
        <f>COUNT(I43:N43)</f>
        <v>1</v>
      </c>
      <c r="T43" s="238"/>
      <c r="V43" s="2">
        <v>15.47</v>
      </c>
      <c r="AA43" s="5">
        <f>AVERAGE(U43:Z43)</f>
        <v>15.47</v>
      </c>
      <c r="AB43" s="4" t="e">
        <f>SQRT(VAR(U43:Z43))</f>
        <v>#DIV/0!</v>
      </c>
      <c r="AC43" s="3">
        <f>COUNT(U43:Z43)</f>
        <v>1</v>
      </c>
    </row>
    <row r="44" spans="1:29" ht="25.5">
      <c r="A44" s="238"/>
      <c r="G44" s="10" t="s">
        <v>321</v>
      </c>
      <c r="H44" s="10">
        <v>0.22500000000000001</v>
      </c>
      <c r="I44" s="18"/>
      <c r="J44" s="18">
        <v>0.54300000000000004</v>
      </c>
      <c r="K44" s="18"/>
      <c r="L44" s="18"/>
      <c r="M44" s="18"/>
      <c r="N44" s="18"/>
      <c r="O44" s="23">
        <f>AVERAGE(I44:N44)</f>
        <v>0.54300000000000004</v>
      </c>
      <c r="P44" s="23" t="e">
        <f>SQRT(VAR(I44:N44))</f>
        <v>#DIV/0!</v>
      </c>
      <c r="Q44" s="10">
        <f>COUNT(I44:N44)</f>
        <v>1</v>
      </c>
      <c r="T44" s="238"/>
      <c r="U44" s="18"/>
      <c r="V44" s="18">
        <v>0.54100000000000004</v>
      </c>
      <c r="W44" s="18"/>
      <c r="X44" s="18"/>
      <c r="Y44" s="18"/>
      <c r="Z44" s="18"/>
      <c r="AA44" s="26">
        <f>AVERAGE(U44:Z44)</f>
        <v>0.54100000000000004</v>
      </c>
      <c r="AB44" s="23" t="e">
        <f>SQRT(VAR(U44:Z44))</f>
        <v>#DIV/0!</v>
      </c>
      <c r="AC44" s="10">
        <f>COUNT(U44:Z44)</f>
        <v>1</v>
      </c>
    </row>
    <row r="45" spans="1:29">
      <c r="A45" s="238"/>
      <c r="O45" s="4"/>
      <c r="T45" s="238"/>
    </row>
    <row r="46" spans="1:29" ht="25.5">
      <c r="A46" s="238"/>
      <c r="B46" s="3" t="s">
        <v>316</v>
      </c>
      <c r="C46" s="3" t="s">
        <v>317</v>
      </c>
      <c r="D46" s="11" t="s">
        <v>332</v>
      </c>
      <c r="E46" s="3" t="s">
        <v>319</v>
      </c>
      <c r="F46" s="3" t="s">
        <v>76</v>
      </c>
      <c r="G46" s="3" t="s">
        <v>320</v>
      </c>
      <c r="H46" s="3">
        <v>7.8</v>
      </c>
      <c r="L46" s="2">
        <f>14.33*DL_OH!S21</f>
        <v>14.247759933353386</v>
      </c>
      <c r="O46" s="4">
        <f>AVERAGE(I46:N46)</f>
        <v>14.247759933353386</v>
      </c>
      <c r="P46" s="4" t="e">
        <f>SQRT(VAR(I46:N46))</f>
        <v>#DIV/0!</v>
      </c>
      <c r="Q46" s="3">
        <f>COUNT(I46:N46)</f>
        <v>1</v>
      </c>
      <c r="T46" s="238"/>
      <c r="X46" s="2">
        <f>15.04*DL_OH!S21</f>
        <v>14.953685233610251</v>
      </c>
      <c r="AA46" s="5">
        <f>AVERAGE(U46:Z46)</f>
        <v>14.953685233610251</v>
      </c>
      <c r="AB46" s="4" t="e">
        <f>SQRT(VAR(U46:Z46))</f>
        <v>#DIV/0!</v>
      </c>
      <c r="AC46" s="3">
        <f>COUNT(U46:Z46)</f>
        <v>1</v>
      </c>
    </row>
    <row r="47" spans="1:29" ht="25.5">
      <c r="A47" s="238"/>
      <c r="G47" s="10" t="s">
        <v>321</v>
      </c>
      <c r="H47" s="10">
        <v>0.22500000000000001</v>
      </c>
      <c r="I47" s="18"/>
      <c r="J47" s="18"/>
      <c r="K47" s="18"/>
      <c r="L47" s="18">
        <f>0.473*DL_OH!S21</f>
        <v>0.47028544650915222</v>
      </c>
      <c r="M47" s="18"/>
      <c r="N47" s="18"/>
      <c r="O47" s="23">
        <f>AVERAGE(I47:N47)</f>
        <v>0.47028544650915222</v>
      </c>
      <c r="P47" s="23" t="e">
        <f>SQRT(VAR(I47:N47))</f>
        <v>#DIV/0!</v>
      </c>
      <c r="Q47" s="10">
        <f>COUNT(I47:N47)</f>
        <v>1</v>
      </c>
      <c r="T47" s="238"/>
      <c r="U47" s="18"/>
      <c r="V47" s="18"/>
      <c r="W47" s="18"/>
      <c r="X47" s="18">
        <f>0.418*DL_OH!S21</f>
        <v>0.41560109226390196</v>
      </c>
      <c r="Y47" s="18"/>
      <c r="Z47" s="18"/>
      <c r="AA47" s="26">
        <f>AVERAGE(U47:Z47)</f>
        <v>0.41560109226390196</v>
      </c>
      <c r="AB47" s="23" t="e">
        <f>SQRT(VAR(U47:Z47))</f>
        <v>#DIV/0!</v>
      </c>
      <c r="AC47" s="10">
        <f>COUNT(U47:Z47)</f>
        <v>1</v>
      </c>
    </row>
    <row r="48" spans="1:29">
      <c r="A48" s="238"/>
      <c r="O48" s="4"/>
      <c r="T48" s="238"/>
    </row>
    <row r="49" spans="1:29" ht="38.25">
      <c r="A49" s="238"/>
      <c r="B49" s="3" t="s">
        <v>316</v>
      </c>
      <c r="C49" s="3" t="s">
        <v>325</v>
      </c>
      <c r="D49" s="11" t="s">
        <v>335</v>
      </c>
      <c r="E49" s="11" t="s">
        <v>333</v>
      </c>
      <c r="F49" s="3" t="s">
        <v>76</v>
      </c>
      <c r="G49" s="3" t="s">
        <v>320</v>
      </c>
      <c r="H49" s="3">
        <v>7.8</v>
      </c>
      <c r="J49" s="2">
        <v>15.36</v>
      </c>
      <c r="O49" s="4">
        <f>AVERAGE(I49:N49)</f>
        <v>15.36</v>
      </c>
      <c r="P49" s="4" t="e">
        <f>SQRT(VAR(I49:N49))</f>
        <v>#DIV/0!</v>
      </c>
      <c r="Q49" s="3">
        <f>COUNT(I49:N49)</f>
        <v>1</v>
      </c>
      <c r="T49" s="238"/>
      <c r="V49" s="2">
        <v>14.94</v>
      </c>
      <c r="AA49" s="5">
        <f>AVERAGE(U49:Z49)</f>
        <v>14.94</v>
      </c>
      <c r="AB49" s="4" t="e">
        <f>SQRT(VAR(U49:Z49))</f>
        <v>#DIV/0!</v>
      </c>
      <c r="AC49" s="3">
        <f>COUNT(U49:Z49)</f>
        <v>1</v>
      </c>
    </row>
    <row r="50" spans="1:29" ht="25.5">
      <c r="A50" s="238"/>
      <c r="G50" s="10" t="s">
        <v>321</v>
      </c>
      <c r="H50" s="10">
        <v>0.22500000000000001</v>
      </c>
      <c r="I50" s="18"/>
      <c r="J50" s="18">
        <v>0.51400000000000001</v>
      </c>
      <c r="K50" s="18"/>
      <c r="L50" s="18"/>
      <c r="M50" s="18"/>
      <c r="N50" s="18"/>
      <c r="O50" s="23">
        <f>AVERAGE(I50:N50)</f>
        <v>0.51400000000000001</v>
      </c>
      <c r="P50" s="23" t="e">
        <f>SQRT(VAR(I50:N50))</f>
        <v>#DIV/0!</v>
      </c>
      <c r="Q50" s="10">
        <f>COUNT(I50:N50)</f>
        <v>1</v>
      </c>
      <c r="T50" s="238"/>
      <c r="U50" s="18"/>
      <c r="V50" s="18">
        <v>0.51900000000000002</v>
      </c>
      <c r="W50" s="18"/>
      <c r="X50" s="18"/>
      <c r="Y50" s="18"/>
      <c r="Z50" s="18"/>
      <c r="AA50" s="26">
        <f>AVERAGE(U50:Z50)</f>
        <v>0.51900000000000002</v>
      </c>
      <c r="AB50" s="23" t="e">
        <f>SQRT(VAR(U50:Z50))</f>
        <v>#DIV/0!</v>
      </c>
      <c r="AC50" s="10">
        <f>COUNT(U50:Z50)</f>
        <v>1</v>
      </c>
    </row>
    <row r="51" spans="1:29">
      <c r="A51" s="238"/>
      <c r="O51" s="4"/>
      <c r="T51" s="238"/>
    </row>
    <row r="52" spans="1:29" ht="25.5">
      <c r="A52" s="238"/>
      <c r="B52" s="3" t="s">
        <v>316</v>
      </c>
      <c r="C52" s="3" t="s">
        <v>329</v>
      </c>
      <c r="D52" s="11" t="s">
        <v>336</v>
      </c>
      <c r="E52" s="3" t="s">
        <v>319</v>
      </c>
      <c r="F52" s="3" t="s">
        <v>76</v>
      </c>
      <c r="G52" s="3" t="s">
        <v>320</v>
      </c>
      <c r="H52" s="3">
        <v>7.8</v>
      </c>
      <c r="J52" s="2">
        <v>18.28</v>
      </c>
      <c r="O52" s="4">
        <f>AVERAGE(I52:N52)</f>
        <v>18.28</v>
      </c>
      <c r="P52" s="4" t="e">
        <f>SQRT(VAR(I52:N52))</f>
        <v>#DIV/0!</v>
      </c>
      <c r="Q52" s="3">
        <f>COUNT(I52:N52)</f>
        <v>1</v>
      </c>
      <c r="T52" s="238"/>
      <c r="V52" s="2">
        <v>18.12</v>
      </c>
      <c r="AA52" s="5">
        <f>AVERAGE(U52:Z52)</f>
        <v>18.12</v>
      </c>
      <c r="AB52" s="4" t="e">
        <f>SQRT(VAR(U52:Z52))</f>
        <v>#DIV/0!</v>
      </c>
      <c r="AC52" s="3">
        <f>COUNT(U52:Z52)</f>
        <v>1</v>
      </c>
    </row>
    <row r="53" spans="1:29" ht="25.5">
      <c r="A53" s="238"/>
      <c r="G53" s="10" t="s">
        <v>321</v>
      </c>
      <c r="H53" s="10">
        <v>0.22500000000000001</v>
      </c>
      <c r="I53" s="18"/>
      <c r="J53" s="18">
        <v>0.71299999999999997</v>
      </c>
      <c r="K53" s="18"/>
      <c r="L53" s="18"/>
      <c r="M53" s="18"/>
      <c r="N53" s="18"/>
      <c r="O53" s="23">
        <f>AVERAGE(I53:N53)</f>
        <v>0.71299999999999997</v>
      </c>
      <c r="P53" s="23" t="e">
        <f>SQRT(VAR(I53:N53))</f>
        <v>#DIV/0!</v>
      </c>
      <c r="Q53" s="10">
        <f>COUNT(I53:N53)</f>
        <v>1</v>
      </c>
      <c r="T53" s="238"/>
      <c r="U53" s="18"/>
      <c r="V53" s="18">
        <v>0.71599999999999997</v>
      </c>
      <c r="W53" s="18"/>
      <c r="X53" s="18"/>
      <c r="Y53" s="18"/>
      <c r="Z53" s="18"/>
      <c r="AA53" s="26">
        <f>AVERAGE(U53:Z53)</f>
        <v>0.71599999999999997</v>
      </c>
      <c r="AB53" s="23" t="e">
        <f>SQRT(VAR(U53:Z53))</f>
        <v>#DIV/0!</v>
      </c>
      <c r="AC53" s="10">
        <f>COUNT(U53:Z53)</f>
        <v>1</v>
      </c>
    </row>
    <row r="54" spans="1:29">
      <c r="A54" s="238"/>
      <c r="O54" s="4"/>
      <c r="T54" s="238"/>
    </row>
    <row r="55" spans="1:29" ht="25.5">
      <c r="A55" s="238"/>
      <c r="B55" s="3" t="s">
        <v>316</v>
      </c>
      <c r="C55" s="3" t="s">
        <v>337</v>
      </c>
      <c r="D55" s="11" t="s">
        <v>338</v>
      </c>
      <c r="E55" s="3" t="s">
        <v>319</v>
      </c>
      <c r="F55" s="3" t="s">
        <v>76</v>
      </c>
      <c r="G55" s="3" t="s">
        <v>320</v>
      </c>
      <c r="H55" s="3">
        <v>7.8</v>
      </c>
      <c r="J55" s="2">
        <v>18.93</v>
      </c>
      <c r="O55" s="4">
        <f>AVERAGE(I55:N55)</f>
        <v>18.93</v>
      </c>
      <c r="P55" s="4" t="e">
        <f>SQRT(VAR(I55:N55))</f>
        <v>#DIV/0!</v>
      </c>
      <c r="Q55" s="3">
        <f>COUNT(I55:N55)</f>
        <v>1</v>
      </c>
      <c r="T55" s="238"/>
      <c r="V55" s="2">
        <v>18.91</v>
      </c>
      <c r="AA55" s="5">
        <f>AVERAGE(U55:Z55)</f>
        <v>18.91</v>
      </c>
      <c r="AB55" s="4" t="e">
        <f>SQRT(VAR(U55:Z55))</f>
        <v>#DIV/0!</v>
      </c>
      <c r="AC55" s="3">
        <f>COUNT(U55:Z55)</f>
        <v>1</v>
      </c>
    </row>
    <row r="56" spans="1:29" ht="25.5">
      <c r="A56" s="238"/>
      <c r="G56" s="10" t="s">
        <v>321</v>
      </c>
      <c r="H56" s="10">
        <v>0.22500000000000001</v>
      </c>
      <c r="I56" s="18"/>
      <c r="J56" s="18">
        <v>0.76</v>
      </c>
      <c r="K56" s="18"/>
      <c r="L56" s="18"/>
      <c r="M56" s="18"/>
      <c r="N56" s="18"/>
      <c r="O56" s="23">
        <f>AVERAGE(I56:N56)</f>
        <v>0.76</v>
      </c>
      <c r="P56" s="23" t="e">
        <f>SQRT(VAR(I56:N56))</f>
        <v>#DIV/0!</v>
      </c>
      <c r="Q56" s="10">
        <f>COUNT(I56:N56)</f>
        <v>1</v>
      </c>
      <c r="T56" s="238"/>
      <c r="U56" s="18"/>
      <c r="V56" s="18">
        <v>0.81399999999999995</v>
      </c>
      <c r="W56" s="18"/>
      <c r="X56" s="18"/>
      <c r="Y56" s="18"/>
      <c r="Z56" s="18"/>
      <c r="AA56" s="26">
        <f>AVERAGE(U56:Z56)</f>
        <v>0.81399999999999995</v>
      </c>
      <c r="AB56" s="23" t="e">
        <f>SQRT(VAR(U56:Z56))</f>
        <v>#DIV/0!</v>
      </c>
      <c r="AC56" s="10">
        <f>COUNT(U56:Z56)</f>
        <v>1</v>
      </c>
    </row>
    <row r="57" spans="1:29">
      <c r="A57" s="238"/>
      <c r="O57" s="4"/>
      <c r="T57" s="238"/>
    </row>
    <row r="58" spans="1:29" ht="25.5">
      <c r="A58" s="238"/>
      <c r="B58" s="3" t="s">
        <v>316</v>
      </c>
      <c r="C58" s="3" t="s">
        <v>329</v>
      </c>
      <c r="D58" s="11" t="s">
        <v>336</v>
      </c>
      <c r="E58" s="11" t="s">
        <v>333</v>
      </c>
      <c r="F58" s="3" t="s">
        <v>76</v>
      </c>
      <c r="G58" s="3" t="s">
        <v>320</v>
      </c>
      <c r="H58" s="3">
        <v>7.8</v>
      </c>
      <c r="J58" s="2">
        <v>17.71</v>
      </c>
      <c r="N58" s="2">
        <f>17.07*DL_OH!S24</f>
        <v>16.582285714285703</v>
      </c>
      <c r="O58" s="4">
        <f>AVERAGE(I58:N58)</f>
        <v>17.146142857142852</v>
      </c>
      <c r="P58" s="4">
        <f>SQRT(VAR(I58:N58))</f>
        <v>0.79741441866952356</v>
      </c>
      <c r="Q58" s="3">
        <f>COUNT(I58:N58)</f>
        <v>2</v>
      </c>
      <c r="T58" s="238"/>
      <c r="V58" s="2">
        <v>17.57</v>
      </c>
      <c r="Y58" s="2">
        <f>16.88*DL_OH!S24</f>
        <v>16.397714285714276</v>
      </c>
      <c r="AA58" s="5">
        <f>AVERAGE(U58:Z58)</f>
        <v>16.98385714285714</v>
      </c>
      <c r="AB58" s="4">
        <f>SQRT(VAR(U58:Z58))</f>
        <v>0.8289311780595513</v>
      </c>
      <c r="AC58" s="3">
        <f>COUNT(U58:Z58)</f>
        <v>2</v>
      </c>
    </row>
    <row r="59" spans="1:29" ht="25.5">
      <c r="A59" s="238"/>
      <c r="G59" s="10" t="s">
        <v>321</v>
      </c>
      <c r="H59" s="10">
        <v>0.22500000000000001</v>
      </c>
      <c r="I59" s="18"/>
      <c r="J59" s="18">
        <v>0.70099999999999996</v>
      </c>
      <c r="K59" s="18"/>
      <c r="L59" s="18"/>
      <c r="M59" s="18"/>
      <c r="N59" s="18">
        <f>0.6*DL_OH!S24</f>
        <v>0.58285714285714252</v>
      </c>
      <c r="O59" s="23">
        <f>AVERAGE(I59:N59)</f>
        <v>0.64192857142857118</v>
      </c>
      <c r="P59" s="23">
        <f>SQRT(VAR(I59:N59))</f>
        <v>8.3539615434468042E-2</v>
      </c>
      <c r="Q59" s="10">
        <f>COUNT(I59:N59)</f>
        <v>2</v>
      </c>
      <c r="T59" s="238"/>
      <c r="U59" s="18"/>
      <c r="V59" s="18">
        <v>0.71599999999999997</v>
      </c>
      <c r="W59" s="18"/>
      <c r="X59" s="18"/>
      <c r="Y59" s="18">
        <f>0.57*DL_OH!S24</f>
        <v>0.55371428571428538</v>
      </c>
      <c r="Z59" s="18"/>
      <c r="AA59" s="26">
        <f>AVERAGE(U59:Z59)</f>
        <v>0.63485714285714268</v>
      </c>
      <c r="AB59" s="23">
        <f>SQRT(VAR(U59:Z59))</f>
        <v>0.1147533290611318</v>
      </c>
      <c r="AC59" s="10">
        <f>COUNT(U59:Z59)</f>
        <v>2</v>
      </c>
    </row>
    <row r="60" spans="1:29">
      <c r="A60" s="238"/>
      <c r="O60" s="4"/>
      <c r="T60" s="238"/>
    </row>
    <row r="61" spans="1:29" ht="25.5">
      <c r="A61" s="238"/>
      <c r="B61" s="3" t="s">
        <v>316</v>
      </c>
      <c r="C61" s="3" t="s">
        <v>337</v>
      </c>
      <c r="D61" s="11" t="s">
        <v>338</v>
      </c>
      <c r="E61" s="11" t="s">
        <v>333</v>
      </c>
      <c r="F61" s="3" t="s">
        <v>76</v>
      </c>
      <c r="G61" s="3" t="s">
        <v>320</v>
      </c>
      <c r="H61" s="3">
        <v>7.8</v>
      </c>
      <c r="J61" s="2">
        <v>18.32</v>
      </c>
      <c r="O61" s="4">
        <f>AVERAGE(I61:N61)</f>
        <v>18.32</v>
      </c>
      <c r="P61" s="4" t="e">
        <f>SQRT(VAR(I61:N61))</f>
        <v>#DIV/0!</v>
      </c>
      <c r="Q61" s="3">
        <f>COUNT(I61:N61)</f>
        <v>1</v>
      </c>
      <c r="T61" s="238"/>
      <c r="V61" s="2">
        <v>18.34</v>
      </c>
      <c r="AA61" s="5">
        <f>AVERAGE(U61:Z61)</f>
        <v>18.34</v>
      </c>
      <c r="AB61" s="4" t="e">
        <f>SQRT(VAR(U61:Z61))</f>
        <v>#DIV/0!</v>
      </c>
      <c r="AC61" s="3">
        <f>COUNT(U61:Z61)</f>
        <v>1</v>
      </c>
    </row>
    <row r="62" spans="1:29" ht="25.5">
      <c r="A62" s="238"/>
      <c r="G62" s="10" t="s">
        <v>321</v>
      </c>
      <c r="H62" s="10">
        <v>0.22500000000000001</v>
      </c>
      <c r="I62" s="18"/>
      <c r="J62" s="18">
        <v>0.748</v>
      </c>
      <c r="K62" s="18"/>
      <c r="L62" s="18"/>
      <c r="M62" s="18"/>
      <c r="N62" s="18"/>
      <c r="O62" s="23">
        <f>AVERAGE(I62:N62)</f>
        <v>0.748</v>
      </c>
      <c r="P62" s="23" t="e">
        <f>SQRT(VAR(I62:N62))</f>
        <v>#DIV/0!</v>
      </c>
      <c r="Q62" s="10">
        <f>COUNT(I62:N62)</f>
        <v>1</v>
      </c>
      <c r="T62" s="238"/>
      <c r="U62" s="18"/>
      <c r="V62" s="18">
        <v>0.78700000000000003</v>
      </c>
      <c r="W62" s="18"/>
      <c r="X62" s="18"/>
      <c r="Y62" s="18"/>
      <c r="Z62" s="18"/>
      <c r="AA62" s="26">
        <f>AVERAGE(U62:Z62)</f>
        <v>0.78700000000000003</v>
      </c>
      <c r="AB62" s="23" t="e">
        <f>SQRT(VAR(U62:Z62))</f>
        <v>#DIV/0!</v>
      </c>
      <c r="AC62" s="10">
        <f>COUNT(U62:Z62)</f>
        <v>1</v>
      </c>
    </row>
    <row r="63" spans="1:29">
      <c r="A63" s="238"/>
      <c r="O63" s="4"/>
      <c r="T63" s="238"/>
    </row>
    <row r="64" spans="1:29" ht="36" customHeight="1">
      <c r="A64" s="238"/>
      <c r="B64" s="3" t="s">
        <v>316</v>
      </c>
      <c r="C64" s="3" t="s">
        <v>339</v>
      </c>
      <c r="D64" s="11" t="s">
        <v>340</v>
      </c>
      <c r="E64" s="3" t="s">
        <v>319</v>
      </c>
      <c r="F64" s="3" t="s">
        <v>75</v>
      </c>
      <c r="G64" s="3" t="s">
        <v>320</v>
      </c>
      <c r="H64" s="3">
        <v>7.8</v>
      </c>
      <c r="O64" s="4" t="e">
        <f>AVERAGE(I64:N64)</f>
        <v>#DIV/0!</v>
      </c>
      <c r="P64" s="4" t="e">
        <f>SQRT(VAR(I64:N64))</f>
        <v>#DIV/0!</v>
      </c>
      <c r="Q64" s="3">
        <f>COUNT(I64:N64)</f>
        <v>0</v>
      </c>
      <c r="T64" s="238"/>
      <c r="AA64" s="5" t="e">
        <f>AVERAGE(U64:Z64)</f>
        <v>#DIV/0!</v>
      </c>
      <c r="AB64" s="4" t="e">
        <f>SQRT(VAR(U64:Z64))</f>
        <v>#DIV/0!</v>
      </c>
      <c r="AC64" s="3">
        <f>COUNT(U64:Z64)</f>
        <v>0</v>
      </c>
    </row>
    <row r="65" spans="1:29" ht="25.5">
      <c r="A65" s="238"/>
      <c r="G65" s="10" t="s">
        <v>321</v>
      </c>
      <c r="H65" s="10">
        <v>0.22500000000000001</v>
      </c>
      <c r="I65" s="18"/>
      <c r="J65" s="18"/>
      <c r="K65" s="18"/>
      <c r="L65" s="18"/>
      <c r="M65" s="18"/>
      <c r="N65" s="18"/>
      <c r="O65" s="23" t="e">
        <f>AVERAGE(I65:N65)</f>
        <v>#DIV/0!</v>
      </c>
      <c r="P65" s="23" t="e">
        <f>SQRT(VAR(I65:N65))</f>
        <v>#DIV/0!</v>
      </c>
      <c r="Q65" s="10">
        <f>COUNT(I65:N65)</f>
        <v>0</v>
      </c>
      <c r="T65" s="238"/>
      <c r="U65" s="18"/>
      <c r="V65" s="18"/>
      <c r="W65" s="18"/>
      <c r="X65" s="18"/>
      <c r="Y65" s="18"/>
      <c r="Z65" s="18"/>
      <c r="AA65" s="26" t="e">
        <f>AVERAGE(U65:Z65)</f>
        <v>#DIV/0!</v>
      </c>
      <c r="AB65" s="23" t="e">
        <f>SQRT(VAR(U65:Z65))</f>
        <v>#DIV/0!</v>
      </c>
      <c r="AC65" s="10">
        <f>COUNT(U65:Z65)</f>
        <v>0</v>
      </c>
    </row>
    <row r="66" spans="1:29">
      <c r="A66" s="238"/>
      <c r="O66" s="4"/>
      <c r="T66" s="238"/>
    </row>
    <row r="67" spans="1:29" ht="25.5">
      <c r="A67" s="9"/>
      <c r="B67" s="3" t="s">
        <v>316</v>
      </c>
      <c r="C67" s="3" t="s">
        <v>329</v>
      </c>
      <c r="D67" s="11" t="s">
        <v>336</v>
      </c>
      <c r="E67" s="11" t="s">
        <v>333</v>
      </c>
      <c r="F67" s="3" t="s">
        <v>341</v>
      </c>
      <c r="G67" s="3" t="s">
        <v>320</v>
      </c>
      <c r="H67" s="3">
        <v>7.8</v>
      </c>
      <c r="M67" s="2">
        <f>16.38*DL_OH!S42</f>
        <v>16.070943396226415</v>
      </c>
      <c r="O67" s="4">
        <f>AVERAGE(I67:N67)</f>
        <v>16.070943396226415</v>
      </c>
      <c r="P67" s="4" t="e">
        <f>SQRT(VAR(I67:N67))</f>
        <v>#DIV/0!</v>
      </c>
      <c r="Q67" s="3">
        <f>COUNT(I67:N67)</f>
        <v>1</v>
      </c>
      <c r="T67" s="9"/>
      <c r="AA67" s="5" t="e">
        <f>AVERAGE(U67:Z67)</f>
        <v>#DIV/0!</v>
      </c>
      <c r="AB67" s="4" t="e">
        <f>SQRT(VAR(U67:Z67))</f>
        <v>#DIV/0!</v>
      </c>
      <c r="AC67" s="3">
        <f>COUNT(U67:Z67)</f>
        <v>0</v>
      </c>
    </row>
    <row r="68" spans="1:29" ht="25.5">
      <c r="A68" s="9"/>
      <c r="G68" s="10" t="s">
        <v>321</v>
      </c>
      <c r="H68" s="10">
        <v>0.22500000000000001</v>
      </c>
      <c r="I68" s="18"/>
      <c r="J68" s="18"/>
      <c r="K68" s="18"/>
      <c r="L68" s="18"/>
      <c r="M68" s="18">
        <f>0.43*DL_OH!S42</f>
        <v>0.42188679245283017</v>
      </c>
      <c r="N68" s="18"/>
      <c r="O68" s="23">
        <f>AVERAGE(I68:N68)</f>
        <v>0.42188679245283017</v>
      </c>
      <c r="P68" s="23" t="e">
        <f>SQRT(VAR(I68:N68))</f>
        <v>#DIV/0!</v>
      </c>
      <c r="Q68" s="10">
        <f>COUNT(I68:N68)</f>
        <v>1</v>
      </c>
      <c r="T68" s="9"/>
      <c r="U68" s="18"/>
      <c r="V68" s="18"/>
      <c r="W68" s="18"/>
      <c r="X68" s="18"/>
      <c r="Y68" s="18"/>
      <c r="Z68" s="18"/>
      <c r="AA68" s="26" t="e">
        <f>AVERAGE(U68:Z68)</f>
        <v>#DIV/0!</v>
      </c>
      <c r="AB68" s="23" t="e">
        <f>SQRT(VAR(U68:Z68))</f>
        <v>#DIV/0!</v>
      </c>
      <c r="AC68" s="10">
        <f>COUNT(U68:Z68)</f>
        <v>0</v>
      </c>
    </row>
    <row r="69" spans="1:29">
      <c r="A69" s="9"/>
      <c r="O69" s="4"/>
      <c r="T69" s="9"/>
    </row>
    <row r="70" spans="1:29" ht="35.25" customHeight="1">
      <c r="A70" s="9"/>
      <c r="B70" s="3" t="s">
        <v>316</v>
      </c>
      <c r="C70" s="3" t="s">
        <v>325</v>
      </c>
      <c r="D70" s="3" t="s">
        <v>342</v>
      </c>
      <c r="E70" s="3" t="s">
        <v>319</v>
      </c>
      <c r="F70" s="3" t="s">
        <v>76</v>
      </c>
      <c r="G70" s="3" t="s">
        <v>320</v>
      </c>
      <c r="H70" s="3">
        <v>7.8</v>
      </c>
      <c r="O70" s="4" t="e">
        <f>AVERAGE(I70:N70)</f>
        <v>#DIV/0!</v>
      </c>
      <c r="P70" s="4" t="e">
        <f>SQRT(VAR(I70:N70))</f>
        <v>#DIV/0!</v>
      </c>
      <c r="Q70" s="3">
        <f>COUNT(I70:N70)</f>
        <v>0</v>
      </c>
      <c r="T70" s="9"/>
      <c r="AA70" s="5" t="e">
        <f>AVERAGE(U70:Z70)</f>
        <v>#DIV/0!</v>
      </c>
      <c r="AB70" s="4" t="e">
        <f>SQRT(VAR(U70:Z70))</f>
        <v>#DIV/0!</v>
      </c>
      <c r="AC70" s="3">
        <f>COUNT(U70:Z70)</f>
        <v>0</v>
      </c>
    </row>
    <row r="71" spans="1:29" ht="25.5">
      <c r="A71" s="9"/>
      <c r="G71" s="10" t="s">
        <v>321</v>
      </c>
      <c r="H71" s="10">
        <v>0.22500000000000001</v>
      </c>
      <c r="I71" s="18"/>
      <c r="J71" s="18"/>
      <c r="K71" s="18"/>
      <c r="L71" s="18"/>
      <c r="M71" s="18"/>
      <c r="N71" s="18"/>
      <c r="O71" s="23" t="e">
        <f>AVERAGE(I71:N71)</f>
        <v>#DIV/0!</v>
      </c>
      <c r="P71" s="23" t="e">
        <f>SQRT(VAR(I71:N71))</f>
        <v>#DIV/0!</v>
      </c>
      <c r="Q71" s="10">
        <f>COUNT(I71:N71)</f>
        <v>0</v>
      </c>
      <c r="T71" s="9"/>
      <c r="U71" s="18"/>
      <c r="V71" s="18"/>
      <c r="W71" s="18"/>
      <c r="X71" s="18"/>
      <c r="Y71" s="18"/>
      <c r="Z71" s="18"/>
      <c r="AA71" s="26" t="e">
        <f>AVERAGE(U71:Z71)</f>
        <v>#DIV/0!</v>
      </c>
      <c r="AB71" s="23" t="e">
        <f>SQRT(VAR(U71:Z71))</f>
        <v>#DIV/0!</v>
      </c>
      <c r="AC71" s="10">
        <f>COUNT(U71:Z71)</f>
        <v>0</v>
      </c>
    </row>
    <row r="72" spans="1:29" ht="43.5" customHeight="1">
      <c r="A72" s="9"/>
      <c r="B72" s="3" t="s">
        <v>316</v>
      </c>
      <c r="C72" s="3" t="s">
        <v>343</v>
      </c>
      <c r="D72" s="3" t="s">
        <v>344</v>
      </c>
      <c r="E72" s="3" t="s">
        <v>333</v>
      </c>
      <c r="F72" s="3" t="s">
        <v>80</v>
      </c>
      <c r="G72" s="3" t="s">
        <v>320</v>
      </c>
      <c r="H72" s="3">
        <v>7.8</v>
      </c>
      <c r="O72" s="4" t="e">
        <f>AVERAGE(I72:N72)</f>
        <v>#DIV/0!</v>
      </c>
      <c r="P72" s="4" t="e">
        <f>SQRT(VAR(I72:N72))</f>
        <v>#DIV/0!</v>
      </c>
      <c r="Q72" s="3">
        <f>COUNT(I72:N72)</f>
        <v>0</v>
      </c>
      <c r="T72" s="9"/>
      <c r="AA72" s="5" t="e">
        <f>AVERAGE(U72:Z72)</f>
        <v>#DIV/0!</v>
      </c>
      <c r="AB72" s="4" t="e">
        <f>SQRT(VAR(U72:Z72))</f>
        <v>#DIV/0!</v>
      </c>
      <c r="AC72" s="3">
        <f>COUNT(U72:Z72)</f>
        <v>0</v>
      </c>
    </row>
    <row r="73" spans="1:29" ht="25.5">
      <c r="A73" s="9"/>
      <c r="G73" s="10" t="s">
        <v>321</v>
      </c>
      <c r="H73" s="10">
        <v>0.22500000000000001</v>
      </c>
      <c r="I73" s="18"/>
      <c r="J73" s="18"/>
      <c r="K73" s="18"/>
      <c r="L73" s="18"/>
      <c r="M73" s="18"/>
      <c r="N73" s="18"/>
      <c r="O73" s="23" t="e">
        <f>AVERAGE(I73:N73)</f>
        <v>#DIV/0!</v>
      </c>
      <c r="P73" s="23" t="e">
        <f>SQRT(VAR(I73:N73))</f>
        <v>#DIV/0!</v>
      </c>
      <c r="Q73" s="10">
        <f>COUNT(I73:N73)</f>
        <v>0</v>
      </c>
      <c r="T73" s="9"/>
      <c r="U73" s="18"/>
      <c r="V73" s="18"/>
      <c r="W73" s="18"/>
      <c r="X73" s="18"/>
      <c r="Y73" s="18"/>
      <c r="Z73" s="18"/>
      <c r="AA73" s="26" t="e">
        <f>AVERAGE(U73:Z73)</f>
        <v>#DIV/0!</v>
      </c>
      <c r="AB73" s="23" t="e">
        <f>SQRT(VAR(U73:Z73))</f>
        <v>#DIV/0!</v>
      </c>
      <c r="AC73" s="10">
        <f>COUNT(U73:Z73)</f>
        <v>0</v>
      </c>
    </row>
    <row r="74" spans="1:29">
      <c r="A74" s="9"/>
      <c r="O74" s="4"/>
      <c r="T74" s="9"/>
    </row>
    <row r="75" spans="1:29">
      <c r="O75" s="4"/>
    </row>
    <row r="76" spans="1:29">
      <c r="A76" s="239" t="s">
        <v>345</v>
      </c>
      <c r="B76" s="8" t="s">
        <v>50</v>
      </c>
      <c r="C76" s="8"/>
      <c r="D76" s="8"/>
      <c r="E76" s="8"/>
      <c r="F76" s="8"/>
      <c r="G76" s="13"/>
      <c r="H76" s="13"/>
      <c r="I76" s="16"/>
      <c r="J76" s="16"/>
      <c r="K76" s="204"/>
      <c r="L76" s="16"/>
      <c r="M76" s="16"/>
      <c r="N76" s="16"/>
      <c r="O76" s="22"/>
      <c r="P76" s="22"/>
      <c r="Q76" s="13"/>
      <c r="T76" s="239" t="s">
        <v>345</v>
      </c>
      <c r="U76" s="16"/>
      <c r="V76" s="16"/>
      <c r="W76" s="16"/>
      <c r="X76" s="16"/>
      <c r="Y76" s="16"/>
      <c r="Z76" s="16"/>
      <c r="AA76" s="25"/>
      <c r="AB76" s="22"/>
      <c r="AC76" s="13"/>
    </row>
    <row r="77" spans="1:29" ht="25.5">
      <c r="A77" s="239"/>
      <c r="B77" s="3" t="s">
        <v>316</v>
      </c>
      <c r="C77" s="3" t="s">
        <v>346</v>
      </c>
      <c r="D77" s="3" t="s">
        <v>347</v>
      </c>
      <c r="E77" s="3" t="s">
        <v>319</v>
      </c>
      <c r="G77" s="3" t="s">
        <v>320</v>
      </c>
      <c r="H77" s="3">
        <v>5.4</v>
      </c>
      <c r="I77" s="2">
        <f>UL_OH!R9*6.599</f>
        <v>6.7717416801948049</v>
      </c>
      <c r="K77" s="32">
        <f>8.7493*0.828664</f>
        <v>7.2502299351999993</v>
      </c>
      <c r="O77" s="4">
        <f>AVERAGE(I77:N77)</f>
        <v>7.0109858076974021</v>
      </c>
      <c r="P77" s="4">
        <f>SQRT(VAR(I77:N77))</f>
        <v>0.33834228983229087</v>
      </c>
      <c r="Q77" s="3">
        <f>COUNT(I77:N77)</f>
        <v>2</v>
      </c>
      <c r="T77" s="239"/>
      <c r="U77" s="2">
        <f>6.499*UL_OH!R9</f>
        <v>6.6691239853896098</v>
      </c>
      <c r="AA77" s="5">
        <f>AVERAGE(U77:Z77)</f>
        <v>6.6691239853896098</v>
      </c>
      <c r="AB77" s="4" t="e">
        <f>SQRT(VAR(U77:Z77))</f>
        <v>#DIV/0!</v>
      </c>
      <c r="AC77" s="3">
        <f>COUNT(U77:Z77)</f>
        <v>1</v>
      </c>
    </row>
    <row r="78" spans="1:29" ht="25.5">
      <c r="A78" s="239"/>
      <c r="G78" s="10" t="s">
        <v>321</v>
      </c>
      <c r="H78" s="10">
        <v>0.15</v>
      </c>
      <c r="I78" s="18">
        <f>0.248*UL_OH!R9</f>
        <v>0.25449188311688309</v>
      </c>
      <c r="J78" s="18"/>
      <c r="K78" s="205">
        <f>0.393*0.8286642</f>
        <v>0.32566503060000002</v>
      </c>
      <c r="L78" s="18"/>
      <c r="M78" s="18"/>
      <c r="N78" s="18"/>
      <c r="O78" s="23">
        <f>AVERAGE(I78:N78)</f>
        <v>0.29007845685844158</v>
      </c>
      <c r="P78" s="23">
        <f>SQRT(VAR(I78:N78))</f>
        <v>5.0327015223701914E-2</v>
      </c>
      <c r="Q78" s="10">
        <f>COUNT(I78:N78)</f>
        <v>2</v>
      </c>
      <c r="T78" s="239"/>
      <c r="U78" s="18">
        <f>0.213*UL_OH!R9</f>
        <v>0.21857568993506493</v>
      </c>
      <c r="V78" s="18"/>
      <c r="W78" s="18"/>
      <c r="X78" s="18"/>
      <c r="Y78" s="18"/>
      <c r="Z78" s="18"/>
      <c r="AA78" s="26">
        <f>AVERAGE(U78:Z78)</f>
        <v>0.21857568993506493</v>
      </c>
      <c r="AB78" s="23" t="e">
        <f>SQRT(VAR(U78:Z78))</f>
        <v>#DIV/0!</v>
      </c>
      <c r="AC78" s="10">
        <f>COUNT(U78:Z78)</f>
        <v>1</v>
      </c>
    </row>
    <row r="79" spans="1:29">
      <c r="A79" s="239"/>
      <c r="K79" s="32"/>
      <c r="O79" s="4"/>
      <c r="T79" s="239"/>
    </row>
    <row r="80" spans="1:29" ht="25.5">
      <c r="A80" s="239"/>
      <c r="B80" s="3" t="s">
        <v>316</v>
      </c>
      <c r="C80" s="3" t="s">
        <v>317</v>
      </c>
      <c r="D80" s="3" t="s">
        <v>348</v>
      </c>
      <c r="E80" s="3" t="s">
        <v>319</v>
      </c>
      <c r="G80" s="3" t="s">
        <v>320</v>
      </c>
      <c r="H80" s="3">
        <v>5.4</v>
      </c>
      <c r="I80" s="2">
        <f>7.91*UL_OH!R9</f>
        <v>8.1170596590909092</v>
      </c>
      <c r="K80" s="32">
        <f>10.6764*0.8286642</f>
        <v>8.8471504648799986</v>
      </c>
      <c r="O80" s="4">
        <f>AVERAGE(I80:N80)</f>
        <v>8.4821050619854539</v>
      </c>
      <c r="P80" s="4">
        <f>SQRT(VAR(I80:N80))</f>
        <v>0.51625215965541582</v>
      </c>
      <c r="Q80" s="3">
        <f>COUNT(I80:N80)</f>
        <v>2</v>
      </c>
      <c r="T80" s="239"/>
      <c r="U80" s="2">
        <f>7.874*UL_OH!R9</f>
        <v>8.0801172889610378</v>
      </c>
      <c r="AA80" s="5">
        <f>AVERAGE(U80:Z80)</f>
        <v>8.0801172889610378</v>
      </c>
      <c r="AB80" s="4" t="e">
        <f>SQRT(VAR(U80:Z80))</f>
        <v>#DIV/0!</v>
      </c>
      <c r="AC80" s="3">
        <f>COUNT(U80:Z80)</f>
        <v>1</v>
      </c>
    </row>
    <row r="81" spans="1:29" ht="25.5">
      <c r="A81" s="239"/>
      <c r="G81" s="10" t="s">
        <v>321</v>
      </c>
      <c r="H81" s="10">
        <v>0.15</v>
      </c>
      <c r="I81" s="18">
        <f>0.378*UL_OH!R9</f>
        <v>0.38789488636363634</v>
      </c>
      <c r="J81" s="18"/>
      <c r="K81" s="205">
        <f>0.529*0.8286642</f>
        <v>0.43836336180000002</v>
      </c>
      <c r="L81" s="18"/>
      <c r="M81" s="18"/>
      <c r="N81" s="18"/>
      <c r="O81" s="23">
        <f>AVERAGE(I81:N81)</f>
        <v>0.41312912408181818</v>
      </c>
      <c r="P81" s="23">
        <f>SQRT(VAR(I81:N81))</f>
        <v>3.5686601217199465E-2</v>
      </c>
      <c r="Q81" s="10">
        <f>COUNT(I81:N81)</f>
        <v>2</v>
      </c>
      <c r="T81" s="239"/>
      <c r="U81" s="18">
        <f>0.315*UL_OH!R9</f>
        <v>0.32324573863636363</v>
      </c>
      <c r="V81" s="18"/>
      <c r="W81" s="18"/>
      <c r="X81" s="18"/>
      <c r="Y81" s="18"/>
      <c r="Z81" s="18"/>
      <c r="AA81" s="26">
        <f>AVERAGE(U81:Z81)</f>
        <v>0.32324573863636363</v>
      </c>
      <c r="AB81" s="23" t="e">
        <f>SQRT(VAR(U81:Z81))</f>
        <v>#DIV/0!</v>
      </c>
      <c r="AC81" s="10">
        <f>COUNT(U81:Z81)</f>
        <v>1</v>
      </c>
    </row>
    <row r="82" spans="1:29">
      <c r="A82" s="239"/>
      <c r="K82" s="32"/>
      <c r="O82" s="4"/>
      <c r="T82" s="239"/>
    </row>
    <row r="83" spans="1:29" ht="25.5">
      <c r="A83" s="239"/>
      <c r="B83" s="3" t="s">
        <v>316</v>
      </c>
      <c r="C83" s="3" t="s">
        <v>317</v>
      </c>
      <c r="D83" s="3" t="s">
        <v>349</v>
      </c>
      <c r="E83" s="3" t="s">
        <v>319</v>
      </c>
      <c r="G83" s="3" t="s">
        <v>320</v>
      </c>
      <c r="H83" s="3">
        <v>5.4</v>
      </c>
      <c r="I83" s="2">
        <f>8.599*UL_OH!R9</f>
        <v>8.824095576298701</v>
      </c>
      <c r="K83" s="32"/>
      <c r="O83" s="4">
        <f>AVERAGE(I83:N83)</f>
        <v>8.824095576298701</v>
      </c>
      <c r="P83" s="4" t="e">
        <f>SQRT(VAR(I83:N83))</f>
        <v>#DIV/0!</v>
      </c>
      <c r="Q83" s="3">
        <f>COUNT(I83:N83)</f>
        <v>1</v>
      </c>
      <c r="T83" s="239"/>
      <c r="U83" s="2">
        <f>8.568*UL_OH!R9</f>
        <v>8.7922840909090905</v>
      </c>
      <c r="AA83" s="5">
        <f>AVERAGE(U83:Z83)</f>
        <v>8.7922840909090905</v>
      </c>
      <c r="AB83" s="4" t="e">
        <f>SQRT(VAR(U83:Z83))</f>
        <v>#DIV/0!</v>
      </c>
      <c r="AC83" s="3">
        <f>COUNT(U83:Z83)</f>
        <v>1</v>
      </c>
    </row>
    <row r="84" spans="1:29" ht="25.5">
      <c r="A84" s="239"/>
      <c r="G84" s="10" t="s">
        <v>321</v>
      </c>
      <c r="H84" s="10">
        <v>0.15</v>
      </c>
      <c r="I84" s="18">
        <f>0.44*UL_OH!R9</f>
        <v>0.45151785714285714</v>
      </c>
      <c r="J84" s="18"/>
      <c r="K84" s="18"/>
      <c r="L84" s="18"/>
      <c r="M84" s="18"/>
      <c r="N84" s="18"/>
      <c r="O84" s="23">
        <f>AVERAGE(I84:N84)</f>
        <v>0.45151785714285714</v>
      </c>
      <c r="P84" s="23" t="e">
        <f>SQRT(VAR(I84:N84))</f>
        <v>#DIV/0!</v>
      </c>
      <c r="Q84" s="10">
        <f>COUNT(I84:N84)</f>
        <v>1</v>
      </c>
      <c r="T84" s="239"/>
      <c r="U84" s="18">
        <f>0.365*UL_OH!R9</f>
        <v>0.37455458603896102</v>
      </c>
      <c r="V84" s="18"/>
      <c r="W84" s="18"/>
      <c r="X84" s="18"/>
      <c r="Y84" s="18"/>
      <c r="Z84" s="18"/>
      <c r="AA84" s="26">
        <f>AVERAGE(U84:Z84)</f>
        <v>0.37455458603896102</v>
      </c>
      <c r="AB84" s="23" t="e">
        <f>SQRT(VAR(U84:Z84))</f>
        <v>#DIV/0!</v>
      </c>
      <c r="AC84" s="10">
        <f>COUNT(U84:Z84)</f>
        <v>1</v>
      </c>
    </row>
    <row r="85" spans="1:29">
      <c r="A85" s="239"/>
      <c r="O85" s="4"/>
      <c r="T85" s="239"/>
    </row>
    <row r="86" spans="1:29" ht="25.5">
      <c r="A86" s="239"/>
      <c r="B86" s="3" t="s">
        <v>316</v>
      </c>
      <c r="C86" s="3" t="s">
        <v>323</v>
      </c>
      <c r="D86" s="3" t="s">
        <v>350</v>
      </c>
      <c r="E86" s="3" t="s">
        <v>319</v>
      </c>
      <c r="G86" s="3" t="s">
        <v>320</v>
      </c>
      <c r="H86" s="3">
        <v>5.4</v>
      </c>
      <c r="O86" s="4" t="e">
        <f>AVERAGE(I86:N86)</f>
        <v>#DIV/0!</v>
      </c>
      <c r="P86" s="4" t="e">
        <f>SQRT(VAR(I86:N86))</f>
        <v>#DIV/0!</v>
      </c>
      <c r="Q86" s="3">
        <f>COUNT(I86:N86)</f>
        <v>0</v>
      </c>
      <c r="T86" s="239"/>
      <c r="AA86" s="5" t="e">
        <f>AVERAGE(U86:Z86)</f>
        <v>#DIV/0!</v>
      </c>
      <c r="AB86" s="4" t="e">
        <f>SQRT(VAR(U86:Z86))</f>
        <v>#DIV/0!</v>
      </c>
      <c r="AC86" s="3">
        <f>COUNT(U86:Z86)</f>
        <v>0</v>
      </c>
    </row>
    <row r="87" spans="1:29" ht="25.5">
      <c r="A87" s="239"/>
      <c r="G87" s="10" t="s">
        <v>321</v>
      </c>
      <c r="H87" s="10">
        <v>0.15</v>
      </c>
      <c r="I87" s="18"/>
      <c r="J87" s="18"/>
      <c r="K87" s="18"/>
      <c r="L87" s="18"/>
      <c r="M87" s="18"/>
      <c r="N87" s="18"/>
      <c r="O87" s="23" t="e">
        <f>AVERAGE(I87:N87)</f>
        <v>#DIV/0!</v>
      </c>
      <c r="P87" s="23" t="e">
        <f>SQRT(VAR(I87:N87))</f>
        <v>#DIV/0!</v>
      </c>
      <c r="Q87" s="10">
        <f>COUNT(I87:N87)</f>
        <v>0</v>
      </c>
      <c r="T87" s="239"/>
      <c r="U87" s="18"/>
      <c r="V87" s="18"/>
      <c r="W87" s="18"/>
      <c r="X87" s="18"/>
      <c r="Y87" s="18"/>
      <c r="Z87" s="18"/>
      <c r="AA87" s="26" t="e">
        <f>AVERAGE(U87:Z87)</f>
        <v>#DIV/0!</v>
      </c>
      <c r="AB87" s="23" t="e">
        <f>SQRT(VAR(U87:Z87))</f>
        <v>#DIV/0!</v>
      </c>
      <c r="AC87" s="10">
        <f>COUNT(U87:Z87)</f>
        <v>0</v>
      </c>
    </row>
    <row r="88" spans="1:29">
      <c r="A88" s="239"/>
      <c r="O88" s="4"/>
      <c r="T88" s="239"/>
    </row>
    <row r="89" spans="1:29" ht="25.5">
      <c r="A89" s="239"/>
      <c r="B89" s="3" t="s">
        <v>316</v>
      </c>
      <c r="C89" s="3" t="s">
        <v>325</v>
      </c>
      <c r="D89" s="3" t="s">
        <v>350</v>
      </c>
      <c r="E89" s="3" t="s">
        <v>319</v>
      </c>
      <c r="G89" s="3" t="s">
        <v>320</v>
      </c>
      <c r="H89" s="3">
        <v>5.4</v>
      </c>
      <c r="O89" s="4" t="e">
        <f>AVERAGE(I89:N89)</f>
        <v>#DIV/0!</v>
      </c>
      <c r="P89" s="4" t="e">
        <f>SQRT(VAR(I89:N89))</f>
        <v>#DIV/0!</v>
      </c>
      <c r="Q89" s="3">
        <f>COUNT(I89:N89)</f>
        <v>0</v>
      </c>
      <c r="T89" s="239"/>
      <c r="AA89" s="5" t="e">
        <f>AVERAGE(U89:Z89)</f>
        <v>#DIV/0!</v>
      </c>
      <c r="AB89" s="4" t="e">
        <f>SQRT(VAR(U89:Z89))</f>
        <v>#DIV/0!</v>
      </c>
      <c r="AC89" s="3">
        <f>COUNT(U89:Z89)</f>
        <v>0</v>
      </c>
    </row>
    <row r="90" spans="1:29" ht="25.5">
      <c r="A90" s="239"/>
      <c r="G90" s="10" t="s">
        <v>321</v>
      </c>
      <c r="H90" s="10">
        <v>0.15</v>
      </c>
      <c r="I90" s="18"/>
      <c r="J90" s="18"/>
      <c r="K90" s="18"/>
      <c r="L90" s="18"/>
      <c r="M90" s="18"/>
      <c r="N90" s="18"/>
      <c r="O90" s="23" t="e">
        <f>AVERAGE(I90:N90)</f>
        <v>#DIV/0!</v>
      </c>
      <c r="P90" s="23" t="e">
        <f>SQRT(VAR(I90:N90))</f>
        <v>#DIV/0!</v>
      </c>
      <c r="Q90" s="10">
        <f>COUNT(I90:N90)</f>
        <v>0</v>
      </c>
      <c r="T90" s="239"/>
      <c r="U90" s="18"/>
      <c r="V90" s="18"/>
      <c r="W90" s="18"/>
      <c r="X90" s="18"/>
      <c r="Y90" s="18"/>
      <c r="Z90" s="18"/>
      <c r="AA90" s="26" t="e">
        <f>AVERAGE(U90:Z90)</f>
        <v>#DIV/0!</v>
      </c>
      <c r="AB90" s="23" t="e">
        <f>SQRT(VAR(U90:Z90))</f>
        <v>#DIV/0!</v>
      </c>
      <c r="AC90" s="10">
        <f>COUNT(U90:Z90)</f>
        <v>0</v>
      </c>
    </row>
    <row r="91" spans="1:29">
      <c r="A91" s="239"/>
      <c r="O91" s="4"/>
      <c r="T91" s="239"/>
    </row>
    <row r="92" spans="1:29" ht="25.5">
      <c r="A92" s="239"/>
      <c r="B92" s="3" t="s">
        <v>316</v>
      </c>
      <c r="C92" s="3" t="s">
        <v>346</v>
      </c>
      <c r="D92" s="11" t="s">
        <v>351</v>
      </c>
      <c r="E92" s="3" t="s">
        <v>319</v>
      </c>
      <c r="G92" s="3" t="s">
        <v>320</v>
      </c>
      <c r="H92" s="3">
        <v>5.4</v>
      </c>
      <c r="J92" s="2">
        <v>6.09</v>
      </c>
      <c r="O92" s="4">
        <f>AVERAGE(I92:N92)</f>
        <v>6.09</v>
      </c>
      <c r="P92" s="4" t="e">
        <f>SQRT(VAR(I92:N92))</f>
        <v>#DIV/0!</v>
      </c>
      <c r="Q92" s="3">
        <f>COUNT(I92:N92)</f>
        <v>1</v>
      </c>
      <c r="T92" s="239"/>
      <c r="V92" s="2">
        <v>6.4</v>
      </c>
      <c r="AA92" s="5">
        <f>AVERAGE(U92:Z92)</f>
        <v>6.4</v>
      </c>
      <c r="AB92" s="4" t="e">
        <f>SQRT(VAR(U92:Z92))</f>
        <v>#DIV/0!</v>
      </c>
      <c r="AC92" s="3">
        <f>COUNT(U92:Z92)</f>
        <v>1</v>
      </c>
    </row>
    <row r="93" spans="1:29" ht="25.5">
      <c r="A93" s="239"/>
      <c r="G93" s="10" t="s">
        <v>321</v>
      </c>
      <c r="H93" s="10">
        <v>0.15</v>
      </c>
      <c r="I93" s="18"/>
      <c r="J93" s="18">
        <v>0.33</v>
      </c>
      <c r="K93" s="18"/>
      <c r="L93" s="18"/>
      <c r="M93" s="18"/>
      <c r="N93" s="18"/>
      <c r="O93" s="23">
        <f>AVERAGE(I93:N93)</f>
        <v>0.33</v>
      </c>
      <c r="P93" s="23" t="e">
        <f>SQRT(VAR(I93:N93))</f>
        <v>#DIV/0!</v>
      </c>
      <c r="Q93" s="10">
        <f>COUNT(I93:N93)</f>
        <v>1</v>
      </c>
      <c r="T93" s="239"/>
      <c r="U93" s="18"/>
      <c r="V93" s="18">
        <v>0.34899999999999998</v>
      </c>
      <c r="W93" s="18"/>
      <c r="X93" s="18"/>
      <c r="Y93" s="18"/>
      <c r="Z93" s="18"/>
      <c r="AA93" s="26">
        <f>AVERAGE(U93:Z93)</f>
        <v>0.34899999999999998</v>
      </c>
      <c r="AB93" s="23" t="e">
        <f>SQRT(VAR(U93:Z93))</f>
        <v>#DIV/0!</v>
      </c>
      <c r="AC93" s="10">
        <f>COUNT(U93:Z93)</f>
        <v>1</v>
      </c>
    </row>
    <row r="94" spans="1:29">
      <c r="A94" s="239"/>
      <c r="O94" s="4"/>
      <c r="T94" s="239"/>
    </row>
    <row r="95" spans="1:29" ht="25.5">
      <c r="A95" s="239"/>
      <c r="B95" s="3" t="s">
        <v>316</v>
      </c>
      <c r="C95" s="3" t="s">
        <v>346</v>
      </c>
      <c r="D95" s="3" t="s">
        <v>352</v>
      </c>
      <c r="E95" s="3" t="s">
        <v>319</v>
      </c>
      <c r="G95" s="3" t="s">
        <v>320</v>
      </c>
      <c r="H95" s="3">
        <v>5.4</v>
      </c>
      <c r="O95" s="4" t="e">
        <f>AVERAGE(I95:N95)</f>
        <v>#DIV/0!</v>
      </c>
      <c r="P95" s="4" t="e">
        <f>SQRT(VAR(I95:N95))</f>
        <v>#DIV/0!</v>
      </c>
      <c r="Q95" s="3">
        <f>COUNT(I95:N95)</f>
        <v>0</v>
      </c>
      <c r="T95" s="239"/>
      <c r="AA95" s="5" t="e">
        <f>AVERAGE(U95:Z95)</f>
        <v>#DIV/0!</v>
      </c>
      <c r="AB95" s="4" t="e">
        <f>SQRT(VAR(U95:Z95))</f>
        <v>#DIV/0!</v>
      </c>
      <c r="AC95" s="3">
        <f>COUNT(U95:Z95)</f>
        <v>0</v>
      </c>
    </row>
    <row r="96" spans="1:29" ht="25.5">
      <c r="A96" s="239"/>
      <c r="G96" s="10" t="s">
        <v>321</v>
      </c>
      <c r="H96" s="10">
        <v>0.15</v>
      </c>
      <c r="I96" s="18"/>
      <c r="J96" s="18"/>
      <c r="K96" s="18"/>
      <c r="L96" s="18"/>
      <c r="M96" s="18"/>
      <c r="N96" s="18"/>
      <c r="O96" s="23" t="e">
        <f>AVERAGE(I96:N96)</f>
        <v>#DIV/0!</v>
      </c>
      <c r="P96" s="23" t="e">
        <f>SQRT(VAR(I96:N96))</f>
        <v>#DIV/0!</v>
      </c>
      <c r="Q96" s="10">
        <f>COUNT(I96:N96)</f>
        <v>0</v>
      </c>
      <c r="T96" s="239"/>
      <c r="U96" s="18"/>
      <c r="V96" s="18"/>
      <c r="W96" s="18"/>
      <c r="X96" s="18"/>
      <c r="Y96" s="18"/>
      <c r="Z96" s="18"/>
      <c r="AA96" s="26" t="e">
        <f>AVERAGE(U96:Z96)</f>
        <v>#DIV/0!</v>
      </c>
      <c r="AB96" s="23" t="e">
        <f>SQRT(VAR(U96:Z96))</f>
        <v>#DIV/0!</v>
      </c>
      <c r="AC96" s="10">
        <f>COUNT(U96:Z96)</f>
        <v>0</v>
      </c>
    </row>
    <row r="97" spans="1:29">
      <c r="A97" s="239"/>
      <c r="O97" s="4"/>
      <c r="T97" s="239"/>
    </row>
    <row r="98" spans="1:29" ht="25.5">
      <c r="A98" s="239"/>
      <c r="B98" s="3" t="s">
        <v>316</v>
      </c>
      <c r="C98" s="3" t="s">
        <v>353</v>
      </c>
      <c r="D98" s="3" t="s">
        <v>354</v>
      </c>
      <c r="E98" s="3" t="s">
        <v>319</v>
      </c>
      <c r="G98" s="3" t="s">
        <v>320</v>
      </c>
      <c r="H98" s="3">
        <v>5.4</v>
      </c>
      <c r="O98" s="4" t="e">
        <f>AVERAGE(I98:N98)</f>
        <v>#DIV/0!</v>
      </c>
      <c r="P98" s="4" t="e">
        <f>SQRT(VAR(I98:N98))</f>
        <v>#DIV/0!</v>
      </c>
      <c r="Q98" s="3">
        <f>COUNT(I98:N98)</f>
        <v>0</v>
      </c>
      <c r="T98" s="239"/>
      <c r="AA98" s="5" t="e">
        <f>AVERAGE(U98:Z98)</f>
        <v>#DIV/0!</v>
      </c>
      <c r="AB98" s="4" t="e">
        <f>SQRT(VAR(U98:Z98))</f>
        <v>#DIV/0!</v>
      </c>
      <c r="AC98" s="3">
        <f>COUNT(U98:Z98)</f>
        <v>0</v>
      </c>
    </row>
    <row r="99" spans="1:29" ht="25.5">
      <c r="A99" s="239"/>
      <c r="G99" s="10" t="s">
        <v>321</v>
      </c>
      <c r="H99" s="10">
        <v>0.15</v>
      </c>
      <c r="I99" s="18"/>
      <c r="J99" s="18"/>
      <c r="K99" s="18"/>
      <c r="L99" s="18"/>
      <c r="M99" s="18"/>
      <c r="N99" s="18"/>
      <c r="O99" s="23" t="e">
        <f>AVERAGE(I99:N99)</f>
        <v>#DIV/0!</v>
      </c>
      <c r="P99" s="23" t="e">
        <f>SQRT(VAR(I99:N99))</f>
        <v>#DIV/0!</v>
      </c>
      <c r="Q99" s="10">
        <f>COUNT(I99:N99)</f>
        <v>0</v>
      </c>
      <c r="T99" s="239"/>
      <c r="U99" s="18"/>
      <c r="V99" s="18"/>
      <c r="W99" s="18"/>
      <c r="X99" s="18"/>
      <c r="Y99" s="18"/>
      <c r="Z99" s="18"/>
      <c r="AA99" s="26" t="e">
        <f>AVERAGE(U99:Z99)</f>
        <v>#DIV/0!</v>
      </c>
      <c r="AB99" s="23" t="e">
        <f>SQRT(VAR(U99:Z99))</f>
        <v>#DIV/0!</v>
      </c>
      <c r="AC99" s="10">
        <f>COUNT(U99:Z99)</f>
        <v>0</v>
      </c>
    </row>
    <row r="100" spans="1:29">
      <c r="A100" s="239"/>
      <c r="K100" s="32"/>
      <c r="L100" s="32"/>
      <c r="O100" s="4"/>
      <c r="T100" s="239"/>
    </row>
    <row r="101" spans="1:29">
      <c r="A101" s="239"/>
      <c r="B101" s="8" t="s">
        <v>51</v>
      </c>
      <c r="C101" s="8"/>
      <c r="D101" s="8"/>
      <c r="E101" s="8"/>
      <c r="F101" s="8"/>
      <c r="G101" s="13"/>
      <c r="H101" s="13"/>
      <c r="I101" s="16"/>
      <c r="J101" s="16"/>
      <c r="K101" s="204"/>
      <c r="L101" s="204"/>
      <c r="M101" s="16"/>
      <c r="N101" s="16"/>
      <c r="O101" s="22"/>
      <c r="P101" s="22"/>
      <c r="Q101" s="13"/>
      <c r="T101" s="239"/>
      <c r="U101" s="16"/>
      <c r="V101" s="16"/>
      <c r="W101" s="16"/>
      <c r="X101" s="16"/>
      <c r="Y101" s="16"/>
      <c r="Z101" s="16"/>
      <c r="AA101" s="25"/>
      <c r="AB101" s="22"/>
      <c r="AC101" s="13"/>
    </row>
    <row r="102" spans="1:29" ht="25.5">
      <c r="A102" s="239"/>
      <c r="B102" s="3" t="s">
        <v>316</v>
      </c>
      <c r="C102" s="3" t="s">
        <v>317</v>
      </c>
      <c r="D102" s="11" t="s">
        <v>355</v>
      </c>
      <c r="E102" s="3" t="s">
        <v>333</v>
      </c>
      <c r="F102" s="3" t="s">
        <v>75</v>
      </c>
      <c r="G102" s="3" t="s">
        <v>320</v>
      </c>
      <c r="H102" s="3">
        <v>5.4</v>
      </c>
      <c r="I102" s="2">
        <f>6.662*UL_OH!R29</f>
        <v>6.1357579831932769</v>
      </c>
      <c r="K102" s="32">
        <f>9.417*0.6921005</f>
        <v>6.5175104084999997</v>
      </c>
      <c r="L102" s="32"/>
      <c r="O102" s="4">
        <f>AVERAGE(I102:N102)</f>
        <v>6.3266341958466388</v>
      </c>
      <c r="P102" s="4">
        <f>SQRT(VAR(I102:N102))</f>
        <v>0.26993972866879468</v>
      </c>
      <c r="Q102" s="3">
        <f>COUNT(I102:N102)</f>
        <v>2</v>
      </c>
      <c r="T102" s="239"/>
      <c r="U102" s="2">
        <f>UL_OH!R29*6.629</f>
        <v>6.1053647058823524</v>
      </c>
      <c r="AA102" s="5">
        <f>AVERAGE(U102:Z102)</f>
        <v>6.1053647058823524</v>
      </c>
      <c r="AB102" s="4" t="e">
        <f>SQRT(VAR(U102:Z102))</f>
        <v>#DIV/0!</v>
      </c>
      <c r="AC102" s="3">
        <f>COUNT(U102:Z102)</f>
        <v>1</v>
      </c>
    </row>
    <row r="103" spans="1:29" ht="25.5">
      <c r="A103" s="239"/>
      <c r="G103" s="10" t="s">
        <v>321</v>
      </c>
      <c r="H103" s="10">
        <v>0.15</v>
      </c>
      <c r="I103" s="18">
        <f>UL_OH!R29*0.3</f>
        <v>0.27630252100840336</v>
      </c>
      <c r="J103" s="18"/>
      <c r="K103" s="205">
        <f>0.4758*0.6921005</f>
        <v>0.3293014179</v>
      </c>
      <c r="L103" s="205"/>
      <c r="M103" s="18"/>
      <c r="N103" s="18"/>
      <c r="O103" s="23">
        <f>AVERAGE(I103:N103)</f>
        <v>0.30280196945420168</v>
      </c>
      <c r="P103" s="23">
        <f>SQRT(VAR(I103:N103))</f>
        <v>3.7475879387454628E-2</v>
      </c>
      <c r="Q103" s="10">
        <f>COUNT(I103:N103)</f>
        <v>2</v>
      </c>
      <c r="T103" s="239"/>
      <c r="U103" s="18">
        <f>UL_OH!R29*0.271</f>
        <v>0.24959327731092437</v>
      </c>
      <c r="V103" s="18"/>
      <c r="W103" s="18"/>
      <c r="X103" s="18"/>
      <c r="Y103" s="27"/>
      <c r="Z103" s="27"/>
      <c r="AA103" s="26">
        <f>AVERAGE(U103:Z103)</f>
        <v>0.24959327731092437</v>
      </c>
      <c r="AB103" s="23" t="e">
        <f>SQRT(VAR(U103:Z103))</f>
        <v>#DIV/0!</v>
      </c>
      <c r="AC103" s="10">
        <f>COUNT(U103:Z103)</f>
        <v>1</v>
      </c>
    </row>
    <row r="104" spans="1:29">
      <c r="A104" s="30"/>
      <c r="K104" s="32"/>
      <c r="L104" s="32"/>
      <c r="O104" s="4"/>
      <c r="T104" s="30"/>
    </row>
    <row r="105" spans="1:29" ht="25.5">
      <c r="A105" s="30"/>
      <c r="B105" s="3" t="s">
        <v>316</v>
      </c>
      <c r="C105" s="3" t="s">
        <v>317</v>
      </c>
      <c r="D105" s="11" t="s">
        <v>355</v>
      </c>
      <c r="E105" s="3" t="s">
        <v>319</v>
      </c>
      <c r="F105" s="3" t="s">
        <v>75</v>
      </c>
      <c r="G105" s="3" t="s">
        <v>320</v>
      </c>
      <c r="H105" s="3">
        <v>5.4</v>
      </c>
      <c r="I105" s="2">
        <f>UL_OH!R20*6.91</f>
        <v>6.5704775086505194</v>
      </c>
      <c r="K105" s="32"/>
      <c r="L105" s="32"/>
      <c r="O105" s="4">
        <f>AVERAGE(I105:N105)</f>
        <v>6.5704775086505194</v>
      </c>
      <c r="P105" s="4" t="e">
        <f>SQRT(VAR(I105:N105))</f>
        <v>#DIV/0!</v>
      </c>
      <c r="Q105" s="3">
        <f>COUNT(I105:N105)</f>
        <v>1</v>
      </c>
      <c r="T105" s="30"/>
      <c r="U105" s="2">
        <f>UL_OH!R20*6.813</f>
        <v>6.4782435986159168</v>
      </c>
      <c r="AA105" s="5">
        <f>AVERAGE(U105:Z105)</f>
        <v>6.4782435986159168</v>
      </c>
      <c r="AB105" s="4" t="e">
        <f>SQRT(VAR(U105:Z105))</f>
        <v>#DIV/0!</v>
      </c>
      <c r="AC105" s="3">
        <f>COUNT(U105:Z105)</f>
        <v>1</v>
      </c>
    </row>
    <row r="106" spans="1:29" ht="25.5">
      <c r="A106" s="30"/>
      <c r="G106" s="10" t="s">
        <v>321</v>
      </c>
      <c r="H106" s="10">
        <v>0.15</v>
      </c>
      <c r="I106" s="18">
        <f>UL_OH!R20*0.292</f>
        <v>0.27765259515570934</v>
      </c>
      <c r="J106" s="18"/>
      <c r="K106" s="205"/>
      <c r="L106" s="205"/>
      <c r="M106" s="18"/>
      <c r="N106" s="18"/>
      <c r="O106" s="23">
        <f>AVERAGE(I106:N106)</f>
        <v>0.27765259515570934</v>
      </c>
      <c r="P106" s="23" t="e">
        <f>SQRT(VAR(I106:N106))</f>
        <v>#DIV/0!</v>
      </c>
      <c r="Q106" s="10">
        <f>COUNT(I106:N106)</f>
        <v>1</v>
      </c>
      <c r="T106" s="30"/>
      <c r="U106" s="18">
        <f>UL_OH!R20*0.259</f>
        <v>0.2462740484429066</v>
      </c>
      <c r="V106" s="18"/>
      <c r="W106" s="18"/>
      <c r="X106" s="18"/>
      <c r="Y106" s="27"/>
      <c r="Z106" s="27"/>
      <c r="AA106" s="26">
        <f>AVERAGE(U106:Z106)</f>
        <v>0.2462740484429066</v>
      </c>
      <c r="AB106" s="23" t="e">
        <f>SQRT(VAR(U106:Z106))</f>
        <v>#DIV/0!</v>
      </c>
      <c r="AC106" s="10">
        <f>COUNT(U106:Z106)</f>
        <v>1</v>
      </c>
    </row>
    <row r="107" spans="1:29">
      <c r="A107" s="30"/>
      <c r="K107" s="32"/>
      <c r="L107" s="32"/>
      <c r="O107" s="4"/>
      <c r="T107" s="30"/>
    </row>
    <row r="108" spans="1:29" ht="25.5">
      <c r="A108" s="30"/>
      <c r="B108" s="3" t="s">
        <v>316</v>
      </c>
      <c r="C108" s="3" t="s">
        <v>329</v>
      </c>
      <c r="D108" s="3" t="s">
        <v>356</v>
      </c>
      <c r="E108" s="3" t="s">
        <v>333</v>
      </c>
      <c r="F108" s="3" t="s">
        <v>75</v>
      </c>
      <c r="G108" s="3" t="s">
        <v>320</v>
      </c>
      <c r="H108" s="3">
        <v>5.4</v>
      </c>
      <c r="I108" s="2">
        <f>UL_OH!R29*7.633</f>
        <v>7.0300571428571423</v>
      </c>
      <c r="K108" s="32">
        <f>10.348*0.6921005</f>
        <v>7.1618559740000007</v>
      </c>
      <c r="L108" s="32"/>
      <c r="O108" s="4">
        <f>AVERAGE(I108:N108)</f>
        <v>7.095956558428572</v>
      </c>
      <c r="P108" s="4">
        <f>SQRT(VAR(I108:N108))</f>
        <v>9.3195847253575895E-2</v>
      </c>
      <c r="Q108" s="3">
        <f>COUNT(I108:N108)</f>
        <v>2</v>
      </c>
      <c r="T108" s="30"/>
      <c r="U108" s="2">
        <f>UL_OH!R29*7.601</f>
        <v>7.0005848739495793</v>
      </c>
      <c r="Y108" s="32">
        <f>UL_OH!R30*7.39</f>
        <v>7.4100772306846983</v>
      </c>
      <c r="AA108" s="5">
        <f>AVERAGE(U108:Z108)</f>
        <v>7.2053310523171383</v>
      </c>
      <c r="AB108" s="4">
        <f>SQRT(VAR(U108:Z108))</f>
        <v>0.28955482229146345</v>
      </c>
      <c r="AC108" s="3">
        <f>COUNT(U108:Z108)</f>
        <v>2</v>
      </c>
    </row>
    <row r="109" spans="1:29" ht="25.5">
      <c r="A109" s="30"/>
      <c r="G109" s="10" t="s">
        <v>321</v>
      </c>
      <c r="H109" s="10">
        <v>0.15</v>
      </c>
      <c r="I109" s="18">
        <f>UL_OH!R29*0.386</f>
        <v>0.35550924369747899</v>
      </c>
      <c r="J109" s="18"/>
      <c r="K109" s="205">
        <f>0.5056*0.6921005</f>
        <v>0.34992601280000002</v>
      </c>
      <c r="L109" s="205"/>
      <c r="M109" s="18"/>
      <c r="N109" s="18"/>
      <c r="O109" s="23">
        <f>AVERAGE(I109:N109)</f>
        <v>0.35271762824873953</v>
      </c>
      <c r="P109" s="23">
        <f>SQRT(VAR(I109:N109))</f>
        <v>3.9479404285376364E-3</v>
      </c>
      <c r="Q109" s="10">
        <f>COUNT(I109:N109)</f>
        <v>2</v>
      </c>
      <c r="T109" s="31"/>
      <c r="U109" s="18">
        <f>UL_OH!R29*0.353</f>
        <v>0.3251159663865546</v>
      </c>
      <c r="V109" s="18"/>
      <c r="W109" s="18"/>
      <c r="X109" s="18"/>
      <c r="Y109" s="33">
        <f>UL_OH!R30*0.49</f>
        <v>0.4913312372172533</v>
      </c>
      <c r="Z109" s="27"/>
      <c r="AA109" s="26">
        <f>AVERAGE(U109:Z109)</f>
        <v>0.40822360180190398</v>
      </c>
      <c r="AB109" s="23">
        <f>SQRT(VAR(U109:Z109))</f>
        <v>0.11753194514114559</v>
      </c>
      <c r="AC109" s="10">
        <f>COUNT(U109:Z109)</f>
        <v>2</v>
      </c>
    </row>
    <row r="110" spans="1:29">
      <c r="A110" s="30"/>
      <c r="K110" s="32"/>
      <c r="L110" s="32"/>
      <c r="O110" s="4"/>
      <c r="T110" s="31"/>
    </row>
    <row r="111" spans="1:29" ht="25.5">
      <c r="A111" s="30"/>
      <c r="B111" s="3" t="s">
        <v>316</v>
      </c>
      <c r="C111" s="3" t="s">
        <v>329</v>
      </c>
      <c r="D111" s="3" t="s">
        <v>356</v>
      </c>
      <c r="E111" s="3" t="s">
        <v>319</v>
      </c>
      <c r="F111" s="3" t="s">
        <v>75</v>
      </c>
      <c r="G111" s="3" t="s">
        <v>320</v>
      </c>
      <c r="H111" s="3">
        <v>5.4</v>
      </c>
      <c r="I111" s="2">
        <f>UL_OH!R20*7.876</f>
        <v>7.4890131487889278</v>
      </c>
      <c r="K111" s="32"/>
      <c r="L111" s="32"/>
      <c r="O111" s="4">
        <f>AVERAGE(I111:N111)</f>
        <v>7.4890131487889278</v>
      </c>
      <c r="P111" s="4" t="e">
        <f>SQRT(VAR(I111:N111))</f>
        <v>#DIV/0!</v>
      </c>
      <c r="Q111" s="3">
        <f>COUNT(I111:N111)</f>
        <v>1</v>
      </c>
      <c r="T111" s="30"/>
      <c r="U111" s="2">
        <f>UL_OH!R20*7.861</f>
        <v>7.4747501730103805</v>
      </c>
      <c r="AA111" s="5">
        <f>AVERAGE(U111:Z111)</f>
        <v>7.4747501730103805</v>
      </c>
      <c r="AB111" s="4" t="e">
        <f>SQRT(VAR(U111:Z111))</f>
        <v>#DIV/0!</v>
      </c>
      <c r="AC111" s="3">
        <f>COUNT(U111:Z111)</f>
        <v>1</v>
      </c>
    </row>
    <row r="112" spans="1:29" ht="25.5">
      <c r="A112" s="30"/>
      <c r="G112" s="10" t="s">
        <v>321</v>
      </c>
      <c r="H112" s="10">
        <v>0.15</v>
      </c>
      <c r="I112" s="18">
        <f>UL_OH!R20*0.377</f>
        <v>0.35847612456747407</v>
      </c>
      <c r="J112" s="18"/>
      <c r="K112" s="18"/>
      <c r="L112" s="18"/>
      <c r="M112" s="18"/>
      <c r="N112" s="18"/>
      <c r="O112" s="23">
        <f>AVERAGE(I112:N112)</f>
        <v>0.35847612456747407</v>
      </c>
      <c r="P112" s="23" t="e">
        <f>SQRT(VAR(I112:N112))</f>
        <v>#DIV/0!</v>
      </c>
      <c r="Q112" s="10">
        <f>COUNT(I112:N112)</f>
        <v>1</v>
      </c>
      <c r="T112" s="31"/>
      <c r="U112" s="18">
        <f>UL_OH!R20*0.31</f>
        <v>0.29476816608996542</v>
      </c>
      <c r="V112" s="18"/>
      <c r="W112" s="18"/>
      <c r="X112" s="18"/>
      <c r="Y112" s="27"/>
      <c r="Z112" s="27"/>
      <c r="AA112" s="26">
        <f>AVERAGE(U112:Z112)</f>
        <v>0.29476816608996542</v>
      </c>
      <c r="AB112" s="23" t="e">
        <f>SQRT(VAR(U112:Z112))</f>
        <v>#DIV/0!</v>
      </c>
      <c r="AC112" s="10">
        <f>COUNT(U112:Z112)</f>
        <v>1</v>
      </c>
    </row>
    <row r="113" spans="1:29">
      <c r="A113" s="30"/>
      <c r="O113" s="4"/>
      <c r="T113" s="31"/>
    </row>
    <row r="114" spans="1:29" ht="25.5">
      <c r="A114" s="30"/>
      <c r="B114" s="3" t="s">
        <v>316</v>
      </c>
      <c r="C114" s="3" t="s">
        <v>317</v>
      </c>
      <c r="D114" s="3" t="s">
        <v>357</v>
      </c>
      <c r="E114" s="3" t="s">
        <v>333</v>
      </c>
      <c r="F114" s="3" t="s">
        <v>75</v>
      </c>
      <c r="G114" s="3" t="s">
        <v>320</v>
      </c>
      <c r="H114" s="3">
        <v>5.4</v>
      </c>
      <c r="I114" s="2">
        <f>UL_OH!R29*7.312</f>
        <v>6.7344134453781512</v>
      </c>
      <c r="O114" s="4">
        <f>AVERAGE(I114:N114)</f>
        <v>6.7344134453781512</v>
      </c>
      <c r="P114" s="4" t="e">
        <f>SQRT(VAR(I114:N114))</f>
        <v>#DIV/0!</v>
      </c>
      <c r="Q114" s="3">
        <f>COUNT(I114:N114)</f>
        <v>1</v>
      </c>
      <c r="T114" s="30"/>
      <c r="U114" s="2">
        <f>UL_OH!R29*7.329</f>
        <v>6.7500705882352934</v>
      </c>
      <c r="AA114" s="5">
        <f>AVERAGE(U114:Z114)</f>
        <v>6.7500705882352934</v>
      </c>
      <c r="AB114" s="4" t="e">
        <f>SQRT(VAR(U114:Z114))</f>
        <v>#DIV/0!</v>
      </c>
      <c r="AC114" s="3">
        <f>COUNT(U114:Z114)</f>
        <v>1</v>
      </c>
    </row>
    <row r="115" spans="1:29" ht="25.5">
      <c r="A115" s="30"/>
      <c r="G115" s="10" t="s">
        <v>321</v>
      </c>
      <c r="H115" s="10">
        <v>0.15</v>
      </c>
      <c r="I115" s="18">
        <f>UL_OH!R29*0.359</f>
        <v>0.33064201680672267</v>
      </c>
      <c r="J115" s="18"/>
      <c r="K115" s="18"/>
      <c r="L115" s="18"/>
      <c r="M115" s="18"/>
      <c r="N115" s="18"/>
      <c r="O115" s="23">
        <f>AVERAGE(I115:N115)</f>
        <v>0.33064201680672267</v>
      </c>
      <c r="P115" s="23" t="e">
        <f>SQRT(VAR(I115:N115))</f>
        <v>#DIV/0!</v>
      </c>
      <c r="Q115" s="10">
        <f>COUNT(I115:N115)</f>
        <v>1</v>
      </c>
      <c r="T115" s="31"/>
      <c r="U115" s="18">
        <f>UL_OH!R29*0.336</f>
        <v>0.30945882352941179</v>
      </c>
      <c r="V115" s="18"/>
      <c r="W115" s="18"/>
      <c r="X115" s="18"/>
      <c r="Y115" s="27"/>
      <c r="Z115" s="27"/>
      <c r="AA115" s="26">
        <f>AVERAGE(U115:Z115)</f>
        <v>0.30945882352941179</v>
      </c>
      <c r="AB115" s="23" t="e">
        <f>SQRT(VAR(U115:Z115))</f>
        <v>#DIV/0!</v>
      </c>
      <c r="AC115" s="10">
        <f>COUNT(U115:Z115)</f>
        <v>1</v>
      </c>
    </row>
    <row r="116" spans="1:29">
      <c r="A116" s="30"/>
      <c r="O116" s="4"/>
      <c r="T116" s="31"/>
    </row>
    <row r="117" spans="1:29" ht="25.5">
      <c r="A117" s="30"/>
      <c r="B117" s="3" t="s">
        <v>316</v>
      </c>
      <c r="C117" s="3" t="s">
        <v>317</v>
      </c>
      <c r="D117" s="3" t="s">
        <v>357</v>
      </c>
      <c r="E117" s="3" t="s">
        <v>319</v>
      </c>
      <c r="F117" s="3" t="s">
        <v>75</v>
      </c>
      <c r="G117" s="3" t="s">
        <v>320</v>
      </c>
      <c r="H117" s="3">
        <v>5.4</v>
      </c>
      <c r="I117" s="2">
        <f>UL_OH!R20*7.57</f>
        <v>7.1980484429065745</v>
      </c>
      <c r="O117" s="4">
        <f>AVERAGE(I117:N117)</f>
        <v>7.1980484429065745</v>
      </c>
      <c r="P117" s="4" t="e">
        <f>SQRT(VAR(I117:N117))</f>
        <v>#DIV/0!</v>
      </c>
      <c r="Q117" s="3">
        <f>COUNT(I117:N117)</f>
        <v>1</v>
      </c>
      <c r="T117" s="30"/>
      <c r="U117" s="2">
        <f>UL_OH!R20*7.554</f>
        <v>7.1828346020761247</v>
      </c>
      <c r="AA117" s="5">
        <f>AVERAGE(U117:Z117)</f>
        <v>7.1828346020761247</v>
      </c>
      <c r="AB117" s="4" t="e">
        <f>SQRT(VAR(U117:Z117))</f>
        <v>#DIV/0!</v>
      </c>
      <c r="AC117" s="3">
        <f>COUNT(U117:Z117)</f>
        <v>1</v>
      </c>
    </row>
    <row r="118" spans="1:29" ht="25.5">
      <c r="A118" s="30"/>
      <c r="G118" s="10" t="s">
        <v>321</v>
      </c>
      <c r="H118" s="10">
        <v>0.15</v>
      </c>
      <c r="I118" s="18">
        <f>UL_OH!R20*0.34</f>
        <v>0.32329411764705884</v>
      </c>
      <c r="J118" s="18"/>
      <c r="K118" s="18"/>
      <c r="L118" s="18"/>
      <c r="M118" s="18"/>
      <c r="N118" s="18"/>
      <c r="O118" s="23">
        <f>AVERAGE(I118:N118)</f>
        <v>0.32329411764705884</v>
      </c>
      <c r="P118" s="23" t="e">
        <f>SQRT(VAR(I118:N118))</f>
        <v>#DIV/0!</v>
      </c>
      <c r="Q118" s="10">
        <f>COUNT(I118:N118)</f>
        <v>1</v>
      </c>
      <c r="T118" s="31"/>
      <c r="U118" s="18">
        <f>UL_OH!R20*0.303</f>
        <v>0.28811211072664361</v>
      </c>
      <c r="V118" s="18"/>
      <c r="W118" s="18"/>
      <c r="X118" s="18"/>
      <c r="Y118" s="27"/>
      <c r="Z118" s="27"/>
      <c r="AA118" s="26">
        <f>AVERAGE(U118:Z118)</f>
        <v>0.28811211072664361</v>
      </c>
      <c r="AB118" s="23" t="e">
        <f>SQRT(VAR(U118:Z118))</f>
        <v>#DIV/0!</v>
      </c>
      <c r="AC118" s="10">
        <f>COUNT(U118:Z118)</f>
        <v>1</v>
      </c>
    </row>
    <row r="119" spans="1:29">
      <c r="A119" s="30"/>
      <c r="O119" s="4"/>
      <c r="T119" s="31"/>
    </row>
    <row r="120" spans="1:29" ht="25.5">
      <c r="A120" s="30"/>
      <c r="B120" s="3" t="s">
        <v>316</v>
      </c>
      <c r="C120" s="3" t="s">
        <v>323</v>
      </c>
      <c r="D120" s="3" t="s">
        <v>358</v>
      </c>
      <c r="E120" s="3" t="s">
        <v>319</v>
      </c>
      <c r="F120" s="3" t="s">
        <v>76</v>
      </c>
      <c r="G120" s="3" t="s">
        <v>320</v>
      </c>
      <c r="H120" s="3">
        <v>5.4</v>
      </c>
      <c r="O120" s="4" t="e">
        <f>AVERAGE(I120:N120)</f>
        <v>#DIV/0!</v>
      </c>
      <c r="P120" s="4" t="e">
        <f>SQRT(VAR(I120:N120))</f>
        <v>#DIV/0!</v>
      </c>
      <c r="Q120" s="3">
        <f>COUNT(I120:N120)</f>
        <v>0</v>
      </c>
      <c r="T120" s="31"/>
      <c r="AA120" s="5" t="e">
        <f>AVERAGE(U120:Z120)</f>
        <v>#DIV/0!</v>
      </c>
      <c r="AB120" s="4" t="e">
        <f>SQRT(VAR(U120:Z120))</f>
        <v>#DIV/0!</v>
      </c>
      <c r="AC120" s="3">
        <f>COUNT(U120:Z120)</f>
        <v>0</v>
      </c>
    </row>
    <row r="121" spans="1:29" ht="25.5">
      <c r="A121" s="30"/>
      <c r="G121" s="10" t="s">
        <v>321</v>
      </c>
      <c r="H121" s="10">
        <v>0.15</v>
      </c>
      <c r="I121" s="18"/>
      <c r="J121" s="18"/>
      <c r="K121" s="18"/>
      <c r="L121" s="18"/>
      <c r="M121" s="18"/>
      <c r="N121" s="18"/>
      <c r="O121" s="23" t="e">
        <f>AVERAGE(I121:N121)</f>
        <v>#DIV/0!</v>
      </c>
      <c r="P121" s="23" t="e">
        <f>SQRT(VAR(I121:N121))</f>
        <v>#DIV/0!</v>
      </c>
      <c r="Q121" s="10">
        <f>COUNT(I121:N121)</f>
        <v>0</v>
      </c>
      <c r="T121" s="31"/>
      <c r="U121" s="18"/>
      <c r="V121" s="18"/>
      <c r="W121" s="18"/>
      <c r="X121" s="18"/>
      <c r="Y121" s="18"/>
      <c r="Z121" s="18"/>
      <c r="AA121" s="26" t="e">
        <f>AVERAGE(U121:Z121)</f>
        <v>#DIV/0!</v>
      </c>
      <c r="AB121" s="23" t="e">
        <f>SQRT(VAR(U121:Z121))</f>
        <v>#DIV/0!</v>
      </c>
      <c r="AC121" s="10">
        <f>COUNT(U121:Z121)</f>
        <v>0</v>
      </c>
    </row>
    <row r="122" spans="1:29">
      <c r="A122" s="30"/>
      <c r="O122" s="4"/>
      <c r="T122" s="31"/>
    </row>
    <row r="123" spans="1:29" ht="25.5">
      <c r="A123" s="30"/>
      <c r="B123" s="3" t="s">
        <v>316</v>
      </c>
      <c r="C123" s="3" t="s">
        <v>346</v>
      </c>
      <c r="D123" s="11" t="s">
        <v>359</v>
      </c>
      <c r="E123" s="3" t="s">
        <v>319</v>
      </c>
      <c r="F123" s="11" t="s">
        <v>76</v>
      </c>
      <c r="G123" s="3" t="s">
        <v>320</v>
      </c>
      <c r="H123" s="3">
        <v>5.4</v>
      </c>
      <c r="J123" s="2">
        <v>6.56</v>
      </c>
      <c r="O123" s="4">
        <f>AVERAGE(I123:N123)</f>
        <v>6.56</v>
      </c>
      <c r="P123" s="4" t="e">
        <f>SQRT(VAR(I123:N123))</f>
        <v>#DIV/0!</v>
      </c>
      <c r="Q123" s="3">
        <f>COUNT(I123:N123)</f>
        <v>1</v>
      </c>
      <c r="T123" s="31"/>
      <c r="V123" s="2">
        <v>6.9</v>
      </c>
      <c r="AA123" s="5">
        <f>AVERAGE(U123:Z123)</f>
        <v>6.9</v>
      </c>
      <c r="AB123" s="4" t="e">
        <f>SQRT(VAR(U123:Z123))</f>
        <v>#DIV/0!</v>
      </c>
      <c r="AC123" s="3">
        <f>COUNT(U123:Z123)</f>
        <v>1</v>
      </c>
    </row>
    <row r="124" spans="1:29" ht="25.5">
      <c r="A124" s="30"/>
      <c r="G124" s="10" t="s">
        <v>321</v>
      </c>
      <c r="H124" s="10">
        <v>0.15</v>
      </c>
      <c r="I124" s="18"/>
      <c r="J124" s="18">
        <v>0.27</v>
      </c>
      <c r="K124" s="18"/>
      <c r="L124" s="18"/>
      <c r="M124" s="18"/>
      <c r="N124" s="18"/>
      <c r="O124" s="23">
        <f>AVERAGE(I124:N124)</f>
        <v>0.27</v>
      </c>
      <c r="P124" s="23" t="e">
        <f>SQRT(VAR(I124:N124))</f>
        <v>#DIV/0!</v>
      </c>
      <c r="Q124" s="10">
        <f>COUNT(I124:N124)</f>
        <v>1</v>
      </c>
      <c r="T124" s="31"/>
      <c r="U124" s="18"/>
      <c r="V124" s="18">
        <v>0.316</v>
      </c>
      <c r="W124" s="18"/>
      <c r="X124" s="18"/>
      <c r="Y124" s="18"/>
      <c r="Z124" s="18"/>
      <c r="AA124" s="26">
        <f>AVERAGE(U124:Z124)</f>
        <v>0.316</v>
      </c>
      <c r="AB124" s="23" t="e">
        <f>SQRT(VAR(U124:Z124))</f>
        <v>#DIV/0!</v>
      </c>
      <c r="AC124" s="10">
        <f>COUNT(U124:Z124)</f>
        <v>1</v>
      </c>
    </row>
    <row r="125" spans="1:29">
      <c r="A125" s="30"/>
      <c r="O125" s="4"/>
      <c r="T125" s="31"/>
    </row>
    <row r="126" spans="1:29" ht="25.5">
      <c r="A126" s="30"/>
      <c r="B126" s="3" t="s">
        <v>316</v>
      </c>
      <c r="C126" s="3" t="s">
        <v>346</v>
      </c>
      <c r="D126" s="11" t="s">
        <v>359</v>
      </c>
      <c r="E126" s="11" t="s">
        <v>333</v>
      </c>
      <c r="F126" s="11" t="s">
        <v>76</v>
      </c>
      <c r="G126" s="3" t="s">
        <v>320</v>
      </c>
      <c r="H126" s="3">
        <v>5.4</v>
      </c>
      <c r="J126" s="2">
        <v>6.28</v>
      </c>
      <c r="O126" s="4">
        <f>AVERAGE(I126:N126)</f>
        <v>6.28</v>
      </c>
      <c r="P126" s="4" t="e">
        <f>SQRT(VAR(I126:N126))</f>
        <v>#DIV/0!</v>
      </c>
      <c r="Q126" s="3">
        <f>COUNT(I126:N126)</f>
        <v>1</v>
      </c>
      <c r="T126" s="31"/>
      <c r="V126" s="2">
        <v>6.34</v>
      </c>
      <c r="AA126" s="5">
        <f>AVERAGE(U126:Z126)</f>
        <v>6.34</v>
      </c>
      <c r="AB126" s="4" t="e">
        <f>SQRT(VAR(U126:Z126))</f>
        <v>#DIV/0!</v>
      </c>
      <c r="AC126" s="3">
        <f>COUNT(U126:Z126)</f>
        <v>1</v>
      </c>
    </row>
    <row r="127" spans="1:29" ht="25.5">
      <c r="A127" s="30"/>
      <c r="G127" s="10" t="s">
        <v>321</v>
      </c>
      <c r="H127" s="10">
        <v>0.15</v>
      </c>
      <c r="I127" s="18"/>
      <c r="J127" s="18">
        <v>0.26200000000000001</v>
      </c>
      <c r="K127" s="18"/>
      <c r="L127" s="18"/>
      <c r="M127" s="18"/>
      <c r="N127" s="18"/>
      <c r="O127" s="23">
        <f>AVERAGE(I127:N127)</f>
        <v>0.26200000000000001</v>
      </c>
      <c r="P127" s="23" t="e">
        <f>SQRT(VAR(I127:N127))</f>
        <v>#DIV/0!</v>
      </c>
      <c r="Q127" s="10">
        <f>COUNT(I127:N127)</f>
        <v>1</v>
      </c>
      <c r="T127" s="31"/>
      <c r="U127" s="18"/>
      <c r="V127" s="18">
        <v>0.35199999999999998</v>
      </c>
      <c r="W127" s="18"/>
      <c r="X127" s="18"/>
      <c r="Y127" s="18"/>
      <c r="Z127" s="18"/>
      <c r="AA127" s="26">
        <f>AVERAGE(U127:Z127)</f>
        <v>0.35199999999999998</v>
      </c>
      <c r="AB127" s="23" t="e">
        <f>SQRT(VAR(U127:Z127))</f>
        <v>#DIV/0!</v>
      </c>
      <c r="AC127" s="10">
        <f>COUNT(U127:Z127)</f>
        <v>1</v>
      </c>
    </row>
    <row r="128" spans="1:29">
      <c r="A128" s="30"/>
      <c r="G128" s="10"/>
      <c r="H128" s="10"/>
      <c r="I128" s="18"/>
      <c r="J128" s="18"/>
      <c r="K128" s="18"/>
      <c r="L128" s="18"/>
      <c r="M128" s="18"/>
      <c r="N128" s="18"/>
      <c r="O128" s="23"/>
      <c r="P128" s="23"/>
      <c r="Q128" s="10"/>
      <c r="T128" s="31"/>
      <c r="U128" s="18"/>
      <c r="V128" s="18"/>
      <c r="W128" s="18"/>
      <c r="X128" s="18"/>
      <c r="Y128" s="18"/>
      <c r="Z128" s="18"/>
      <c r="AA128" s="26"/>
      <c r="AB128" s="23"/>
      <c r="AC128" s="10"/>
    </row>
    <row r="129" spans="1:29" ht="25.5">
      <c r="A129" s="30"/>
      <c r="B129" s="3" t="s">
        <v>316</v>
      </c>
      <c r="C129" s="3" t="s">
        <v>346</v>
      </c>
      <c r="D129" s="11" t="s">
        <v>360</v>
      </c>
      <c r="E129" s="3" t="s">
        <v>319</v>
      </c>
      <c r="F129" s="11" t="s">
        <v>76</v>
      </c>
      <c r="G129" s="3" t="s">
        <v>320</v>
      </c>
      <c r="H129" s="3">
        <v>5.4</v>
      </c>
      <c r="J129" s="2">
        <v>6.05</v>
      </c>
      <c r="O129" s="4">
        <f>AVERAGE(I129:N129)</f>
        <v>6.05</v>
      </c>
      <c r="P129" s="4" t="e">
        <f>SQRT(VAR(I129:N129))</f>
        <v>#DIV/0!</v>
      </c>
      <c r="Q129" s="3">
        <f>COUNT(I129:N129)</f>
        <v>1</v>
      </c>
      <c r="T129" s="31"/>
      <c r="V129" s="2">
        <v>6.43</v>
      </c>
      <c r="AA129" s="5">
        <f>AVERAGE(U129:Z129)</f>
        <v>6.43</v>
      </c>
      <c r="AB129" s="4" t="e">
        <f>SQRT(VAR(U129:Z129))</f>
        <v>#DIV/0!</v>
      </c>
      <c r="AC129" s="3">
        <f>COUNT(U129:Z129)</f>
        <v>1</v>
      </c>
    </row>
    <row r="130" spans="1:29" ht="25.5">
      <c r="A130" s="30"/>
      <c r="G130" s="10" t="s">
        <v>321</v>
      </c>
      <c r="H130" s="10">
        <v>0.15</v>
      </c>
      <c r="I130" s="18"/>
      <c r="J130" s="18">
        <v>0.252</v>
      </c>
      <c r="K130" s="18"/>
      <c r="L130" s="18"/>
      <c r="M130" s="18"/>
      <c r="N130" s="18"/>
      <c r="O130" s="23">
        <f>AVERAGE(I130:N130)</f>
        <v>0.252</v>
      </c>
      <c r="P130" s="23" t="e">
        <f>SQRT(VAR(I130:N130))</f>
        <v>#DIV/0!</v>
      </c>
      <c r="Q130" s="10">
        <f>COUNT(I130:N130)</f>
        <v>1</v>
      </c>
      <c r="T130" s="31"/>
      <c r="U130" s="18"/>
      <c r="V130" s="18">
        <v>0.27700000000000002</v>
      </c>
      <c r="W130" s="18"/>
      <c r="X130" s="18"/>
      <c r="Y130" s="18"/>
      <c r="Z130" s="18"/>
      <c r="AA130" s="26">
        <f>AVERAGE(U130:Z130)</f>
        <v>0.27700000000000002</v>
      </c>
      <c r="AB130" s="23" t="e">
        <f>SQRT(VAR(U130:Z130))</f>
        <v>#DIV/0!</v>
      </c>
      <c r="AC130" s="10">
        <f>COUNT(U130:Z130)</f>
        <v>1</v>
      </c>
    </row>
    <row r="131" spans="1:29">
      <c r="A131" s="30"/>
      <c r="O131" s="4"/>
      <c r="T131" s="31"/>
    </row>
    <row r="132" spans="1:29" ht="25.5">
      <c r="A132" s="30"/>
      <c r="B132" s="3" t="s">
        <v>316</v>
      </c>
      <c r="C132" s="3" t="s">
        <v>346</v>
      </c>
      <c r="D132" s="11" t="s">
        <v>360</v>
      </c>
      <c r="E132" s="11" t="s">
        <v>333</v>
      </c>
      <c r="F132" s="11" t="s">
        <v>76</v>
      </c>
      <c r="G132" s="3" t="s">
        <v>320</v>
      </c>
      <c r="H132" s="3">
        <v>5.4</v>
      </c>
      <c r="J132" s="2">
        <v>5.69</v>
      </c>
      <c r="O132" s="4">
        <f>AVERAGE(I132:N132)</f>
        <v>5.69</v>
      </c>
      <c r="P132" s="4" t="e">
        <f>SQRT(VAR(I132:N132))</f>
        <v>#DIV/0!</v>
      </c>
      <c r="Q132" s="3">
        <f>COUNT(I132:N132)</f>
        <v>1</v>
      </c>
      <c r="T132" s="31"/>
      <c r="V132" s="2">
        <v>6.02</v>
      </c>
      <c r="AA132" s="5">
        <f>AVERAGE(U132:Z132)</f>
        <v>6.02</v>
      </c>
      <c r="AB132" s="4" t="e">
        <f>SQRT(VAR(U132:Z132))</f>
        <v>#DIV/0!</v>
      </c>
      <c r="AC132" s="3">
        <f>COUNT(U132:Z132)</f>
        <v>1</v>
      </c>
    </row>
    <row r="133" spans="1:29" ht="25.5">
      <c r="A133" s="30"/>
      <c r="G133" s="10" t="s">
        <v>321</v>
      </c>
      <c r="H133" s="10">
        <v>0.15</v>
      </c>
      <c r="I133" s="18"/>
      <c r="J133" s="18">
        <v>0.23</v>
      </c>
      <c r="K133" s="18"/>
      <c r="L133" s="18"/>
      <c r="M133" s="18"/>
      <c r="N133" s="18"/>
      <c r="O133" s="23">
        <f>AVERAGE(I133:N133)</f>
        <v>0.23</v>
      </c>
      <c r="P133" s="23" t="e">
        <f>SQRT(VAR(I133:N133))</f>
        <v>#DIV/0!</v>
      </c>
      <c r="Q133" s="10">
        <f>COUNT(I133:N133)</f>
        <v>1</v>
      </c>
      <c r="T133" s="31"/>
      <c r="U133" s="18"/>
      <c r="V133" s="18">
        <v>0.29199999999999998</v>
      </c>
      <c r="W133" s="18"/>
      <c r="X133" s="18"/>
      <c r="Y133" s="18"/>
      <c r="Z133" s="18"/>
      <c r="AA133" s="26">
        <f>AVERAGE(U133:Z133)</f>
        <v>0.29199999999999998</v>
      </c>
      <c r="AB133" s="23" t="e">
        <f>SQRT(VAR(U133:Z133))</f>
        <v>#DIV/0!</v>
      </c>
      <c r="AC133" s="10">
        <f>COUNT(U133:Z133)</f>
        <v>1</v>
      </c>
    </row>
    <row r="134" spans="1:29">
      <c r="A134" s="30"/>
      <c r="O134" s="4"/>
      <c r="T134" s="31"/>
    </row>
    <row r="135" spans="1:29" ht="25.5">
      <c r="A135" s="30"/>
      <c r="B135" s="3" t="s">
        <v>316</v>
      </c>
      <c r="C135" s="3" t="s">
        <v>339</v>
      </c>
      <c r="D135" s="3" t="s">
        <v>361</v>
      </c>
      <c r="E135" s="3" t="s">
        <v>319</v>
      </c>
      <c r="F135" s="171" t="s">
        <v>379</v>
      </c>
      <c r="G135" s="3" t="s">
        <v>320</v>
      </c>
      <c r="H135" s="3">
        <v>5.4</v>
      </c>
      <c r="O135" s="4" t="e">
        <f>AVERAGE(I135:N135)</f>
        <v>#DIV/0!</v>
      </c>
      <c r="P135" s="4" t="e">
        <f>SQRT(VAR(I135:N135))</f>
        <v>#DIV/0!</v>
      </c>
      <c r="Q135" s="3">
        <f>COUNT(I135:N135)</f>
        <v>0</v>
      </c>
      <c r="T135" s="31"/>
      <c r="AA135" s="5" t="e">
        <f>AVERAGE(U135:Z135)</f>
        <v>#DIV/0!</v>
      </c>
      <c r="AB135" s="4" t="e">
        <f>SQRT(VAR(U135:Z135))</f>
        <v>#DIV/0!</v>
      </c>
      <c r="AC135" s="3">
        <f>COUNT(U135:Z135)</f>
        <v>0</v>
      </c>
    </row>
    <row r="136" spans="1:29" ht="25.5">
      <c r="A136" s="30"/>
      <c r="G136" s="10" t="s">
        <v>321</v>
      </c>
      <c r="H136" s="10">
        <v>0.15</v>
      </c>
      <c r="I136" s="18"/>
      <c r="J136" s="18"/>
      <c r="K136" s="18"/>
      <c r="L136" s="18"/>
      <c r="M136" s="18"/>
      <c r="N136" s="18"/>
      <c r="O136" s="23" t="e">
        <f>AVERAGE(I136:N136)</f>
        <v>#DIV/0!</v>
      </c>
      <c r="P136" s="23" t="e">
        <f>SQRT(VAR(I136:N136))</f>
        <v>#DIV/0!</v>
      </c>
      <c r="Q136" s="10">
        <f>COUNT(I136:N136)</f>
        <v>0</v>
      </c>
      <c r="T136" s="31"/>
      <c r="U136" s="18"/>
      <c r="V136" s="18"/>
      <c r="W136" s="18"/>
      <c r="X136" s="18"/>
      <c r="Y136" s="18"/>
      <c r="Z136" s="18"/>
      <c r="AA136" s="26" t="e">
        <f>AVERAGE(U136:Z136)</f>
        <v>#DIV/0!</v>
      </c>
      <c r="AB136" s="23" t="e">
        <f>SQRT(VAR(U136:Z136))</f>
        <v>#DIV/0!</v>
      </c>
      <c r="AC136" s="10">
        <f>COUNT(U136:Z136)</f>
        <v>0</v>
      </c>
    </row>
    <row r="137" spans="1:29">
      <c r="A137" s="30"/>
      <c r="O137" s="4"/>
      <c r="T137" s="31"/>
    </row>
    <row r="138" spans="1:29" ht="25.5">
      <c r="A138" s="30"/>
      <c r="B138" s="3" t="s">
        <v>316</v>
      </c>
      <c r="C138" s="3" t="s">
        <v>362</v>
      </c>
      <c r="D138" s="11" t="s">
        <v>355</v>
      </c>
      <c r="E138" s="3" t="s">
        <v>333</v>
      </c>
      <c r="F138" s="11" t="s">
        <v>76</v>
      </c>
      <c r="G138" s="3" t="s">
        <v>320</v>
      </c>
      <c r="H138" s="3">
        <v>5.4</v>
      </c>
      <c r="O138" s="4" t="e">
        <f>AVERAGE(I138:N138)</f>
        <v>#DIV/0!</v>
      </c>
      <c r="P138" s="4" t="e">
        <f>SQRT(VAR(I138:N138))</f>
        <v>#DIV/0!</v>
      </c>
      <c r="Q138" s="3">
        <f>COUNT(I138:N138)</f>
        <v>0</v>
      </c>
      <c r="T138" s="31"/>
      <c r="X138" s="17"/>
      <c r="Y138" s="2">
        <f>UL_OH!R27*7.8</f>
        <v>8.1595999607804686</v>
      </c>
      <c r="AA138" s="5">
        <f>AVERAGE(U138:Z138)</f>
        <v>8.1595999607804686</v>
      </c>
      <c r="AB138" s="4" t="e">
        <f>SQRT(VAR(U138:Z138))</f>
        <v>#DIV/0!</v>
      </c>
      <c r="AC138" s="3">
        <f>COUNT(U138:Z138)</f>
        <v>1</v>
      </c>
    </row>
    <row r="139" spans="1:29" ht="25.5">
      <c r="A139" s="30"/>
      <c r="G139" s="10" t="s">
        <v>321</v>
      </c>
      <c r="H139" s="10">
        <v>0.15</v>
      </c>
      <c r="I139" s="18"/>
      <c r="J139" s="18"/>
      <c r="K139" s="18"/>
      <c r="L139" s="18"/>
      <c r="M139" s="18"/>
      <c r="N139" s="18"/>
      <c r="O139" s="23" t="e">
        <f>AVERAGE(I139:N139)</f>
        <v>#DIV/0!</v>
      </c>
      <c r="P139" s="23" t="e">
        <f>SQRT(VAR(I139:N139))</f>
        <v>#DIV/0!</v>
      </c>
      <c r="Q139" s="10">
        <f>COUNT(I139:N139)</f>
        <v>0</v>
      </c>
      <c r="T139" s="31"/>
      <c r="U139" s="18"/>
      <c r="V139" s="18"/>
      <c r="W139" s="18"/>
      <c r="X139" s="19"/>
      <c r="Y139" s="27">
        <f>UL_OH!R27*0.53</f>
        <v>0.55443435630944216</v>
      </c>
      <c r="Z139" s="27"/>
      <c r="AA139" s="26">
        <f>AVERAGE(U139:Z139)</f>
        <v>0.55443435630944216</v>
      </c>
      <c r="AB139" s="23" t="e">
        <f>SQRT(VAR(U139:Z139))</f>
        <v>#DIV/0!</v>
      </c>
      <c r="AC139" s="10">
        <f>COUNT(U139:Z139)</f>
        <v>1</v>
      </c>
    </row>
    <row r="140" spans="1:29">
      <c r="A140" s="30"/>
      <c r="O140" s="4"/>
      <c r="T140" s="31"/>
    </row>
    <row r="141" spans="1:29" ht="25.5">
      <c r="A141" s="30"/>
      <c r="B141" s="3" t="s">
        <v>316</v>
      </c>
      <c r="C141" s="3" t="s">
        <v>329</v>
      </c>
      <c r="D141" s="3" t="s">
        <v>356</v>
      </c>
      <c r="E141" s="3" t="s">
        <v>333</v>
      </c>
      <c r="F141" s="11" t="s">
        <v>76</v>
      </c>
      <c r="G141" s="3" t="s">
        <v>320</v>
      </c>
      <c r="H141" s="3">
        <v>5.4</v>
      </c>
      <c r="N141" s="2">
        <f>UL_OH!R27*7.917</f>
        <v>8.2819939601921764</v>
      </c>
      <c r="O141" s="4">
        <f>AVERAGE(I141:N141)</f>
        <v>8.2819939601921764</v>
      </c>
      <c r="P141" s="4" t="e">
        <f>SQRT(VAR(I141:N141))</f>
        <v>#DIV/0!</v>
      </c>
      <c r="Q141" s="3">
        <f>COUNT(I141:N141)</f>
        <v>1</v>
      </c>
      <c r="T141" s="239"/>
      <c r="Y141" s="2">
        <f>UL_OH!R27*7.88</f>
        <v>8.2432881655064225</v>
      </c>
      <c r="AA141" s="5">
        <f>AVERAGE(U141:Z141)</f>
        <v>8.2432881655064225</v>
      </c>
      <c r="AB141" s="4" t="e">
        <f>SQRT(VAR(U141:Z141))</f>
        <v>#DIV/0!</v>
      </c>
      <c r="AC141" s="3">
        <f>COUNT(U141:Z141)</f>
        <v>1</v>
      </c>
    </row>
    <row r="142" spans="1:29" ht="25.5">
      <c r="A142" s="239"/>
      <c r="G142" s="10" t="s">
        <v>321</v>
      </c>
      <c r="H142" s="10">
        <v>0.15</v>
      </c>
      <c r="I142" s="18"/>
      <c r="J142" s="18"/>
      <c r="K142" s="18"/>
      <c r="L142" s="18"/>
      <c r="M142" s="18"/>
      <c r="N142" s="18">
        <f>UL_OH!R27*0.57</f>
        <v>0.5962784586724188</v>
      </c>
      <c r="O142" s="23">
        <f>AVERAGE(I142:N142)</f>
        <v>0.5962784586724188</v>
      </c>
      <c r="P142" s="23" t="e">
        <f>SQRT(VAR(I142:N142))</f>
        <v>#DIV/0!</v>
      </c>
      <c r="Q142" s="10">
        <f>COUNT(I142:N142)</f>
        <v>1</v>
      </c>
      <c r="T142" s="239"/>
      <c r="U142" s="18"/>
      <c r="V142" s="18"/>
      <c r="W142" s="18"/>
      <c r="X142" s="18"/>
      <c r="Y142" s="27">
        <f>UL_OH!R27*0.55</f>
        <v>0.57535640749093053</v>
      </c>
      <c r="Z142" s="27"/>
      <c r="AA142" s="26">
        <f>AVERAGE(U142:Z142)</f>
        <v>0.57535640749093053</v>
      </c>
      <c r="AB142" s="23" t="e">
        <f>SQRT(VAR(U142:Z142))</f>
        <v>#DIV/0!</v>
      </c>
      <c r="AC142" s="10">
        <f>COUNT(U142:Z142)</f>
        <v>1</v>
      </c>
    </row>
    <row r="143" spans="1:29">
      <c r="A143" s="239"/>
      <c r="O143" s="4"/>
      <c r="T143" s="239"/>
    </row>
    <row r="144" spans="1:29" ht="25.5">
      <c r="A144" s="239"/>
      <c r="B144" s="3" t="s">
        <v>316</v>
      </c>
      <c r="C144" s="3" t="s">
        <v>343</v>
      </c>
      <c r="D144" s="3" t="s">
        <v>363</v>
      </c>
      <c r="E144" s="3" t="s">
        <v>333</v>
      </c>
      <c r="F144" s="11" t="s">
        <v>80</v>
      </c>
      <c r="G144" s="3" t="s">
        <v>320</v>
      </c>
      <c r="H144" s="3">
        <v>5.4</v>
      </c>
      <c r="O144" s="4" t="e">
        <f>AVERAGE(I144:N144)</f>
        <v>#DIV/0!</v>
      </c>
      <c r="P144" s="4" t="e">
        <f>SQRT(VAR(I144:N144))</f>
        <v>#DIV/0!</v>
      </c>
      <c r="Q144" s="3">
        <f>COUNT(I144:N144)</f>
        <v>0</v>
      </c>
      <c r="T144" s="239"/>
      <c r="AA144" s="5" t="e">
        <f>AVERAGE(U144:Z144)</f>
        <v>#DIV/0!</v>
      </c>
      <c r="AB144" s="4" t="e">
        <f>SQRT(VAR(U144:Z144))</f>
        <v>#DIV/0!</v>
      </c>
      <c r="AC144" s="3">
        <f>COUNT(U144:Z144)</f>
        <v>0</v>
      </c>
    </row>
    <row r="145" spans="1:29" ht="25.5">
      <c r="A145" s="30"/>
      <c r="G145" s="10" t="s">
        <v>321</v>
      </c>
      <c r="H145" s="10">
        <v>0.15</v>
      </c>
      <c r="I145" s="18"/>
      <c r="J145" s="18"/>
      <c r="K145" s="18"/>
      <c r="L145" s="18"/>
      <c r="M145" s="18"/>
      <c r="N145" s="18"/>
      <c r="O145" s="23" t="e">
        <f>AVERAGE(I145:N145)</f>
        <v>#DIV/0!</v>
      </c>
      <c r="P145" s="23" t="e">
        <f>SQRT(VAR(I145:N145))</f>
        <v>#DIV/0!</v>
      </c>
      <c r="Q145" s="10">
        <f>COUNT(I145:N145)</f>
        <v>0</v>
      </c>
      <c r="T145" s="31"/>
      <c r="U145" s="18"/>
      <c r="V145" s="18"/>
      <c r="W145" s="18"/>
      <c r="X145" s="18"/>
      <c r="Y145" s="18"/>
      <c r="Z145" s="27"/>
      <c r="AA145" s="26" t="e">
        <f>AVERAGE(U145:Z145)</f>
        <v>#DIV/0!</v>
      </c>
      <c r="AB145" s="23" t="e">
        <f>SQRT(VAR(U145:Z145))</f>
        <v>#DIV/0!</v>
      </c>
      <c r="AC145" s="10">
        <f>COUNT(U145:Z145)</f>
        <v>0</v>
      </c>
    </row>
    <row r="146" spans="1:29">
      <c r="O146" s="4"/>
      <c r="T146" s="31"/>
    </row>
    <row r="147" spans="1:29">
      <c r="O147" s="4"/>
      <c r="T147" s="31"/>
    </row>
    <row r="148" spans="1:29">
      <c r="O148" s="4"/>
    </row>
    <row r="149" spans="1:29">
      <c r="O149" s="4"/>
    </row>
    <row r="150" spans="1:29">
      <c r="O150" s="4"/>
    </row>
    <row r="151" spans="1:29">
      <c r="O151" s="4"/>
    </row>
    <row r="152" spans="1:29">
      <c r="O152" s="4"/>
    </row>
    <row r="153" spans="1:29">
      <c r="O153" s="4"/>
    </row>
    <row r="154" spans="1:29">
      <c r="O154" s="4"/>
    </row>
    <row r="155" spans="1:29">
      <c r="O155" s="4"/>
    </row>
    <row r="156" spans="1:29">
      <c r="O156" s="4"/>
    </row>
    <row r="157" spans="1:29">
      <c r="O157" s="4"/>
    </row>
    <row r="158" spans="1:29">
      <c r="O158" s="4"/>
    </row>
    <row r="159" spans="1:29">
      <c r="O159" s="4"/>
    </row>
    <row r="160" spans="1:29">
      <c r="O160" s="4"/>
    </row>
    <row r="161" spans="15:15">
      <c r="O161" s="4"/>
    </row>
    <row r="162" spans="15:15">
      <c r="O162" s="4"/>
    </row>
    <row r="163" spans="15:15">
      <c r="O163" s="4"/>
    </row>
    <row r="164" spans="15:15">
      <c r="O164" s="4"/>
    </row>
    <row r="165" spans="15:15">
      <c r="O165" s="4"/>
    </row>
    <row r="166" spans="15:15">
      <c r="O166" s="4"/>
    </row>
    <row r="167" spans="15:15">
      <c r="O167" s="4"/>
    </row>
    <row r="168" spans="15:15">
      <c r="O168" s="4"/>
    </row>
    <row r="169" spans="15:15">
      <c r="O169" s="4"/>
    </row>
    <row r="170" spans="15:15">
      <c r="O170" s="4"/>
    </row>
    <row r="171" spans="15:15">
      <c r="O171" s="4"/>
    </row>
    <row r="172" spans="15:15">
      <c r="O172" s="4"/>
    </row>
    <row r="173" spans="15:15">
      <c r="O173" s="4"/>
    </row>
    <row r="174" spans="15:15">
      <c r="O174" s="4"/>
    </row>
    <row r="175" spans="15:15">
      <c r="O175" s="4"/>
    </row>
    <row r="176" spans="15:15">
      <c r="O176" s="4"/>
    </row>
    <row r="177" spans="15:15">
      <c r="O177" s="4"/>
    </row>
    <row r="178" spans="15:15">
      <c r="O178" s="4"/>
    </row>
    <row r="179" spans="15:15">
      <c r="O179" s="4"/>
    </row>
    <row r="180" spans="15:15">
      <c r="O180" s="4"/>
    </row>
    <row r="181" spans="15:15">
      <c r="O181" s="4"/>
    </row>
    <row r="182" spans="15:15">
      <c r="O182" s="4"/>
    </row>
    <row r="183" spans="15:15">
      <c r="O183" s="4"/>
    </row>
  </sheetData>
  <mergeCells count="7">
    <mergeCell ref="G1:H1"/>
    <mergeCell ref="A2:A66"/>
    <mergeCell ref="A76:A103"/>
    <mergeCell ref="A142:A144"/>
    <mergeCell ref="T2:T66"/>
    <mergeCell ref="T76:T103"/>
    <mergeCell ref="T141:T144"/>
  </mergeCells>
  <phoneticPr fontId="14" type="noConversion"/>
  <pageMargins left="0.69930555555555596" right="0.69930555555555596"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95"/>
  <sheetViews>
    <sheetView zoomScaleNormal="100" workbookViewId="0">
      <pane xSplit="9" ySplit="1" topLeftCell="J41" activePane="bottomRight" state="frozen"/>
      <selection pane="topRight"/>
      <selection pane="bottomLeft"/>
      <selection pane="bottomRight" activeCell="M6" sqref="M6"/>
    </sheetView>
  </sheetViews>
  <sheetFormatPr defaultColWidth="9.42578125" defaultRowHeight="12.75"/>
  <cols>
    <col min="1" max="1" width="10.42578125" style="3" customWidth="1"/>
    <col min="2" max="2" width="6.5703125" style="3" customWidth="1"/>
    <col min="3" max="3" width="26.28515625" style="3" customWidth="1"/>
    <col min="4" max="4" width="24.42578125" style="3" customWidth="1"/>
    <col min="5" max="5" width="11.42578125" style="3" customWidth="1"/>
    <col min="6" max="7" width="9.28515625" style="3" customWidth="1"/>
    <col min="8" max="8" width="16.42578125" style="3" customWidth="1"/>
    <col min="9" max="9" width="7.28515625" style="3" customWidth="1"/>
    <col min="10" max="15" width="9.42578125" style="2" customWidth="1"/>
    <col min="16" max="16" width="9.42578125" style="3" customWidth="1"/>
    <col min="17" max="17" width="9.42578125" style="4" customWidth="1"/>
    <col min="18" max="21" width="9.42578125" style="3"/>
    <col min="22" max="27" width="9.42578125" style="2" customWidth="1"/>
    <col min="28" max="28" width="9.42578125" style="5" customWidth="1"/>
    <col min="29" max="29" width="9.42578125" style="4" customWidth="1"/>
    <col min="30" max="16384" width="9.42578125" style="3"/>
  </cols>
  <sheetData>
    <row r="1" spans="1:30" s="1" customFormat="1" ht="49.5" customHeight="1">
      <c r="A1" s="6" t="s">
        <v>306</v>
      </c>
      <c r="B1" s="1" t="s">
        <v>307</v>
      </c>
      <c r="C1" s="1" t="s">
        <v>308</v>
      </c>
      <c r="D1" s="7" t="s">
        <v>309</v>
      </c>
      <c r="E1" s="1" t="s">
        <v>58</v>
      </c>
      <c r="F1" s="1" t="s">
        <v>73</v>
      </c>
      <c r="H1" s="237" t="s">
        <v>310</v>
      </c>
      <c r="I1" s="237"/>
      <c r="J1" s="14" t="s">
        <v>5</v>
      </c>
      <c r="K1" s="15" t="s">
        <v>11</v>
      </c>
      <c r="L1" s="14" t="s">
        <v>14</v>
      </c>
      <c r="M1" s="14" t="s">
        <v>16</v>
      </c>
      <c r="N1" s="14" t="s">
        <v>17</v>
      </c>
      <c r="O1" s="15" t="s">
        <v>19</v>
      </c>
      <c r="P1" s="1" t="s">
        <v>311</v>
      </c>
      <c r="Q1" s="21" t="s">
        <v>312</v>
      </c>
      <c r="R1" s="1" t="s">
        <v>313</v>
      </c>
      <c r="U1" s="6" t="s">
        <v>314</v>
      </c>
      <c r="V1" s="14" t="str">
        <f>J1</f>
        <v>Huawei</v>
      </c>
      <c r="W1" s="15" t="s">
        <v>11</v>
      </c>
      <c r="X1" s="14" t="str">
        <f>L1</f>
        <v>CAICT</v>
      </c>
      <c r="Y1" s="14" t="str">
        <f>M1</f>
        <v>OPPO</v>
      </c>
      <c r="Z1" s="15" t="s">
        <v>19</v>
      </c>
      <c r="AA1" s="15" t="s">
        <v>22</v>
      </c>
      <c r="AB1" s="24" t="s">
        <v>311</v>
      </c>
      <c r="AC1" s="21" t="s">
        <v>312</v>
      </c>
      <c r="AD1" s="1" t="s">
        <v>313</v>
      </c>
    </row>
    <row r="2" spans="1:30">
      <c r="A2" s="240" t="s">
        <v>364</v>
      </c>
      <c r="B2" s="8" t="s">
        <v>50</v>
      </c>
      <c r="C2" s="8"/>
      <c r="D2" s="8"/>
      <c r="E2" s="8"/>
      <c r="F2" s="8"/>
      <c r="G2" s="8"/>
      <c r="H2" s="8"/>
      <c r="I2" s="8"/>
      <c r="J2" s="16"/>
      <c r="K2" s="16"/>
      <c r="L2" s="16"/>
      <c r="M2" s="16"/>
      <c r="N2" s="16"/>
      <c r="O2" s="16"/>
      <c r="P2" s="22"/>
      <c r="Q2" s="22"/>
      <c r="R2" s="13"/>
      <c r="U2" s="240" t="s">
        <v>364</v>
      </c>
      <c r="V2" s="16"/>
      <c r="W2" s="16"/>
      <c r="X2" s="16"/>
      <c r="Y2" s="16"/>
      <c r="Z2" s="16"/>
      <c r="AA2" s="16"/>
      <c r="AB2" s="25"/>
      <c r="AC2" s="22"/>
      <c r="AD2" s="13"/>
    </row>
    <row r="3" spans="1:30" ht="41.25" customHeight="1">
      <c r="A3" s="238"/>
      <c r="B3" s="3" t="s">
        <v>316</v>
      </c>
      <c r="C3" s="3" t="s">
        <v>317</v>
      </c>
      <c r="D3" s="3" t="s">
        <v>318</v>
      </c>
      <c r="E3" s="3" t="s">
        <v>319</v>
      </c>
      <c r="G3" s="3">
        <v>10</v>
      </c>
      <c r="H3" s="3" t="s">
        <v>365</v>
      </c>
      <c r="I3" s="3">
        <v>7.8</v>
      </c>
      <c r="J3" s="2">
        <f>11.45*DL_OH!S9</f>
        <v>11.450000000000001</v>
      </c>
      <c r="K3" s="2">
        <v>12.52</v>
      </c>
      <c r="L3" s="2">
        <v>12.048999999999999</v>
      </c>
      <c r="M3" s="2">
        <v>14.01</v>
      </c>
      <c r="P3" s="4">
        <f t="shared" ref="P3:P8" si="0">AVERAGE(J3:O3)</f>
        <v>12.507249999999999</v>
      </c>
      <c r="Q3" s="4">
        <f t="shared" ref="Q3:Q8" si="1">SQRT(VAR(J3:O3))</f>
        <v>1.09334208583895</v>
      </c>
      <c r="R3" s="3">
        <f t="shared" ref="R3:R8" si="2">COUNT(J3:O3)</f>
        <v>4</v>
      </c>
      <c r="U3" s="238"/>
      <c r="V3" s="2">
        <v>11.417</v>
      </c>
      <c r="W3" s="2">
        <v>12.53</v>
      </c>
      <c r="Y3" s="2">
        <v>13.79</v>
      </c>
      <c r="AB3" s="5">
        <f t="shared" ref="AB3:AB8" si="3">AVERAGE(V3:AA3)</f>
        <v>12.578999999999999</v>
      </c>
      <c r="AC3" s="4">
        <f t="shared" ref="AC3:AC8" si="4">SQRT(VAR(V3:AA3))</f>
        <v>1.1872586070439748</v>
      </c>
      <c r="AD3" s="3">
        <f t="shared" ref="AD3:AD8" si="5">COUNT(V3:AA3)</f>
        <v>3</v>
      </c>
    </row>
    <row r="4" spans="1:30" ht="30.75" customHeight="1">
      <c r="A4" s="238"/>
      <c r="G4" s="3">
        <v>20</v>
      </c>
      <c r="H4" s="3" t="s">
        <v>365</v>
      </c>
      <c r="I4" s="3">
        <v>7.8</v>
      </c>
      <c r="J4" s="2">
        <f>11.45*DL_OH!S9*DL_OH!W9</f>
        <v>12.942562286812208</v>
      </c>
      <c r="K4" s="2">
        <f>K3*DL_OH!$W$8</f>
        <v>14.149040520260135</v>
      </c>
      <c r="L4" s="2">
        <f>L3*DL_OH!$W$10</f>
        <v>13.553433358292766</v>
      </c>
      <c r="M4" s="2">
        <f>M3*DL_OH!$W$11</f>
        <v>15.712774688746515</v>
      </c>
      <c r="P4" s="4">
        <f t="shared" si="0"/>
        <v>14.089452713527905</v>
      </c>
      <c r="Q4" s="4">
        <f t="shared" si="1"/>
        <v>1.1890331285008582</v>
      </c>
      <c r="R4" s="3">
        <f t="shared" si="2"/>
        <v>4</v>
      </c>
      <c r="U4" s="238"/>
      <c r="V4" s="2">
        <f>V3*DL_OH!$W$9</f>
        <v>12.905260578911351</v>
      </c>
      <c r="W4" s="2">
        <f>W3*DL_OH!$W$8</f>
        <v>14.160341670835423</v>
      </c>
      <c r="Y4" s="2">
        <f>Y3*DL_OH!$W$11</f>
        <v>15.466035899915378</v>
      </c>
      <c r="AB4" s="5">
        <f t="shared" si="3"/>
        <v>14.177212716554051</v>
      </c>
      <c r="AC4" s="4">
        <f t="shared" si="4"/>
        <v>1.2804710208761261</v>
      </c>
      <c r="AD4" s="3">
        <f t="shared" si="5"/>
        <v>3</v>
      </c>
    </row>
    <row r="5" spans="1:30" ht="27" customHeight="1">
      <c r="A5" s="238"/>
      <c r="G5" s="3">
        <v>40</v>
      </c>
      <c r="H5" s="3" t="s">
        <v>365</v>
      </c>
      <c r="I5" s="3">
        <v>7.8</v>
      </c>
      <c r="J5" s="2">
        <f>11.45*DL_OH!S9*DL_OH!AA9</f>
        <v>13.834194058640996</v>
      </c>
      <c r="K5" s="2">
        <f>K3*DL_OH!$AA$8</f>
        <v>15.122644322161086</v>
      </c>
      <c r="L5" s="2">
        <f>L3*DL_OH!$AA$10</f>
        <v>14.456770029951326</v>
      </c>
      <c r="M5" s="2">
        <f>M3*DL_OH!$AA$11</f>
        <v>16.738588480599535</v>
      </c>
      <c r="P5" s="4">
        <f t="shared" si="0"/>
        <v>15.038049222838236</v>
      </c>
      <c r="Q5" s="4">
        <f t="shared" si="1"/>
        <v>1.2498190341624682</v>
      </c>
      <c r="R5" s="3">
        <f t="shared" si="2"/>
        <v>4</v>
      </c>
      <c r="U5" s="238"/>
      <c r="V5" s="2">
        <f>V3*DL_OH!$AA$9</f>
        <v>13.794322582314779</v>
      </c>
      <c r="W5" s="2">
        <f>W3*DL_OH!$AA$8</f>
        <v>15.134723111555783</v>
      </c>
      <c r="Y5" s="2">
        <f>Y3*DL_OH!$AA$11</f>
        <v>16.475741266771418</v>
      </c>
      <c r="AB5" s="5">
        <f t="shared" si="3"/>
        <v>15.134928986880661</v>
      </c>
      <c r="AC5" s="4">
        <f t="shared" si="4"/>
        <v>1.3407093540834198</v>
      </c>
      <c r="AD5" s="3">
        <f t="shared" si="5"/>
        <v>3</v>
      </c>
    </row>
    <row r="6" spans="1:30" ht="25.5">
      <c r="A6" s="238"/>
      <c r="G6" s="3">
        <v>10</v>
      </c>
      <c r="H6" s="10" t="s">
        <v>321</v>
      </c>
      <c r="I6" s="10">
        <v>0.22500000000000001</v>
      </c>
      <c r="J6" s="18">
        <v>0.376</v>
      </c>
      <c r="K6" s="18">
        <v>0.439</v>
      </c>
      <c r="L6" s="18">
        <v>0.32290000000000002</v>
      </c>
      <c r="M6" s="18">
        <v>0.46200000000000002</v>
      </c>
      <c r="N6" s="18"/>
      <c r="O6" s="18"/>
      <c r="P6" s="23">
        <f t="shared" si="0"/>
        <v>0.39997499999999997</v>
      </c>
      <c r="Q6" s="23">
        <f t="shared" si="1"/>
        <v>6.2942851063484864E-2</v>
      </c>
      <c r="R6" s="10">
        <f t="shared" si="2"/>
        <v>4</v>
      </c>
      <c r="U6" s="238"/>
      <c r="V6" s="18">
        <v>0.379</v>
      </c>
      <c r="W6" s="18">
        <v>0.44800000000000001</v>
      </c>
      <c r="X6" s="18"/>
      <c r="Y6" s="18">
        <v>0.432</v>
      </c>
      <c r="Z6" s="18"/>
      <c r="AA6" s="18"/>
      <c r="AB6" s="26">
        <f t="shared" si="3"/>
        <v>0.41966666666666663</v>
      </c>
      <c r="AC6" s="23">
        <f t="shared" si="4"/>
        <v>3.6115555282084939E-2</v>
      </c>
      <c r="AD6" s="10">
        <f t="shared" si="5"/>
        <v>3</v>
      </c>
    </row>
    <row r="7" spans="1:30" ht="25.5">
      <c r="A7" s="238"/>
      <c r="G7" s="3">
        <v>20</v>
      </c>
      <c r="H7" s="10" t="s">
        <v>321</v>
      </c>
      <c r="I7" s="10">
        <v>0.22500000000000001</v>
      </c>
      <c r="J7" s="18">
        <f>0.376*DL_OH!W9</f>
        <v>0.42501339911278518</v>
      </c>
      <c r="K7" s="18">
        <f>K6*DL_OH!$W$8</f>
        <v>0.49612051025512777</v>
      </c>
      <c r="L7" s="18">
        <f>L6*DL_OH!$W$10</f>
        <v>0.36321716585548469</v>
      </c>
      <c r="M7" s="18">
        <f>M6*DL_OH!$W$11</f>
        <v>0.5181514565453883</v>
      </c>
      <c r="N7" s="18"/>
      <c r="O7" s="18"/>
      <c r="P7" s="23">
        <f t="shared" si="0"/>
        <v>0.45062563294219649</v>
      </c>
      <c r="Q7" s="23">
        <f t="shared" si="1"/>
        <v>7.0535445829713037E-2</v>
      </c>
      <c r="R7" s="10">
        <f t="shared" si="2"/>
        <v>4</v>
      </c>
      <c r="U7" s="238"/>
      <c r="V7" s="18">
        <f>V6*DL_OH!$W$9</f>
        <v>0.42840446346740846</v>
      </c>
      <c r="W7" s="18">
        <f>W6*DL_OH!$W$8</f>
        <v>0.50629154577288671</v>
      </c>
      <c r="X7" s="18"/>
      <c r="Y7" s="18">
        <f>Y6*DL_OH!$W$11</f>
        <v>0.48450525806841505</v>
      </c>
      <c r="Z7" s="18"/>
      <c r="AA7" s="18"/>
      <c r="AB7" s="26">
        <f t="shared" si="3"/>
        <v>0.4730670891029034</v>
      </c>
      <c r="AC7" s="23">
        <f t="shared" si="4"/>
        <v>4.0183618297482633E-2</v>
      </c>
      <c r="AD7" s="10">
        <f t="shared" si="5"/>
        <v>3</v>
      </c>
    </row>
    <row r="8" spans="1:30" ht="25.5">
      <c r="A8" s="238"/>
      <c r="G8" s="3">
        <v>40</v>
      </c>
      <c r="H8" s="10" t="s">
        <v>321</v>
      </c>
      <c r="I8" s="10">
        <v>0.22500000000000001</v>
      </c>
      <c r="J8" s="18">
        <f>0.376*DL_OH!AA9</f>
        <v>0.45429318480777414</v>
      </c>
      <c r="K8" s="18">
        <f>K6*DL_OH!$AA$8</f>
        <v>0.53025885442721377</v>
      </c>
      <c r="L8" s="18">
        <f>L6*DL_OH!$AA$10</f>
        <v>0.38742559902658175</v>
      </c>
      <c r="M8" s="18">
        <f>M6*DL_OH!$AA$11</f>
        <v>0.55197914903904255</v>
      </c>
      <c r="N8" s="18"/>
      <c r="O8" s="18"/>
      <c r="P8" s="23">
        <f t="shared" si="0"/>
        <v>0.48098919682515306</v>
      </c>
      <c r="Q8" s="23">
        <f t="shared" si="1"/>
        <v>7.5130766814045555E-2</v>
      </c>
      <c r="R8" s="10">
        <f t="shared" si="2"/>
        <v>4</v>
      </c>
      <c r="U8" s="238"/>
      <c r="V8" s="18">
        <f>V6*DL_OH!$AA$9</f>
        <v>0.45791786447379362</v>
      </c>
      <c r="W8" s="18">
        <f>W6*DL_OH!$AA$8</f>
        <v>0.54112976488244147</v>
      </c>
      <c r="X8" s="18"/>
      <c r="Y8" s="18">
        <f>Y6*DL_OH!$AA$11</f>
        <v>0.51613634715339041</v>
      </c>
      <c r="Z8" s="18"/>
      <c r="AA8" s="18"/>
      <c r="AB8" s="26">
        <f t="shared" si="3"/>
        <v>0.50506132550320848</v>
      </c>
      <c r="AC8" s="23">
        <f t="shared" si="4"/>
        <v>4.2697156472283726E-2</v>
      </c>
      <c r="AD8" s="10">
        <f t="shared" si="5"/>
        <v>3</v>
      </c>
    </row>
    <row r="9" spans="1:30">
      <c r="A9" s="238"/>
      <c r="P9" s="4"/>
      <c r="U9" s="238"/>
    </row>
    <row r="10" spans="1:30" ht="48.75" customHeight="1">
      <c r="A10" s="238"/>
      <c r="B10" s="3" t="s">
        <v>316</v>
      </c>
      <c r="C10" s="3" t="s">
        <v>317</v>
      </c>
      <c r="D10" s="3" t="s">
        <v>322</v>
      </c>
      <c r="E10" s="3" t="s">
        <v>319</v>
      </c>
      <c r="G10" s="3">
        <v>10</v>
      </c>
      <c r="H10" s="3" t="s">
        <v>365</v>
      </c>
      <c r="I10" s="3">
        <v>7.8</v>
      </c>
      <c r="P10" s="4" t="e">
        <f t="shared" ref="P10:P15" si="6">AVERAGE(J10:O10)</f>
        <v>#DIV/0!</v>
      </c>
      <c r="Q10" s="4" t="e">
        <f t="shared" ref="Q10:Q15" si="7">SQRT(VAR(J10:O10))</f>
        <v>#DIV/0!</v>
      </c>
      <c r="R10" s="3">
        <f t="shared" ref="R10:R15" si="8">COUNT(J10:O10)</f>
        <v>0</v>
      </c>
      <c r="U10" s="238"/>
      <c r="AB10" s="5" t="e">
        <f t="shared" ref="AB10:AB15" si="9">AVERAGE(V10:AA10)</f>
        <v>#DIV/0!</v>
      </c>
      <c r="AC10" s="4" t="e">
        <f t="shared" ref="AC10:AC15" si="10">SQRT(VAR(V10:AA10))</f>
        <v>#DIV/0!</v>
      </c>
      <c r="AD10" s="3">
        <f t="shared" ref="AD10:AD15" si="11">COUNT(V10:AA10)</f>
        <v>0</v>
      </c>
    </row>
    <row r="11" spans="1:30" ht="33" customHeight="1">
      <c r="A11" s="238"/>
      <c r="G11" s="3">
        <v>20</v>
      </c>
      <c r="H11" s="3" t="s">
        <v>365</v>
      </c>
      <c r="I11" s="3">
        <v>7.8</v>
      </c>
      <c r="P11" s="4" t="e">
        <f t="shared" si="6"/>
        <v>#DIV/0!</v>
      </c>
      <c r="Q11" s="4" t="e">
        <f t="shared" si="7"/>
        <v>#DIV/0!</v>
      </c>
      <c r="R11" s="3">
        <f t="shared" si="8"/>
        <v>0</v>
      </c>
      <c r="U11" s="238"/>
      <c r="AB11" s="5" t="e">
        <f t="shared" si="9"/>
        <v>#DIV/0!</v>
      </c>
      <c r="AC11" s="4" t="e">
        <f t="shared" si="10"/>
        <v>#DIV/0!</v>
      </c>
      <c r="AD11" s="3">
        <f t="shared" si="11"/>
        <v>0</v>
      </c>
    </row>
    <row r="12" spans="1:30" ht="36.75" customHeight="1">
      <c r="A12" s="238"/>
      <c r="G12" s="3">
        <v>40</v>
      </c>
      <c r="H12" s="3" t="s">
        <v>365</v>
      </c>
      <c r="I12" s="3">
        <v>7.8</v>
      </c>
      <c r="P12" s="4" t="e">
        <f t="shared" si="6"/>
        <v>#DIV/0!</v>
      </c>
      <c r="Q12" s="4" t="e">
        <f t="shared" si="7"/>
        <v>#DIV/0!</v>
      </c>
      <c r="R12" s="3">
        <f t="shared" si="8"/>
        <v>0</v>
      </c>
      <c r="U12" s="238"/>
      <c r="AB12" s="5" t="e">
        <f t="shared" si="9"/>
        <v>#DIV/0!</v>
      </c>
      <c r="AC12" s="4" t="e">
        <f t="shared" si="10"/>
        <v>#DIV/0!</v>
      </c>
      <c r="AD12" s="3">
        <f t="shared" si="11"/>
        <v>0</v>
      </c>
    </row>
    <row r="13" spans="1:30" ht="25.5">
      <c r="A13" s="238"/>
      <c r="G13" s="3">
        <v>10</v>
      </c>
      <c r="H13" s="10" t="s">
        <v>321</v>
      </c>
      <c r="I13" s="10">
        <v>0.22500000000000001</v>
      </c>
      <c r="J13" s="18"/>
      <c r="K13" s="18"/>
      <c r="L13" s="18"/>
      <c r="M13" s="18"/>
      <c r="N13" s="18"/>
      <c r="O13" s="18"/>
      <c r="P13" s="23" t="e">
        <f t="shared" si="6"/>
        <v>#DIV/0!</v>
      </c>
      <c r="Q13" s="23" t="e">
        <f t="shared" si="7"/>
        <v>#DIV/0!</v>
      </c>
      <c r="R13" s="10">
        <f t="shared" si="8"/>
        <v>0</v>
      </c>
      <c r="U13" s="238"/>
      <c r="V13" s="18"/>
      <c r="W13" s="18"/>
      <c r="X13" s="18"/>
      <c r="Y13" s="18"/>
      <c r="Z13" s="18"/>
      <c r="AA13" s="18"/>
      <c r="AB13" s="26" t="e">
        <f t="shared" si="9"/>
        <v>#DIV/0!</v>
      </c>
      <c r="AC13" s="23" t="e">
        <f t="shared" si="10"/>
        <v>#DIV/0!</v>
      </c>
      <c r="AD13" s="10">
        <f t="shared" si="11"/>
        <v>0</v>
      </c>
    </row>
    <row r="14" spans="1:30" ht="25.5">
      <c r="A14" s="238"/>
      <c r="G14" s="3">
        <v>20</v>
      </c>
      <c r="H14" s="10" t="s">
        <v>321</v>
      </c>
      <c r="I14" s="10">
        <v>0.22500000000000001</v>
      </c>
      <c r="J14" s="18"/>
      <c r="K14" s="18"/>
      <c r="L14" s="18"/>
      <c r="M14" s="18"/>
      <c r="N14" s="18"/>
      <c r="O14" s="18"/>
      <c r="P14" s="23" t="e">
        <f t="shared" si="6"/>
        <v>#DIV/0!</v>
      </c>
      <c r="Q14" s="23" t="e">
        <f t="shared" si="7"/>
        <v>#DIV/0!</v>
      </c>
      <c r="R14" s="10">
        <f t="shared" si="8"/>
        <v>0</v>
      </c>
      <c r="U14" s="238"/>
      <c r="V14" s="18"/>
      <c r="W14" s="18"/>
      <c r="X14" s="18"/>
      <c r="Y14" s="18"/>
      <c r="Z14" s="18"/>
      <c r="AA14" s="18"/>
      <c r="AB14" s="26" t="e">
        <f t="shared" si="9"/>
        <v>#DIV/0!</v>
      </c>
      <c r="AC14" s="23" t="e">
        <f t="shared" si="10"/>
        <v>#DIV/0!</v>
      </c>
      <c r="AD14" s="10">
        <f t="shared" si="11"/>
        <v>0</v>
      </c>
    </row>
    <row r="15" spans="1:30" ht="25.5">
      <c r="A15" s="238"/>
      <c r="G15" s="3">
        <v>40</v>
      </c>
      <c r="H15" s="10" t="s">
        <v>321</v>
      </c>
      <c r="I15" s="10">
        <v>0.22500000000000001</v>
      </c>
      <c r="J15" s="18"/>
      <c r="K15" s="18"/>
      <c r="L15" s="18"/>
      <c r="M15" s="18"/>
      <c r="N15" s="18"/>
      <c r="O15" s="18"/>
      <c r="P15" s="23" t="e">
        <f t="shared" si="6"/>
        <v>#DIV/0!</v>
      </c>
      <c r="Q15" s="23" t="e">
        <f t="shared" si="7"/>
        <v>#DIV/0!</v>
      </c>
      <c r="R15" s="10">
        <f t="shared" si="8"/>
        <v>0</v>
      </c>
      <c r="U15" s="238"/>
      <c r="V15" s="18"/>
      <c r="W15" s="18"/>
      <c r="X15" s="18"/>
      <c r="Y15" s="18"/>
      <c r="Z15" s="18"/>
      <c r="AA15" s="18"/>
      <c r="AB15" s="26" t="e">
        <f t="shared" si="9"/>
        <v>#DIV/0!</v>
      </c>
      <c r="AC15" s="23" t="e">
        <f t="shared" si="10"/>
        <v>#DIV/0!</v>
      </c>
      <c r="AD15" s="10">
        <f t="shared" si="11"/>
        <v>0</v>
      </c>
    </row>
    <row r="16" spans="1:30">
      <c r="A16" s="238"/>
      <c r="P16" s="4"/>
      <c r="U16" s="238"/>
    </row>
    <row r="17" spans="1:30" ht="38.25">
      <c r="A17" s="238"/>
      <c r="B17" s="3" t="s">
        <v>316</v>
      </c>
      <c r="C17" s="3" t="s">
        <v>323</v>
      </c>
      <c r="D17" s="11" t="s">
        <v>324</v>
      </c>
      <c r="E17" s="3" t="s">
        <v>319</v>
      </c>
      <c r="G17" s="3">
        <v>10</v>
      </c>
      <c r="H17" s="3" t="s">
        <v>365</v>
      </c>
      <c r="I17" s="3">
        <v>7.8</v>
      </c>
      <c r="P17" s="4" t="e">
        <f t="shared" ref="P17:P22" si="12">AVERAGE(J17:O17)</f>
        <v>#DIV/0!</v>
      </c>
      <c r="Q17" s="4" t="e">
        <f t="shared" ref="Q17:Q22" si="13">SQRT(VAR(J17:O17))</f>
        <v>#DIV/0!</v>
      </c>
      <c r="R17" s="3">
        <f t="shared" ref="R17:R22" si="14">COUNT(J17:O17)</f>
        <v>0</v>
      </c>
      <c r="U17" s="238"/>
      <c r="AB17" s="5" t="e">
        <f t="shared" ref="AB17:AB22" si="15">AVERAGE(V17:AA17)</f>
        <v>#DIV/0!</v>
      </c>
      <c r="AC17" s="4" t="e">
        <f t="shared" ref="AC17:AC22" si="16">SQRT(VAR(V17:AA17))</f>
        <v>#DIV/0!</v>
      </c>
      <c r="AD17" s="3">
        <f t="shared" ref="AD17:AD22" si="17">COUNT(V17:AA17)</f>
        <v>0</v>
      </c>
    </row>
    <row r="18" spans="1:30" ht="25.5">
      <c r="A18" s="238"/>
      <c r="D18" s="11"/>
      <c r="G18" s="3">
        <v>20</v>
      </c>
      <c r="H18" s="3" t="s">
        <v>365</v>
      </c>
      <c r="I18" s="3">
        <v>7.8</v>
      </c>
      <c r="P18" s="4" t="e">
        <f t="shared" si="12"/>
        <v>#DIV/0!</v>
      </c>
      <c r="Q18" s="4" t="e">
        <f t="shared" si="13"/>
        <v>#DIV/0!</v>
      </c>
      <c r="R18" s="3">
        <f t="shared" si="14"/>
        <v>0</v>
      </c>
      <c r="U18" s="238"/>
      <c r="AB18" s="5" t="e">
        <f t="shared" si="15"/>
        <v>#DIV/0!</v>
      </c>
      <c r="AC18" s="4" t="e">
        <f t="shared" si="16"/>
        <v>#DIV/0!</v>
      </c>
      <c r="AD18" s="3">
        <f t="shared" si="17"/>
        <v>0</v>
      </c>
    </row>
    <row r="19" spans="1:30" ht="25.5">
      <c r="A19" s="238"/>
      <c r="D19" s="11"/>
      <c r="G19" s="3">
        <v>40</v>
      </c>
      <c r="H19" s="3" t="s">
        <v>365</v>
      </c>
      <c r="I19" s="3">
        <v>7.8</v>
      </c>
      <c r="P19" s="4" t="e">
        <f t="shared" si="12"/>
        <v>#DIV/0!</v>
      </c>
      <c r="Q19" s="4" t="e">
        <f t="shared" si="13"/>
        <v>#DIV/0!</v>
      </c>
      <c r="R19" s="3">
        <f t="shared" si="14"/>
        <v>0</v>
      </c>
      <c r="U19" s="238"/>
      <c r="AB19" s="5" t="e">
        <f t="shared" si="15"/>
        <v>#DIV/0!</v>
      </c>
      <c r="AC19" s="4" t="e">
        <f t="shared" si="16"/>
        <v>#DIV/0!</v>
      </c>
      <c r="AD19" s="3">
        <f t="shared" si="17"/>
        <v>0</v>
      </c>
    </row>
    <row r="20" spans="1:30" ht="25.5">
      <c r="A20" s="238"/>
      <c r="G20" s="3">
        <v>10</v>
      </c>
      <c r="H20" s="10" t="s">
        <v>321</v>
      </c>
      <c r="I20" s="10">
        <v>0.22500000000000001</v>
      </c>
      <c r="J20" s="18"/>
      <c r="K20" s="18"/>
      <c r="L20" s="18"/>
      <c r="M20" s="18"/>
      <c r="N20" s="18"/>
      <c r="O20" s="18"/>
      <c r="P20" s="23" t="e">
        <f t="shared" si="12"/>
        <v>#DIV/0!</v>
      </c>
      <c r="Q20" s="23" t="e">
        <f t="shared" si="13"/>
        <v>#DIV/0!</v>
      </c>
      <c r="R20" s="10">
        <f t="shared" si="14"/>
        <v>0</v>
      </c>
      <c r="U20" s="238"/>
      <c r="V20" s="18"/>
      <c r="W20" s="18"/>
      <c r="X20" s="18"/>
      <c r="Y20" s="18"/>
      <c r="Z20" s="18"/>
      <c r="AA20" s="18"/>
      <c r="AB20" s="26" t="e">
        <f t="shared" si="15"/>
        <v>#DIV/0!</v>
      </c>
      <c r="AC20" s="23" t="e">
        <f t="shared" si="16"/>
        <v>#DIV/0!</v>
      </c>
      <c r="AD20" s="10">
        <f t="shared" si="17"/>
        <v>0</v>
      </c>
    </row>
    <row r="21" spans="1:30" ht="25.5">
      <c r="A21" s="238"/>
      <c r="G21" s="3">
        <v>20</v>
      </c>
      <c r="H21" s="10" t="s">
        <v>321</v>
      </c>
      <c r="I21" s="10">
        <v>0.22500000000000001</v>
      </c>
      <c r="J21" s="18"/>
      <c r="K21" s="18"/>
      <c r="L21" s="18"/>
      <c r="M21" s="18"/>
      <c r="N21" s="18"/>
      <c r="O21" s="18"/>
      <c r="P21" s="23" t="e">
        <f t="shared" si="12"/>
        <v>#DIV/0!</v>
      </c>
      <c r="Q21" s="23" t="e">
        <f t="shared" si="13"/>
        <v>#DIV/0!</v>
      </c>
      <c r="R21" s="10">
        <f t="shared" si="14"/>
        <v>0</v>
      </c>
      <c r="U21" s="238"/>
      <c r="V21" s="18"/>
      <c r="W21" s="18"/>
      <c r="X21" s="18"/>
      <c r="Y21" s="18"/>
      <c r="Z21" s="18"/>
      <c r="AA21" s="18"/>
      <c r="AB21" s="26" t="e">
        <f t="shared" si="15"/>
        <v>#DIV/0!</v>
      </c>
      <c r="AC21" s="23" t="e">
        <f t="shared" si="16"/>
        <v>#DIV/0!</v>
      </c>
      <c r="AD21" s="10">
        <f t="shared" si="17"/>
        <v>0</v>
      </c>
    </row>
    <row r="22" spans="1:30" ht="25.5">
      <c r="A22" s="238"/>
      <c r="G22" s="3">
        <v>40</v>
      </c>
      <c r="H22" s="10" t="s">
        <v>321</v>
      </c>
      <c r="I22" s="10">
        <v>0.22500000000000001</v>
      </c>
      <c r="J22" s="18"/>
      <c r="K22" s="18"/>
      <c r="L22" s="18"/>
      <c r="M22" s="18"/>
      <c r="N22" s="18"/>
      <c r="O22" s="18"/>
      <c r="P22" s="23" t="e">
        <f t="shared" si="12"/>
        <v>#DIV/0!</v>
      </c>
      <c r="Q22" s="23" t="e">
        <f t="shared" si="13"/>
        <v>#DIV/0!</v>
      </c>
      <c r="R22" s="10">
        <f t="shared" si="14"/>
        <v>0</v>
      </c>
      <c r="U22" s="238"/>
      <c r="V22" s="18"/>
      <c r="W22" s="18"/>
      <c r="X22" s="18"/>
      <c r="Y22" s="18"/>
      <c r="Z22" s="18"/>
      <c r="AA22" s="18"/>
      <c r="AB22" s="26" t="e">
        <f t="shared" si="15"/>
        <v>#DIV/0!</v>
      </c>
      <c r="AC22" s="23" t="e">
        <f t="shared" si="16"/>
        <v>#DIV/0!</v>
      </c>
      <c r="AD22" s="10">
        <f t="shared" si="17"/>
        <v>0</v>
      </c>
    </row>
    <row r="23" spans="1:30">
      <c r="A23" s="238"/>
      <c r="P23" s="4"/>
      <c r="U23" s="238"/>
    </row>
    <row r="24" spans="1:30" ht="38.25">
      <c r="A24" s="238"/>
      <c r="B24" s="3" t="s">
        <v>316</v>
      </c>
      <c r="C24" s="3" t="s">
        <v>325</v>
      </c>
      <c r="D24" s="11" t="s">
        <v>324</v>
      </c>
      <c r="E24" s="3" t="s">
        <v>319</v>
      </c>
      <c r="G24" s="3">
        <v>10</v>
      </c>
      <c r="H24" s="3" t="s">
        <v>365</v>
      </c>
      <c r="I24" s="3">
        <v>7.8</v>
      </c>
      <c r="K24" s="2">
        <v>13.74</v>
      </c>
      <c r="P24" s="4">
        <f t="shared" ref="P24:P29" si="18">AVERAGE(J24:O24)</f>
        <v>13.74</v>
      </c>
      <c r="Q24" s="4" t="e">
        <f t="shared" ref="Q24:Q29" si="19">SQRT(VAR(J24:O24))</f>
        <v>#DIV/0!</v>
      </c>
      <c r="R24" s="3">
        <f t="shared" ref="R24:R29" si="20">COUNT(J24:O24)</f>
        <v>1</v>
      </c>
      <c r="U24" s="238"/>
      <c r="W24" s="2">
        <v>13.48</v>
      </c>
      <c r="AB24" s="5">
        <f t="shared" ref="AB24:AB29" si="21">AVERAGE(V24:AA24)</f>
        <v>13.48</v>
      </c>
      <c r="AC24" s="4" t="e">
        <f t="shared" ref="AC24:AC29" si="22">SQRT(VAR(V24:AA24))</f>
        <v>#DIV/0!</v>
      </c>
      <c r="AD24" s="3">
        <f t="shared" ref="AD24:AD29" si="23">COUNT(V24:AA24)</f>
        <v>1</v>
      </c>
    </row>
    <row r="25" spans="1:30" ht="25.5">
      <c r="A25" s="238"/>
      <c r="D25" s="11"/>
      <c r="G25" s="3">
        <v>20</v>
      </c>
      <c r="H25" s="3" t="s">
        <v>365</v>
      </c>
      <c r="I25" s="3">
        <v>7.8</v>
      </c>
      <c r="K25" s="2">
        <f>K24*DL_OH!$W$8</f>
        <v>15.527780890445229</v>
      </c>
      <c r="P25" s="4">
        <f t="shared" si="18"/>
        <v>15.527780890445229</v>
      </c>
      <c r="Q25" s="4" t="e">
        <f t="shared" si="19"/>
        <v>#DIV/0!</v>
      </c>
      <c r="R25" s="3">
        <f t="shared" si="20"/>
        <v>1</v>
      </c>
      <c r="U25" s="238"/>
      <c r="W25" s="2">
        <f>W24*DL_OH!$W$8</f>
        <v>15.233950975487751</v>
      </c>
      <c r="AB25" s="5">
        <f t="shared" si="21"/>
        <v>15.233950975487751</v>
      </c>
      <c r="AC25" s="4" t="e">
        <f t="shared" si="22"/>
        <v>#DIV/0!</v>
      </c>
      <c r="AD25" s="3">
        <f t="shared" si="23"/>
        <v>1</v>
      </c>
    </row>
    <row r="26" spans="1:30" ht="25.5">
      <c r="A26" s="238"/>
      <c r="D26" s="11"/>
      <c r="G26" s="3">
        <v>40</v>
      </c>
      <c r="H26" s="3" t="s">
        <v>365</v>
      </c>
      <c r="I26" s="3">
        <v>7.8</v>
      </c>
      <c r="K26" s="2">
        <f>K24*DL_OH!$AA$8</f>
        <v>16.596256628314165</v>
      </c>
      <c r="P26" s="4">
        <f t="shared" si="18"/>
        <v>16.596256628314165</v>
      </c>
      <c r="Q26" s="4" t="e">
        <f t="shared" si="19"/>
        <v>#DIV/0!</v>
      </c>
      <c r="R26" s="3">
        <f t="shared" si="20"/>
        <v>1</v>
      </c>
      <c r="U26" s="238"/>
      <c r="W26" s="2">
        <f>W24*DL_OH!$AA$8</f>
        <v>16.282208104052032</v>
      </c>
      <c r="AB26" s="5">
        <f t="shared" si="21"/>
        <v>16.282208104052032</v>
      </c>
      <c r="AC26" s="4" t="e">
        <f t="shared" si="22"/>
        <v>#DIV/0!</v>
      </c>
      <c r="AD26" s="3">
        <f t="shared" si="23"/>
        <v>1</v>
      </c>
    </row>
    <row r="27" spans="1:30" ht="25.5">
      <c r="A27" s="238"/>
      <c r="G27" s="3">
        <v>10</v>
      </c>
      <c r="H27" s="10" t="s">
        <v>321</v>
      </c>
      <c r="I27" s="10">
        <v>0.22500000000000001</v>
      </c>
      <c r="J27" s="18"/>
      <c r="K27" s="18">
        <v>0.47499999999999998</v>
      </c>
      <c r="L27" s="18"/>
      <c r="M27" s="18"/>
      <c r="N27" s="18"/>
      <c r="O27" s="18"/>
      <c r="P27" s="23">
        <f t="shared" si="18"/>
        <v>0.47499999999999998</v>
      </c>
      <c r="Q27" s="23" t="e">
        <f t="shared" si="19"/>
        <v>#DIV/0!</v>
      </c>
      <c r="R27" s="10">
        <f t="shared" si="20"/>
        <v>1</v>
      </c>
      <c r="U27" s="238"/>
      <c r="V27" s="18"/>
      <c r="W27" s="18">
        <v>0.499</v>
      </c>
      <c r="X27" s="18"/>
      <c r="Y27" s="18"/>
      <c r="Z27" s="18"/>
      <c r="AA27" s="18"/>
      <c r="AB27" s="26">
        <f t="shared" si="21"/>
        <v>0.499</v>
      </c>
      <c r="AC27" s="23" t="e">
        <f t="shared" si="22"/>
        <v>#DIV/0!</v>
      </c>
      <c r="AD27" s="10">
        <f t="shared" si="23"/>
        <v>1</v>
      </c>
    </row>
    <row r="28" spans="1:30" ht="25.5">
      <c r="A28" s="238"/>
      <c r="G28" s="3">
        <v>20</v>
      </c>
      <c r="H28" s="10" t="s">
        <v>321</v>
      </c>
      <c r="I28" s="10">
        <v>0.22500000000000001</v>
      </c>
      <c r="J28" s="18"/>
      <c r="K28" s="18">
        <f>K27*DL_OH!$W$8</f>
        <v>0.53680465232616326</v>
      </c>
      <c r="L28" s="18"/>
      <c r="M28" s="18"/>
      <c r="N28" s="18"/>
      <c r="O28" s="18"/>
      <c r="P28" s="23">
        <f t="shared" si="18"/>
        <v>0.53680465232616326</v>
      </c>
      <c r="Q28" s="23" t="e">
        <f t="shared" si="19"/>
        <v>#DIV/0!</v>
      </c>
      <c r="R28" s="10">
        <f t="shared" si="20"/>
        <v>1</v>
      </c>
      <c r="U28" s="238"/>
      <c r="V28" s="18"/>
      <c r="W28" s="18">
        <f>W27*DL_OH!$W$8</f>
        <v>0.56392741370685362</v>
      </c>
      <c r="X28" s="18"/>
      <c r="Y28" s="18"/>
      <c r="Z28" s="18"/>
      <c r="AA28" s="18"/>
      <c r="AB28" s="26">
        <f t="shared" si="21"/>
        <v>0.56392741370685362</v>
      </c>
      <c r="AC28" s="23" t="e">
        <f t="shared" si="22"/>
        <v>#DIV/0!</v>
      </c>
      <c r="AD28" s="10">
        <f t="shared" si="23"/>
        <v>1</v>
      </c>
    </row>
    <row r="29" spans="1:30" ht="25.5">
      <c r="A29" s="238"/>
      <c r="G29" s="3">
        <v>40</v>
      </c>
      <c r="H29" s="10" t="s">
        <v>321</v>
      </c>
      <c r="I29" s="10">
        <v>0.22500000000000001</v>
      </c>
      <c r="J29" s="18"/>
      <c r="K29" s="18">
        <f>K27*DL_OH!$AA$8</f>
        <v>0.57374249624812423</v>
      </c>
      <c r="L29" s="18"/>
      <c r="M29" s="18"/>
      <c r="N29" s="18"/>
      <c r="O29" s="18"/>
      <c r="P29" s="23">
        <f t="shared" si="18"/>
        <v>0.57374249624812423</v>
      </c>
      <c r="Q29" s="23" t="e">
        <f t="shared" si="19"/>
        <v>#DIV/0!</v>
      </c>
      <c r="R29" s="10">
        <f t="shared" si="20"/>
        <v>1</v>
      </c>
      <c r="U29" s="238"/>
      <c r="V29" s="18"/>
      <c r="W29" s="18">
        <f>W27*DL_OH!$AA$8</f>
        <v>0.60273159079539795</v>
      </c>
      <c r="X29" s="18"/>
      <c r="Y29" s="18"/>
      <c r="Z29" s="18"/>
      <c r="AA29" s="18"/>
      <c r="AB29" s="26">
        <f t="shared" si="21"/>
        <v>0.60273159079539795</v>
      </c>
      <c r="AC29" s="23" t="e">
        <f t="shared" si="22"/>
        <v>#DIV/0!</v>
      </c>
      <c r="AD29" s="10">
        <f t="shared" si="23"/>
        <v>1</v>
      </c>
    </row>
    <row r="30" spans="1:30">
      <c r="A30" s="238"/>
      <c r="P30" s="4"/>
      <c r="U30" s="238"/>
    </row>
    <row r="31" spans="1:30" ht="43.5" customHeight="1">
      <c r="A31" s="238"/>
      <c r="B31" s="3" t="s">
        <v>316</v>
      </c>
      <c r="C31" s="3" t="s">
        <v>317</v>
      </c>
      <c r="D31" s="3" t="s">
        <v>326</v>
      </c>
      <c r="E31" s="3" t="s">
        <v>319</v>
      </c>
      <c r="G31" s="3">
        <v>10</v>
      </c>
      <c r="H31" s="3" t="s">
        <v>365</v>
      </c>
      <c r="I31" s="3">
        <v>7.8</v>
      </c>
      <c r="P31" s="4" t="e">
        <f t="shared" ref="P31:P36" si="24">AVERAGE(J31:O31)</f>
        <v>#DIV/0!</v>
      </c>
      <c r="Q31" s="4" t="e">
        <f t="shared" ref="Q31:Q36" si="25">SQRT(VAR(J31:O31))</f>
        <v>#DIV/0!</v>
      </c>
      <c r="R31" s="3">
        <f t="shared" ref="R31:R36" si="26">COUNT(J31:O31)</f>
        <v>0</v>
      </c>
      <c r="U31" s="238"/>
      <c r="AB31" s="5" t="e">
        <f t="shared" ref="AB31:AB36" si="27">AVERAGE(V31:AA31)</f>
        <v>#DIV/0!</v>
      </c>
      <c r="AC31" s="4" t="e">
        <f t="shared" ref="AC31:AC36" si="28">SQRT(VAR(V31:AA31))</f>
        <v>#DIV/0!</v>
      </c>
      <c r="AD31" s="3">
        <f t="shared" ref="AD31:AD36" si="29">COUNT(V31:AA31)</f>
        <v>0</v>
      </c>
    </row>
    <row r="32" spans="1:30" ht="43.5" customHeight="1">
      <c r="A32" s="238"/>
      <c r="G32" s="3">
        <v>20</v>
      </c>
      <c r="H32" s="3" t="s">
        <v>365</v>
      </c>
      <c r="I32" s="3">
        <v>7.8</v>
      </c>
      <c r="P32" s="4" t="e">
        <f t="shared" si="24"/>
        <v>#DIV/0!</v>
      </c>
      <c r="Q32" s="4" t="e">
        <f t="shared" si="25"/>
        <v>#DIV/0!</v>
      </c>
      <c r="R32" s="3">
        <f t="shared" si="26"/>
        <v>0</v>
      </c>
      <c r="U32" s="238"/>
      <c r="AB32" s="5" t="e">
        <f t="shared" si="27"/>
        <v>#DIV/0!</v>
      </c>
      <c r="AC32" s="4" t="e">
        <f t="shared" si="28"/>
        <v>#DIV/0!</v>
      </c>
      <c r="AD32" s="3">
        <f t="shared" si="29"/>
        <v>0</v>
      </c>
    </row>
    <row r="33" spans="1:30" ht="43.5" customHeight="1">
      <c r="A33" s="238"/>
      <c r="G33" s="3">
        <v>40</v>
      </c>
      <c r="H33" s="3" t="s">
        <v>365</v>
      </c>
      <c r="I33" s="3">
        <v>7.8</v>
      </c>
      <c r="P33" s="4" t="e">
        <f t="shared" si="24"/>
        <v>#DIV/0!</v>
      </c>
      <c r="Q33" s="4" t="e">
        <f t="shared" si="25"/>
        <v>#DIV/0!</v>
      </c>
      <c r="R33" s="3">
        <f t="shared" si="26"/>
        <v>0</v>
      </c>
      <c r="U33" s="238"/>
      <c r="AB33" s="5" t="e">
        <f t="shared" si="27"/>
        <v>#DIV/0!</v>
      </c>
      <c r="AC33" s="4" t="e">
        <f t="shared" si="28"/>
        <v>#DIV/0!</v>
      </c>
      <c r="AD33" s="3">
        <f t="shared" si="29"/>
        <v>0</v>
      </c>
    </row>
    <row r="34" spans="1:30" ht="25.5">
      <c r="A34" s="238"/>
      <c r="G34" s="3">
        <v>10</v>
      </c>
      <c r="H34" s="10" t="s">
        <v>321</v>
      </c>
      <c r="I34" s="10">
        <v>0.22500000000000001</v>
      </c>
      <c r="J34" s="18"/>
      <c r="K34" s="18"/>
      <c r="L34" s="18"/>
      <c r="M34" s="18"/>
      <c r="N34" s="18"/>
      <c r="O34" s="18"/>
      <c r="P34" s="23" t="e">
        <f t="shared" si="24"/>
        <v>#DIV/0!</v>
      </c>
      <c r="Q34" s="23" t="e">
        <f t="shared" si="25"/>
        <v>#DIV/0!</v>
      </c>
      <c r="R34" s="10">
        <f t="shared" si="26"/>
        <v>0</v>
      </c>
      <c r="U34" s="238"/>
      <c r="V34" s="18"/>
      <c r="W34" s="18"/>
      <c r="X34" s="18"/>
      <c r="Y34" s="18"/>
      <c r="Z34" s="18"/>
      <c r="AA34" s="18"/>
      <c r="AB34" s="26" t="e">
        <f t="shared" si="27"/>
        <v>#DIV/0!</v>
      </c>
      <c r="AC34" s="23" t="e">
        <f t="shared" si="28"/>
        <v>#DIV/0!</v>
      </c>
      <c r="AD34" s="10">
        <f t="shared" si="29"/>
        <v>0</v>
      </c>
    </row>
    <row r="35" spans="1:30" ht="25.5">
      <c r="A35" s="238"/>
      <c r="G35" s="3">
        <v>20</v>
      </c>
      <c r="H35" s="10" t="s">
        <v>321</v>
      </c>
      <c r="I35" s="10">
        <v>0.22500000000000001</v>
      </c>
      <c r="J35" s="18"/>
      <c r="K35" s="18"/>
      <c r="L35" s="18"/>
      <c r="M35" s="18"/>
      <c r="N35" s="18"/>
      <c r="O35" s="18"/>
      <c r="P35" s="23" t="e">
        <f t="shared" si="24"/>
        <v>#DIV/0!</v>
      </c>
      <c r="Q35" s="23" t="e">
        <f t="shared" si="25"/>
        <v>#DIV/0!</v>
      </c>
      <c r="R35" s="10">
        <f t="shared" si="26"/>
        <v>0</v>
      </c>
      <c r="U35" s="238"/>
      <c r="V35" s="18"/>
      <c r="W35" s="18"/>
      <c r="X35" s="18"/>
      <c r="Y35" s="18"/>
      <c r="Z35" s="18"/>
      <c r="AA35" s="18"/>
      <c r="AB35" s="26" t="e">
        <f t="shared" si="27"/>
        <v>#DIV/0!</v>
      </c>
      <c r="AC35" s="23" t="e">
        <f t="shared" si="28"/>
        <v>#DIV/0!</v>
      </c>
      <c r="AD35" s="10">
        <f t="shared" si="29"/>
        <v>0</v>
      </c>
    </row>
    <row r="36" spans="1:30" ht="25.5">
      <c r="A36" s="238"/>
      <c r="G36" s="3">
        <v>40</v>
      </c>
      <c r="H36" s="10" t="s">
        <v>321</v>
      </c>
      <c r="I36" s="10">
        <v>0.22500000000000001</v>
      </c>
      <c r="J36" s="18"/>
      <c r="K36" s="18"/>
      <c r="L36" s="18"/>
      <c r="M36" s="18"/>
      <c r="N36" s="18"/>
      <c r="O36" s="18"/>
      <c r="P36" s="23" t="e">
        <f t="shared" si="24"/>
        <v>#DIV/0!</v>
      </c>
      <c r="Q36" s="23" t="e">
        <f t="shared" si="25"/>
        <v>#DIV/0!</v>
      </c>
      <c r="R36" s="10">
        <f t="shared" si="26"/>
        <v>0</v>
      </c>
      <c r="U36" s="238"/>
      <c r="V36" s="18"/>
      <c r="W36" s="18"/>
      <c r="X36" s="18"/>
      <c r="Y36" s="18"/>
      <c r="Z36" s="18"/>
      <c r="AA36" s="18"/>
      <c r="AB36" s="26" t="e">
        <f t="shared" si="27"/>
        <v>#DIV/0!</v>
      </c>
      <c r="AC36" s="23" t="e">
        <f t="shared" si="28"/>
        <v>#DIV/0!</v>
      </c>
      <c r="AD36" s="10">
        <f t="shared" si="29"/>
        <v>0</v>
      </c>
    </row>
    <row r="37" spans="1:30">
      <c r="A37" s="238"/>
      <c r="P37" s="4"/>
      <c r="U37" s="238"/>
    </row>
    <row r="38" spans="1:30" ht="38.25">
      <c r="A38" s="238"/>
      <c r="B38" s="3" t="s">
        <v>316</v>
      </c>
      <c r="C38" s="3" t="s">
        <v>327</v>
      </c>
      <c r="D38" s="11" t="s">
        <v>328</v>
      </c>
      <c r="E38" s="3" t="s">
        <v>319</v>
      </c>
      <c r="G38" s="3">
        <v>10</v>
      </c>
      <c r="H38" s="3" t="s">
        <v>365</v>
      </c>
      <c r="I38" s="3">
        <v>7.8</v>
      </c>
      <c r="P38" s="4" t="e">
        <f t="shared" ref="P38:P43" si="30">AVERAGE(J38:O38)</f>
        <v>#DIV/0!</v>
      </c>
      <c r="Q38" s="4" t="e">
        <f t="shared" ref="Q38:Q43" si="31">SQRT(VAR(J38:O38))</f>
        <v>#DIV/0!</v>
      </c>
      <c r="R38" s="3">
        <f t="shared" ref="R38:R43" si="32">COUNT(J38:O38)</f>
        <v>0</v>
      </c>
      <c r="U38" s="238"/>
      <c r="AB38" s="5" t="e">
        <f t="shared" ref="AB38:AB43" si="33">AVERAGE(V38:AA38)</f>
        <v>#DIV/0!</v>
      </c>
      <c r="AC38" s="4" t="e">
        <f t="shared" ref="AC38:AC43" si="34">SQRT(VAR(V38:AA38))</f>
        <v>#DIV/0!</v>
      </c>
      <c r="AD38" s="3">
        <f t="shared" ref="AD38:AD43" si="35">COUNT(V38:AA38)</f>
        <v>0</v>
      </c>
    </row>
    <row r="39" spans="1:30" ht="25.5">
      <c r="A39" s="238"/>
      <c r="D39" s="11"/>
      <c r="G39" s="3">
        <v>20</v>
      </c>
      <c r="H39" s="3" t="s">
        <v>365</v>
      </c>
      <c r="I39" s="3">
        <v>7.8</v>
      </c>
      <c r="P39" s="4" t="e">
        <f t="shared" si="30"/>
        <v>#DIV/0!</v>
      </c>
      <c r="Q39" s="4" t="e">
        <f t="shared" si="31"/>
        <v>#DIV/0!</v>
      </c>
      <c r="R39" s="3">
        <f t="shared" si="32"/>
        <v>0</v>
      </c>
      <c r="U39" s="238"/>
      <c r="AB39" s="5" t="e">
        <f t="shared" si="33"/>
        <v>#DIV/0!</v>
      </c>
      <c r="AC39" s="4" t="e">
        <f t="shared" si="34"/>
        <v>#DIV/0!</v>
      </c>
      <c r="AD39" s="3">
        <f t="shared" si="35"/>
        <v>0</v>
      </c>
    </row>
    <row r="40" spans="1:30" ht="25.5">
      <c r="A40" s="238"/>
      <c r="D40" s="11"/>
      <c r="G40" s="3">
        <v>40</v>
      </c>
      <c r="H40" s="3" t="s">
        <v>365</v>
      </c>
      <c r="I40" s="3">
        <v>7.8</v>
      </c>
      <c r="P40" s="4" t="e">
        <f t="shared" si="30"/>
        <v>#DIV/0!</v>
      </c>
      <c r="Q40" s="4" t="e">
        <f t="shared" si="31"/>
        <v>#DIV/0!</v>
      </c>
      <c r="R40" s="3">
        <f t="shared" si="32"/>
        <v>0</v>
      </c>
      <c r="U40" s="238"/>
      <c r="AB40" s="5" t="e">
        <f t="shared" si="33"/>
        <v>#DIV/0!</v>
      </c>
      <c r="AC40" s="4" t="e">
        <f t="shared" si="34"/>
        <v>#DIV/0!</v>
      </c>
      <c r="AD40" s="3">
        <f t="shared" si="35"/>
        <v>0</v>
      </c>
    </row>
    <row r="41" spans="1:30" ht="25.5">
      <c r="A41" s="238"/>
      <c r="G41" s="3">
        <v>10</v>
      </c>
      <c r="H41" s="10" t="s">
        <v>321</v>
      </c>
      <c r="I41" s="10">
        <v>0.22500000000000001</v>
      </c>
      <c r="J41" s="18"/>
      <c r="K41" s="18"/>
      <c r="L41" s="18"/>
      <c r="M41" s="18"/>
      <c r="N41" s="18"/>
      <c r="O41" s="18"/>
      <c r="P41" s="23" t="e">
        <f t="shared" si="30"/>
        <v>#DIV/0!</v>
      </c>
      <c r="Q41" s="23" t="e">
        <f t="shared" si="31"/>
        <v>#DIV/0!</v>
      </c>
      <c r="R41" s="10">
        <f t="shared" si="32"/>
        <v>0</v>
      </c>
      <c r="U41" s="238"/>
      <c r="V41" s="18"/>
      <c r="W41" s="18"/>
      <c r="X41" s="18"/>
      <c r="Y41" s="18"/>
      <c r="Z41" s="18"/>
      <c r="AA41" s="18"/>
      <c r="AB41" s="26" t="e">
        <f t="shared" si="33"/>
        <v>#DIV/0!</v>
      </c>
      <c r="AC41" s="23" t="e">
        <f t="shared" si="34"/>
        <v>#DIV/0!</v>
      </c>
      <c r="AD41" s="10">
        <f t="shared" si="35"/>
        <v>0</v>
      </c>
    </row>
    <row r="42" spans="1:30" ht="25.5">
      <c r="A42" s="238"/>
      <c r="G42" s="3">
        <v>20</v>
      </c>
      <c r="H42" s="10" t="s">
        <v>321</v>
      </c>
      <c r="I42" s="10">
        <v>0.22500000000000001</v>
      </c>
      <c r="J42" s="18"/>
      <c r="K42" s="18"/>
      <c r="L42" s="18"/>
      <c r="M42" s="18"/>
      <c r="N42" s="18"/>
      <c r="O42" s="18"/>
      <c r="P42" s="23" t="e">
        <f t="shared" si="30"/>
        <v>#DIV/0!</v>
      </c>
      <c r="Q42" s="23" t="e">
        <f t="shared" si="31"/>
        <v>#DIV/0!</v>
      </c>
      <c r="R42" s="10">
        <f t="shared" si="32"/>
        <v>0</v>
      </c>
      <c r="U42" s="238"/>
      <c r="V42" s="18"/>
      <c r="W42" s="18"/>
      <c r="X42" s="18"/>
      <c r="Y42" s="18"/>
      <c r="Z42" s="18"/>
      <c r="AA42" s="18"/>
      <c r="AB42" s="26" t="e">
        <f t="shared" si="33"/>
        <v>#DIV/0!</v>
      </c>
      <c r="AC42" s="23" t="e">
        <f t="shared" si="34"/>
        <v>#DIV/0!</v>
      </c>
      <c r="AD42" s="10">
        <f t="shared" si="35"/>
        <v>0</v>
      </c>
    </row>
    <row r="43" spans="1:30" ht="25.5">
      <c r="A43" s="238"/>
      <c r="G43" s="3">
        <v>40</v>
      </c>
      <c r="H43" s="10" t="s">
        <v>321</v>
      </c>
      <c r="I43" s="10">
        <v>0.22500000000000001</v>
      </c>
      <c r="J43" s="18"/>
      <c r="K43" s="18"/>
      <c r="L43" s="18"/>
      <c r="M43" s="18"/>
      <c r="N43" s="18"/>
      <c r="O43" s="18"/>
      <c r="P43" s="23" t="e">
        <f t="shared" si="30"/>
        <v>#DIV/0!</v>
      </c>
      <c r="Q43" s="23" t="e">
        <f t="shared" si="31"/>
        <v>#DIV/0!</v>
      </c>
      <c r="R43" s="10">
        <f t="shared" si="32"/>
        <v>0</v>
      </c>
      <c r="U43" s="238"/>
      <c r="V43" s="18"/>
      <c r="W43" s="18"/>
      <c r="X43" s="18"/>
      <c r="Y43" s="18"/>
      <c r="Z43" s="18"/>
      <c r="AA43" s="18"/>
      <c r="AB43" s="26" t="e">
        <f t="shared" si="33"/>
        <v>#DIV/0!</v>
      </c>
      <c r="AC43" s="23" t="e">
        <f t="shared" si="34"/>
        <v>#DIV/0!</v>
      </c>
      <c r="AD43" s="10">
        <f t="shared" si="35"/>
        <v>0</v>
      </c>
    </row>
    <row r="44" spans="1:30">
      <c r="A44" s="238"/>
      <c r="H44" s="12"/>
      <c r="I44" s="12"/>
      <c r="P44" s="4"/>
      <c r="U44" s="238"/>
    </row>
    <row r="45" spans="1:30" ht="25.5">
      <c r="A45" s="238"/>
      <c r="B45" s="3" t="s">
        <v>316</v>
      </c>
      <c r="C45" s="3" t="s">
        <v>329</v>
      </c>
      <c r="D45" s="11" t="s">
        <v>330</v>
      </c>
      <c r="E45" s="3" t="s">
        <v>319</v>
      </c>
      <c r="G45" s="3">
        <v>10</v>
      </c>
      <c r="H45" s="3" t="s">
        <v>365</v>
      </c>
      <c r="I45" s="3">
        <v>7.8</v>
      </c>
      <c r="J45" s="20"/>
      <c r="K45" s="20"/>
      <c r="L45" s="20"/>
      <c r="M45" s="20"/>
      <c r="N45" s="20"/>
      <c r="O45" s="20"/>
      <c r="P45" s="4" t="e">
        <f t="shared" ref="P45:P50" si="36">AVERAGE(J45:O45)</f>
        <v>#DIV/0!</v>
      </c>
      <c r="Q45" s="4" t="e">
        <f t="shared" ref="Q45:Q50" si="37">SQRT(VAR(J45:O45))</f>
        <v>#DIV/0!</v>
      </c>
      <c r="R45" s="3">
        <f t="shared" ref="R45:R50" si="38">COUNT(J45:O45)</f>
        <v>0</v>
      </c>
      <c r="U45" s="238"/>
      <c r="AB45" s="5" t="e">
        <f t="shared" ref="AB45:AB50" si="39">AVERAGE(V45:AA45)</f>
        <v>#DIV/0!</v>
      </c>
      <c r="AC45" s="4" t="e">
        <f t="shared" ref="AC45:AC50" si="40">SQRT(VAR(V45:AA45))</f>
        <v>#DIV/0!</v>
      </c>
      <c r="AD45" s="3">
        <f t="shared" ref="AD45:AD50" si="41">COUNT(V45:AA45)</f>
        <v>0</v>
      </c>
    </row>
    <row r="46" spans="1:30" ht="25.5">
      <c r="A46" s="238"/>
      <c r="D46" s="11"/>
      <c r="G46" s="3">
        <v>20</v>
      </c>
      <c r="H46" s="3" t="s">
        <v>365</v>
      </c>
      <c r="I46" s="3">
        <v>7.8</v>
      </c>
      <c r="J46" s="20"/>
      <c r="K46" s="20"/>
      <c r="L46" s="20"/>
      <c r="M46" s="20"/>
      <c r="N46" s="20"/>
      <c r="O46" s="20"/>
      <c r="P46" s="4" t="e">
        <f t="shared" si="36"/>
        <v>#DIV/0!</v>
      </c>
      <c r="Q46" s="4" t="e">
        <f t="shared" si="37"/>
        <v>#DIV/0!</v>
      </c>
      <c r="R46" s="3">
        <f t="shared" si="38"/>
        <v>0</v>
      </c>
      <c r="U46" s="238"/>
      <c r="AB46" s="5" t="e">
        <f t="shared" si="39"/>
        <v>#DIV/0!</v>
      </c>
      <c r="AC46" s="4" t="e">
        <f t="shared" si="40"/>
        <v>#DIV/0!</v>
      </c>
      <c r="AD46" s="3">
        <f t="shared" si="41"/>
        <v>0</v>
      </c>
    </row>
    <row r="47" spans="1:30" ht="25.5">
      <c r="A47" s="238"/>
      <c r="D47" s="11"/>
      <c r="G47" s="3">
        <v>40</v>
      </c>
      <c r="H47" s="3" t="s">
        <v>365</v>
      </c>
      <c r="I47" s="3">
        <v>7.8</v>
      </c>
      <c r="J47" s="20"/>
      <c r="K47" s="20"/>
      <c r="L47" s="20"/>
      <c r="M47" s="20"/>
      <c r="N47" s="20"/>
      <c r="O47" s="20"/>
      <c r="P47" s="4" t="e">
        <f t="shared" si="36"/>
        <v>#DIV/0!</v>
      </c>
      <c r="Q47" s="4" t="e">
        <f t="shared" si="37"/>
        <v>#DIV/0!</v>
      </c>
      <c r="R47" s="3">
        <f t="shared" si="38"/>
        <v>0</v>
      </c>
      <c r="U47" s="238"/>
      <c r="AB47" s="5" t="e">
        <f t="shared" si="39"/>
        <v>#DIV/0!</v>
      </c>
      <c r="AC47" s="4" t="e">
        <f t="shared" si="40"/>
        <v>#DIV/0!</v>
      </c>
      <c r="AD47" s="3">
        <f t="shared" si="41"/>
        <v>0</v>
      </c>
    </row>
    <row r="48" spans="1:30" ht="25.5">
      <c r="A48" s="238"/>
      <c r="G48" s="3">
        <v>10</v>
      </c>
      <c r="H48" s="10" t="s">
        <v>321</v>
      </c>
      <c r="I48" s="10">
        <v>0.22500000000000001</v>
      </c>
      <c r="J48" s="18"/>
      <c r="K48" s="18"/>
      <c r="L48" s="18"/>
      <c r="M48" s="18"/>
      <c r="N48" s="18"/>
      <c r="O48" s="18"/>
      <c r="P48" s="23" t="e">
        <f t="shared" si="36"/>
        <v>#DIV/0!</v>
      </c>
      <c r="Q48" s="23" t="e">
        <f t="shared" si="37"/>
        <v>#DIV/0!</v>
      </c>
      <c r="R48" s="10">
        <f t="shared" si="38"/>
        <v>0</v>
      </c>
      <c r="U48" s="238"/>
      <c r="V48" s="18"/>
      <c r="W48" s="18"/>
      <c r="X48" s="18"/>
      <c r="Y48" s="18"/>
      <c r="Z48" s="18"/>
      <c r="AA48" s="27"/>
      <c r="AB48" s="26" t="e">
        <f t="shared" si="39"/>
        <v>#DIV/0!</v>
      </c>
      <c r="AC48" s="23" t="e">
        <f t="shared" si="40"/>
        <v>#DIV/0!</v>
      </c>
      <c r="AD48" s="10">
        <f t="shared" si="41"/>
        <v>0</v>
      </c>
    </row>
    <row r="49" spans="1:30" ht="25.5">
      <c r="A49" s="238"/>
      <c r="G49" s="3">
        <v>20</v>
      </c>
      <c r="H49" s="10" t="s">
        <v>321</v>
      </c>
      <c r="I49" s="10">
        <v>0.22500000000000001</v>
      </c>
      <c r="J49" s="18"/>
      <c r="K49" s="18"/>
      <c r="L49" s="18"/>
      <c r="M49" s="18"/>
      <c r="N49" s="18"/>
      <c r="O49" s="18"/>
      <c r="P49" s="23" t="e">
        <f t="shared" si="36"/>
        <v>#DIV/0!</v>
      </c>
      <c r="Q49" s="23" t="e">
        <f t="shared" si="37"/>
        <v>#DIV/0!</v>
      </c>
      <c r="R49" s="10">
        <f t="shared" si="38"/>
        <v>0</v>
      </c>
      <c r="U49" s="238"/>
      <c r="V49" s="18"/>
      <c r="W49" s="18"/>
      <c r="X49" s="18"/>
      <c r="Y49" s="18"/>
      <c r="Z49" s="18"/>
      <c r="AA49" s="27"/>
      <c r="AB49" s="26" t="e">
        <f t="shared" si="39"/>
        <v>#DIV/0!</v>
      </c>
      <c r="AC49" s="23" t="e">
        <f t="shared" si="40"/>
        <v>#DIV/0!</v>
      </c>
      <c r="AD49" s="10">
        <f t="shared" si="41"/>
        <v>0</v>
      </c>
    </row>
    <row r="50" spans="1:30" ht="25.5">
      <c r="A50" s="238"/>
      <c r="G50" s="3">
        <v>40</v>
      </c>
      <c r="H50" s="10" t="s">
        <v>321</v>
      </c>
      <c r="I50" s="10">
        <v>0.22500000000000001</v>
      </c>
      <c r="J50" s="18"/>
      <c r="K50" s="18"/>
      <c r="L50" s="18"/>
      <c r="M50" s="18"/>
      <c r="N50" s="18"/>
      <c r="O50" s="18"/>
      <c r="P50" s="23" t="e">
        <f t="shared" si="36"/>
        <v>#DIV/0!</v>
      </c>
      <c r="Q50" s="23" t="e">
        <f t="shared" si="37"/>
        <v>#DIV/0!</v>
      </c>
      <c r="R50" s="10">
        <f t="shared" si="38"/>
        <v>0</v>
      </c>
      <c r="U50" s="238"/>
      <c r="V50" s="18"/>
      <c r="W50" s="18"/>
      <c r="X50" s="18"/>
      <c r="Y50" s="18"/>
      <c r="Z50" s="18"/>
      <c r="AA50" s="27"/>
      <c r="AB50" s="26" t="e">
        <f t="shared" si="39"/>
        <v>#DIV/0!</v>
      </c>
      <c r="AC50" s="23" t="e">
        <f t="shared" si="40"/>
        <v>#DIV/0!</v>
      </c>
      <c r="AD50" s="10">
        <f t="shared" si="41"/>
        <v>0</v>
      </c>
    </row>
    <row r="51" spans="1:30">
      <c r="A51" s="238"/>
      <c r="P51" s="4"/>
      <c r="U51" s="238"/>
    </row>
    <row r="52" spans="1:30" ht="38.25">
      <c r="A52" s="238"/>
      <c r="B52" s="3" t="s">
        <v>316</v>
      </c>
      <c r="C52" s="3" t="s">
        <v>325</v>
      </c>
      <c r="D52" s="3" t="s">
        <v>331</v>
      </c>
      <c r="E52" s="3" t="s">
        <v>319</v>
      </c>
      <c r="G52" s="3">
        <v>10</v>
      </c>
      <c r="H52" s="3" t="s">
        <v>365</v>
      </c>
      <c r="I52" s="3">
        <v>7.8</v>
      </c>
      <c r="P52" s="4" t="e">
        <f t="shared" ref="P52:P57" si="42">AVERAGE(J52:O52)</f>
        <v>#DIV/0!</v>
      </c>
      <c r="Q52" s="4" t="e">
        <f t="shared" ref="Q52:Q57" si="43">SQRT(VAR(J52:O52))</f>
        <v>#DIV/0!</v>
      </c>
      <c r="R52" s="3">
        <f t="shared" ref="R52:R57" si="44">COUNT(J52:O52)</f>
        <v>0</v>
      </c>
      <c r="U52" s="238"/>
      <c r="AB52" s="5" t="e">
        <f t="shared" ref="AB52:AB57" si="45">AVERAGE(V52:AA52)</f>
        <v>#DIV/0!</v>
      </c>
      <c r="AC52" s="4" t="e">
        <f t="shared" ref="AC52:AC57" si="46">SQRT(VAR(V52:AA52))</f>
        <v>#DIV/0!</v>
      </c>
      <c r="AD52" s="3">
        <f t="shared" ref="AD52:AD57" si="47">COUNT(V52:AA52)</f>
        <v>0</v>
      </c>
    </row>
    <row r="53" spans="1:30" ht="25.5">
      <c r="A53" s="238"/>
      <c r="G53" s="3">
        <v>20</v>
      </c>
      <c r="H53" s="3" t="s">
        <v>365</v>
      </c>
      <c r="I53" s="3">
        <v>7.8</v>
      </c>
      <c r="P53" s="4" t="e">
        <f t="shared" si="42"/>
        <v>#DIV/0!</v>
      </c>
      <c r="Q53" s="4" t="e">
        <f t="shared" si="43"/>
        <v>#DIV/0!</v>
      </c>
      <c r="R53" s="3">
        <f t="shared" si="44"/>
        <v>0</v>
      </c>
      <c r="U53" s="238"/>
      <c r="AB53" s="5" t="e">
        <f t="shared" si="45"/>
        <v>#DIV/0!</v>
      </c>
      <c r="AC53" s="4" t="e">
        <f t="shared" si="46"/>
        <v>#DIV/0!</v>
      </c>
      <c r="AD53" s="3">
        <f t="shared" si="47"/>
        <v>0</v>
      </c>
    </row>
    <row r="54" spans="1:30" ht="25.5">
      <c r="A54" s="238"/>
      <c r="G54" s="3">
        <v>40</v>
      </c>
      <c r="H54" s="3" t="s">
        <v>365</v>
      </c>
      <c r="I54" s="3">
        <v>7.8</v>
      </c>
      <c r="P54" s="4" t="e">
        <f t="shared" si="42"/>
        <v>#DIV/0!</v>
      </c>
      <c r="Q54" s="4" t="e">
        <f t="shared" si="43"/>
        <v>#DIV/0!</v>
      </c>
      <c r="R54" s="3">
        <f t="shared" si="44"/>
        <v>0</v>
      </c>
      <c r="U54" s="238"/>
      <c r="AB54" s="5" t="e">
        <f t="shared" si="45"/>
        <v>#DIV/0!</v>
      </c>
      <c r="AC54" s="4" t="e">
        <f t="shared" si="46"/>
        <v>#DIV/0!</v>
      </c>
      <c r="AD54" s="3">
        <f t="shared" si="47"/>
        <v>0</v>
      </c>
    </row>
    <row r="55" spans="1:30" ht="25.5">
      <c r="A55" s="238"/>
      <c r="G55" s="3">
        <v>10</v>
      </c>
      <c r="H55" s="10" t="s">
        <v>321</v>
      </c>
      <c r="I55" s="10">
        <v>0.22500000000000001</v>
      </c>
      <c r="J55" s="18"/>
      <c r="K55" s="18"/>
      <c r="L55" s="18"/>
      <c r="M55" s="18"/>
      <c r="N55" s="18"/>
      <c r="O55" s="18"/>
      <c r="P55" s="23" t="e">
        <f t="shared" si="42"/>
        <v>#DIV/0!</v>
      </c>
      <c r="Q55" s="23" t="e">
        <f t="shared" si="43"/>
        <v>#DIV/0!</v>
      </c>
      <c r="R55" s="10">
        <f t="shared" si="44"/>
        <v>0</v>
      </c>
      <c r="U55" s="238"/>
      <c r="V55" s="18"/>
      <c r="W55" s="18"/>
      <c r="X55" s="18"/>
      <c r="Y55" s="18"/>
      <c r="Z55" s="18"/>
      <c r="AA55" s="18"/>
      <c r="AB55" s="26" t="e">
        <f t="shared" si="45"/>
        <v>#DIV/0!</v>
      </c>
      <c r="AC55" s="23" t="e">
        <f t="shared" si="46"/>
        <v>#DIV/0!</v>
      </c>
      <c r="AD55" s="10">
        <f t="shared" si="47"/>
        <v>0</v>
      </c>
    </row>
    <row r="56" spans="1:30" ht="25.5">
      <c r="A56" s="238"/>
      <c r="G56" s="3">
        <v>20</v>
      </c>
      <c r="H56" s="10" t="s">
        <v>321</v>
      </c>
      <c r="I56" s="10">
        <v>0.22500000000000001</v>
      </c>
      <c r="J56" s="18"/>
      <c r="K56" s="18"/>
      <c r="L56" s="18"/>
      <c r="M56" s="18"/>
      <c r="N56" s="18"/>
      <c r="O56" s="18"/>
      <c r="P56" s="23" t="e">
        <f t="shared" si="42"/>
        <v>#DIV/0!</v>
      </c>
      <c r="Q56" s="23" t="e">
        <f t="shared" si="43"/>
        <v>#DIV/0!</v>
      </c>
      <c r="R56" s="10">
        <f t="shared" si="44"/>
        <v>0</v>
      </c>
      <c r="U56" s="238"/>
      <c r="V56" s="18"/>
      <c r="W56" s="18"/>
      <c r="X56" s="18"/>
      <c r="Y56" s="18"/>
      <c r="Z56" s="18"/>
      <c r="AA56" s="18"/>
      <c r="AB56" s="26" t="e">
        <f t="shared" si="45"/>
        <v>#DIV/0!</v>
      </c>
      <c r="AC56" s="23" t="e">
        <f t="shared" si="46"/>
        <v>#DIV/0!</v>
      </c>
      <c r="AD56" s="10">
        <f t="shared" si="47"/>
        <v>0</v>
      </c>
    </row>
    <row r="57" spans="1:30" ht="25.5">
      <c r="A57" s="238"/>
      <c r="G57" s="3">
        <v>40</v>
      </c>
      <c r="H57" s="10" t="s">
        <v>321</v>
      </c>
      <c r="I57" s="10">
        <v>0.22500000000000001</v>
      </c>
      <c r="J57" s="18"/>
      <c r="K57" s="18"/>
      <c r="L57" s="18"/>
      <c r="M57" s="18"/>
      <c r="N57" s="18"/>
      <c r="O57" s="18"/>
      <c r="P57" s="23" t="e">
        <f t="shared" si="42"/>
        <v>#DIV/0!</v>
      </c>
      <c r="Q57" s="23" t="e">
        <f t="shared" si="43"/>
        <v>#DIV/0!</v>
      </c>
      <c r="R57" s="10">
        <f t="shared" si="44"/>
        <v>0</v>
      </c>
      <c r="U57" s="238"/>
      <c r="V57" s="18"/>
      <c r="W57" s="18"/>
      <c r="X57" s="18"/>
      <c r="Y57" s="18"/>
      <c r="Z57" s="18"/>
      <c r="AA57" s="18"/>
      <c r="AB57" s="26" t="e">
        <f t="shared" si="45"/>
        <v>#DIV/0!</v>
      </c>
      <c r="AC57" s="23" t="e">
        <f t="shared" si="46"/>
        <v>#DIV/0!</v>
      </c>
      <c r="AD57" s="10">
        <f t="shared" si="47"/>
        <v>0</v>
      </c>
    </row>
    <row r="58" spans="1:30">
      <c r="A58" s="238"/>
      <c r="P58" s="4"/>
      <c r="U58" s="238"/>
    </row>
    <row r="59" spans="1:30">
      <c r="A59" s="238"/>
      <c r="P59" s="4"/>
      <c r="U59" s="238"/>
    </row>
    <row r="60" spans="1:30">
      <c r="A60" s="238"/>
      <c r="B60" s="8" t="s">
        <v>51</v>
      </c>
      <c r="C60" s="8"/>
      <c r="D60" s="8"/>
      <c r="E60" s="8"/>
      <c r="F60" s="8"/>
      <c r="G60" s="8"/>
      <c r="H60" s="13"/>
      <c r="I60" s="13"/>
      <c r="J60" s="16"/>
      <c r="K60" s="16"/>
      <c r="L60" s="16"/>
      <c r="M60" s="16"/>
      <c r="N60" s="16"/>
      <c r="O60" s="16"/>
      <c r="P60" s="22"/>
      <c r="Q60" s="22"/>
      <c r="R60" s="13"/>
      <c r="U60" s="238"/>
      <c r="V60" s="16"/>
      <c r="W60" s="16"/>
      <c r="X60" s="16"/>
      <c r="Y60" s="16"/>
      <c r="Z60" s="16"/>
      <c r="AA60" s="16"/>
      <c r="AB60" s="25"/>
      <c r="AC60" s="22"/>
      <c r="AD60" s="13"/>
    </row>
    <row r="61" spans="1:30" ht="43.5" customHeight="1">
      <c r="A61" s="238"/>
      <c r="B61" s="3" t="s">
        <v>316</v>
      </c>
      <c r="C61" s="3" t="s">
        <v>317</v>
      </c>
      <c r="D61" s="3" t="s">
        <v>332</v>
      </c>
      <c r="E61" s="3" t="s">
        <v>333</v>
      </c>
      <c r="F61" s="3" t="s">
        <v>75</v>
      </c>
      <c r="G61" s="3">
        <v>20</v>
      </c>
      <c r="H61" s="3" t="s">
        <v>320</v>
      </c>
      <c r="I61" s="3">
        <v>7.8</v>
      </c>
      <c r="J61" s="2">
        <f>12.8*DL_OH!S37</f>
        <v>13.041509433962261</v>
      </c>
      <c r="L61" s="2">
        <f>13.4981*DL_OH!S41</f>
        <v>13.508647485596981</v>
      </c>
      <c r="P61" s="4">
        <f t="shared" ref="P61:P66" si="48">AVERAGE(J61:O61)</f>
        <v>13.275078459779621</v>
      </c>
      <c r="Q61" s="4">
        <f t="shared" ref="Q61:Q66" si="49">SQRT(VAR(J61:O61))</f>
        <v>0.33031648406118203</v>
      </c>
      <c r="R61" s="3">
        <f t="shared" ref="R61:R66" si="50">COUNT(J61:O61)</f>
        <v>2</v>
      </c>
      <c r="U61" s="238"/>
      <c r="V61" s="2">
        <f>12.581*DL_OH!S37</f>
        <v>12.818377358490563</v>
      </c>
      <c r="AA61" s="2">
        <f>13.25*DL_OH!S39</f>
        <v>13.000000000000002</v>
      </c>
      <c r="AB61" s="5">
        <f t="shared" ref="AB61:AB66" si="51">AVERAGE(V61:AA61)</f>
        <v>12.909188679245283</v>
      </c>
      <c r="AC61" s="4">
        <f t="shared" ref="AC61:AC66" si="52">SQRT(VAR(V61:AA61))</f>
        <v>0.12842660142833723</v>
      </c>
      <c r="AD61" s="3">
        <f t="shared" ref="AD61:AD66" si="53">COUNT(V61:AA61)</f>
        <v>2</v>
      </c>
    </row>
    <row r="62" spans="1:30" ht="43.5" customHeight="1">
      <c r="A62" s="238"/>
      <c r="G62" s="3">
        <v>40</v>
      </c>
      <c r="H62" s="3" t="s">
        <v>320</v>
      </c>
      <c r="I62" s="3">
        <v>7.8</v>
      </c>
      <c r="J62" s="2">
        <f>J61*DL_OH!$W$37</f>
        <v>15.185798471027148</v>
      </c>
      <c r="L62" s="2">
        <f>L61*DL_OH!$W$41</f>
        <v>15.662633030925102</v>
      </c>
      <c r="P62" s="4">
        <f t="shared" si="48"/>
        <v>15.424215750976124</v>
      </c>
      <c r="Q62" s="4">
        <f t="shared" si="49"/>
        <v>0.33717295080794624</v>
      </c>
      <c r="R62" s="3">
        <f t="shared" si="50"/>
        <v>2</v>
      </c>
      <c r="U62" s="238"/>
      <c r="V62" s="2">
        <f>V61*DL_OH!$W$37</f>
        <v>14.925978950311919</v>
      </c>
      <c r="AA62" s="2">
        <f>AA61*DL_OH!$W$39</f>
        <v>15.183162180207002</v>
      </c>
      <c r="AB62" s="5">
        <f t="shared" si="51"/>
        <v>15.054570565259461</v>
      </c>
      <c r="AC62" s="4">
        <f t="shared" si="52"/>
        <v>0.18185600586627257</v>
      </c>
      <c r="AD62" s="3">
        <f t="shared" si="53"/>
        <v>2</v>
      </c>
    </row>
    <row r="63" spans="1:30" ht="43.5" customHeight="1">
      <c r="A63" s="238"/>
      <c r="G63" s="3">
        <v>100</v>
      </c>
      <c r="H63" s="3" t="s">
        <v>320</v>
      </c>
      <c r="I63" s="3">
        <v>7.8</v>
      </c>
      <c r="J63" s="2">
        <f>J61*DL_OH!$AA$37</f>
        <v>16.646592149363922</v>
      </c>
      <c r="L63" s="2">
        <f>L61*DL_OH!$AA$41</f>
        <v>17.132528580623802</v>
      </c>
      <c r="P63" s="4">
        <f t="shared" si="48"/>
        <v>16.889560364993862</v>
      </c>
      <c r="Q63" s="4">
        <f t="shared" si="49"/>
        <v>0.34360894576945172</v>
      </c>
      <c r="R63" s="3">
        <f t="shared" si="50"/>
        <v>2</v>
      </c>
      <c r="U63" s="238"/>
      <c r="V63" s="2">
        <f>V61*DL_OH!$AA$37</f>
        <v>16.361779361808399</v>
      </c>
      <c r="AA63" s="2">
        <f>AA61*DL_OH!$AA$39</f>
        <v>16.668738410018893</v>
      </c>
      <c r="AB63" s="5">
        <f t="shared" si="51"/>
        <v>16.515258885913646</v>
      </c>
      <c r="AC63" s="4">
        <f t="shared" si="52"/>
        <v>0.21705282453620886</v>
      </c>
      <c r="AD63" s="3">
        <f t="shared" si="53"/>
        <v>2</v>
      </c>
    </row>
    <row r="64" spans="1:30" ht="25.5">
      <c r="A64" s="238"/>
      <c r="G64" s="3">
        <v>20</v>
      </c>
      <c r="H64" s="10" t="s">
        <v>321</v>
      </c>
      <c r="I64" s="10">
        <v>0.22500000000000001</v>
      </c>
      <c r="J64" s="18">
        <f>0.375*DL_OH!S37</f>
        <v>0.38207547169811312</v>
      </c>
      <c r="K64" s="18"/>
      <c r="L64" s="18">
        <f>0.4713*DL_OH!S41</f>
        <v>0.47166827627309449</v>
      </c>
      <c r="M64" s="18"/>
      <c r="N64" s="18"/>
      <c r="O64" s="18"/>
      <c r="P64" s="23">
        <f t="shared" si="48"/>
        <v>0.42687187398560378</v>
      </c>
      <c r="Q64" s="23">
        <f t="shared" si="49"/>
        <v>6.3351679660490823E-2</v>
      </c>
      <c r="R64" s="10">
        <f t="shared" si="50"/>
        <v>2</v>
      </c>
      <c r="U64" s="238"/>
      <c r="V64" s="18">
        <f>0.385*DL_OH!S37</f>
        <v>0.39226415094339617</v>
      </c>
      <c r="W64" s="18"/>
      <c r="X64" s="18"/>
      <c r="Y64" s="18"/>
      <c r="Z64" s="18"/>
      <c r="AA64" s="18">
        <f>0.51*DL_OH!S39</f>
        <v>0.50037735849056608</v>
      </c>
      <c r="AB64" s="26">
        <f t="shared" si="51"/>
        <v>0.44632075471698113</v>
      </c>
      <c r="AC64" s="23">
        <f t="shared" si="52"/>
        <v>7.6447582192432181E-2</v>
      </c>
      <c r="AD64" s="10">
        <f t="shared" si="53"/>
        <v>2</v>
      </c>
    </row>
    <row r="65" spans="1:30" ht="25.5">
      <c r="A65" s="238"/>
      <c r="G65" s="3">
        <v>40</v>
      </c>
      <c r="H65" s="10" t="s">
        <v>321</v>
      </c>
      <c r="I65" s="10">
        <v>0.22500000000000001</v>
      </c>
      <c r="J65" s="18">
        <f>J64*DL_OH!$W$37</f>
        <v>0.44489643958087349</v>
      </c>
      <c r="K65" s="18"/>
      <c r="L65" s="18">
        <f>L64*DL_OH!$W$41</f>
        <v>0.54687688989376282</v>
      </c>
      <c r="M65" s="18"/>
      <c r="N65" s="18"/>
      <c r="O65" s="18"/>
      <c r="P65" s="23">
        <f t="shared" si="48"/>
        <v>0.49588666473731813</v>
      </c>
      <c r="Q65" s="23">
        <f t="shared" si="49"/>
        <v>7.2111067964702305E-2</v>
      </c>
      <c r="R65" s="10">
        <f t="shared" si="50"/>
        <v>2</v>
      </c>
      <c r="U65" s="238"/>
      <c r="V65" s="18">
        <f>V64*DL_OH!$W$37</f>
        <v>0.45676034463636345</v>
      </c>
      <c r="W65" s="18"/>
      <c r="X65" s="18"/>
      <c r="Y65" s="18"/>
      <c r="Z65" s="18"/>
      <c r="AA65" s="18">
        <f>AA64*DL_OH!$W$39</f>
        <v>0.58440850655891108</v>
      </c>
      <c r="AB65" s="26">
        <f t="shared" si="51"/>
        <v>0.52058442559763729</v>
      </c>
      <c r="AC65" s="23">
        <f t="shared" si="52"/>
        <v>9.0260880901431764E-2</v>
      </c>
      <c r="AD65" s="10">
        <f t="shared" si="53"/>
        <v>2</v>
      </c>
    </row>
    <row r="66" spans="1:30" ht="25.5">
      <c r="A66" s="238"/>
      <c r="G66" s="3">
        <v>100</v>
      </c>
      <c r="H66" s="10" t="s">
        <v>321</v>
      </c>
      <c r="I66" s="10">
        <v>0.22500000000000001</v>
      </c>
      <c r="J66" s="18">
        <f>J64*DL_OH!$AA$37</f>
        <v>0.48769312937589615</v>
      </c>
      <c r="K66" s="18"/>
      <c r="L66" s="18">
        <f>L64*DL_OH!$AA$41</f>
        <v>0.59819979997540373</v>
      </c>
      <c r="M66" s="18"/>
      <c r="N66" s="18"/>
      <c r="O66" s="18"/>
      <c r="P66" s="23">
        <f t="shared" si="48"/>
        <v>0.54294646467564989</v>
      </c>
      <c r="Q66" s="23">
        <f t="shared" si="49"/>
        <v>7.8140016147260072E-2</v>
      </c>
      <c r="R66" s="10">
        <f t="shared" si="50"/>
        <v>2</v>
      </c>
      <c r="U66" s="238"/>
      <c r="V66" s="18">
        <f>V64*DL_OH!$AA$37</f>
        <v>0.50069827949258683</v>
      </c>
      <c r="W66" s="18"/>
      <c r="X66" s="18"/>
      <c r="Y66" s="18"/>
      <c r="Z66" s="18"/>
      <c r="AA66" s="18">
        <f>AA64*DL_OH!$AA$39</f>
        <v>0.64158917653657621</v>
      </c>
      <c r="AB66" s="26">
        <f t="shared" si="51"/>
        <v>0.57114372801458146</v>
      </c>
      <c r="AC66" s="23">
        <f t="shared" si="52"/>
        <v>9.9624908707261331E-2</v>
      </c>
      <c r="AD66" s="10">
        <f t="shared" si="53"/>
        <v>2</v>
      </c>
    </row>
    <row r="67" spans="1:30">
      <c r="A67" s="238"/>
      <c r="P67" s="4"/>
      <c r="U67" s="238"/>
    </row>
    <row r="68" spans="1:30" ht="43.5" customHeight="1">
      <c r="A68" s="238"/>
      <c r="B68" s="3" t="s">
        <v>316</v>
      </c>
      <c r="C68" s="3" t="s">
        <v>317</v>
      </c>
      <c r="D68" s="3" t="s">
        <v>332</v>
      </c>
      <c r="E68" s="3" t="s">
        <v>319</v>
      </c>
      <c r="F68" s="3" t="s">
        <v>75</v>
      </c>
      <c r="G68" s="3">
        <v>20</v>
      </c>
      <c r="H68" s="3" t="s">
        <v>320</v>
      </c>
      <c r="I68" s="3">
        <v>7.8</v>
      </c>
      <c r="J68" s="2">
        <f>12.711*DL_OH!S22</f>
        <v>12.950830188679246</v>
      </c>
      <c r="P68" s="4">
        <f>AVERAGE(J68:O68)</f>
        <v>12.950830188679246</v>
      </c>
      <c r="Q68" s="4" t="e">
        <f>SQRT(VAR(J68:O68))</f>
        <v>#DIV/0!</v>
      </c>
      <c r="R68" s="3">
        <f>COUNT(J68:O68)</f>
        <v>1</v>
      </c>
      <c r="U68" s="238"/>
      <c r="V68" s="2">
        <f>12.506*DL_OH!S22</f>
        <v>12.741962264150944</v>
      </c>
      <c r="AB68" s="5">
        <f>AVERAGE(V68:AA68)</f>
        <v>12.741962264150944</v>
      </c>
      <c r="AC68" s="4" t="e">
        <f>SQRT(VAR(V68:AA68))</f>
        <v>#DIV/0!</v>
      </c>
      <c r="AD68" s="3">
        <f>COUNT(V68:AA68)</f>
        <v>1</v>
      </c>
    </row>
    <row r="69" spans="1:30" ht="43.5" customHeight="1">
      <c r="A69" s="238"/>
      <c r="G69" s="3">
        <v>40</v>
      </c>
      <c r="H69" s="3" t="s">
        <v>320</v>
      </c>
      <c r="I69" s="3">
        <v>7.8</v>
      </c>
      <c r="J69" s="2">
        <f>J68*DL_OH!$W$22</f>
        <v>14.779724068635025</v>
      </c>
      <c r="P69" s="4">
        <f>AVERAGE(J69:O69)</f>
        <v>14.779724068635025</v>
      </c>
      <c r="Q69" s="4" t="e">
        <f>SQRT(VAR(J69:O69))</f>
        <v>#DIV/0!</v>
      </c>
      <c r="R69" s="3">
        <f>COUNT(J69:O69)</f>
        <v>1</v>
      </c>
      <c r="U69" s="238"/>
      <c r="V69" s="2">
        <f>V68*DL_OH!$W$22</f>
        <v>14.541360176410166</v>
      </c>
      <c r="AB69" s="5">
        <f>AVERAGE(V69:AA69)</f>
        <v>14.541360176410166</v>
      </c>
      <c r="AC69" s="4" t="e">
        <f>SQRT(VAR(V69:AA69))</f>
        <v>#DIV/0!</v>
      </c>
      <c r="AD69" s="3">
        <f>COUNT(V69:AA69)</f>
        <v>1</v>
      </c>
    </row>
    <row r="70" spans="1:30" ht="25.5">
      <c r="A70" s="238"/>
      <c r="G70" s="3">
        <v>20</v>
      </c>
      <c r="H70" s="10" t="s">
        <v>321</v>
      </c>
      <c r="I70" s="10">
        <v>0.22500000000000001</v>
      </c>
      <c r="J70" s="18">
        <f>0.381*DL_OH!S22</f>
        <v>0.388188679245283</v>
      </c>
      <c r="K70" s="18"/>
      <c r="L70" s="18"/>
      <c r="M70" s="18"/>
      <c r="N70" s="18"/>
      <c r="O70" s="18"/>
      <c r="P70" s="23">
        <f>AVERAGE(J70:O70)</f>
        <v>0.388188679245283</v>
      </c>
      <c r="Q70" s="23" t="e">
        <f>SQRT(VAR(J70:O70))</f>
        <v>#DIV/0!</v>
      </c>
      <c r="R70" s="10">
        <f>COUNT(J70:O70)</f>
        <v>1</v>
      </c>
      <c r="U70" s="238"/>
      <c r="V70" s="18">
        <f>0.395*DL_OH!S22</f>
        <v>0.40245283018867928</v>
      </c>
      <c r="W70" s="18"/>
      <c r="X70" s="18"/>
      <c r="Y70" s="18"/>
      <c r="Z70" s="18"/>
      <c r="AA70" s="18"/>
      <c r="AB70" s="26">
        <f>AVERAGE(V70:AA70)</f>
        <v>0.40245283018867928</v>
      </c>
      <c r="AC70" s="23" t="e">
        <f>SQRT(VAR(V70:AA70))</f>
        <v>#DIV/0!</v>
      </c>
      <c r="AD70" s="10">
        <f>COUNT(V70:AA70)</f>
        <v>1</v>
      </c>
    </row>
    <row r="71" spans="1:30" ht="25.5">
      <c r="A71" s="238"/>
      <c r="G71" s="3">
        <v>40</v>
      </c>
      <c r="H71" s="10" t="s">
        <v>321</v>
      </c>
      <c r="I71" s="10">
        <v>0.22500000000000001</v>
      </c>
      <c r="J71" s="18">
        <f>J70*DL_OH!$W$22</f>
        <v>0.44300801433010334</v>
      </c>
      <c r="K71" s="18"/>
      <c r="L71" s="18"/>
      <c r="M71" s="18"/>
      <c r="N71" s="18"/>
      <c r="O71" s="18"/>
      <c r="P71" s="23">
        <f>AVERAGE(J71:O71)</f>
        <v>0.44300801433010334</v>
      </c>
      <c r="Q71" s="23" t="e">
        <f>SQRT(VAR(J71:O71))</f>
        <v>#DIV/0!</v>
      </c>
      <c r="R71" s="10">
        <f>COUNT(J71:O71)</f>
        <v>1</v>
      </c>
      <c r="U71" s="238"/>
      <c r="V71" s="18">
        <f>V70*DL_OH!$W$22</f>
        <v>0.45928652404302062</v>
      </c>
      <c r="W71" s="18"/>
      <c r="X71" s="18"/>
      <c r="Y71" s="18"/>
      <c r="Z71" s="18"/>
      <c r="AA71" s="18"/>
      <c r="AB71" s="26">
        <f>AVERAGE(V71:AA71)</f>
        <v>0.45928652404302062</v>
      </c>
      <c r="AC71" s="23" t="e">
        <f>SQRT(VAR(V71:AA71))</f>
        <v>#DIV/0!</v>
      </c>
      <c r="AD71" s="10">
        <f>COUNT(V71:AA71)</f>
        <v>1</v>
      </c>
    </row>
    <row r="72" spans="1:30">
      <c r="A72" s="238"/>
      <c r="P72" s="4"/>
      <c r="U72" s="238"/>
      <c r="V72" s="17"/>
    </row>
    <row r="73" spans="1:30" ht="43.5" customHeight="1">
      <c r="A73" s="238"/>
      <c r="B73" s="3" t="s">
        <v>316</v>
      </c>
      <c r="C73" s="3" t="s">
        <v>329</v>
      </c>
      <c r="D73" s="11" t="s">
        <v>334</v>
      </c>
      <c r="E73" s="3" t="s">
        <v>333</v>
      </c>
      <c r="F73" s="3" t="s">
        <v>75</v>
      </c>
      <c r="G73" s="3">
        <v>20</v>
      </c>
      <c r="H73" s="3" t="s">
        <v>320</v>
      </c>
      <c r="I73" s="3">
        <v>7.8</v>
      </c>
      <c r="J73" s="2">
        <f>15.8*DL_OH!S40</f>
        <v>16.098113207547172</v>
      </c>
      <c r="P73" s="4">
        <f t="shared" ref="P73:P78" si="54">AVERAGE(J73:O73)</f>
        <v>16.098113207547172</v>
      </c>
      <c r="Q73" s="4" t="e">
        <f t="shared" ref="Q73:Q78" si="55">SQRT(VAR(J73:O73))</f>
        <v>#DIV/0!</v>
      </c>
      <c r="R73" s="3">
        <f t="shared" ref="R73:R78" si="56">COUNT(J73:O73)</f>
        <v>1</v>
      </c>
      <c r="U73" s="238"/>
      <c r="V73" s="2">
        <f>15.542*DL_OH!S40</f>
        <v>15.835245283018867</v>
      </c>
      <c r="Z73" s="2">
        <f>16.94*DL_OH!S25</f>
        <v>16.620377358490558</v>
      </c>
      <c r="AB73" s="5">
        <f t="shared" ref="AB73:AB78" si="57">AVERAGE(V73:AA73)</f>
        <v>16.227811320754711</v>
      </c>
      <c r="AC73" s="4">
        <f t="shared" ref="AC73:AC78" si="58">SQRT(VAR(V73:AA73))</f>
        <v>0.55517221469310041</v>
      </c>
      <c r="AD73" s="3">
        <f t="shared" ref="AD73:AD78" si="59">COUNT(V73:AA73)</f>
        <v>2</v>
      </c>
    </row>
    <row r="74" spans="1:30" ht="43.5" customHeight="1">
      <c r="A74" s="238"/>
      <c r="D74" s="11"/>
      <c r="G74" s="3">
        <v>40</v>
      </c>
      <c r="H74" s="3" t="s">
        <v>320</v>
      </c>
      <c r="I74" s="3">
        <v>7.8</v>
      </c>
      <c r="J74" s="2">
        <f>J73*DL_OH!$W$40</f>
        <v>18.838360599308015</v>
      </c>
      <c r="P74" s="4">
        <f t="shared" si="54"/>
        <v>18.838360599308015</v>
      </c>
      <c r="Q74" s="4" t="e">
        <f t="shared" si="55"/>
        <v>#DIV/0!</v>
      </c>
      <c r="R74" s="3">
        <f t="shared" si="56"/>
        <v>1</v>
      </c>
      <c r="U74" s="238"/>
      <c r="V74" s="2">
        <f>V73*DL_OH!$W$40</f>
        <v>18.530746862939562</v>
      </c>
      <c r="Z74" s="2">
        <f>Z73*DL_OH!$W$34</f>
        <v>19.743109219780294</v>
      </c>
      <c r="AB74" s="5">
        <f t="shared" si="57"/>
        <v>19.13692804135993</v>
      </c>
      <c r="AC74" s="4">
        <f t="shared" si="58"/>
        <v>0.85726964377738635</v>
      </c>
      <c r="AD74" s="3">
        <f t="shared" si="59"/>
        <v>2</v>
      </c>
    </row>
    <row r="75" spans="1:30" ht="43.5" customHeight="1">
      <c r="A75" s="238"/>
      <c r="D75" s="11"/>
      <c r="G75" s="3">
        <v>100</v>
      </c>
      <c r="H75" s="3" t="s">
        <v>320</v>
      </c>
      <c r="I75" s="3">
        <v>7.8</v>
      </c>
      <c r="J75" s="2">
        <f>J73*DL_OH!$AA$40</f>
        <v>20.70167639369609</v>
      </c>
      <c r="P75" s="4">
        <f t="shared" si="54"/>
        <v>20.70167639369609</v>
      </c>
      <c r="Q75" s="4" t="e">
        <f t="shared" si="55"/>
        <v>#DIV/0!</v>
      </c>
      <c r="R75" s="3">
        <f t="shared" si="56"/>
        <v>1</v>
      </c>
      <c r="U75" s="238"/>
      <c r="V75" s="2">
        <f>V73*DL_OH!$AA$40</f>
        <v>20.363636361444595</v>
      </c>
      <c r="Z75" s="2">
        <f>Z73*DL_OH!$AA$34</f>
        <v>21.855745092513718</v>
      </c>
      <c r="AB75" s="5">
        <f t="shared" si="57"/>
        <v>21.109690726979156</v>
      </c>
      <c r="AC75" s="4">
        <f t="shared" si="58"/>
        <v>1.0550802020066317</v>
      </c>
      <c r="AD75" s="3">
        <f t="shared" si="59"/>
        <v>2</v>
      </c>
    </row>
    <row r="76" spans="1:30" ht="25.5">
      <c r="A76" s="238"/>
      <c r="G76" s="3">
        <v>20</v>
      </c>
      <c r="H76" s="10" t="s">
        <v>321</v>
      </c>
      <c r="I76" s="10">
        <v>0.22500000000000001</v>
      </c>
      <c r="J76" s="18">
        <f>0.485*DL_OH!S40</f>
        <v>0.49415094339622639</v>
      </c>
      <c r="K76" s="18"/>
      <c r="L76" s="18"/>
      <c r="M76" s="18"/>
      <c r="N76" s="18"/>
      <c r="O76" s="18"/>
      <c r="P76" s="23">
        <f t="shared" si="54"/>
        <v>0.49415094339622639</v>
      </c>
      <c r="Q76" s="23" t="e">
        <f t="shared" si="55"/>
        <v>#DIV/0!</v>
      </c>
      <c r="R76" s="10">
        <f t="shared" si="56"/>
        <v>1</v>
      </c>
      <c r="U76" s="238"/>
      <c r="V76" s="18">
        <f>0.475*DL_OH!S40</f>
        <v>0.48396226415094334</v>
      </c>
      <c r="W76" s="18"/>
      <c r="X76" s="18"/>
      <c r="Y76" s="18"/>
      <c r="Z76" s="27">
        <f>0.57*DL_OH!S25</f>
        <v>0.55924528301886745</v>
      </c>
      <c r="AA76" s="27"/>
      <c r="AB76" s="26">
        <f t="shared" si="57"/>
        <v>0.52160377358490539</v>
      </c>
      <c r="AC76" s="23">
        <f t="shared" si="58"/>
        <v>5.3233133149703939E-2</v>
      </c>
      <c r="AD76" s="10">
        <f t="shared" si="59"/>
        <v>2</v>
      </c>
    </row>
    <row r="77" spans="1:30" ht="25.5">
      <c r="A77" s="238"/>
      <c r="G77" s="3">
        <v>40</v>
      </c>
      <c r="H77" s="10" t="s">
        <v>321</v>
      </c>
      <c r="I77" s="10">
        <v>0.22500000000000001</v>
      </c>
      <c r="J77" s="18">
        <f>J76*DL_OH!$W$40</f>
        <v>0.5782661323205307</v>
      </c>
      <c r="K77" s="18"/>
      <c r="L77" s="18"/>
      <c r="M77" s="18"/>
      <c r="N77" s="18"/>
      <c r="O77" s="18"/>
      <c r="P77" s="23">
        <f t="shared" si="54"/>
        <v>0.5782661323205307</v>
      </c>
      <c r="Q77" s="23" t="e">
        <f t="shared" si="55"/>
        <v>#DIV/0!</v>
      </c>
      <c r="R77" s="10">
        <f t="shared" si="56"/>
        <v>1</v>
      </c>
      <c r="U77" s="238"/>
      <c r="V77" s="18">
        <f>V76*DL_OH!$W$40</f>
        <v>0.56634311928299397</v>
      </c>
      <c r="W77" s="18"/>
      <c r="X77" s="18"/>
      <c r="Y77" s="18"/>
      <c r="Z77" s="18">
        <f>Z76*DL_OH!$W$34</f>
        <v>0.66431949558882908</v>
      </c>
      <c r="AA77" s="27"/>
      <c r="AB77" s="26">
        <f t="shared" si="57"/>
        <v>0.61533130743591147</v>
      </c>
      <c r="AC77" s="23">
        <f t="shared" si="58"/>
        <v>6.9279760081940991E-2</v>
      </c>
      <c r="AD77" s="10">
        <f t="shared" si="59"/>
        <v>2</v>
      </c>
    </row>
    <row r="78" spans="1:30" ht="25.5">
      <c r="A78" s="238"/>
      <c r="G78" s="3">
        <v>100</v>
      </c>
      <c r="H78" s="10" t="s">
        <v>321</v>
      </c>
      <c r="I78" s="10">
        <v>0.22500000000000001</v>
      </c>
      <c r="J78" s="18">
        <f>J76*DL_OH!$AA$40</f>
        <v>0.63546285132548119</v>
      </c>
      <c r="K78" s="18"/>
      <c r="L78" s="18"/>
      <c r="M78" s="18"/>
      <c r="N78" s="18"/>
      <c r="O78" s="18"/>
      <c r="P78" s="23">
        <f t="shared" si="54"/>
        <v>0.63546285132548119</v>
      </c>
      <c r="Q78" s="23" t="e">
        <f t="shared" si="55"/>
        <v>#DIV/0!</v>
      </c>
      <c r="R78" s="10">
        <f t="shared" si="56"/>
        <v>1</v>
      </c>
      <c r="U78" s="238"/>
      <c r="V78" s="18">
        <f>V76*DL_OH!$AA$40</f>
        <v>0.6223605244940279</v>
      </c>
      <c r="W78" s="18"/>
      <c r="X78" s="18"/>
      <c r="Y78" s="18"/>
      <c r="Z78" s="18">
        <f>Z76*DL_OH!$AA$34</f>
        <v>0.73540582660760423</v>
      </c>
      <c r="AA78" s="27"/>
      <c r="AB78" s="26">
        <f t="shared" si="57"/>
        <v>0.67888317555081601</v>
      </c>
      <c r="AC78" s="23">
        <f t="shared" si="58"/>
        <v>7.9935099705791782E-2</v>
      </c>
      <c r="AD78" s="10">
        <f t="shared" si="59"/>
        <v>2</v>
      </c>
    </row>
    <row r="79" spans="1:30">
      <c r="A79" s="238"/>
      <c r="P79" s="4"/>
      <c r="U79" s="238"/>
    </row>
    <row r="80" spans="1:30" ht="43.5" customHeight="1">
      <c r="A80" s="238"/>
      <c r="B80" s="3" t="s">
        <v>316</v>
      </c>
      <c r="C80" s="3" t="s">
        <v>329</v>
      </c>
      <c r="D80" s="11" t="s">
        <v>334</v>
      </c>
      <c r="E80" s="3" t="s">
        <v>319</v>
      </c>
      <c r="F80" s="3" t="s">
        <v>75</v>
      </c>
      <c r="G80" s="3">
        <v>20</v>
      </c>
      <c r="H80" s="3" t="s">
        <v>320</v>
      </c>
      <c r="I80" s="3">
        <v>7.8</v>
      </c>
      <c r="J80" s="2">
        <f>15.417*DL_OH!S23</f>
        <v>15.707886792452831</v>
      </c>
      <c r="P80" s="4">
        <f>AVERAGE(J80:O80)</f>
        <v>15.707886792452831</v>
      </c>
      <c r="Q80" s="4" t="e">
        <f>SQRT(VAR(J80:O80))</f>
        <v>#DIV/0!</v>
      </c>
      <c r="R80" s="3">
        <f>COUNT(J80:O80)</f>
        <v>1</v>
      </c>
      <c r="U80" s="238"/>
      <c r="V80" s="2">
        <f>15.172*DL_OH!S23</f>
        <v>15.458264150943396</v>
      </c>
      <c r="AB80" s="5">
        <f>AVERAGE(V80:AA80)</f>
        <v>15.458264150943396</v>
      </c>
      <c r="AC80" s="4" t="e">
        <f>SQRT(VAR(V80:AA80))</f>
        <v>#DIV/0!</v>
      </c>
      <c r="AD80" s="3">
        <f>COUNT(V80:AA80)</f>
        <v>1</v>
      </c>
    </row>
    <row r="81" spans="1:30" ht="43.5" customHeight="1">
      <c r="A81" s="238"/>
      <c r="D81" s="11"/>
      <c r="G81" s="3">
        <v>40</v>
      </c>
      <c r="H81" s="3" t="s">
        <v>320</v>
      </c>
      <c r="I81" s="3">
        <v>7.8</v>
      </c>
      <c r="J81" s="2">
        <f>J80*DL_OH!$W$23</f>
        <v>18.017034513884198</v>
      </c>
      <c r="P81" s="4">
        <f>AVERAGE(J81:O81)</f>
        <v>18.017034513884198</v>
      </c>
      <c r="Q81" s="4" t="e">
        <f>SQRT(VAR(J81:O81))</f>
        <v>#DIV/0!</v>
      </c>
      <c r="R81" s="3">
        <f>COUNT(J81:O81)</f>
        <v>1</v>
      </c>
      <c r="U81" s="238"/>
      <c r="V81" s="2">
        <f>V80*DL_OH!$W$23</f>
        <v>17.730715939848935</v>
      </c>
      <c r="AB81" s="5">
        <f>AVERAGE(V81:AA81)</f>
        <v>17.730715939848935</v>
      </c>
      <c r="AC81" s="4" t="e">
        <f>SQRT(VAR(V81:AA81))</f>
        <v>#DIV/0!</v>
      </c>
      <c r="AD81" s="3">
        <f>COUNT(V81:AA81)</f>
        <v>1</v>
      </c>
    </row>
    <row r="82" spans="1:30" ht="25.5">
      <c r="A82" s="238"/>
      <c r="G82" s="3">
        <v>20</v>
      </c>
      <c r="H82" s="10" t="s">
        <v>321</v>
      </c>
      <c r="I82" s="10">
        <v>0.22500000000000001</v>
      </c>
      <c r="J82" s="18">
        <f>0.475*DL_OH!S23</f>
        <v>0.48396226415094334</v>
      </c>
      <c r="K82" s="18"/>
      <c r="L82" s="18"/>
      <c r="M82" s="18"/>
      <c r="N82" s="18"/>
      <c r="O82" s="18"/>
      <c r="P82" s="23">
        <f>AVERAGE(J82:O82)</f>
        <v>0.48396226415094334</v>
      </c>
      <c r="Q82" s="23" t="e">
        <f>SQRT(VAR(J82:O82))</f>
        <v>#DIV/0!</v>
      </c>
      <c r="R82" s="10">
        <f>COUNT(J82:O82)</f>
        <v>1</v>
      </c>
      <c r="U82" s="238"/>
      <c r="V82" s="18">
        <f>0.483*DL_OH!S23</f>
        <v>0.49211320754716981</v>
      </c>
      <c r="W82" s="18"/>
      <c r="X82" s="18"/>
      <c r="Y82" s="18"/>
      <c r="Z82" s="27"/>
      <c r="AA82" s="27"/>
      <c r="AB82" s="26">
        <f>AVERAGE(V82:AA82)</f>
        <v>0.49211320754716981</v>
      </c>
      <c r="AC82" s="23" t="e">
        <f>SQRT(VAR(V82:AA82))</f>
        <v>#DIV/0!</v>
      </c>
      <c r="AD82" s="10">
        <f>COUNT(V82:AA82)</f>
        <v>1</v>
      </c>
    </row>
    <row r="83" spans="1:30" ht="25.5">
      <c r="A83" s="238"/>
      <c r="G83" s="3">
        <v>40</v>
      </c>
      <c r="H83" s="10" t="s">
        <v>321</v>
      </c>
      <c r="I83" s="10">
        <v>0.22500000000000001</v>
      </c>
      <c r="J83" s="18">
        <f>J82*DL_OH!$W$23</f>
        <v>0.5551074394561194</v>
      </c>
      <c r="K83" s="18"/>
      <c r="L83" s="18"/>
      <c r="M83" s="18"/>
      <c r="N83" s="18"/>
      <c r="O83" s="18"/>
      <c r="P83" s="23">
        <f>AVERAGE(J83:O83)</f>
        <v>0.5551074394561194</v>
      </c>
      <c r="Q83" s="23" t="e">
        <f>SQRT(VAR(J83:O83))</f>
        <v>#DIV/0!</v>
      </c>
      <c r="R83" s="10">
        <f>COUNT(J83:O83)</f>
        <v>1</v>
      </c>
      <c r="U83" s="238"/>
      <c r="V83" s="18">
        <f>V82*DL_OH!$W$23</f>
        <v>0.56445661738380137</v>
      </c>
      <c r="W83" s="18"/>
      <c r="X83" s="18"/>
      <c r="Y83" s="18"/>
      <c r="Z83" s="27"/>
      <c r="AA83" s="27"/>
      <c r="AB83" s="26">
        <f>AVERAGE(V83:AA83)</f>
        <v>0.56445661738380137</v>
      </c>
      <c r="AC83" s="23" t="e">
        <f>SQRT(VAR(V83:AA83))</f>
        <v>#DIV/0!</v>
      </c>
      <c r="AD83" s="10">
        <f>COUNT(V83:AA83)</f>
        <v>1</v>
      </c>
    </row>
    <row r="84" spans="1:30">
      <c r="A84" s="238"/>
      <c r="P84" s="4"/>
      <c r="U84" s="238"/>
    </row>
    <row r="85" spans="1:30" ht="38.25">
      <c r="A85" s="238"/>
      <c r="B85" s="3" t="s">
        <v>316</v>
      </c>
      <c r="C85" s="3" t="s">
        <v>323</v>
      </c>
      <c r="D85" s="11" t="s">
        <v>335</v>
      </c>
      <c r="E85" s="3" t="s">
        <v>319</v>
      </c>
      <c r="F85" s="3" t="s">
        <v>76</v>
      </c>
      <c r="G85" s="3">
        <v>20</v>
      </c>
      <c r="H85" s="3" t="s">
        <v>320</v>
      </c>
      <c r="I85" s="3">
        <v>7.8</v>
      </c>
      <c r="K85" s="28"/>
      <c r="P85" s="4" t="e">
        <f>AVERAGE(J85:O85)</f>
        <v>#DIV/0!</v>
      </c>
      <c r="Q85" s="4" t="e">
        <f>SQRT(VAR(J85:O85))</f>
        <v>#DIV/0!</v>
      </c>
      <c r="R85" s="3">
        <f>COUNT(J85:O85)</f>
        <v>0</v>
      </c>
      <c r="U85" s="238"/>
      <c r="W85" s="28"/>
      <c r="AB85" s="5" t="e">
        <f>AVERAGE(V85:AA85)</f>
        <v>#DIV/0!</v>
      </c>
      <c r="AC85" s="4" t="e">
        <f>SQRT(VAR(V85:AA85))</f>
        <v>#DIV/0!</v>
      </c>
      <c r="AD85" s="3">
        <f>COUNT(V85:AA85)</f>
        <v>0</v>
      </c>
    </row>
    <row r="86" spans="1:30" ht="25.5">
      <c r="A86" s="238"/>
      <c r="D86" s="11"/>
      <c r="G86" s="3">
        <v>40</v>
      </c>
      <c r="H86" s="3" t="s">
        <v>320</v>
      </c>
      <c r="I86" s="3">
        <v>7.8</v>
      </c>
      <c r="K86" s="28"/>
      <c r="P86" s="4" t="e">
        <f>AVERAGE(J86:O86)</f>
        <v>#DIV/0!</v>
      </c>
      <c r="Q86" s="4" t="e">
        <f>SQRT(VAR(J86:O86))</f>
        <v>#DIV/0!</v>
      </c>
      <c r="R86" s="3">
        <f>COUNT(J86:O86)</f>
        <v>0</v>
      </c>
      <c r="U86" s="238"/>
      <c r="W86" s="28"/>
      <c r="AB86" s="5" t="e">
        <f>AVERAGE(V86:AA86)</f>
        <v>#DIV/0!</v>
      </c>
      <c r="AC86" s="4" t="e">
        <f>SQRT(VAR(V86:AA86))</f>
        <v>#DIV/0!</v>
      </c>
      <c r="AD86" s="3">
        <f>COUNT(V86:AA86)</f>
        <v>0</v>
      </c>
    </row>
    <row r="87" spans="1:30" ht="25.5">
      <c r="A87" s="238"/>
      <c r="G87" s="3">
        <v>20</v>
      </c>
      <c r="H87" s="10" t="s">
        <v>321</v>
      </c>
      <c r="I87" s="10">
        <v>0.22500000000000001</v>
      </c>
      <c r="J87" s="18"/>
      <c r="K87" s="29"/>
      <c r="L87" s="18"/>
      <c r="M87" s="18"/>
      <c r="N87" s="18"/>
      <c r="O87" s="18"/>
      <c r="P87" s="23" t="e">
        <f>AVERAGE(J87:O87)</f>
        <v>#DIV/0!</v>
      </c>
      <c r="Q87" s="23" t="e">
        <f>SQRT(VAR(J87:O87))</f>
        <v>#DIV/0!</v>
      </c>
      <c r="R87" s="10">
        <f>COUNT(J87:O87)</f>
        <v>0</v>
      </c>
      <c r="U87" s="238"/>
      <c r="V87" s="18"/>
      <c r="W87" s="29"/>
      <c r="X87" s="18"/>
      <c r="Y87" s="18"/>
      <c r="Z87" s="18"/>
      <c r="AA87" s="18"/>
      <c r="AB87" s="26" t="e">
        <f>AVERAGE(V87:AA87)</f>
        <v>#DIV/0!</v>
      </c>
      <c r="AC87" s="23" t="e">
        <f>SQRT(VAR(V87:AA87))</f>
        <v>#DIV/0!</v>
      </c>
      <c r="AD87" s="10">
        <f>COUNT(V87:AA87)</f>
        <v>0</v>
      </c>
    </row>
    <row r="88" spans="1:30" ht="25.5">
      <c r="A88" s="238"/>
      <c r="G88" s="3">
        <v>40</v>
      </c>
      <c r="H88" s="10" t="s">
        <v>321</v>
      </c>
      <c r="I88" s="10">
        <v>0.22500000000000001</v>
      </c>
      <c r="J88" s="18"/>
      <c r="K88" s="29"/>
      <c r="L88" s="18"/>
      <c r="M88" s="18"/>
      <c r="N88" s="18"/>
      <c r="O88" s="18"/>
      <c r="P88" s="23" t="e">
        <f>AVERAGE(J88:O88)</f>
        <v>#DIV/0!</v>
      </c>
      <c r="Q88" s="23" t="e">
        <f>SQRT(VAR(J88:O88))</f>
        <v>#DIV/0!</v>
      </c>
      <c r="R88" s="10">
        <f>COUNT(J88:O88)</f>
        <v>0</v>
      </c>
      <c r="U88" s="238"/>
      <c r="V88" s="18"/>
      <c r="W88" s="29"/>
      <c r="X88" s="18"/>
      <c r="Y88" s="18"/>
      <c r="Z88" s="18"/>
      <c r="AA88" s="18"/>
      <c r="AB88" s="26" t="e">
        <f>AVERAGE(V88:AA88)</f>
        <v>#DIV/0!</v>
      </c>
      <c r="AC88" s="23" t="e">
        <f>SQRT(VAR(V88:AA88))</f>
        <v>#DIV/0!</v>
      </c>
      <c r="AD88" s="10">
        <f>COUNT(V88:AA88)</f>
        <v>0</v>
      </c>
    </row>
    <row r="89" spans="1:30">
      <c r="A89" s="238"/>
      <c r="P89" s="4"/>
      <c r="U89" s="238"/>
    </row>
    <row r="90" spans="1:30" ht="38.25">
      <c r="A90" s="238"/>
      <c r="B90" s="3" t="s">
        <v>316</v>
      </c>
      <c r="C90" s="3" t="s">
        <v>325</v>
      </c>
      <c r="D90" s="11" t="s">
        <v>335</v>
      </c>
      <c r="E90" s="3" t="s">
        <v>319</v>
      </c>
      <c r="F90" s="3" t="s">
        <v>76</v>
      </c>
      <c r="G90" s="3">
        <v>20</v>
      </c>
      <c r="H90" s="3" t="s">
        <v>320</v>
      </c>
      <c r="I90" s="3">
        <v>7.8</v>
      </c>
      <c r="K90" s="2">
        <v>15.87</v>
      </c>
      <c r="P90" s="4">
        <f>AVERAGE(J90:O90)</f>
        <v>15.87</v>
      </c>
      <c r="Q90" s="4" t="e">
        <f>SQRT(VAR(J90:O90))</f>
        <v>#DIV/0!</v>
      </c>
      <c r="R90" s="3">
        <f>COUNT(J90:O90)</f>
        <v>1</v>
      </c>
      <c r="U90" s="238"/>
      <c r="W90" s="2">
        <v>15.47</v>
      </c>
      <c r="AB90" s="5">
        <f>AVERAGE(V90:AA90)</f>
        <v>15.47</v>
      </c>
      <c r="AC90" s="4" t="e">
        <f>SQRT(VAR(V90:AA90))</f>
        <v>#DIV/0!</v>
      </c>
      <c r="AD90" s="3">
        <f>COUNT(V90:AA90)</f>
        <v>1</v>
      </c>
    </row>
    <row r="91" spans="1:30" ht="25.5">
      <c r="A91" s="238"/>
      <c r="D91" s="11"/>
      <c r="G91" s="3">
        <v>40</v>
      </c>
      <c r="H91" s="3" t="s">
        <v>320</v>
      </c>
      <c r="I91" s="3">
        <v>7.8</v>
      </c>
      <c r="K91" s="2">
        <f>K90*DL_OH!$W$19</f>
        <v>18.159668345927798</v>
      </c>
      <c r="P91" s="4">
        <f>AVERAGE(J91:O91)</f>
        <v>18.159668345927798</v>
      </c>
      <c r="Q91" s="4" t="e">
        <f>SQRT(VAR(J91:O91))</f>
        <v>#DIV/0!</v>
      </c>
      <c r="R91" s="3">
        <f>COUNT(J91:O91)</f>
        <v>1</v>
      </c>
      <c r="U91" s="238"/>
      <c r="W91" s="2">
        <f>W90*DL_OH!$W$19</f>
        <v>17.701957738595024</v>
      </c>
      <c r="AB91" s="5">
        <f>AVERAGE(V91:AA91)</f>
        <v>17.701957738595024</v>
      </c>
      <c r="AC91" s="4" t="e">
        <f>SQRT(VAR(V91:AA91))</f>
        <v>#DIV/0!</v>
      </c>
      <c r="AD91" s="3">
        <f>COUNT(V91:AA91)</f>
        <v>1</v>
      </c>
    </row>
    <row r="92" spans="1:30" ht="25.5">
      <c r="A92" s="238"/>
      <c r="G92" s="3">
        <v>20</v>
      </c>
      <c r="H92" s="10" t="s">
        <v>321</v>
      </c>
      <c r="I92" s="10">
        <v>0.22500000000000001</v>
      </c>
      <c r="J92" s="18"/>
      <c r="K92" s="18">
        <v>0.54300000000000004</v>
      </c>
      <c r="L92" s="18"/>
      <c r="M92" s="18"/>
      <c r="N92" s="18"/>
      <c r="O92" s="18"/>
      <c r="P92" s="23">
        <f>AVERAGE(J92:O92)</f>
        <v>0.54300000000000004</v>
      </c>
      <c r="Q92" s="23" t="e">
        <f>SQRT(VAR(J92:O92))</f>
        <v>#DIV/0!</v>
      </c>
      <c r="R92" s="10">
        <f>COUNT(J92:O92)</f>
        <v>1</v>
      </c>
      <c r="U92" s="238"/>
      <c r="V92" s="18"/>
      <c r="W92" s="18">
        <v>0.54100000000000004</v>
      </c>
      <c r="X92" s="18"/>
      <c r="Y92" s="18"/>
      <c r="Z92" s="18"/>
      <c r="AA92" s="18"/>
      <c r="AB92" s="26">
        <f>AVERAGE(V92:AA92)</f>
        <v>0.54100000000000004</v>
      </c>
      <c r="AC92" s="23" t="e">
        <f>SQRT(VAR(V92:AA92))</f>
        <v>#DIV/0!</v>
      </c>
      <c r="AD92" s="10">
        <f>COUNT(V92:AA92)</f>
        <v>1</v>
      </c>
    </row>
    <row r="93" spans="1:30" ht="25.5">
      <c r="A93" s="238"/>
      <c r="G93" s="3">
        <v>40</v>
      </c>
      <c r="H93" s="10" t="s">
        <v>321</v>
      </c>
      <c r="I93" s="10">
        <v>0.22500000000000001</v>
      </c>
      <c r="J93" s="18"/>
      <c r="K93" s="18">
        <f>K92*DL_OH!$W$19</f>
        <v>0.62134214945424038</v>
      </c>
      <c r="L93" s="18"/>
      <c r="M93" s="18"/>
      <c r="N93" s="18"/>
      <c r="O93" s="18"/>
      <c r="P93" s="23">
        <f>AVERAGE(J93:O93)</f>
        <v>0.62134214945424038</v>
      </c>
      <c r="Q93" s="23" t="e">
        <f>SQRT(VAR(J93:O93))</f>
        <v>#DIV/0!</v>
      </c>
      <c r="R93" s="10">
        <f>COUNT(J93:O93)</f>
        <v>1</v>
      </c>
      <c r="U93" s="238"/>
      <c r="V93" s="18"/>
      <c r="W93" s="18">
        <f>W92*DL_OH!$W$19</f>
        <v>0.61905359641757651</v>
      </c>
      <c r="X93" s="18"/>
      <c r="Y93" s="18"/>
      <c r="Z93" s="18"/>
      <c r="AA93" s="18"/>
      <c r="AB93" s="26">
        <f>AVERAGE(V93:AA93)</f>
        <v>0.61905359641757651</v>
      </c>
      <c r="AC93" s="23" t="e">
        <f>SQRT(VAR(V93:AA93))</f>
        <v>#DIV/0!</v>
      </c>
      <c r="AD93" s="10">
        <f>COUNT(V93:AA93)</f>
        <v>1</v>
      </c>
    </row>
    <row r="94" spans="1:30">
      <c r="A94" s="238"/>
      <c r="P94" s="4"/>
      <c r="U94" s="238"/>
    </row>
    <row r="95" spans="1:30" ht="25.5">
      <c r="A95" s="238"/>
      <c r="B95" s="3" t="s">
        <v>316</v>
      </c>
      <c r="C95" s="3" t="s">
        <v>317</v>
      </c>
      <c r="D95" s="11" t="s">
        <v>332</v>
      </c>
      <c r="E95" s="3" t="s">
        <v>319</v>
      </c>
      <c r="F95" s="3" t="s">
        <v>76</v>
      </c>
      <c r="G95" s="3">
        <v>20</v>
      </c>
      <c r="H95" s="3" t="s">
        <v>320</v>
      </c>
      <c r="I95" s="3">
        <v>7.8</v>
      </c>
      <c r="M95" s="2">
        <f>14.33*DL_OH!S21</f>
        <v>14.247759933353386</v>
      </c>
      <c r="P95" s="4">
        <f>AVERAGE(J95:O95)</f>
        <v>14.247759933353386</v>
      </c>
      <c r="Q95" s="4" t="e">
        <f>SQRT(VAR(J95:O95))</f>
        <v>#DIV/0!</v>
      </c>
      <c r="R95" s="3">
        <f>COUNT(J95:O95)</f>
        <v>1</v>
      </c>
      <c r="U95" s="238"/>
      <c r="Y95" s="2">
        <f>15.04*DL_OH!S21</f>
        <v>14.953685233610251</v>
      </c>
      <c r="AB95" s="5">
        <f>AVERAGE(V95:AA95)</f>
        <v>14.953685233610251</v>
      </c>
      <c r="AC95" s="4" t="e">
        <f>SQRT(VAR(V95:AA95))</f>
        <v>#DIV/0!</v>
      </c>
      <c r="AD95" s="3">
        <f>COUNT(V95:AA95)</f>
        <v>1</v>
      </c>
    </row>
    <row r="96" spans="1:30" ht="25.5">
      <c r="A96" s="238"/>
      <c r="D96" s="11"/>
      <c r="G96" s="3">
        <v>40</v>
      </c>
      <c r="H96" s="3" t="s">
        <v>320</v>
      </c>
      <c r="I96" s="3">
        <v>7.8</v>
      </c>
      <c r="M96" s="2">
        <f>M95*DL_OH!$W$21</f>
        <v>16.213397010158978</v>
      </c>
      <c r="P96" s="4">
        <f>AVERAGE(J96:O96)</f>
        <v>16.213397010158978</v>
      </c>
      <c r="Q96" s="4" t="e">
        <f>SQRT(VAR(J96:O96))</f>
        <v>#DIV/0!</v>
      </c>
      <c r="R96" s="3">
        <f>COUNT(J96:O96)</f>
        <v>1</v>
      </c>
      <c r="U96" s="238"/>
      <c r="Y96" s="2">
        <f>Y95*DL_OH!$W$21</f>
        <v>17.016712563348989</v>
      </c>
      <c r="AB96" s="5">
        <f>AVERAGE(V96:AA96)</f>
        <v>17.016712563348989</v>
      </c>
      <c r="AC96" s="4" t="e">
        <f>SQRT(VAR(V96:AA96))</f>
        <v>#DIV/0!</v>
      </c>
      <c r="AD96" s="3">
        <f>COUNT(V96:AA96)</f>
        <v>1</v>
      </c>
    </row>
    <row r="97" spans="1:30" ht="25.5">
      <c r="A97" s="238"/>
      <c r="G97" s="3">
        <v>20</v>
      </c>
      <c r="H97" s="10" t="s">
        <v>321</v>
      </c>
      <c r="I97" s="10">
        <v>0.22500000000000001</v>
      </c>
      <c r="J97" s="18"/>
      <c r="K97" s="18"/>
      <c r="L97" s="18"/>
      <c r="M97" s="18">
        <f>0.473*DL_OH!S21</f>
        <v>0.47028544650915222</v>
      </c>
      <c r="N97" s="18"/>
      <c r="O97" s="18"/>
      <c r="P97" s="23">
        <f>AVERAGE(J97:O97)</f>
        <v>0.47028544650915222</v>
      </c>
      <c r="Q97" s="23" t="e">
        <f>SQRT(VAR(J97:O97))</f>
        <v>#DIV/0!</v>
      </c>
      <c r="R97" s="10">
        <f>COUNT(J97:O97)</f>
        <v>1</v>
      </c>
      <c r="U97" s="238"/>
      <c r="V97" s="18"/>
      <c r="W97" s="18"/>
      <c r="X97" s="18"/>
      <c r="Y97" s="18">
        <f>0.418*DL_OH!S21</f>
        <v>0.41560109226390196</v>
      </c>
      <c r="Z97" s="18"/>
      <c r="AA97" s="18"/>
      <c r="AB97" s="26">
        <f>AVERAGE(V97:AA97)</f>
        <v>0.41560109226390196</v>
      </c>
      <c r="AC97" s="23" t="e">
        <f>SQRT(VAR(V97:AA97))</f>
        <v>#DIV/0!</v>
      </c>
      <c r="AD97" s="10">
        <f>COUNT(V97:AA97)</f>
        <v>1</v>
      </c>
    </row>
    <row r="98" spans="1:30" ht="25.5">
      <c r="A98" s="238"/>
      <c r="G98" s="3">
        <v>40</v>
      </c>
      <c r="H98" s="10" t="s">
        <v>321</v>
      </c>
      <c r="I98" s="10">
        <v>0.22500000000000001</v>
      </c>
      <c r="J98" s="18"/>
      <c r="K98" s="18"/>
      <c r="L98" s="18"/>
      <c r="M98" s="18">
        <f>M97*DL_OH!$W$21</f>
        <v>0.53516655867447294</v>
      </c>
      <c r="N98" s="18"/>
      <c r="O98" s="18"/>
      <c r="P98" s="23">
        <f>AVERAGE(J98:O98)</f>
        <v>0.53516655867447294</v>
      </c>
      <c r="Q98" s="23" t="e">
        <f>SQRT(VAR(J98:O98))</f>
        <v>#DIV/0!</v>
      </c>
      <c r="R98" s="10">
        <f>COUNT(J98:O98)</f>
        <v>1</v>
      </c>
      <c r="U98" s="238"/>
      <c r="V98" s="18"/>
      <c r="W98" s="18"/>
      <c r="X98" s="18"/>
      <c r="Y98" s="18">
        <f>Y97*DL_OH!$W$21</f>
        <v>0.47293788906116213</v>
      </c>
      <c r="Z98" s="18"/>
      <c r="AA98" s="18"/>
      <c r="AB98" s="26">
        <f>AVERAGE(V98:AA98)</f>
        <v>0.47293788906116213</v>
      </c>
      <c r="AC98" s="23" t="e">
        <f>SQRT(VAR(V98:AA98))</f>
        <v>#DIV/0!</v>
      </c>
      <c r="AD98" s="10">
        <f>COUNT(V98:AA98)</f>
        <v>1</v>
      </c>
    </row>
    <row r="99" spans="1:30">
      <c r="A99" s="238"/>
      <c r="P99" s="4"/>
      <c r="U99" s="238"/>
    </row>
    <row r="100" spans="1:30" ht="38.25">
      <c r="A100" s="238"/>
      <c r="B100" s="3" t="s">
        <v>316</v>
      </c>
      <c r="C100" s="3" t="s">
        <v>325</v>
      </c>
      <c r="D100" s="11" t="s">
        <v>335</v>
      </c>
      <c r="E100" s="11" t="s">
        <v>333</v>
      </c>
      <c r="F100" s="3" t="s">
        <v>76</v>
      </c>
      <c r="G100" s="3">
        <v>20</v>
      </c>
      <c r="H100" s="3" t="s">
        <v>320</v>
      </c>
      <c r="I100" s="3">
        <v>7.8</v>
      </c>
      <c r="K100" s="2">
        <v>15.36</v>
      </c>
      <c r="P100" s="4">
        <f t="shared" ref="P100:P105" si="60">AVERAGE(J100:O100)</f>
        <v>15.36</v>
      </c>
      <c r="Q100" s="4" t="e">
        <f t="shared" ref="Q100:Q105" si="61">SQRT(VAR(J100:O100))</f>
        <v>#DIV/0!</v>
      </c>
      <c r="R100" s="3">
        <f t="shared" ref="R100:R105" si="62">COUNT(J100:O100)</f>
        <v>1</v>
      </c>
      <c r="U100" s="238"/>
      <c r="W100" s="2">
        <v>14.94</v>
      </c>
      <c r="AB100" s="5">
        <f t="shared" ref="AB100:AB105" si="63">AVERAGE(V100:AA100)</f>
        <v>14.94</v>
      </c>
      <c r="AC100" s="4" t="e">
        <f t="shared" ref="AC100:AC105" si="64">SQRT(VAR(V100:AA100))</f>
        <v>#DIV/0!</v>
      </c>
      <c r="AD100" s="3">
        <f t="shared" ref="AD100:AD105" si="65">COUNT(V100:AA100)</f>
        <v>1</v>
      </c>
    </row>
    <row r="101" spans="1:30" ht="25.5">
      <c r="A101" s="238"/>
      <c r="D101" s="11"/>
      <c r="E101" s="11"/>
      <c r="G101" s="3">
        <v>40</v>
      </c>
      <c r="H101" s="3" t="s">
        <v>320</v>
      </c>
      <c r="I101" s="3">
        <v>7.8</v>
      </c>
      <c r="K101" s="2">
        <f>K100*DL_OH!$W$35</f>
        <v>17.931668808340405</v>
      </c>
      <c r="P101" s="4">
        <f t="shared" si="60"/>
        <v>17.931668808340405</v>
      </c>
      <c r="Q101" s="4" t="e">
        <f t="shared" si="61"/>
        <v>#DIV/0!</v>
      </c>
      <c r="R101" s="3">
        <f t="shared" si="62"/>
        <v>1</v>
      </c>
      <c r="U101" s="238"/>
      <c r="W101" s="2">
        <f>W100*DL_OH!$W$35</f>
        <v>17.441349739362344</v>
      </c>
      <c r="AB101" s="5">
        <f t="shared" si="63"/>
        <v>17.441349739362344</v>
      </c>
      <c r="AC101" s="4" t="e">
        <f t="shared" si="64"/>
        <v>#DIV/0!</v>
      </c>
      <c r="AD101" s="3">
        <f t="shared" si="65"/>
        <v>1</v>
      </c>
    </row>
    <row r="102" spans="1:30" ht="25.5">
      <c r="A102" s="238"/>
      <c r="D102" s="11"/>
      <c r="E102" s="11"/>
      <c r="G102" s="3">
        <v>100</v>
      </c>
      <c r="H102" s="3" t="s">
        <v>320</v>
      </c>
      <c r="I102" s="3">
        <v>7.8</v>
      </c>
      <c r="K102" s="2">
        <f>K100*DL_OH!$AA$35</f>
        <v>19.682027300278822</v>
      </c>
      <c r="P102" s="4">
        <f t="shared" si="60"/>
        <v>19.682027300278822</v>
      </c>
      <c r="Q102" s="4" t="e">
        <f t="shared" si="61"/>
        <v>#DIV/0!</v>
      </c>
      <c r="R102" s="3">
        <f t="shared" si="62"/>
        <v>1</v>
      </c>
      <c r="U102" s="238"/>
      <c r="W102" s="2">
        <f>W100*DL_OH!$AA$35</f>
        <v>19.143846866286822</v>
      </c>
      <c r="AB102" s="5">
        <f t="shared" si="63"/>
        <v>19.143846866286822</v>
      </c>
      <c r="AC102" s="4" t="e">
        <f t="shared" si="64"/>
        <v>#DIV/0!</v>
      </c>
      <c r="AD102" s="3">
        <f t="shared" si="65"/>
        <v>1</v>
      </c>
    </row>
    <row r="103" spans="1:30" ht="25.5">
      <c r="A103" s="238"/>
      <c r="G103" s="3">
        <v>20</v>
      </c>
      <c r="H103" s="10" t="s">
        <v>321</v>
      </c>
      <c r="I103" s="10">
        <v>0.22500000000000001</v>
      </c>
      <c r="J103" s="18"/>
      <c r="K103" s="18">
        <v>0.51400000000000001</v>
      </c>
      <c r="L103" s="18"/>
      <c r="M103" s="18"/>
      <c r="N103" s="18"/>
      <c r="O103" s="18"/>
      <c r="P103" s="23">
        <f t="shared" si="60"/>
        <v>0.51400000000000001</v>
      </c>
      <c r="Q103" s="23" t="e">
        <f t="shared" si="61"/>
        <v>#DIV/0!</v>
      </c>
      <c r="R103" s="10">
        <f t="shared" si="62"/>
        <v>1</v>
      </c>
      <c r="U103" s="238"/>
      <c r="V103" s="18"/>
      <c r="W103" s="18">
        <v>0.51900000000000002</v>
      </c>
      <c r="X103" s="18"/>
      <c r="Y103" s="18"/>
      <c r="Z103" s="18"/>
      <c r="AA103" s="18"/>
      <c r="AB103" s="26">
        <f t="shared" si="63"/>
        <v>0.51900000000000002</v>
      </c>
      <c r="AC103" s="23" t="e">
        <f t="shared" si="64"/>
        <v>#DIV/0!</v>
      </c>
      <c r="AD103" s="10">
        <f t="shared" si="65"/>
        <v>1</v>
      </c>
    </row>
    <row r="104" spans="1:30" ht="25.5">
      <c r="A104" s="238"/>
      <c r="G104" s="3">
        <v>40</v>
      </c>
      <c r="H104" s="10" t="s">
        <v>321</v>
      </c>
      <c r="I104" s="10">
        <v>0.22500000000000001</v>
      </c>
      <c r="J104" s="18"/>
      <c r="K104" s="18">
        <f>K103*DL_OH!$W$35</f>
        <v>0.60005714632076612</v>
      </c>
      <c r="L104" s="18"/>
      <c r="M104" s="18"/>
      <c r="N104" s="18"/>
      <c r="O104" s="18"/>
      <c r="P104" s="23">
        <f t="shared" si="60"/>
        <v>0.60005714632076612</v>
      </c>
      <c r="Q104" s="23" t="e">
        <f t="shared" si="61"/>
        <v>#DIV/0!</v>
      </c>
      <c r="R104" s="10">
        <f t="shared" si="62"/>
        <v>1</v>
      </c>
      <c r="U104" s="238"/>
      <c r="V104" s="18"/>
      <c r="W104" s="18">
        <f>W103*DL_OH!$W$35</f>
        <v>0.6058942780943144</v>
      </c>
      <c r="X104" s="18"/>
      <c r="Y104" s="18"/>
      <c r="Z104" s="18"/>
      <c r="AA104" s="18"/>
      <c r="AB104" s="26">
        <f t="shared" si="63"/>
        <v>0.6058942780943144</v>
      </c>
      <c r="AC104" s="23" t="e">
        <f t="shared" si="64"/>
        <v>#DIV/0!</v>
      </c>
      <c r="AD104" s="10">
        <f t="shared" si="65"/>
        <v>1</v>
      </c>
    </row>
    <row r="105" spans="1:30" ht="25.5">
      <c r="A105" s="238"/>
      <c r="G105" s="3">
        <v>100</v>
      </c>
      <c r="H105" s="10" t="s">
        <v>321</v>
      </c>
      <c r="I105" s="10">
        <v>0.22500000000000001</v>
      </c>
      <c r="J105" s="18"/>
      <c r="K105" s="18">
        <f>K103*DL_OH!$AA$35</f>
        <v>0.65863034064735115</v>
      </c>
      <c r="L105" s="18"/>
      <c r="M105" s="18"/>
      <c r="N105" s="18"/>
      <c r="O105" s="18"/>
      <c r="P105" s="23">
        <f t="shared" si="60"/>
        <v>0.65863034064735115</v>
      </c>
      <c r="Q105" s="23" t="e">
        <f t="shared" si="61"/>
        <v>#DIV/0!</v>
      </c>
      <c r="R105" s="10">
        <f t="shared" si="62"/>
        <v>1</v>
      </c>
      <c r="U105" s="238"/>
      <c r="V105" s="18"/>
      <c r="W105" s="18">
        <f>W103*DL_OH!$AA$35</f>
        <v>0.66503725057582741</v>
      </c>
      <c r="X105" s="18"/>
      <c r="Y105" s="18"/>
      <c r="Z105" s="18"/>
      <c r="AA105" s="18"/>
      <c r="AB105" s="26">
        <f t="shared" si="63"/>
        <v>0.66503725057582741</v>
      </c>
      <c r="AC105" s="23" t="e">
        <f t="shared" si="64"/>
        <v>#DIV/0!</v>
      </c>
      <c r="AD105" s="10">
        <f t="shared" si="65"/>
        <v>1</v>
      </c>
    </row>
    <row r="106" spans="1:30">
      <c r="A106" s="238"/>
      <c r="P106" s="4"/>
      <c r="U106" s="238"/>
    </row>
    <row r="107" spans="1:30" ht="25.5">
      <c r="A107" s="238"/>
      <c r="B107" s="3" t="s">
        <v>316</v>
      </c>
      <c r="C107" s="3" t="s">
        <v>329</v>
      </c>
      <c r="D107" s="11" t="s">
        <v>336</v>
      </c>
      <c r="E107" s="3" t="s">
        <v>319</v>
      </c>
      <c r="F107" s="3" t="s">
        <v>76</v>
      </c>
      <c r="G107" s="3">
        <v>20</v>
      </c>
      <c r="H107" s="3" t="s">
        <v>320</v>
      </c>
      <c r="I107" s="3">
        <v>7.8</v>
      </c>
      <c r="K107" s="2">
        <v>18.28</v>
      </c>
      <c r="P107" s="4">
        <f>AVERAGE(J107:O107)</f>
        <v>18.28</v>
      </c>
      <c r="Q107" s="4" t="e">
        <f>SQRT(VAR(J107:O107))</f>
        <v>#DIV/0!</v>
      </c>
      <c r="R107" s="3">
        <f>COUNT(J107:O107)</f>
        <v>1</v>
      </c>
      <c r="U107" s="238"/>
      <c r="W107" s="2">
        <v>18.12</v>
      </c>
      <c r="AB107" s="5">
        <f>AVERAGE(V107:AA107)</f>
        <v>18.12</v>
      </c>
      <c r="AC107" s="4" t="e">
        <f>SQRT(VAR(V107:AA107))</f>
        <v>#DIV/0!</v>
      </c>
      <c r="AD107" s="3">
        <f>COUNT(V107:AA107)</f>
        <v>1</v>
      </c>
    </row>
    <row r="108" spans="1:30" ht="25.5">
      <c r="A108" s="238"/>
      <c r="D108" s="11"/>
      <c r="G108" s="3">
        <v>40</v>
      </c>
      <c r="H108" s="3" t="s">
        <v>320</v>
      </c>
      <c r="I108" s="3">
        <v>7.8</v>
      </c>
      <c r="K108" s="2">
        <f>K107*DL_OH!$W$20</f>
        <v>20.94800554627675</v>
      </c>
      <c r="P108" s="4">
        <f>AVERAGE(J108:O108)</f>
        <v>20.94800554627675</v>
      </c>
      <c r="Q108" s="4" t="e">
        <f>SQRT(VAR(J108:O108))</f>
        <v>#DIV/0!</v>
      </c>
      <c r="R108" s="3">
        <f>COUNT(J108:O108)</f>
        <v>1</v>
      </c>
      <c r="U108" s="238"/>
      <c r="W108" s="2">
        <f>W107*DL_OH!$W$20</f>
        <v>20.76465320013866</v>
      </c>
      <c r="AB108" s="5">
        <f>AVERAGE(V108:AA108)</f>
        <v>20.76465320013866</v>
      </c>
      <c r="AC108" s="4" t="e">
        <f>SQRT(VAR(V108:AA108))</f>
        <v>#DIV/0!</v>
      </c>
      <c r="AD108" s="3">
        <f>COUNT(V108:AA108)</f>
        <v>1</v>
      </c>
    </row>
    <row r="109" spans="1:30" ht="25.5">
      <c r="A109" s="238"/>
      <c r="G109" s="3">
        <v>20</v>
      </c>
      <c r="H109" s="10" t="s">
        <v>321</v>
      </c>
      <c r="I109" s="10">
        <v>0.22500000000000001</v>
      </c>
      <c r="J109" s="18"/>
      <c r="K109" s="18">
        <v>0.71299999999999997</v>
      </c>
      <c r="L109" s="18"/>
      <c r="M109" s="18"/>
      <c r="N109" s="18"/>
      <c r="O109" s="18"/>
      <c r="P109" s="23">
        <f>AVERAGE(J109:O109)</f>
        <v>0.71299999999999997</v>
      </c>
      <c r="Q109" s="23" t="e">
        <f>SQRT(VAR(J109:O109))</f>
        <v>#DIV/0!</v>
      </c>
      <c r="R109" s="10">
        <f>COUNT(J109:O109)</f>
        <v>1</v>
      </c>
      <c r="U109" s="238"/>
      <c r="V109" s="18"/>
      <c r="W109" s="18">
        <v>0.71599999999999997</v>
      </c>
      <c r="X109" s="18"/>
      <c r="Y109" s="18"/>
      <c r="Z109" s="18"/>
      <c r="AA109" s="18"/>
      <c r="AB109" s="26">
        <f>AVERAGE(V109:AA109)</f>
        <v>0.71599999999999997</v>
      </c>
      <c r="AC109" s="23" t="e">
        <f>SQRT(VAR(V109:AA109))</f>
        <v>#DIV/0!</v>
      </c>
      <c r="AD109" s="10">
        <f>COUNT(V109:AA109)</f>
        <v>1</v>
      </c>
    </row>
    <row r="110" spans="1:30" ht="25.5">
      <c r="A110" s="238"/>
      <c r="G110" s="3">
        <v>40</v>
      </c>
      <c r="H110" s="10" t="s">
        <v>321</v>
      </c>
      <c r="I110" s="10">
        <v>0.22500000000000001</v>
      </c>
      <c r="J110" s="18"/>
      <c r="K110" s="18">
        <f>K109*DL_OH!$W$20</f>
        <v>0.81706389247786226</v>
      </c>
      <c r="L110" s="18"/>
      <c r="M110" s="18"/>
      <c r="N110" s="18"/>
      <c r="O110" s="18"/>
      <c r="P110" s="23">
        <f>AVERAGE(J110:O110)</f>
        <v>0.81706389247786226</v>
      </c>
      <c r="Q110" s="23" t="e">
        <f>SQRT(VAR(J110:O110))</f>
        <v>#DIV/0!</v>
      </c>
      <c r="R110" s="10">
        <f>COUNT(J110:O110)</f>
        <v>1</v>
      </c>
      <c r="U110" s="238"/>
      <c r="V110" s="18"/>
      <c r="W110" s="18">
        <f>W109*DL_OH!$W$20</f>
        <v>0.82050174896795147</v>
      </c>
      <c r="X110" s="18"/>
      <c r="Y110" s="18"/>
      <c r="Z110" s="18"/>
      <c r="AA110" s="18"/>
      <c r="AB110" s="26">
        <f>AVERAGE(V110:AA110)</f>
        <v>0.82050174896795147</v>
      </c>
      <c r="AC110" s="23" t="e">
        <f>SQRT(VAR(V110:AA110))</f>
        <v>#DIV/0!</v>
      </c>
      <c r="AD110" s="10">
        <f>COUNT(V110:AA110)</f>
        <v>1</v>
      </c>
    </row>
    <row r="111" spans="1:30">
      <c r="A111" s="238"/>
      <c r="P111" s="4"/>
      <c r="U111" s="238"/>
    </row>
    <row r="112" spans="1:30" ht="25.5">
      <c r="A112" s="238"/>
      <c r="B112" s="3" t="s">
        <v>316</v>
      </c>
      <c r="C112" s="3" t="s">
        <v>337</v>
      </c>
      <c r="D112" s="11" t="s">
        <v>338</v>
      </c>
      <c r="E112" s="3" t="s">
        <v>319</v>
      </c>
      <c r="F112" s="3" t="s">
        <v>76</v>
      </c>
      <c r="G112" s="3">
        <v>20</v>
      </c>
      <c r="H112" s="3" t="s">
        <v>320</v>
      </c>
      <c r="I112" s="3">
        <v>7.8</v>
      </c>
      <c r="K112" s="2">
        <v>18.93</v>
      </c>
      <c r="P112" s="4">
        <f>AVERAGE(J112:O112)</f>
        <v>18.93</v>
      </c>
      <c r="Q112" s="4" t="e">
        <f>SQRT(VAR(J112:O112))</f>
        <v>#DIV/0!</v>
      </c>
      <c r="R112" s="3">
        <f>COUNT(J112:O112)</f>
        <v>1</v>
      </c>
      <c r="U112" s="238"/>
      <c r="W112" s="2">
        <v>18.91</v>
      </c>
      <c r="AB112" s="5">
        <f>AVERAGE(V112:AA112)</f>
        <v>18.91</v>
      </c>
      <c r="AC112" s="4" t="e">
        <f>SQRT(VAR(V112:AA112))</f>
        <v>#DIV/0!</v>
      </c>
      <c r="AD112" s="3">
        <f>COUNT(V112:AA112)</f>
        <v>1</v>
      </c>
    </row>
    <row r="113" spans="1:30" ht="25.5">
      <c r="A113" s="238"/>
      <c r="D113" s="11"/>
      <c r="G113" s="3">
        <v>40</v>
      </c>
      <c r="H113" s="3" t="s">
        <v>320</v>
      </c>
      <c r="I113" s="3">
        <v>7.8</v>
      </c>
      <c r="K113" s="2">
        <f>K112*DL_OH!$W$20</f>
        <v>21.692874452462739</v>
      </c>
      <c r="P113" s="4">
        <f>AVERAGE(J113:O113)</f>
        <v>21.692874452462739</v>
      </c>
      <c r="Q113" s="4" t="e">
        <f>SQRT(VAR(J113:O113))</f>
        <v>#DIV/0!</v>
      </c>
      <c r="R113" s="3">
        <f>COUNT(J113:O113)</f>
        <v>1</v>
      </c>
      <c r="U113" s="238"/>
      <c r="W113" s="2">
        <f>W112*DL_OH!$W$20</f>
        <v>21.669955409195477</v>
      </c>
      <c r="AB113" s="5">
        <f>AVERAGE(V113:AA113)</f>
        <v>21.669955409195477</v>
      </c>
      <c r="AC113" s="4" t="e">
        <f>SQRT(VAR(V113:AA113))</f>
        <v>#DIV/0!</v>
      </c>
      <c r="AD113" s="3">
        <f>COUNT(V113:AA113)</f>
        <v>1</v>
      </c>
    </row>
    <row r="114" spans="1:30" ht="25.5">
      <c r="A114" s="238"/>
      <c r="G114" s="3">
        <v>20</v>
      </c>
      <c r="H114" s="10" t="s">
        <v>321</v>
      </c>
      <c r="I114" s="10">
        <v>0.22500000000000001</v>
      </c>
      <c r="J114" s="18"/>
      <c r="K114" s="18">
        <v>0.76</v>
      </c>
      <c r="L114" s="18"/>
      <c r="M114" s="18"/>
      <c r="N114" s="18"/>
      <c r="O114" s="18"/>
      <c r="P114" s="23">
        <f>AVERAGE(J114:O114)</f>
        <v>0.76</v>
      </c>
      <c r="Q114" s="23" t="e">
        <f>SQRT(VAR(J114:O114))</f>
        <v>#DIV/0!</v>
      </c>
      <c r="R114" s="10">
        <f>COUNT(J114:O114)</f>
        <v>1</v>
      </c>
      <c r="U114" s="238"/>
      <c r="V114" s="18"/>
      <c r="W114" s="18">
        <v>0.81399999999999995</v>
      </c>
      <c r="X114" s="18"/>
      <c r="Y114" s="18"/>
      <c r="Z114" s="18"/>
      <c r="AA114" s="18"/>
      <c r="AB114" s="26">
        <f>AVERAGE(V114:AA114)</f>
        <v>0.81399999999999995</v>
      </c>
      <c r="AC114" s="23" t="e">
        <f>SQRT(VAR(V114:AA114))</f>
        <v>#DIV/0!</v>
      </c>
      <c r="AD114" s="10">
        <f>COUNT(V114:AA114)</f>
        <v>1</v>
      </c>
    </row>
    <row r="115" spans="1:30" ht="25.5">
      <c r="A115" s="238"/>
      <c r="G115" s="3">
        <v>40</v>
      </c>
      <c r="H115" s="10" t="s">
        <v>321</v>
      </c>
      <c r="I115" s="10">
        <v>0.22500000000000001</v>
      </c>
      <c r="J115" s="18"/>
      <c r="K115" s="18">
        <f>K114*DL_OH!$W$20</f>
        <v>0.87092364415592616</v>
      </c>
      <c r="L115" s="18"/>
      <c r="M115" s="18"/>
      <c r="N115" s="18"/>
      <c r="O115" s="18"/>
      <c r="P115" s="23">
        <f>AVERAGE(J115:O115)</f>
        <v>0.87092364415592616</v>
      </c>
      <c r="Q115" s="23" t="e">
        <f>SQRT(VAR(J115:O115))</f>
        <v>#DIV/0!</v>
      </c>
      <c r="R115" s="10">
        <f>COUNT(J115:O115)</f>
        <v>1</v>
      </c>
      <c r="U115" s="238"/>
      <c r="V115" s="18"/>
      <c r="W115" s="18">
        <f>W114*DL_OH!$W$20</f>
        <v>0.93280506097753135</v>
      </c>
      <c r="X115" s="18"/>
      <c r="Y115" s="18"/>
      <c r="Z115" s="18"/>
      <c r="AA115" s="18"/>
      <c r="AB115" s="26">
        <f>AVERAGE(V115:AA115)</f>
        <v>0.93280506097753135</v>
      </c>
      <c r="AC115" s="23" t="e">
        <f>SQRT(VAR(V115:AA115))</f>
        <v>#DIV/0!</v>
      </c>
      <c r="AD115" s="10">
        <f>COUNT(V115:AA115)</f>
        <v>1</v>
      </c>
    </row>
    <row r="116" spans="1:30">
      <c r="A116" s="238"/>
      <c r="P116" s="4"/>
      <c r="U116" s="238"/>
    </row>
    <row r="117" spans="1:30" ht="25.5">
      <c r="A117" s="238"/>
      <c r="B117" s="3" t="s">
        <v>316</v>
      </c>
      <c r="C117" s="3" t="s">
        <v>329</v>
      </c>
      <c r="D117" s="11" t="s">
        <v>336</v>
      </c>
      <c r="E117" s="11" t="s">
        <v>333</v>
      </c>
      <c r="F117" s="3" t="s">
        <v>76</v>
      </c>
      <c r="G117" s="3">
        <v>20</v>
      </c>
      <c r="H117" s="3" t="s">
        <v>320</v>
      </c>
      <c r="I117" s="3">
        <v>7.8</v>
      </c>
      <c r="K117" s="2">
        <v>17.71</v>
      </c>
      <c r="O117" s="2">
        <f>17.07*DL_OH!S24</f>
        <v>16.582285714285703</v>
      </c>
      <c r="P117" s="4">
        <f t="shared" ref="P117:P122" si="66">AVERAGE(J117:O117)</f>
        <v>17.146142857142852</v>
      </c>
      <c r="Q117" s="4">
        <f t="shared" ref="Q117:Q122" si="67">SQRT(VAR(J117:O117))</f>
        <v>0.79741441866952356</v>
      </c>
      <c r="R117" s="3">
        <f t="shared" ref="R117:R122" si="68">COUNT(J117:O117)</f>
        <v>2</v>
      </c>
      <c r="U117" s="238"/>
      <c r="W117" s="2">
        <v>17.57</v>
      </c>
      <c r="Z117" s="2">
        <f>16.88*DL_OH!S24</f>
        <v>16.397714285714276</v>
      </c>
      <c r="AB117" s="5">
        <f t="shared" ref="AB117:AB122" si="69">AVERAGE(V117:AA117)</f>
        <v>16.98385714285714</v>
      </c>
      <c r="AC117" s="4">
        <f t="shared" ref="AC117:AC122" si="70">SQRT(VAR(V117:AA117))</f>
        <v>0.8289311780595513</v>
      </c>
      <c r="AD117" s="3">
        <f t="shared" ref="AD117:AD122" si="71">COUNT(V117:AA117)</f>
        <v>2</v>
      </c>
    </row>
    <row r="118" spans="1:30" ht="25.5">
      <c r="A118" s="238"/>
      <c r="D118" s="11"/>
      <c r="E118" s="11"/>
      <c r="G118" s="3">
        <v>40</v>
      </c>
      <c r="H118" s="3" t="s">
        <v>320</v>
      </c>
      <c r="I118" s="3">
        <v>7.8</v>
      </c>
      <c r="K118" s="2">
        <f>K117*DL_OH!$W$36</f>
        <v>20.705469194041097</v>
      </c>
      <c r="O118" s="2">
        <f>O117*DL_OH!$W$34</f>
        <v>19.697860698902804</v>
      </c>
      <c r="P118" s="4">
        <f t="shared" si="66"/>
        <v>20.201664946471951</v>
      </c>
      <c r="Q118" s="4">
        <f t="shared" si="67"/>
        <v>0.71248679969345896</v>
      </c>
      <c r="R118" s="3">
        <f t="shared" si="68"/>
        <v>2</v>
      </c>
      <c r="U118" s="238"/>
      <c r="W118" s="2">
        <f>W117*DL_OH!$W$36</f>
        <v>20.541789595669229</v>
      </c>
      <c r="Z118" s="2">
        <f>Z117*DL_OH!$W$34</f>
        <v>19.478610931311035</v>
      </c>
      <c r="AB118" s="5">
        <f t="shared" si="69"/>
        <v>20.010200263490134</v>
      </c>
      <c r="AC118" s="4">
        <f t="shared" si="70"/>
        <v>0.75178084318053529</v>
      </c>
      <c r="AD118" s="3">
        <f t="shared" si="71"/>
        <v>2</v>
      </c>
    </row>
    <row r="119" spans="1:30" ht="25.5">
      <c r="A119" s="238"/>
      <c r="D119" s="11"/>
      <c r="E119" s="11"/>
      <c r="G119" s="3">
        <v>100</v>
      </c>
      <c r="H119" s="3" t="s">
        <v>320</v>
      </c>
      <c r="I119" s="3">
        <v>7.8</v>
      </c>
      <c r="K119" s="2">
        <f>K117*DL_OH!$AA$36</f>
        <v>22.743171469988454</v>
      </c>
      <c r="O119" s="2">
        <f>O117*DL_OH!$AA$34</f>
        <v>21.805654697576283</v>
      </c>
      <c r="P119" s="4">
        <f t="shared" si="66"/>
        <v>22.27441308378237</v>
      </c>
      <c r="Q119" s="4">
        <f t="shared" si="67"/>
        <v>0.66292446724877074</v>
      </c>
      <c r="R119" s="3">
        <f t="shared" si="68"/>
        <v>2</v>
      </c>
      <c r="U119" s="238"/>
      <c r="W119" s="2">
        <f>W117*DL_OH!$AA$36</f>
        <v>22.563383553229652</v>
      </c>
      <c r="Z119" s="2">
        <f>Z117*DL_OH!$AA$34</f>
        <v>21.562943836853407</v>
      </c>
      <c r="AB119" s="5">
        <f t="shared" si="69"/>
        <v>22.063163695041531</v>
      </c>
      <c r="AC119" s="4">
        <f t="shared" si="70"/>
        <v>0.7074177076179895</v>
      </c>
      <c r="AD119" s="3">
        <f t="shared" si="71"/>
        <v>2</v>
      </c>
    </row>
    <row r="120" spans="1:30" ht="25.5">
      <c r="A120" s="238"/>
      <c r="G120" s="3">
        <v>20</v>
      </c>
      <c r="H120" s="10" t="s">
        <v>321</v>
      </c>
      <c r="I120" s="10">
        <v>0.22500000000000001</v>
      </c>
      <c r="J120" s="18"/>
      <c r="K120" s="18">
        <v>0.70099999999999996</v>
      </c>
      <c r="L120" s="18"/>
      <c r="M120" s="18"/>
      <c r="N120" s="18"/>
      <c r="O120" s="18">
        <f>0.6*DL_OH!S24</f>
        <v>0.58285714285714252</v>
      </c>
      <c r="P120" s="23">
        <f t="shared" si="66"/>
        <v>0.64192857142857118</v>
      </c>
      <c r="Q120" s="23">
        <f t="shared" si="67"/>
        <v>8.3539615434468042E-2</v>
      </c>
      <c r="R120" s="10">
        <f t="shared" si="68"/>
        <v>2</v>
      </c>
      <c r="U120" s="238"/>
      <c r="V120" s="18"/>
      <c r="W120" s="18">
        <v>0.71599999999999997</v>
      </c>
      <c r="X120" s="18"/>
      <c r="Y120" s="18"/>
      <c r="Z120" s="18">
        <f>0.57*DL_OH!S24</f>
        <v>0.55371428571428538</v>
      </c>
      <c r="AA120" s="18"/>
      <c r="AB120" s="26">
        <f t="shared" si="69"/>
        <v>0.63485714285714268</v>
      </c>
      <c r="AC120" s="23">
        <f t="shared" si="70"/>
        <v>0.1147533290611318</v>
      </c>
      <c r="AD120" s="10">
        <f t="shared" si="71"/>
        <v>2</v>
      </c>
    </row>
    <row r="121" spans="1:30" ht="25.5">
      <c r="A121" s="238"/>
      <c r="G121" s="3">
        <v>40</v>
      </c>
      <c r="H121" s="10" t="s">
        <v>321</v>
      </c>
      <c r="I121" s="10">
        <v>0.22500000000000001</v>
      </c>
      <c r="J121" s="18"/>
      <c r="K121" s="18">
        <f>K120*DL_OH!$W$36</f>
        <v>0.81956713184770225</v>
      </c>
      <c r="L121" s="18"/>
      <c r="M121" s="18"/>
      <c r="N121" s="18"/>
      <c r="O121" s="18">
        <f>O120*DL_OH!$W$34</f>
        <v>0.69236768713190877</v>
      </c>
      <c r="P121" s="23">
        <f t="shared" si="66"/>
        <v>0.75596740948980545</v>
      </c>
      <c r="Q121" s="23">
        <f t="shared" si="67"/>
        <v>8.9943589921700928E-2</v>
      </c>
      <c r="R121" s="10">
        <f t="shared" si="68"/>
        <v>2</v>
      </c>
      <c r="U121" s="238"/>
      <c r="V121" s="18"/>
      <c r="W121" s="18">
        <f>W120*DL_OH!$W$36</f>
        <v>0.83710423167325942</v>
      </c>
      <c r="X121" s="18"/>
      <c r="Y121" s="18"/>
      <c r="Z121" s="18">
        <f>Z120*DL_OH!$W$34</f>
        <v>0.65774930277531329</v>
      </c>
      <c r="AA121" s="18"/>
      <c r="AB121" s="26">
        <f t="shared" si="69"/>
        <v>0.74742676722428636</v>
      </c>
      <c r="AC121" s="23">
        <f t="shared" si="70"/>
        <v>0.1268230864629688</v>
      </c>
      <c r="AD121" s="10">
        <f t="shared" si="71"/>
        <v>2</v>
      </c>
    </row>
    <row r="122" spans="1:30" ht="25.5">
      <c r="A122" s="238"/>
      <c r="G122" s="3">
        <v>100</v>
      </c>
      <c r="H122" s="10" t="s">
        <v>321</v>
      </c>
      <c r="I122" s="10">
        <v>0.22500000000000001</v>
      </c>
      <c r="J122" s="18"/>
      <c r="K122" s="18">
        <f>K120*DL_OH!$AA$36</f>
        <v>0.90022378319942997</v>
      </c>
      <c r="L122" s="18"/>
      <c r="M122" s="18"/>
      <c r="N122" s="18"/>
      <c r="O122" s="18">
        <f>O120*DL_OH!$AA$34</f>
        <v>0.76645534965118756</v>
      </c>
      <c r="P122" s="23">
        <f t="shared" si="66"/>
        <v>0.83333956642530871</v>
      </c>
      <c r="Q122" s="23">
        <f t="shared" si="67"/>
        <v>9.4588566470664284E-2</v>
      </c>
      <c r="R122" s="10">
        <f t="shared" si="68"/>
        <v>2</v>
      </c>
      <c r="U122" s="238"/>
      <c r="V122" s="18"/>
      <c r="W122" s="18">
        <f>W120*DL_OH!$AA$36</f>
        <v>0.91948677428073022</v>
      </c>
      <c r="X122" s="18"/>
      <c r="Y122" s="18"/>
      <c r="Z122" s="18">
        <f>Z120*DL_OH!$AA$34</f>
        <v>0.72813258216862808</v>
      </c>
      <c r="AA122" s="18"/>
      <c r="AB122" s="26">
        <f t="shared" si="69"/>
        <v>0.8238096782246791</v>
      </c>
      <c r="AC122" s="23">
        <f t="shared" si="70"/>
        <v>0.13530784685094169</v>
      </c>
      <c r="AD122" s="10">
        <f t="shared" si="71"/>
        <v>2</v>
      </c>
    </row>
    <row r="123" spans="1:30">
      <c r="A123" s="238"/>
      <c r="P123" s="4"/>
      <c r="U123" s="238"/>
    </row>
    <row r="124" spans="1:30" ht="25.5">
      <c r="A124" s="238"/>
      <c r="B124" s="3" t="s">
        <v>316</v>
      </c>
      <c r="C124" s="3" t="s">
        <v>337</v>
      </c>
      <c r="D124" s="11" t="s">
        <v>338</v>
      </c>
      <c r="E124" s="11" t="s">
        <v>333</v>
      </c>
      <c r="F124" s="3" t="s">
        <v>76</v>
      </c>
      <c r="G124" s="3">
        <v>20</v>
      </c>
      <c r="H124" s="3" t="s">
        <v>320</v>
      </c>
      <c r="I124" s="3">
        <v>7.8</v>
      </c>
      <c r="K124" s="2">
        <v>18.32</v>
      </c>
      <c r="P124" s="4">
        <f t="shared" ref="P124:P129" si="72">AVERAGE(J124:O124)</f>
        <v>18.32</v>
      </c>
      <c r="Q124" s="4" t="e">
        <f t="shared" ref="Q124:Q129" si="73">SQRT(VAR(J124:O124))</f>
        <v>#DIV/0!</v>
      </c>
      <c r="R124" s="3">
        <f t="shared" ref="R124:R129" si="74">COUNT(J124:O124)</f>
        <v>1</v>
      </c>
      <c r="U124" s="238"/>
      <c r="W124" s="2">
        <v>18.34</v>
      </c>
      <c r="AB124" s="5">
        <f t="shared" ref="AB124:AB129" si="75">AVERAGE(V124:AA124)</f>
        <v>18.34</v>
      </c>
      <c r="AC124" s="4" t="e">
        <f t="shared" ref="AC124:AC129" si="76">SQRT(VAR(V124:AA124))</f>
        <v>#DIV/0!</v>
      </c>
      <c r="AD124" s="3">
        <f t="shared" ref="AD124:AD129" si="77">COUNT(V124:AA124)</f>
        <v>1</v>
      </c>
    </row>
    <row r="125" spans="1:30" ht="25.5">
      <c r="A125" s="238"/>
      <c r="D125" s="11"/>
      <c r="E125" s="11"/>
      <c r="G125" s="3">
        <v>40</v>
      </c>
      <c r="H125" s="3" t="s">
        <v>320</v>
      </c>
      <c r="I125" s="3">
        <v>7.8</v>
      </c>
      <c r="K125" s="2">
        <f>K124*DL_OH!$W$36</f>
        <v>21.418644586947085</v>
      </c>
      <c r="P125" s="4">
        <f t="shared" si="72"/>
        <v>21.418644586947085</v>
      </c>
      <c r="Q125" s="4" t="e">
        <f t="shared" si="73"/>
        <v>#DIV/0!</v>
      </c>
      <c r="R125" s="3">
        <f t="shared" si="74"/>
        <v>1</v>
      </c>
      <c r="U125" s="238"/>
      <c r="W125" s="2">
        <f>W124*DL_OH!$W$36</f>
        <v>21.442027386714493</v>
      </c>
      <c r="AB125" s="5">
        <f t="shared" si="75"/>
        <v>21.442027386714493</v>
      </c>
      <c r="AC125" s="4" t="e">
        <f t="shared" si="76"/>
        <v>#DIV/0!</v>
      </c>
      <c r="AD125" s="3">
        <f t="shared" si="77"/>
        <v>1</v>
      </c>
    </row>
    <row r="126" spans="1:30" ht="25.5">
      <c r="A126" s="238"/>
      <c r="D126" s="11"/>
      <c r="E126" s="11"/>
      <c r="G126" s="3">
        <v>100</v>
      </c>
      <c r="H126" s="3" t="s">
        <v>320</v>
      </c>
      <c r="I126" s="3">
        <v>7.8</v>
      </c>
      <c r="K126" s="2">
        <f>K124*DL_OH!$AA$36</f>
        <v>23.526533107294664</v>
      </c>
      <c r="P126" s="4">
        <f t="shared" si="72"/>
        <v>23.526533107294664</v>
      </c>
      <c r="Q126" s="4" t="e">
        <f t="shared" si="73"/>
        <v>#DIV/0!</v>
      </c>
      <c r="R126" s="3">
        <f t="shared" si="74"/>
        <v>1</v>
      </c>
      <c r="U126" s="238"/>
      <c r="W126" s="2">
        <f>W124*DL_OH!$AA$36</f>
        <v>23.552217095403062</v>
      </c>
      <c r="AB126" s="5">
        <f t="shared" si="75"/>
        <v>23.552217095403062</v>
      </c>
      <c r="AC126" s="4" t="e">
        <f t="shared" si="76"/>
        <v>#DIV/0!</v>
      </c>
      <c r="AD126" s="3">
        <f t="shared" si="77"/>
        <v>1</v>
      </c>
    </row>
    <row r="127" spans="1:30" ht="25.5">
      <c r="A127" s="238"/>
      <c r="G127" s="3">
        <v>20</v>
      </c>
      <c r="H127" s="10" t="s">
        <v>321</v>
      </c>
      <c r="I127" s="10">
        <v>0.22500000000000001</v>
      </c>
      <c r="J127" s="18"/>
      <c r="K127" s="18">
        <v>0.748</v>
      </c>
      <c r="L127" s="18"/>
      <c r="M127" s="18"/>
      <c r="N127" s="18"/>
      <c r="O127" s="18"/>
      <c r="P127" s="23">
        <f t="shared" si="72"/>
        <v>0.748</v>
      </c>
      <c r="Q127" s="23" t="e">
        <f t="shared" si="73"/>
        <v>#DIV/0!</v>
      </c>
      <c r="R127" s="10">
        <f t="shared" si="74"/>
        <v>1</v>
      </c>
      <c r="U127" s="238"/>
      <c r="V127" s="18"/>
      <c r="W127" s="18">
        <v>0.78700000000000003</v>
      </c>
      <c r="X127" s="18"/>
      <c r="Y127" s="18"/>
      <c r="Z127" s="18"/>
      <c r="AA127" s="18"/>
      <c r="AB127" s="26">
        <f t="shared" si="75"/>
        <v>0.78700000000000003</v>
      </c>
      <c r="AC127" s="23" t="e">
        <f t="shared" si="76"/>
        <v>#DIV/0!</v>
      </c>
      <c r="AD127" s="10">
        <f t="shared" si="77"/>
        <v>1</v>
      </c>
    </row>
    <row r="128" spans="1:30" ht="25.5">
      <c r="A128" s="238"/>
      <c r="G128" s="3">
        <v>40</v>
      </c>
      <c r="H128" s="10" t="s">
        <v>321</v>
      </c>
      <c r="I128" s="10">
        <v>0.22500000000000001</v>
      </c>
      <c r="J128" s="18"/>
      <c r="K128" s="18">
        <f>K127*DL_OH!$W$36</f>
        <v>0.87451671130111464</v>
      </c>
      <c r="L128" s="18"/>
      <c r="M128" s="18"/>
      <c r="N128" s="18"/>
      <c r="O128" s="18"/>
      <c r="P128" s="23">
        <f t="shared" si="72"/>
        <v>0.87451671130111464</v>
      </c>
      <c r="Q128" s="23" t="e">
        <f t="shared" si="73"/>
        <v>#DIV/0!</v>
      </c>
      <c r="R128" s="10">
        <f t="shared" si="74"/>
        <v>1</v>
      </c>
      <c r="U128" s="238"/>
      <c r="V128" s="18"/>
      <c r="W128" s="18">
        <f>W127*DL_OH!$W$36</f>
        <v>0.92011317084756317</v>
      </c>
      <c r="X128" s="18"/>
      <c r="Y128" s="18"/>
      <c r="Z128" s="18"/>
      <c r="AA128" s="18"/>
      <c r="AB128" s="26">
        <f t="shared" si="75"/>
        <v>0.92011317084756317</v>
      </c>
      <c r="AC128" s="23" t="e">
        <f t="shared" si="76"/>
        <v>#DIV/0!</v>
      </c>
      <c r="AD128" s="10">
        <f t="shared" si="77"/>
        <v>1</v>
      </c>
    </row>
    <row r="129" spans="1:30" ht="25.5">
      <c r="A129" s="238"/>
      <c r="G129" s="3">
        <v>100</v>
      </c>
      <c r="H129" s="10" t="s">
        <v>321</v>
      </c>
      <c r="I129" s="10">
        <v>0.22500000000000001</v>
      </c>
      <c r="J129" s="18"/>
      <c r="K129" s="18">
        <f>K127*DL_OH!$AA$36</f>
        <v>0.96058115525417076</v>
      </c>
      <c r="L129" s="18"/>
      <c r="M129" s="18"/>
      <c r="N129" s="18"/>
      <c r="O129" s="18"/>
      <c r="P129" s="23">
        <f t="shared" si="72"/>
        <v>0.96058115525417076</v>
      </c>
      <c r="Q129" s="23" t="e">
        <f t="shared" si="73"/>
        <v>#DIV/0!</v>
      </c>
      <c r="R129" s="10">
        <f t="shared" si="74"/>
        <v>1</v>
      </c>
      <c r="U129" s="238"/>
      <c r="V129" s="18"/>
      <c r="W129" s="18">
        <f>W127*DL_OH!$AA$36</f>
        <v>1.0106649320655514</v>
      </c>
      <c r="X129" s="18"/>
      <c r="Y129" s="18"/>
      <c r="Z129" s="18"/>
      <c r="AA129" s="18"/>
      <c r="AB129" s="26">
        <f t="shared" si="75"/>
        <v>1.0106649320655514</v>
      </c>
      <c r="AC129" s="23" t="e">
        <f t="shared" si="76"/>
        <v>#DIV/0!</v>
      </c>
      <c r="AD129" s="10">
        <f t="shared" si="77"/>
        <v>1</v>
      </c>
    </row>
    <row r="130" spans="1:30">
      <c r="A130" s="238"/>
      <c r="P130" s="4"/>
      <c r="U130" s="238"/>
    </row>
    <row r="131" spans="1:30" ht="36" customHeight="1">
      <c r="A131" s="238"/>
      <c r="B131" s="3" t="s">
        <v>316</v>
      </c>
      <c r="C131" s="3" t="s">
        <v>339</v>
      </c>
      <c r="D131" s="11" t="s">
        <v>340</v>
      </c>
      <c r="E131" s="3" t="s">
        <v>319</v>
      </c>
      <c r="F131" s="171" t="s">
        <v>379</v>
      </c>
      <c r="G131" s="3">
        <v>20</v>
      </c>
      <c r="H131" s="3" t="s">
        <v>320</v>
      </c>
      <c r="I131" s="3">
        <v>7.8</v>
      </c>
      <c r="P131" s="4" t="e">
        <f>AVERAGE(J131:O131)</f>
        <v>#DIV/0!</v>
      </c>
      <c r="Q131" s="4" t="e">
        <f>SQRT(VAR(J131:O131))</f>
        <v>#DIV/0!</v>
      </c>
      <c r="R131" s="3">
        <f>COUNT(J131:O131)</f>
        <v>0</v>
      </c>
      <c r="U131" s="238"/>
      <c r="AB131" s="5" t="e">
        <f>AVERAGE(V131:AA131)</f>
        <v>#DIV/0!</v>
      </c>
      <c r="AC131" s="4" t="e">
        <f>SQRT(VAR(V131:AA131))</f>
        <v>#DIV/0!</v>
      </c>
      <c r="AD131" s="3">
        <f>COUNT(V131:AA131)</f>
        <v>0</v>
      </c>
    </row>
    <row r="132" spans="1:30" ht="36" customHeight="1">
      <c r="A132" s="238"/>
      <c r="D132" s="11"/>
      <c r="G132" s="3">
        <v>40</v>
      </c>
      <c r="H132" s="3" t="s">
        <v>320</v>
      </c>
      <c r="I132" s="3">
        <v>7.8</v>
      </c>
      <c r="P132" s="4" t="e">
        <f>AVERAGE(J132:O132)</f>
        <v>#DIV/0!</v>
      </c>
      <c r="Q132" s="4" t="e">
        <f>SQRT(VAR(J132:O132))</f>
        <v>#DIV/0!</v>
      </c>
      <c r="R132" s="3">
        <f>COUNT(J132:O132)</f>
        <v>0</v>
      </c>
      <c r="U132" s="238"/>
      <c r="AB132" s="5" t="e">
        <f>AVERAGE(V132:AA132)</f>
        <v>#DIV/0!</v>
      </c>
      <c r="AC132" s="4" t="e">
        <f>SQRT(VAR(V132:AA132))</f>
        <v>#DIV/0!</v>
      </c>
      <c r="AD132" s="3">
        <f>COUNT(V132:AA132)</f>
        <v>0</v>
      </c>
    </row>
    <row r="133" spans="1:30" ht="25.5">
      <c r="A133" s="238"/>
      <c r="G133" s="3">
        <v>20</v>
      </c>
      <c r="H133" s="10" t="s">
        <v>321</v>
      </c>
      <c r="I133" s="10">
        <v>0.22500000000000001</v>
      </c>
      <c r="J133" s="18"/>
      <c r="K133" s="18"/>
      <c r="L133" s="18"/>
      <c r="M133" s="18"/>
      <c r="N133" s="18"/>
      <c r="O133" s="18"/>
      <c r="P133" s="23" t="e">
        <f>AVERAGE(J133:O133)</f>
        <v>#DIV/0!</v>
      </c>
      <c r="Q133" s="23" t="e">
        <f>SQRT(VAR(J133:O133))</f>
        <v>#DIV/0!</v>
      </c>
      <c r="R133" s="10">
        <f>COUNT(J133:O133)</f>
        <v>0</v>
      </c>
      <c r="U133" s="238"/>
      <c r="V133" s="18"/>
      <c r="W133" s="18"/>
      <c r="X133" s="18"/>
      <c r="Y133" s="18"/>
      <c r="Z133" s="18"/>
      <c r="AA133" s="18"/>
      <c r="AB133" s="26" t="e">
        <f>AVERAGE(V133:AA133)</f>
        <v>#DIV/0!</v>
      </c>
      <c r="AC133" s="23" t="e">
        <f>SQRT(VAR(V133:AA133))</f>
        <v>#DIV/0!</v>
      </c>
      <c r="AD133" s="10">
        <f>COUNT(V133:AA133)</f>
        <v>0</v>
      </c>
    </row>
    <row r="134" spans="1:30" ht="25.5">
      <c r="A134" s="238"/>
      <c r="G134" s="3">
        <v>40</v>
      </c>
      <c r="H134" s="10" t="s">
        <v>321</v>
      </c>
      <c r="I134" s="10">
        <v>0.22500000000000001</v>
      </c>
      <c r="J134" s="18"/>
      <c r="K134" s="18"/>
      <c r="L134" s="18"/>
      <c r="M134" s="18"/>
      <c r="N134" s="18"/>
      <c r="O134" s="18"/>
      <c r="P134" s="23" t="e">
        <f>AVERAGE(J134:O134)</f>
        <v>#DIV/0!</v>
      </c>
      <c r="Q134" s="23" t="e">
        <f>SQRT(VAR(J134:O134))</f>
        <v>#DIV/0!</v>
      </c>
      <c r="R134" s="10">
        <f>COUNT(J134:O134)</f>
        <v>0</v>
      </c>
      <c r="U134" s="238"/>
      <c r="V134" s="18"/>
      <c r="W134" s="18"/>
      <c r="X134" s="18"/>
      <c r="Y134" s="18"/>
      <c r="Z134" s="18"/>
      <c r="AA134" s="18"/>
      <c r="AB134" s="26" t="e">
        <f>AVERAGE(V134:AA134)</f>
        <v>#DIV/0!</v>
      </c>
      <c r="AC134" s="23" t="e">
        <f>SQRT(VAR(V134:AA134))</f>
        <v>#DIV/0!</v>
      </c>
      <c r="AD134" s="10">
        <f>COUNT(V134:AA134)</f>
        <v>0</v>
      </c>
    </row>
    <row r="135" spans="1:30">
      <c r="A135" s="238"/>
      <c r="P135" s="4"/>
      <c r="U135" s="238"/>
    </row>
    <row r="136" spans="1:30" ht="25.5">
      <c r="A136" s="238"/>
      <c r="B136" s="3" t="s">
        <v>316</v>
      </c>
      <c r="C136" s="3" t="s">
        <v>329</v>
      </c>
      <c r="D136" s="11" t="s">
        <v>336</v>
      </c>
      <c r="E136" s="11" t="s">
        <v>333</v>
      </c>
      <c r="F136" s="3" t="s">
        <v>341</v>
      </c>
      <c r="G136" s="3">
        <v>20</v>
      </c>
      <c r="H136" s="3" t="s">
        <v>320</v>
      </c>
      <c r="I136" s="3">
        <v>7.8</v>
      </c>
      <c r="N136" s="2">
        <f>16.38*DL_OH!S42</f>
        <v>16.070943396226415</v>
      </c>
      <c r="P136" s="4">
        <f t="shared" ref="P136:P141" si="78">AVERAGE(J136:O136)</f>
        <v>16.070943396226415</v>
      </c>
      <c r="Q136" s="4" t="e">
        <f t="shared" ref="Q136:Q141" si="79">SQRT(VAR(J136:O136))</f>
        <v>#DIV/0!</v>
      </c>
      <c r="R136" s="3">
        <f t="shared" ref="R136:R141" si="80">COUNT(J136:O136)</f>
        <v>1</v>
      </c>
      <c r="U136" s="238"/>
      <c r="AB136" s="5" t="e">
        <f t="shared" ref="AB136:AB141" si="81">AVERAGE(V136:AA136)</f>
        <v>#DIV/0!</v>
      </c>
      <c r="AC136" s="4" t="e">
        <f t="shared" ref="AC136:AC141" si="82">SQRT(VAR(V136:AA136))</f>
        <v>#DIV/0!</v>
      </c>
      <c r="AD136" s="3">
        <f t="shared" ref="AD136:AD141" si="83">COUNT(V136:AA136)</f>
        <v>0</v>
      </c>
    </row>
    <row r="137" spans="1:30" ht="25.5">
      <c r="A137" s="238"/>
      <c r="D137" s="11"/>
      <c r="E137" s="11"/>
      <c r="G137" s="3">
        <v>40</v>
      </c>
      <c r="H137" s="3" t="s">
        <v>320</v>
      </c>
      <c r="I137" s="3">
        <v>7.8</v>
      </c>
      <c r="N137" s="2">
        <f>N136*DL_OH!$W$42</f>
        <v>18.946831748839266</v>
      </c>
      <c r="P137" s="4">
        <f t="shared" si="78"/>
        <v>18.946831748839266</v>
      </c>
      <c r="Q137" s="4" t="e">
        <f t="shared" si="79"/>
        <v>#DIV/0!</v>
      </c>
      <c r="R137" s="3">
        <f t="shared" si="80"/>
        <v>1</v>
      </c>
      <c r="U137" s="238"/>
      <c r="AB137" s="5" t="e">
        <f t="shared" si="81"/>
        <v>#DIV/0!</v>
      </c>
      <c r="AC137" s="4" t="e">
        <f t="shared" si="82"/>
        <v>#DIV/0!</v>
      </c>
      <c r="AD137" s="3">
        <f t="shared" si="83"/>
        <v>0</v>
      </c>
    </row>
    <row r="138" spans="1:30" ht="25.5">
      <c r="A138" s="238"/>
      <c r="D138" s="11"/>
      <c r="E138" s="11"/>
      <c r="G138" s="3">
        <v>100</v>
      </c>
      <c r="H138" s="3" t="s">
        <v>320</v>
      </c>
      <c r="I138" s="3">
        <v>7.8</v>
      </c>
      <c r="N138" s="2">
        <f>N136*DL_OH!$AA$42</f>
        <v>20.892818608454068</v>
      </c>
      <c r="P138" s="4">
        <f t="shared" si="78"/>
        <v>20.892818608454068</v>
      </c>
      <c r="Q138" s="4" t="e">
        <f t="shared" si="79"/>
        <v>#DIV/0!</v>
      </c>
      <c r="R138" s="3">
        <f t="shared" si="80"/>
        <v>1</v>
      </c>
      <c r="U138" s="238"/>
      <c r="AB138" s="5" t="e">
        <f t="shared" si="81"/>
        <v>#DIV/0!</v>
      </c>
      <c r="AC138" s="4" t="e">
        <f t="shared" si="82"/>
        <v>#DIV/0!</v>
      </c>
      <c r="AD138" s="3">
        <f t="shared" si="83"/>
        <v>0</v>
      </c>
    </row>
    <row r="139" spans="1:30" ht="25.5">
      <c r="A139" s="238"/>
      <c r="G139" s="3">
        <v>20</v>
      </c>
      <c r="H139" s="10" t="s">
        <v>321</v>
      </c>
      <c r="I139" s="10">
        <v>0.22500000000000001</v>
      </c>
      <c r="J139" s="18"/>
      <c r="K139" s="18"/>
      <c r="L139" s="18"/>
      <c r="M139" s="18"/>
      <c r="N139" s="18">
        <f>0.43*DL_OH!S42</f>
        <v>0.42188679245283017</v>
      </c>
      <c r="O139" s="18"/>
      <c r="P139" s="23">
        <f t="shared" si="78"/>
        <v>0.42188679245283017</v>
      </c>
      <c r="Q139" s="23" t="e">
        <f t="shared" si="79"/>
        <v>#DIV/0!</v>
      </c>
      <c r="R139" s="10">
        <f t="shared" si="80"/>
        <v>1</v>
      </c>
      <c r="U139" s="238"/>
      <c r="V139" s="18"/>
      <c r="W139" s="18"/>
      <c r="X139" s="18"/>
      <c r="Y139" s="18"/>
      <c r="Z139" s="18"/>
      <c r="AA139" s="18"/>
      <c r="AB139" s="26" t="e">
        <f t="shared" si="81"/>
        <v>#DIV/0!</v>
      </c>
      <c r="AC139" s="23" t="e">
        <f t="shared" si="82"/>
        <v>#DIV/0!</v>
      </c>
      <c r="AD139" s="10">
        <f t="shared" si="83"/>
        <v>0</v>
      </c>
    </row>
    <row r="140" spans="1:30" ht="25.5">
      <c r="A140" s="238"/>
      <c r="G140" s="3">
        <v>40</v>
      </c>
      <c r="H140" s="10" t="s">
        <v>321</v>
      </c>
      <c r="I140" s="10">
        <v>0.22500000000000001</v>
      </c>
      <c r="J140" s="18"/>
      <c r="K140" s="18"/>
      <c r="L140" s="18"/>
      <c r="M140" s="18"/>
      <c r="N140" s="18">
        <f>N139*DL_OH!$W$42</f>
        <v>0.49738325103790498</v>
      </c>
      <c r="O140" s="18"/>
      <c r="P140" s="23">
        <f t="shared" si="78"/>
        <v>0.49738325103790498</v>
      </c>
      <c r="Q140" s="23" t="e">
        <f t="shared" si="79"/>
        <v>#DIV/0!</v>
      </c>
      <c r="R140" s="10">
        <f t="shared" si="80"/>
        <v>1</v>
      </c>
      <c r="U140" s="238"/>
      <c r="V140" s="18"/>
      <c r="W140" s="18"/>
      <c r="X140" s="18"/>
      <c r="Y140" s="18"/>
      <c r="Z140" s="18"/>
      <c r="AA140" s="18"/>
      <c r="AB140" s="26" t="e">
        <f t="shared" si="81"/>
        <v>#DIV/0!</v>
      </c>
      <c r="AC140" s="23" t="e">
        <f t="shared" si="82"/>
        <v>#DIV/0!</v>
      </c>
      <c r="AD140" s="10">
        <f t="shared" si="83"/>
        <v>0</v>
      </c>
    </row>
    <row r="141" spans="1:30" ht="25.5">
      <c r="A141" s="238"/>
      <c r="G141" s="3">
        <v>100</v>
      </c>
      <c r="H141" s="10" t="s">
        <v>321</v>
      </c>
      <c r="I141" s="10">
        <v>0.22500000000000001</v>
      </c>
      <c r="J141" s="18"/>
      <c r="K141" s="18"/>
      <c r="L141" s="18"/>
      <c r="M141" s="18"/>
      <c r="N141" s="18">
        <f>N139*DL_OH!$AA$42</f>
        <v>0.54846837616820809</v>
      </c>
      <c r="O141" s="18"/>
      <c r="P141" s="23">
        <f t="shared" si="78"/>
        <v>0.54846837616820809</v>
      </c>
      <c r="Q141" s="23" t="e">
        <f t="shared" si="79"/>
        <v>#DIV/0!</v>
      </c>
      <c r="R141" s="10">
        <f t="shared" si="80"/>
        <v>1</v>
      </c>
      <c r="U141" s="238"/>
      <c r="V141" s="18"/>
      <c r="W141" s="18"/>
      <c r="X141" s="18"/>
      <c r="Y141" s="18"/>
      <c r="Z141" s="18"/>
      <c r="AA141" s="18"/>
      <c r="AB141" s="26" t="e">
        <f t="shared" si="81"/>
        <v>#DIV/0!</v>
      </c>
      <c r="AC141" s="23" t="e">
        <f t="shared" si="82"/>
        <v>#DIV/0!</v>
      </c>
      <c r="AD141" s="10">
        <f t="shared" si="83"/>
        <v>0</v>
      </c>
    </row>
    <row r="142" spans="1:30">
      <c r="A142" s="238"/>
      <c r="P142" s="4"/>
      <c r="U142" s="238"/>
    </row>
    <row r="143" spans="1:30" ht="35.25" customHeight="1">
      <c r="A143" s="238"/>
      <c r="B143" s="3" t="s">
        <v>316</v>
      </c>
      <c r="C143" s="3" t="s">
        <v>325</v>
      </c>
      <c r="D143" s="3" t="s">
        <v>342</v>
      </c>
      <c r="E143" s="3" t="s">
        <v>319</v>
      </c>
      <c r="F143" s="3" t="s">
        <v>76</v>
      </c>
      <c r="G143" s="3">
        <v>20</v>
      </c>
      <c r="H143" s="3" t="s">
        <v>320</v>
      </c>
      <c r="I143" s="3">
        <v>7.8</v>
      </c>
      <c r="P143" s="4" t="e">
        <f t="shared" ref="P143:P152" si="84">AVERAGE(J143:O143)</f>
        <v>#DIV/0!</v>
      </c>
      <c r="Q143" s="4" t="e">
        <f t="shared" ref="Q143:Q152" si="85">SQRT(VAR(J143:O143))</f>
        <v>#DIV/0!</v>
      </c>
      <c r="R143" s="3">
        <f t="shared" ref="R143:R152" si="86">COUNT(J143:O143)</f>
        <v>0</v>
      </c>
      <c r="U143" s="238"/>
      <c r="AB143" s="5" t="e">
        <f t="shared" ref="AB143:AB152" si="87">AVERAGE(V143:AA143)</f>
        <v>#DIV/0!</v>
      </c>
      <c r="AC143" s="4" t="e">
        <f t="shared" ref="AC143:AC152" si="88">SQRT(VAR(V143:AA143))</f>
        <v>#DIV/0!</v>
      </c>
      <c r="AD143" s="3">
        <f t="shared" ref="AD143:AD152" si="89">COUNT(V143:AA143)</f>
        <v>0</v>
      </c>
    </row>
    <row r="144" spans="1:30" ht="35.25" customHeight="1">
      <c r="A144" s="238"/>
      <c r="G144" s="3">
        <v>40</v>
      </c>
      <c r="H144" s="3" t="s">
        <v>320</v>
      </c>
      <c r="I144" s="3">
        <v>7.8</v>
      </c>
      <c r="P144" s="4" t="e">
        <f t="shared" si="84"/>
        <v>#DIV/0!</v>
      </c>
      <c r="Q144" s="4" t="e">
        <f t="shared" si="85"/>
        <v>#DIV/0!</v>
      </c>
      <c r="R144" s="3">
        <f t="shared" si="86"/>
        <v>0</v>
      </c>
      <c r="U144" s="238"/>
      <c r="AB144" s="5" t="e">
        <f t="shared" si="87"/>
        <v>#DIV/0!</v>
      </c>
      <c r="AC144" s="4" t="e">
        <f t="shared" si="88"/>
        <v>#DIV/0!</v>
      </c>
      <c r="AD144" s="3">
        <f t="shared" si="89"/>
        <v>0</v>
      </c>
    </row>
    <row r="145" spans="1:30" ht="25.5">
      <c r="A145" s="238"/>
      <c r="G145" s="3">
        <v>20</v>
      </c>
      <c r="H145" s="10" t="s">
        <v>321</v>
      </c>
      <c r="I145" s="10">
        <v>0.22500000000000001</v>
      </c>
      <c r="J145" s="18"/>
      <c r="K145" s="18"/>
      <c r="L145" s="18"/>
      <c r="M145" s="18"/>
      <c r="N145" s="18"/>
      <c r="O145" s="18"/>
      <c r="P145" s="23" t="e">
        <f t="shared" si="84"/>
        <v>#DIV/0!</v>
      </c>
      <c r="Q145" s="23" t="e">
        <f t="shared" si="85"/>
        <v>#DIV/0!</v>
      </c>
      <c r="R145" s="10">
        <f t="shared" si="86"/>
        <v>0</v>
      </c>
      <c r="U145" s="238"/>
      <c r="V145" s="18"/>
      <c r="W145" s="18"/>
      <c r="X145" s="18"/>
      <c r="Y145" s="18"/>
      <c r="Z145" s="18"/>
      <c r="AA145" s="18"/>
      <c r="AB145" s="26" t="e">
        <f t="shared" si="87"/>
        <v>#DIV/0!</v>
      </c>
      <c r="AC145" s="23" t="e">
        <f t="shared" si="88"/>
        <v>#DIV/0!</v>
      </c>
      <c r="AD145" s="10">
        <f t="shared" si="89"/>
        <v>0</v>
      </c>
    </row>
    <row r="146" spans="1:30" ht="25.5">
      <c r="A146" s="238"/>
      <c r="G146" s="3">
        <v>40</v>
      </c>
      <c r="H146" s="10" t="s">
        <v>321</v>
      </c>
      <c r="I146" s="10">
        <v>0.22500000000000001</v>
      </c>
      <c r="J146" s="18"/>
      <c r="K146" s="18"/>
      <c r="L146" s="18"/>
      <c r="M146" s="18"/>
      <c r="N146" s="18"/>
      <c r="O146" s="18"/>
      <c r="P146" s="23" t="e">
        <f t="shared" si="84"/>
        <v>#DIV/0!</v>
      </c>
      <c r="Q146" s="23" t="e">
        <f t="shared" si="85"/>
        <v>#DIV/0!</v>
      </c>
      <c r="R146" s="10">
        <f t="shared" si="86"/>
        <v>0</v>
      </c>
      <c r="U146" s="238"/>
      <c r="V146" s="18"/>
      <c r="W146" s="18"/>
      <c r="X146" s="18"/>
      <c r="Y146" s="18"/>
      <c r="Z146" s="18"/>
      <c r="AA146" s="18"/>
      <c r="AB146" s="26" t="e">
        <f t="shared" si="87"/>
        <v>#DIV/0!</v>
      </c>
      <c r="AC146" s="23" t="e">
        <f t="shared" si="88"/>
        <v>#DIV/0!</v>
      </c>
      <c r="AD146" s="10">
        <f t="shared" si="89"/>
        <v>0</v>
      </c>
    </row>
    <row r="147" spans="1:30" ht="43.5" customHeight="1">
      <c r="A147" s="238"/>
      <c r="B147" s="3" t="s">
        <v>316</v>
      </c>
      <c r="C147" s="3" t="s">
        <v>343</v>
      </c>
      <c r="D147" s="3" t="s">
        <v>344</v>
      </c>
      <c r="E147" s="3" t="s">
        <v>333</v>
      </c>
      <c r="F147" s="3" t="s">
        <v>80</v>
      </c>
      <c r="G147" s="3">
        <v>20</v>
      </c>
      <c r="H147" s="3" t="s">
        <v>320</v>
      </c>
      <c r="I147" s="3">
        <v>7.8</v>
      </c>
      <c r="P147" s="4" t="e">
        <f t="shared" si="84"/>
        <v>#DIV/0!</v>
      </c>
      <c r="Q147" s="4" t="e">
        <f t="shared" si="85"/>
        <v>#DIV/0!</v>
      </c>
      <c r="R147" s="3">
        <f t="shared" si="86"/>
        <v>0</v>
      </c>
      <c r="U147" s="238"/>
      <c r="AB147" s="5" t="e">
        <f t="shared" si="87"/>
        <v>#DIV/0!</v>
      </c>
      <c r="AC147" s="4" t="e">
        <f t="shared" si="88"/>
        <v>#DIV/0!</v>
      </c>
      <c r="AD147" s="3">
        <f t="shared" si="89"/>
        <v>0</v>
      </c>
    </row>
    <row r="148" spans="1:30" ht="43.5" customHeight="1">
      <c r="A148" s="238"/>
      <c r="G148" s="3">
        <v>40</v>
      </c>
      <c r="H148" s="3" t="s">
        <v>320</v>
      </c>
      <c r="I148" s="3">
        <v>7.8</v>
      </c>
      <c r="P148" s="4" t="e">
        <f t="shared" si="84"/>
        <v>#DIV/0!</v>
      </c>
      <c r="Q148" s="4" t="e">
        <f t="shared" si="85"/>
        <v>#DIV/0!</v>
      </c>
      <c r="R148" s="3">
        <f t="shared" si="86"/>
        <v>0</v>
      </c>
      <c r="U148" s="238"/>
      <c r="AB148" s="5" t="e">
        <f t="shared" si="87"/>
        <v>#DIV/0!</v>
      </c>
      <c r="AC148" s="4" t="e">
        <f t="shared" si="88"/>
        <v>#DIV/0!</v>
      </c>
      <c r="AD148" s="3">
        <f t="shared" si="89"/>
        <v>0</v>
      </c>
    </row>
    <row r="149" spans="1:30" ht="43.5" customHeight="1">
      <c r="A149" s="238"/>
      <c r="G149" s="3">
        <v>100</v>
      </c>
      <c r="H149" s="3" t="s">
        <v>369</v>
      </c>
      <c r="I149" s="3">
        <v>7.8</v>
      </c>
      <c r="P149" s="4" t="e">
        <f t="shared" si="84"/>
        <v>#DIV/0!</v>
      </c>
      <c r="Q149" s="4" t="e">
        <f t="shared" si="85"/>
        <v>#DIV/0!</v>
      </c>
      <c r="R149" s="3">
        <f t="shared" si="86"/>
        <v>0</v>
      </c>
      <c r="U149" s="238"/>
      <c r="AB149" s="5" t="e">
        <f t="shared" si="87"/>
        <v>#DIV/0!</v>
      </c>
      <c r="AC149" s="4" t="e">
        <f t="shared" si="88"/>
        <v>#DIV/0!</v>
      </c>
      <c r="AD149" s="3">
        <f t="shared" si="89"/>
        <v>0</v>
      </c>
    </row>
    <row r="150" spans="1:30" ht="25.5">
      <c r="A150" s="238"/>
      <c r="G150" s="3">
        <v>20</v>
      </c>
      <c r="H150" s="10" t="s">
        <v>321</v>
      </c>
      <c r="I150" s="10">
        <v>0.22500000000000001</v>
      </c>
      <c r="J150" s="18"/>
      <c r="K150" s="18"/>
      <c r="L150" s="18"/>
      <c r="M150" s="18"/>
      <c r="N150" s="18"/>
      <c r="O150" s="18"/>
      <c r="P150" s="23" t="e">
        <f t="shared" si="84"/>
        <v>#DIV/0!</v>
      </c>
      <c r="Q150" s="23" t="e">
        <f t="shared" si="85"/>
        <v>#DIV/0!</v>
      </c>
      <c r="R150" s="10">
        <f t="shared" si="86"/>
        <v>0</v>
      </c>
      <c r="U150" s="238"/>
      <c r="V150" s="18"/>
      <c r="W150" s="18"/>
      <c r="X150" s="18"/>
      <c r="Y150" s="18"/>
      <c r="Z150" s="18"/>
      <c r="AA150" s="18"/>
      <c r="AB150" s="26" t="e">
        <f t="shared" si="87"/>
        <v>#DIV/0!</v>
      </c>
      <c r="AC150" s="23" t="e">
        <f t="shared" si="88"/>
        <v>#DIV/0!</v>
      </c>
      <c r="AD150" s="10">
        <f t="shared" si="89"/>
        <v>0</v>
      </c>
    </row>
    <row r="151" spans="1:30" ht="25.5">
      <c r="A151" s="238"/>
      <c r="G151" s="3">
        <v>40</v>
      </c>
      <c r="H151" s="10" t="s">
        <v>321</v>
      </c>
      <c r="I151" s="10">
        <v>0.22500000000000001</v>
      </c>
      <c r="J151" s="18"/>
      <c r="K151" s="18"/>
      <c r="L151" s="18"/>
      <c r="M151" s="18"/>
      <c r="N151" s="18"/>
      <c r="O151" s="18"/>
      <c r="P151" s="23" t="e">
        <f t="shared" si="84"/>
        <v>#DIV/0!</v>
      </c>
      <c r="Q151" s="23" t="e">
        <f t="shared" si="85"/>
        <v>#DIV/0!</v>
      </c>
      <c r="R151" s="10">
        <f t="shared" si="86"/>
        <v>0</v>
      </c>
      <c r="U151" s="238"/>
      <c r="V151" s="18"/>
      <c r="W151" s="18"/>
      <c r="X151" s="18"/>
      <c r="Y151" s="18"/>
      <c r="Z151" s="18"/>
      <c r="AA151" s="18"/>
      <c r="AB151" s="26" t="e">
        <f t="shared" si="87"/>
        <v>#DIV/0!</v>
      </c>
      <c r="AC151" s="23" t="e">
        <f t="shared" si="88"/>
        <v>#DIV/0!</v>
      </c>
      <c r="AD151" s="10">
        <f t="shared" si="89"/>
        <v>0</v>
      </c>
    </row>
    <row r="152" spans="1:30" ht="25.5">
      <c r="A152" s="238"/>
      <c r="G152" s="3">
        <v>100</v>
      </c>
      <c r="H152" s="167" t="s">
        <v>370</v>
      </c>
      <c r="I152" s="167">
        <v>0.22500000000000001</v>
      </c>
      <c r="J152" s="168"/>
      <c r="K152" s="168"/>
      <c r="L152" s="168"/>
      <c r="M152" s="168"/>
      <c r="N152" s="168"/>
      <c r="O152" s="168"/>
      <c r="P152" s="169" t="e">
        <f t="shared" si="84"/>
        <v>#DIV/0!</v>
      </c>
      <c r="Q152" s="169" t="e">
        <f t="shared" si="85"/>
        <v>#DIV/0!</v>
      </c>
      <c r="R152" s="167">
        <f t="shared" si="86"/>
        <v>0</v>
      </c>
      <c r="U152" s="238"/>
      <c r="V152" s="168"/>
      <c r="W152" s="168"/>
      <c r="X152" s="168"/>
      <c r="Y152" s="168"/>
      <c r="Z152" s="168"/>
      <c r="AA152" s="168"/>
      <c r="AB152" s="170" t="e">
        <f t="shared" si="87"/>
        <v>#DIV/0!</v>
      </c>
      <c r="AC152" s="169" t="e">
        <f t="shared" si="88"/>
        <v>#DIV/0!</v>
      </c>
      <c r="AD152" s="167">
        <f t="shared" si="89"/>
        <v>0</v>
      </c>
    </row>
    <row r="153" spans="1:30">
      <c r="A153" s="238"/>
      <c r="P153" s="4"/>
      <c r="U153" s="238"/>
    </row>
    <row r="154" spans="1:30">
      <c r="P154" s="4"/>
    </row>
    <row r="155" spans="1:30">
      <c r="A155" s="239" t="s">
        <v>345</v>
      </c>
      <c r="B155" s="8" t="s">
        <v>50</v>
      </c>
      <c r="C155" s="8"/>
      <c r="D155" s="8"/>
      <c r="E155" s="8"/>
      <c r="F155" s="8"/>
      <c r="G155" s="8"/>
      <c r="H155" s="13"/>
      <c r="I155" s="13"/>
      <c r="J155" s="16"/>
      <c r="K155" s="16"/>
      <c r="L155" s="16"/>
      <c r="M155" s="16"/>
      <c r="N155" s="16"/>
      <c r="O155" s="16"/>
      <c r="P155" s="22"/>
      <c r="Q155" s="22"/>
      <c r="R155" s="13"/>
      <c r="U155" s="239" t="s">
        <v>345</v>
      </c>
      <c r="V155" s="16"/>
      <c r="W155" s="16"/>
      <c r="X155" s="16"/>
      <c r="Y155" s="16"/>
      <c r="Z155" s="16"/>
      <c r="AA155" s="16"/>
      <c r="AB155" s="25"/>
      <c r="AC155" s="22"/>
      <c r="AD155" s="13"/>
    </row>
    <row r="156" spans="1:30" ht="25.5">
      <c r="A156" s="239"/>
      <c r="B156" s="3" t="s">
        <v>316</v>
      </c>
      <c r="C156" s="3" t="s">
        <v>346</v>
      </c>
      <c r="D156" s="3" t="s">
        <v>347</v>
      </c>
      <c r="E156" s="3" t="s">
        <v>319</v>
      </c>
      <c r="H156" s="3" t="s">
        <v>320</v>
      </c>
      <c r="I156" s="3">
        <v>5.4</v>
      </c>
      <c r="J156" s="2">
        <f>UL_OH!R9*6.599</f>
        <v>6.7717416801948049</v>
      </c>
      <c r="P156" s="4">
        <f>AVERAGE(J156:O156)</f>
        <v>6.7717416801948049</v>
      </c>
      <c r="Q156" s="4" t="e">
        <f>SQRT(VAR(J156:O156))</f>
        <v>#DIV/0!</v>
      </c>
      <c r="R156" s="3">
        <f>COUNT(J156:O156)</f>
        <v>1</v>
      </c>
      <c r="U156" s="239"/>
      <c r="V156" s="2">
        <f>6.499*UL_OH!R9</f>
        <v>6.6691239853896098</v>
      </c>
      <c r="AB156" s="5">
        <f>AVERAGE(V156:AA156)</f>
        <v>6.6691239853896098</v>
      </c>
      <c r="AC156" s="4" t="e">
        <f>SQRT(VAR(V156:AA156))</f>
        <v>#DIV/0!</v>
      </c>
      <c r="AD156" s="3">
        <f>COUNT(V156:AA156)</f>
        <v>1</v>
      </c>
    </row>
    <row r="157" spans="1:30" ht="25.5">
      <c r="A157" s="239"/>
      <c r="H157" s="10" t="s">
        <v>321</v>
      </c>
      <c r="I157" s="10">
        <v>0.15</v>
      </c>
      <c r="J157" s="18">
        <f>0.248*UL_OH!R9</f>
        <v>0.25449188311688309</v>
      </c>
      <c r="K157" s="18"/>
      <c r="L157" s="18"/>
      <c r="M157" s="18"/>
      <c r="N157" s="18"/>
      <c r="O157" s="18"/>
      <c r="P157" s="23">
        <f>AVERAGE(J157:O157)</f>
        <v>0.25449188311688309</v>
      </c>
      <c r="Q157" s="23" t="e">
        <f>SQRT(VAR(J157:O157))</f>
        <v>#DIV/0!</v>
      </c>
      <c r="R157" s="10">
        <f>COUNT(J157:O157)</f>
        <v>1</v>
      </c>
      <c r="U157" s="239"/>
      <c r="V157" s="18">
        <f>0.213*UL_OH!R9</f>
        <v>0.21857568993506493</v>
      </c>
      <c r="W157" s="18"/>
      <c r="X157" s="18"/>
      <c r="Y157" s="18"/>
      <c r="Z157" s="18"/>
      <c r="AA157" s="18"/>
      <c r="AB157" s="26">
        <f>AVERAGE(V157:AA157)</f>
        <v>0.21857568993506493</v>
      </c>
      <c r="AC157" s="23" t="e">
        <f>SQRT(VAR(V157:AA157))</f>
        <v>#DIV/0!</v>
      </c>
      <c r="AD157" s="10">
        <f>COUNT(V157:AA157)</f>
        <v>1</v>
      </c>
    </row>
    <row r="158" spans="1:30">
      <c r="A158" s="239"/>
      <c r="P158" s="4"/>
      <c r="U158" s="239"/>
    </row>
    <row r="159" spans="1:30" ht="25.5">
      <c r="A159" s="239"/>
      <c r="B159" s="3" t="s">
        <v>316</v>
      </c>
      <c r="C159" s="3" t="s">
        <v>317</v>
      </c>
      <c r="D159" s="3" t="s">
        <v>348</v>
      </c>
      <c r="E159" s="3" t="s">
        <v>319</v>
      </c>
      <c r="H159" s="3" t="s">
        <v>320</v>
      </c>
      <c r="I159" s="3">
        <v>5.4</v>
      </c>
      <c r="J159" s="2">
        <f>7.91*UL_OH!R9</f>
        <v>8.1170596590909092</v>
      </c>
      <c r="P159" s="4">
        <f>AVERAGE(J159:O159)</f>
        <v>8.1170596590909092</v>
      </c>
      <c r="Q159" s="4" t="e">
        <f>SQRT(VAR(J159:O159))</f>
        <v>#DIV/0!</v>
      </c>
      <c r="R159" s="3">
        <f>COUNT(J159:O159)</f>
        <v>1</v>
      </c>
      <c r="U159" s="239"/>
      <c r="V159" s="2">
        <f>7.874*UL_OH!R9</f>
        <v>8.0801172889610378</v>
      </c>
      <c r="AB159" s="5">
        <f>AVERAGE(V159:AA159)</f>
        <v>8.0801172889610378</v>
      </c>
      <c r="AC159" s="4" t="e">
        <f>SQRT(VAR(V159:AA159))</f>
        <v>#DIV/0!</v>
      </c>
      <c r="AD159" s="3">
        <f>COUNT(V159:AA159)</f>
        <v>1</v>
      </c>
    </row>
    <row r="160" spans="1:30" ht="25.5">
      <c r="A160" s="239"/>
      <c r="H160" s="10" t="s">
        <v>321</v>
      </c>
      <c r="I160" s="10">
        <v>0.15</v>
      </c>
      <c r="J160" s="18">
        <f>0.378*UL_OH!R9</f>
        <v>0.38789488636363634</v>
      </c>
      <c r="K160" s="18"/>
      <c r="L160" s="18"/>
      <c r="M160" s="18"/>
      <c r="N160" s="18"/>
      <c r="O160" s="18"/>
      <c r="P160" s="23">
        <f>AVERAGE(J160:O160)</f>
        <v>0.38789488636363634</v>
      </c>
      <c r="Q160" s="23" t="e">
        <f>SQRT(VAR(J160:O160))</f>
        <v>#DIV/0!</v>
      </c>
      <c r="R160" s="10">
        <f>COUNT(J160:O160)</f>
        <v>1</v>
      </c>
      <c r="U160" s="239"/>
      <c r="V160" s="18">
        <f>0.315*UL_OH!R9</f>
        <v>0.32324573863636363</v>
      </c>
      <c r="W160" s="18"/>
      <c r="X160" s="18"/>
      <c r="Y160" s="18"/>
      <c r="Z160" s="18"/>
      <c r="AA160" s="18"/>
      <c r="AB160" s="26">
        <f>AVERAGE(V160:AA160)</f>
        <v>0.32324573863636363</v>
      </c>
      <c r="AC160" s="23" t="e">
        <f>SQRT(VAR(V160:AA160))</f>
        <v>#DIV/0!</v>
      </c>
      <c r="AD160" s="10">
        <f>COUNT(V160:AA160)</f>
        <v>1</v>
      </c>
    </row>
    <row r="161" spans="1:30">
      <c r="A161" s="239"/>
      <c r="P161" s="4"/>
      <c r="U161" s="239"/>
    </row>
    <row r="162" spans="1:30" ht="25.5">
      <c r="A162" s="239"/>
      <c r="B162" s="3" t="s">
        <v>316</v>
      </c>
      <c r="C162" s="3" t="s">
        <v>317</v>
      </c>
      <c r="D162" s="3" t="s">
        <v>349</v>
      </c>
      <c r="E162" s="3" t="s">
        <v>319</v>
      </c>
      <c r="H162" s="3" t="s">
        <v>320</v>
      </c>
      <c r="I162" s="3">
        <v>5.4</v>
      </c>
      <c r="J162" s="2">
        <f>8.599*UL_OH!R9</f>
        <v>8.824095576298701</v>
      </c>
      <c r="P162" s="4">
        <f>AVERAGE(J162:O162)</f>
        <v>8.824095576298701</v>
      </c>
      <c r="Q162" s="4" t="e">
        <f>SQRT(VAR(J162:O162))</f>
        <v>#DIV/0!</v>
      </c>
      <c r="R162" s="3">
        <f>COUNT(J162:O162)</f>
        <v>1</v>
      </c>
      <c r="U162" s="239"/>
      <c r="V162" s="2">
        <f>8.568*UL_OH!R9</f>
        <v>8.7922840909090905</v>
      </c>
      <c r="AB162" s="5">
        <f>AVERAGE(V162:AA162)</f>
        <v>8.7922840909090905</v>
      </c>
      <c r="AC162" s="4" t="e">
        <f>SQRT(VAR(V162:AA162))</f>
        <v>#DIV/0!</v>
      </c>
      <c r="AD162" s="3">
        <f>COUNT(V162:AA162)</f>
        <v>1</v>
      </c>
    </row>
    <row r="163" spans="1:30" ht="25.5">
      <c r="A163" s="239"/>
      <c r="H163" s="10" t="s">
        <v>321</v>
      </c>
      <c r="I163" s="10">
        <v>0.15</v>
      </c>
      <c r="J163" s="18">
        <f>0.44*UL_OH!R9</f>
        <v>0.45151785714285714</v>
      </c>
      <c r="K163" s="18"/>
      <c r="L163" s="18"/>
      <c r="M163" s="18"/>
      <c r="N163" s="18"/>
      <c r="O163" s="18"/>
      <c r="P163" s="23">
        <f>AVERAGE(J163:O163)</f>
        <v>0.45151785714285714</v>
      </c>
      <c r="Q163" s="23" t="e">
        <f>SQRT(VAR(J163:O163))</f>
        <v>#DIV/0!</v>
      </c>
      <c r="R163" s="10">
        <f>COUNT(J163:O163)</f>
        <v>1</v>
      </c>
      <c r="U163" s="239"/>
      <c r="V163" s="18">
        <f>0.365*UL_OH!R9</f>
        <v>0.37455458603896102</v>
      </c>
      <c r="W163" s="18"/>
      <c r="X163" s="18"/>
      <c r="Y163" s="18"/>
      <c r="Z163" s="18"/>
      <c r="AA163" s="18"/>
      <c r="AB163" s="26">
        <f>AVERAGE(V163:AA163)</f>
        <v>0.37455458603896102</v>
      </c>
      <c r="AC163" s="23" t="e">
        <f>SQRT(VAR(V163:AA163))</f>
        <v>#DIV/0!</v>
      </c>
      <c r="AD163" s="10">
        <f>COUNT(V163:AA163)</f>
        <v>1</v>
      </c>
    </row>
    <row r="164" spans="1:30">
      <c r="A164" s="239"/>
      <c r="P164" s="4"/>
      <c r="U164" s="239"/>
    </row>
    <row r="165" spans="1:30" ht="25.5">
      <c r="A165" s="239"/>
      <c r="B165" s="3" t="s">
        <v>316</v>
      </c>
      <c r="C165" s="3" t="s">
        <v>323</v>
      </c>
      <c r="D165" s="3" t="s">
        <v>350</v>
      </c>
      <c r="E165" s="3" t="s">
        <v>319</v>
      </c>
      <c r="H165" s="3" t="s">
        <v>320</v>
      </c>
      <c r="I165" s="3">
        <v>5.4</v>
      </c>
      <c r="P165" s="4" t="e">
        <f>AVERAGE(J165:O165)</f>
        <v>#DIV/0!</v>
      </c>
      <c r="Q165" s="4" t="e">
        <f>SQRT(VAR(J165:O165))</f>
        <v>#DIV/0!</v>
      </c>
      <c r="R165" s="3">
        <f>COUNT(J165:O165)</f>
        <v>0</v>
      </c>
      <c r="U165" s="239"/>
      <c r="AB165" s="5" t="e">
        <f>AVERAGE(V165:AA165)</f>
        <v>#DIV/0!</v>
      </c>
      <c r="AC165" s="4" t="e">
        <f>SQRT(VAR(V165:AA165))</f>
        <v>#DIV/0!</v>
      </c>
      <c r="AD165" s="3">
        <f>COUNT(V165:AA165)</f>
        <v>0</v>
      </c>
    </row>
    <row r="166" spans="1:30" ht="25.5">
      <c r="A166" s="239"/>
      <c r="H166" s="10" t="s">
        <v>321</v>
      </c>
      <c r="I166" s="10">
        <v>0.15</v>
      </c>
      <c r="J166" s="18"/>
      <c r="K166" s="18"/>
      <c r="L166" s="18"/>
      <c r="M166" s="18"/>
      <c r="N166" s="18"/>
      <c r="O166" s="18"/>
      <c r="P166" s="23" t="e">
        <f>AVERAGE(J166:O166)</f>
        <v>#DIV/0!</v>
      </c>
      <c r="Q166" s="23" t="e">
        <f>SQRT(VAR(J166:O166))</f>
        <v>#DIV/0!</v>
      </c>
      <c r="R166" s="10">
        <f>COUNT(J166:O166)</f>
        <v>0</v>
      </c>
      <c r="U166" s="239"/>
      <c r="V166" s="18"/>
      <c r="W166" s="18"/>
      <c r="X166" s="18"/>
      <c r="Y166" s="18"/>
      <c r="Z166" s="18"/>
      <c r="AA166" s="18"/>
      <c r="AB166" s="26" t="e">
        <f>AVERAGE(V166:AA166)</f>
        <v>#DIV/0!</v>
      </c>
      <c r="AC166" s="23" t="e">
        <f>SQRT(VAR(V166:AA166))</f>
        <v>#DIV/0!</v>
      </c>
      <c r="AD166" s="10">
        <f>COUNT(V166:AA166)</f>
        <v>0</v>
      </c>
    </row>
    <row r="167" spans="1:30">
      <c r="A167" s="239"/>
      <c r="P167" s="4"/>
      <c r="U167" s="239"/>
    </row>
    <row r="168" spans="1:30" ht="25.5">
      <c r="A168" s="239"/>
      <c r="B168" s="3" t="s">
        <v>316</v>
      </c>
      <c r="C168" s="3" t="s">
        <v>325</v>
      </c>
      <c r="D168" s="3" t="s">
        <v>350</v>
      </c>
      <c r="E168" s="3" t="s">
        <v>319</v>
      </c>
      <c r="H168" s="3" t="s">
        <v>320</v>
      </c>
      <c r="I168" s="3">
        <v>5.4</v>
      </c>
      <c r="P168" s="4" t="e">
        <f>AVERAGE(J168:O168)</f>
        <v>#DIV/0!</v>
      </c>
      <c r="Q168" s="4" t="e">
        <f>SQRT(VAR(J168:O168))</f>
        <v>#DIV/0!</v>
      </c>
      <c r="R168" s="3">
        <f>COUNT(J168:O168)</f>
        <v>0</v>
      </c>
      <c r="U168" s="239"/>
      <c r="AB168" s="5" t="e">
        <f>AVERAGE(V168:AA168)</f>
        <v>#DIV/0!</v>
      </c>
      <c r="AC168" s="4" t="e">
        <f>SQRT(VAR(V168:AA168))</f>
        <v>#DIV/0!</v>
      </c>
      <c r="AD168" s="3">
        <f>COUNT(V168:AA168)</f>
        <v>0</v>
      </c>
    </row>
    <row r="169" spans="1:30" ht="25.5">
      <c r="A169" s="239"/>
      <c r="H169" s="10" t="s">
        <v>321</v>
      </c>
      <c r="I169" s="10">
        <v>0.15</v>
      </c>
      <c r="J169" s="18"/>
      <c r="K169" s="18"/>
      <c r="L169" s="18"/>
      <c r="M169" s="18"/>
      <c r="N169" s="18"/>
      <c r="O169" s="18"/>
      <c r="P169" s="23" t="e">
        <f>AVERAGE(J169:O169)</f>
        <v>#DIV/0!</v>
      </c>
      <c r="Q169" s="23" t="e">
        <f>SQRT(VAR(J169:O169))</f>
        <v>#DIV/0!</v>
      </c>
      <c r="R169" s="10">
        <f>COUNT(J169:O169)</f>
        <v>0</v>
      </c>
      <c r="U169" s="239"/>
      <c r="V169" s="18"/>
      <c r="W169" s="18"/>
      <c r="X169" s="18"/>
      <c r="Y169" s="18"/>
      <c r="Z169" s="18"/>
      <c r="AA169" s="18"/>
      <c r="AB169" s="26" t="e">
        <f>AVERAGE(V169:AA169)</f>
        <v>#DIV/0!</v>
      </c>
      <c r="AC169" s="23" t="e">
        <f>SQRT(VAR(V169:AA169))</f>
        <v>#DIV/0!</v>
      </c>
      <c r="AD169" s="10">
        <f>COUNT(V169:AA169)</f>
        <v>0</v>
      </c>
    </row>
    <row r="170" spans="1:30">
      <c r="A170" s="239"/>
      <c r="P170" s="4"/>
      <c r="U170" s="239"/>
    </row>
    <row r="171" spans="1:30" ht="25.5">
      <c r="A171" s="239"/>
      <c r="B171" s="3" t="s">
        <v>316</v>
      </c>
      <c r="C171" s="3" t="s">
        <v>346</v>
      </c>
      <c r="D171" s="11" t="s">
        <v>351</v>
      </c>
      <c r="E171" s="3" t="s">
        <v>319</v>
      </c>
      <c r="H171" s="3" t="s">
        <v>320</v>
      </c>
      <c r="I171" s="3">
        <v>5.4</v>
      </c>
      <c r="K171" s="2">
        <v>6.09</v>
      </c>
      <c r="P171" s="4">
        <f>AVERAGE(J171:O171)</f>
        <v>6.09</v>
      </c>
      <c r="Q171" s="4" t="e">
        <f>SQRT(VAR(J171:O171))</f>
        <v>#DIV/0!</v>
      </c>
      <c r="R171" s="3">
        <f>COUNT(J171:O171)</f>
        <v>1</v>
      </c>
      <c r="U171" s="239"/>
      <c r="W171" s="2">
        <v>6.4</v>
      </c>
      <c r="AB171" s="5">
        <f>AVERAGE(V171:AA171)</f>
        <v>6.4</v>
      </c>
      <c r="AC171" s="4" t="e">
        <f>SQRT(VAR(V171:AA171))</f>
        <v>#DIV/0!</v>
      </c>
      <c r="AD171" s="3">
        <f>COUNT(V171:AA171)</f>
        <v>1</v>
      </c>
    </row>
    <row r="172" spans="1:30" ht="25.5">
      <c r="A172" s="239"/>
      <c r="H172" s="10" t="s">
        <v>321</v>
      </c>
      <c r="I172" s="10">
        <v>0.15</v>
      </c>
      <c r="J172" s="18"/>
      <c r="K172" s="18">
        <v>0.33</v>
      </c>
      <c r="L172" s="18"/>
      <c r="M172" s="18"/>
      <c r="N172" s="18"/>
      <c r="O172" s="18"/>
      <c r="P172" s="23">
        <f>AVERAGE(J172:O172)</f>
        <v>0.33</v>
      </c>
      <c r="Q172" s="23" t="e">
        <f>SQRT(VAR(J172:O172))</f>
        <v>#DIV/0!</v>
      </c>
      <c r="R172" s="10">
        <f>COUNT(J172:O172)</f>
        <v>1</v>
      </c>
      <c r="U172" s="239"/>
      <c r="V172" s="18"/>
      <c r="W172" s="18">
        <v>0.34899999999999998</v>
      </c>
      <c r="X172" s="18"/>
      <c r="Y172" s="18"/>
      <c r="Z172" s="18"/>
      <c r="AA172" s="18"/>
      <c r="AB172" s="26">
        <f>AVERAGE(V172:AA172)</f>
        <v>0.34899999999999998</v>
      </c>
      <c r="AC172" s="23" t="e">
        <f>SQRT(VAR(V172:AA172))</f>
        <v>#DIV/0!</v>
      </c>
      <c r="AD172" s="10">
        <f>COUNT(V172:AA172)</f>
        <v>1</v>
      </c>
    </row>
    <row r="173" spans="1:30">
      <c r="A173" s="239"/>
      <c r="P173" s="4"/>
      <c r="U173" s="239"/>
    </row>
    <row r="174" spans="1:30" ht="25.5">
      <c r="A174" s="239"/>
      <c r="B174" s="3" t="s">
        <v>316</v>
      </c>
      <c r="C174" s="3" t="s">
        <v>346</v>
      </c>
      <c r="D174" s="3" t="s">
        <v>352</v>
      </c>
      <c r="E174" s="3" t="s">
        <v>319</v>
      </c>
      <c r="H174" s="3" t="s">
        <v>320</v>
      </c>
      <c r="I174" s="3">
        <v>5.4</v>
      </c>
      <c r="P174" s="4" t="e">
        <f>AVERAGE(J174:O174)</f>
        <v>#DIV/0!</v>
      </c>
      <c r="Q174" s="4" t="e">
        <f>SQRT(VAR(J174:O174))</f>
        <v>#DIV/0!</v>
      </c>
      <c r="R174" s="3">
        <f>COUNT(J174:O174)</f>
        <v>0</v>
      </c>
      <c r="U174" s="239"/>
      <c r="AB174" s="5" t="e">
        <f>AVERAGE(V174:AA174)</f>
        <v>#DIV/0!</v>
      </c>
      <c r="AC174" s="4" t="e">
        <f>SQRT(VAR(V174:AA174))</f>
        <v>#DIV/0!</v>
      </c>
      <c r="AD174" s="3">
        <f>COUNT(V174:AA174)</f>
        <v>0</v>
      </c>
    </row>
    <row r="175" spans="1:30" ht="25.5">
      <c r="A175" s="239"/>
      <c r="H175" s="10" t="s">
        <v>321</v>
      </c>
      <c r="I175" s="10">
        <v>0.15</v>
      </c>
      <c r="J175" s="18"/>
      <c r="K175" s="18"/>
      <c r="L175" s="18"/>
      <c r="M175" s="18"/>
      <c r="N175" s="18"/>
      <c r="O175" s="18"/>
      <c r="P175" s="23" t="e">
        <f>AVERAGE(J175:O175)</f>
        <v>#DIV/0!</v>
      </c>
      <c r="Q175" s="23" t="e">
        <f>SQRT(VAR(J175:O175))</f>
        <v>#DIV/0!</v>
      </c>
      <c r="R175" s="10">
        <f>COUNT(J175:O175)</f>
        <v>0</v>
      </c>
      <c r="U175" s="239"/>
      <c r="V175" s="18"/>
      <c r="W175" s="18"/>
      <c r="X175" s="18"/>
      <c r="Y175" s="18"/>
      <c r="Z175" s="18"/>
      <c r="AA175" s="18"/>
      <c r="AB175" s="26" t="e">
        <f>AVERAGE(V175:AA175)</f>
        <v>#DIV/0!</v>
      </c>
      <c r="AC175" s="23" t="e">
        <f>SQRT(VAR(V175:AA175))</f>
        <v>#DIV/0!</v>
      </c>
      <c r="AD175" s="10">
        <f>COUNT(V175:AA175)</f>
        <v>0</v>
      </c>
    </row>
    <row r="176" spans="1:30">
      <c r="A176" s="239"/>
      <c r="P176" s="4"/>
      <c r="U176" s="239"/>
    </row>
    <row r="177" spans="1:30" ht="25.5">
      <c r="A177" s="239"/>
      <c r="B177" s="3" t="s">
        <v>316</v>
      </c>
      <c r="C177" s="3" t="s">
        <v>353</v>
      </c>
      <c r="D177" s="3" t="s">
        <v>354</v>
      </c>
      <c r="E177" s="3" t="s">
        <v>319</v>
      </c>
      <c r="H177" s="3" t="s">
        <v>320</v>
      </c>
      <c r="I177" s="3">
        <v>5.4</v>
      </c>
      <c r="P177" s="4" t="e">
        <f>AVERAGE(J177:O177)</f>
        <v>#DIV/0!</v>
      </c>
      <c r="Q177" s="4" t="e">
        <f>SQRT(VAR(J177:O177))</f>
        <v>#DIV/0!</v>
      </c>
      <c r="R177" s="3">
        <f>COUNT(J177:O177)</f>
        <v>0</v>
      </c>
      <c r="U177" s="239"/>
      <c r="AB177" s="5" t="e">
        <f>AVERAGE(V177:AA177)</f>
        <v>#DIV/0!</v>
      </c>
      <c r="AC177" s="4" t="e">
        <f>SQRT(VAR(V177:AA177))</f>
        <v>#DIV/0!</v>
      </c>
      <c r="AD177" s="3">
        <f>COUNT(V177:AA177)</f>
        <v>0</v>
      </c>
    </row>
    <row r="178" spans="1:30" ht="25.5">
      <c r="A178" s="239"/>
      <c r="H178" s="10" t="s">
        <v>321</v>
      </c>
      <c r="I178" s="10">
        <v>0.15</v>
      </c>
      <c r="J178" s="18"/>
      <c r="K178" s="18"/>
      <c r="L178" s="18"/>
      <c r="M178" s="18"/>
      <c r="N178" s="18"/>
      <c r="O178" s="18"/>
      <c r="P178" s="23" t="e">
        <f>AVERAGE(J178:O178)</f>
        <v>#DIV/0!</v>
      </c>
      <c r="Q178" s="23" t="e">
        <f>SQRT(VAR(J178:O178))</f>
        <v>#DIV/0!</v>
      </c>
      <c r="R178" s="10">
        <f>COUNT(J178:O178)</f>
        <v>0</v>
      </c>
      <c r="U178" s="239"/>
      <c r="V178" s="18"/>
      <c r="W178" s="18"/>
      <c r="X178" s="18"/>
      <c r="Y178" s="18"/>
      <c r="Z178" s="18"/>
      <c r="AA178" s="18"/>
      <c r="AB178" s="26" t="e">
        <f>AVERAGE(V178:AA178)</f>
        <v>#DIV/0!</v>
      </c>
      <c r="AC178" s="23" t="e">
        <f>SQRT(VAR(V178:AA178))</f>
        <v>#DIV/0!</v>
      </c>
      <c r="AD178" s="10">
        <f>COUNT(V178:AA178)</f>
        <v>0</v>
      </c>
    </row>
    <row r="179" spans="1:30">
      <c r="A179" s="239"/>
      <c r="P179" s="4"/>
      <c r="U179" s="239"/>
    </row>
    <row r="180" spans="1:30">
      <c r="A180" s="239"/>
      <c r="B180" s="8" t="s">
        <v>51</v>
      </c>
      <c r="C180" s="8"/>
      <c r="D180" s="8"/>
      <c r="E180" s="8"/>
      <c r="F180" s="8"/>
      <c r="G180" s="8"/>
      <c r="H180" s="13"/>
      <c r="I180" s="13"/>
      <c r="J180" s="16"/>
      <c r="K180" s="16"/>
      <c r="L180" s="16"/>
      <c r="M180" s="16"/>
      <c r="N180" s="16"/>
      <c r="O180" s="16"/>
      <c r="P180" s="22"/>
      <c r="Q180" s="22"/>
      <c r="R180" s="13"/>
      <c r="U180" s="239"/>
      <c r="V180" s="16"/>
      <c r="W180" s="16"/>
      <c r="X180" s="16"/>
      <c r="Y180" s="16"/>
      <c r="Z180" s="16"/>
      <c r="AA180" s="16"/>
      <c r="AB180" s="25"/>
      <c r="AC180" s="22"/>
      <c r="AD180" s="13"/>
    </row>
    <row r="181" spans="1:30" ht="25.5">
      <c r="A181" s="239"/>
      <c r="B181" s="3" t="s">
        <v>316</v>
      </c>
      <c r="C181" s="3" t="s">
        <v>317</v>
      </c>
      <c r="D181" s="11" t="s">
        <v>355</v>
      </c>
      <c r="E181" s="3" t="s">
        <v>333</v>
      </c>
      <c r="F181" s="3" t="s">
        <v>75</v>
      </c>
      <c r="H181" s="3" t="s">
        <v>320</v>
      </c>
      <c r="I181" s="3">
        <v>5.4</v>
      </c>
      <c r="J181" s="2">
        <f>6.662*UL_OH!R29</f>
        <v>6.1357579831932769</v>
      </c>
      <c r="P181" s="4">
        <f>AVERAGE(J181:O181)</f>
        <v>6.1357579831932769</v>
      </c>
      <c r="Q181" s="4" t="e">
        <f>SQRT(VAR(J181:O181))</f>
        <v>#DIV/0!</v>
      </c>
      <c r="R181" s="3">
        <f>COUNT(J181:O181)</f>
        <v>1</v>
      </c>
      <c r="U181" s="239"/>
      <c r="V181" s="2">
        <f>UL_OH!R29*6.629</f>
        <v>6.1053647058823524</v>
      </c>
      <c r="AB181" s="5">
        <f>AVERAGE(V181:AA181)</f>
        <v>6.1053647058823524</v>
      </c>
      <c r="AC181" s="4" t="e">
        <f>SQRT(VAR(V181:AA181))</f>
        <v>#DIV/0!</v>
      </c>
      <c r="AD181" s="3">
        <f>COUNT(V181:AA181)</f>
        <v>1</v>
      </c>
    </row>
    <row r="182" spans="1:30" ht="25.5">
      <c r="A182" s="239"/>
      <c r="H182" s="10" t="s">
        <v>321</v>
      </c>
      <c r="I182" s="10">
        <v>0.15</v>
      </c>
      <c r="J182" s="18">
        <f>UL_OH!R29*0.3</f>
        <v>0.27630252100840336</v>
      </c>
      <c r="K182" s="18"/>
      <c r="L182" s="18"/>
      <c r="M182" s="18"/>
      <c r="N182" s="18"/>
      <c r="O182" s="18"/>
      <c r="P182" s="23">
        <f>AVERAGE(J182:O182)</f>
        <v>0.27630252100840336</v>
      </c>
      <c r="Q182" s="23" t="e">
        <f>SQRT(VAR(J182:O182))</f>
        <v>#DIV/0!</v>
      </c>
      <c r="R182" s="10">
        <f>COUNT(J182:O182)</f>
        <v>1</v>
      </c>
      <c r="U182" s="239"/>
      <c r="V182" s="18">
        <f>UL_OH!R29*0.271</f>
        <v>0.24959327731092437</v>
      </c>
      <c r="W182" s="18"/>
      <c r="X182" s="18"/>
      <c r="Y182" s="18"/>
      <c r="Z182" s="27"/>
      <c r="AA182" s="27"/>
      <c r="AB182" s="26">
        <f>AVERAGE(V182:AA182)</f>
        <v>0.24959327731092437</v>
      </c>
      <c r="AC182" s="23" t="e">
        <f>SQRT(VAR(V182:AA182))</f>
        <v>#DIV/0!</v>
      </c>
      <c r="AD182" s="10">
        <f>COUNT(V182:AA182)</f>
        <v>1</v>
      </c>
    </row>
    <row r="183" spans="1:30">
      <c r="A183" s="30"/>
      <c r="P183" s="4"/>
      <c r="U183" s="30"/>
    </row>
    <row r="184" spans="1:30" ht="25.5">
      <c r="A184" s="30"/>
      <c r="B184" s="3" t="s">
        <v>316</v>
      </c>
      <c r="C184" s="3" t="s">
        <v>317</v>
      </c>
      <c r="D184" s="11" t="s">
        <v>355</v>
      </c>
      <c r="E184" s="3" t="s">
        <v>319</v>
      </c>
      <c r="F184" s="3" t="s">
        <v>75</v>
      </c>
      <c r="H184" s="3" t="s">
        <v>320</v>
      </c>
      <c r="I184" s="3">
        <v>5.4</v>
      </c>
      <c r="J184" s="2">
        <f>UL_OH!R20*6.91</f>
        <v>6.5704775086505194</v>
      </c>
      <c r="P184" s="4">
        <f>AVERAGE(J184:O184)</f>
        <v>6.5704775086505194</v>
      </c>
      <c r="Q184" s="4" t="e">
        <f>SQRT(VAR(J184:O184))</f>
        <v>#DIV/0!</v>
      </c>
      <c r="R184" s="3">
        <f>COUNT(J184:O184)</f>
        <v>1</v>
      </c>
      <c r="U184" s="30"/>
      <c r="V184" s="2">
        <f>UL_OH!R20*6.813</f>
        <v>6.4782435986159168</v>
      </c>
      <c r="AB184" s="5">
        <f>AVERAGE(V184:AA184)</f>
        <v>6.4782435986159168</v>
      </c>
      <c r="AC184" s="4" t="e">
        <f>SQRT(VAR(V184:AA184))</f>
        <v>#DIV/0!</v>
      </c>
      <c r="AD184" s="3">
        <f>COUNT(V184:AA184)</f>
        <v>1</v>
      </c>
    </row>
    <row r="185" spans="1:30" ht="25.5">
      <c r="A185" s="30"/>
      <c r="H185" s="10" t="s">
        <v>321</v>
      </c>
      <c r="I185" s="10">
        <v>0.15</v>
      </c>
      <c r="J185" s="18">
        <f>UL_OH!R20*0.292</f>
        <v>0.27765259515570934</v>
      </c>
      <c r="K185" s="18"/>
      <c r="L185" s="18"/>
      <c r="M185" s="18"/>
      <c r="N185" s="18"/>
      <c r="O185" s="18"/>
      <c r="P185" s="23">
        <f>AVERAGE(J185:O185)</f>
        <v>0.27765259515570934</v>
      </c>
      <c r="Q185" s="23" t="e">
        <f>SQRT(VAR(J185:O185))</f>
        <v>#DIV/0!</v>
      </c>
      <c r="R185" s="10">
        <f>COUNT(J185:O185)</f>
        <v>1</v>
      </c>
      <c r="U185" s="30"/>
      <c r="V185" s="18">
        <f>UL_OH!R20*0.259</f>
        <v>0.2462740484429066</v>
      </c>
      <c r="W185" s="18"/>
      <c r="X185" s="18"/>
      <c r="Y185" s="18"/>
      <c r="Z185" s="27"/>
      <c r="AA185" s="27"/>
      <c r="AB185" s="26">
        <f>AVERAGE(V185:AA185)</f>
        <v>0.2462740484429066</v>
      </c>
      <c r="AC185" s="23" t="e">
        <f>SQRT(VAR(V185:AA185))</f>
        <v>#DIV/0!</v>
      </c>
      <c r="AD185" s="10">
        <f>COUNT(V185:AA185)</f>
        <v>1</v>
      </c>
    </row>
    <row r="186" spans="1:30">
      <c r="A186" s="30"/>
      <c r="P186" s="4"/>
      <c r="U186" s="30"/>
    </row>
    <row r="187" spans="1:30" ht="25.5">
      <c r="A187" s="30"/>
      <c r="B187" s="3" t="s">
        <v>316</v>
      </c>
      <c r="C187" s="3" t="s">
        <v>329</v>
      </c>
      <c r="D187" s="3" t="s">
        <v>356</v>
      </c>
      <c r="E187" s="3" t="s">
        <v>333</v>
      </c>
      <c r="F187" s="3" t="s">
        <v>75</v>
      </c>
      <c r="H187" s="3" t="s">
        <v>320</v>
      </c>
      <c r="I187" s="3">
        <v>5.4</v>
      </c>
      <c r="J187" s="2">
        <f>UL_OH!R29*7.633</f>
        <v>7.0300571428571423</v>
      </c>
      <c r="P187" s="4">
        <f>AVERAGE(J187:O187)</f>
        <v>7.0300571428571423</v>
      </c>
      <c r="Q187" s="4" t="e">
        <f>SQRT(VAR(J187:O187))</f>
        <v>#DIV/0!</v>
      </c>
      <c r="R187" s="3">
        <f>COUNT(J187:O187)</f>
        <v>1</v>
      </c>
      <c r="U187" s="30"/>
      <c r="V187" s="2">
        <f>UL_OH!R29*7.601</f>
        <v>7.0005848739495793</v>
      </c>
      <c r="Z187" s="32">
        <f>UL_OH!R30*7.39</f>
        <v>7.4100772306846983</v>
      </c>
      <c r="AB187" s="5">
        <f>AVERAGE(V187:AA187)</f>
        <v>7.2053310523171383</v>
      </c>
      <c r="AC187" s="4">
        <f>SQRT(VAR(V187:AA187))</f>
        <v>0.28955482229146345</v>
      </c>
      <c r="AD187" s="3">
        <f>COUNT(V187:AA187)</f>
        <v>2</v>
      </c>
    </row>
    <row r="188" spans="1:30" ht="25.5">
      <c r="A188" s="30"/>
      <c r="H188" s="10" t="s">
        <v>321</v>
      </c>
      <c r="I188" s="10">
        <v>0.15</v>
      </c>
      <c r="J188" s="18">
        <f>UL_OH!R29*0.386</f>
        <v>0.35550924369747899</v>
      </c>
      <c r="K188" s="18"/>
      <c r="L188" s="18"/>
      <c r="M188" s="18"/>
      <c r="N188" s="18"/>
      <c r="O188" s="18"/>
      <c r="P188" s="23">
        <f>AVERAGE(J188:O188)</f>
        <v>0.35550924369747899</v>
      </c>
      <c r="Q188" s="23" t="e">
        <f>SQRT(VAR(J188:O188))</f>
        <v>#DIV/0!</v>
      </c>
      <c r="R188" s="10">
        <f>COUNT(J188:O188)</f>
        <v>1</v>
      </c>
      <c r="U188" s="31"/>
      <c r="V188" s="18">
        <f>UL_OH!R29*0.353</f>
        <v>0.3251159663865546</v>
      </c>
      <c r="W188" s="18"/>
      <c r="X188" s="18"/>
      <c r="Y188" s="18"/>
      <c r="Z188" s="33">
        <f>UL_OH!R30*0.49</f>
        <v>0.4913312372172533</v>
      </c>
      <c r="AA188" s="27"/>
      <c r="AB188" s="26">
        <f>AVERAGE(V188:AA188)</f>
        <v>0.40822360180190398</v>
      </c>
      <c r="AC188" s="23">
        <f>SQRT(VAR(V188:AA188))</f>
        <v>0.11753194514114559</v>
      </c>
      <c r="AD188" s="10">
        <f>COUNT(V188:AA188)</f>
        <v>2</v>
      </c>
    </row>
    <row r="189" spans="1:30">
      <c r="A189" s="30"/>
      <c r="P189" s="4"/>
      <c r="U189" s="31"/>
    </row>
    <row r="190" spans="1:30" ht="25.5">
      <c r="A190" s="30"/>
      <c r="B190" s="3" t="s">
        <v>316</v>
      </c>
      <c r="C190" s="3" t="s">
        <v>329</v>
      </c>
      <c r="D190" s="3" t="s">
        <v>356</v>
      </c>
      <c r="E190" s="3" t="s">
        <v>319</v>
      </c>
      <c r="F190" s="3" t="s">
        <v>75</v>
      </c>
      <c r="H190" s="3" t="s">
        <v>320</v>
      </c>
      <c r="I190" s="3">
        <v>5.4</v>
      </c>
      <c r="J190" s="2">
        <f>UL_OH!R20*7.876</f>
        <v>7.4890131487889278</v>
      </c>
      <c r="P190" s="4">
        <f>AVERAGE(J190:O190)</f>
        <v>7.4890131487889278</v>
      </c>
      <c r="Q190" s="4" t="e">
        <f>SQRT(VAR(J190:O190))</f>
        <v>#DIV/0!</v>
      </c>
      <c r="R190" s="3">
        <f>COUNT(J190:O190)</f>
        <v>1</v>
      </c>
      <c r="U190" s="30"/>
      <c r="V190" s="2">
        <f>UL_OH!R20*7.861</f>
        <v>7.4747501730103805</v>
      </c>
      <c r="AB190" s="5">
        <f>AVERAGE(V190:AA190)</f>
        <v>7.4747501730103805</v>
      </c>
      <c r="AC190" s="4" t="e">
        <f>SQRT(VAR(V190:AA190))</f>
        <v>#DIV/0!</v>
      </c>
      <c r="AD190" s="3">
        <f>COUNT(V190:AA190)</f>
        <v>1</v>
      </c>
    </row>
    <row r="191" spans="1:30" ht="25.5">
      <c r="A191" s="30"/>
      <c r="H191" s="10" t="s">
        <v>321</v>
      </c>
      <c r="I191" s="10">
        <v>0.15</v>
      </c>
      <c r="J191" s="18">
        <f>UL_OH!R20*0.377</f>
        <v>0.35847612456747407</v>
      </c>
      <c r="K191" s="18"/>
      <c r="L191" s="18"/>
      <c r="M191" s="18"/>
      <c r="N191" s="18"/>
      <c r="O191" s="18"/>
      <c r="P191" s="23">
        <f>AVERAGE(J191:O191)</f>
        <v>0.35847612456747407</v>
      </c>
      <c r="Q191" s="23" t="e">
        <f>SQRT(VAR(J191:O191))</f>
        <v>#DIV/0!</v>
      </c>
      <c r="R191" s="10">
        <f>COUNT(J191:O191)</f>
        <v>1</v>
      </c>
      <c r="U191" s="31"/>
      <c r="V191" s="18">
        <f>UL_OH!R20*0.31</f>
        <v>0.29476816608996542</v>
      </c>
      <c r="W191" s="18"/>
      <c r="X191" s="18"/>
      <c r="Y191" s="18"/>
      <c r="Z191" s="27"/>
      <c r="AA191" s="27"/>
      <c r="AB191" s="26">
        <f>AVERAGE(V191:AA191)</f>
        <v>0.29476816608996542</v>
      </c>
      <c r="AC191" s="23" t="e">
        <f>SQRT(VAR(V191:AA191))</f>
        <v>#DIV/0!</v>
      </c>
      <c r="AD191" s="10">
        <f>COUNT(V191:AA191)</f>
        <v>1</v>
      </c>
    </row>
    <row r="192" spans="1:30">
      <c r="A192" s="30"/>
      <c r="P192" s="4"/>
      <c r="U192" s="31"/>
    </row>
    <row r="193" spans="1:30" ht="25.5">
      <c r="A193" s="30"/>
      <c r="B193" s="3" t="s">
        <v>316</v>
      </c>
      <c r="C193" s="3" t="s">
        <v>317</v>
      </c>
      <c r="D193" s="3" t="s">
        <v>357</v>
      </c>
      <c r="E193" s="3" t="s">
        <v>333</v>
      </c>
      <c r="F193" s="3" t="s">
        <v>75</v>
      </c>
      <c r="H193" s="3" t="s">
        <v>320</v>
      </c>
      <c r="I193" s="3">
        <v>5.4</v>
      </c>
      <c r="J193" s="2">
        <f>UL_OH!R29*7.312</f>
        <v>6.7344134453781512</v>
      </c>
      <c r="P193" s="4">
        <f>AVERAGE(J193:O193)</f>
        <v>6.7344134453781512</v>
      </c>
      <c r="Q193" s="4" t="e">
        <f>SQRT(VAR(J193:O193))</f>
        <v>#DIV/0!</v>
      </c>
      <c r="R193" s="3">
        <f>COUNT(J193:O193)</f>
        <v>1</v>
      </c>
      <c r="U193" s="30"/>
      <c r="V193" s="2">
        <f>UL_OH!R29*7.329</f>
        <v>6.7500705882352934</v>
      </c>
      <c r="AB193" s="5">
        <f>AVERAGE(V193:AA193)</f>
        <v>6.7500705882352934</v>
      </c>
      <c r="AC193" s="4" t="e">
        <f>SQRT(VAR(V193:AA193))</f>
        <v>#DIV/0!</v>
      </c>
      <c r="AD193" s="3">
        <f>COUNT(V193:AA193)</f>
        <v>1</v>
      </c>
    </row>
    <row r="194" spans="1:30" ht="25.5">
      <c r="A194" s="30"/>
      <c r="H194" s="10" t="s">
        <v>321</v>
      </c>
      <c r="I194" s="10">
        <v>0.15</v>
      </c>
      <c r="J194" s="18">
        <f>UL_OH!R29*0.359</f>
        <v>0.33064201680672267</v>
      </c>
      <c r="K194" s="18"/>
      <c r="L194" s="18"/>
      <c r="M194" s="18"/>
      <c r="N194" s="18"/>
      <c r="O194" s="18"/>
      <c r="P194" s="23">
        <f>AVERAGE(J194:O194)</f>
        <v>0.33064201680672267</v>
      </c>
      <c r="Q194" s="23" t="e">
        <f>SQRT(VAR(J194:O194))</f>
        <v>#DIV/0!</v>
      </c>
      <c r="R194" s="10">
        <f>COUNT(J194:O194)</f>
        <v>1</v>
      </c>
      <c r="U194" s="31"/>
      <c r="V194" s="18">
        <f>UL_OH!R29*0.336</f>
        <v>0.30945882352941179</v>
      </c>
      <c r="W194" s="18"/>
      <c r="X194" s="18"/>
      <c r="Y194" s="18"/>
      <c r="Z194" s="27"/>
      <c r="AA194" s="27"/>
      <c r="AB194" s="26">
        <f>AVERAGE(V194:AA194)</f>
        <v>0.30945882352941179</v>
      </c>
      <c r="AC194" s="23" t="e">
        <f>SQRT(VAR(V194:AA194))</f>
        <v>#DIV/0!</v>
      </c>
      <c r="AD194" s="10">
        <f>COUNT(V194:AA194)</f>
        <v>1</v>
      </c>
    </row>
    <row r="195" spans="1:30">
      <c r="A195" s="30"/>
      <c r="P195" s="4"/>
      <c r="U195" s="31"/>
    </row>
    <row r="196" spans="1:30" ht="25.5">
      <c r="A196" s="30"/>
      <c r="B196" s="3" t="s">
        <v>316</v>
      </c>
      <c r="C196" s="3" t="s">
        <v>317</v>
      </c>
      <c r="D196" s="3" t="s">
        <v>357</v>
      </c>
      <c r="E196" s="3" t="s">
        <v>319</v>
      </c>
      <c r="F196" s="3" t="s">
        <v>75</v>
      </c>
      <c r="H196" s="3" t="s">
        <v>320</v>
      </c>
      <c r="I196" s="3">
        <v>5.4</v>
      </c>
      <c r="J196" s="2">
        <f>UL_OH!R20*7.57</f>
        <v>7.1980484429065745</v>
      </c>
      <c r="P196" s="4">
        <f>AVERAGE(J196:O196)</f>
        <v>7.1980484429065745</v>
      </c>
      <c r="Q196" s="4" t="e">
        <f>SQRT(VAR(J196:O196))</f>
        <v>#DIV/0!</v>
      </c>
      <c r="R196" s="3">
        <f>COUNT(J196:O196)</f>
        <v>1</v>
      </c>
      <c r="U196" s="30"/>
      <c r="V196" s="2">
        <f>UL_OH!R20*7.554</f>
        <v>7.1828346020761247</v>
      </c>
      <c r="AB196" s="5">
        <f>AVERAGE(V196:AA196)</f>
        <v>7.1828346020761247</v>
      </c>
      <c r="AC196" s="4" t="e">
        <f>SQRT(VAR(V196:AA196))</f>
        <v>#DIV/0!</v>
      </c>
      <c r="AD196" s="3">
        <f>COUNT(V196:AA196)</f>
        <v>1</v>
      </c>
    </row>
    <row r="197" spans="1:30" ht="25.5">
      <c r="A197" s="30"/>
      <c r="H197" s="10" t="s">
        <v>321</v>
      </c>
      <c r="I197" s="10">
        <v>0.15</v>
      </c>
      <c r="J197" s="18">
        <f>UL_OH!R20*0.34</f>
        <v>0.32329411764705884</v>
      </c>
      <c r="K197" s="18"/>
      <c r="L197" s="18"/>
      <c r="M197" s="18"/>
      <c r="N197" s="18"/>
      <c r="O197" s="18"/>
      <c r="P197" s="23">
        <f>AVERAGE(J197:O197)</f>
        <v>0.32329411764705884</v>
      </c>
      <c r="Q197" s="23" t="e">
        <f>SQRT(VAR(J197:O197))</f>
        <v>#DIV/0!</v>
      </c>
      <c r="R197" s="10">
        <f>COUNT(J197:O197)</f>
        <v>1</v>
      </c>
      <c r="U197" s="31"/>
      <c r="V197" s="18">
        <f>UL_OH!R20*0.303</f>
        <v>0.28811211072664361</v>
      </c>
      <c r="W197" s="18"/>
      <c r="X197" s="18"/>
      <c r="Y197" s="18"/>
      <c r="Z197" s="27"/>
      <c r="AA197" s="27"/>
      <c r="AB197" s="26">
        <f>AVERAGE(V197:AA197)</f>
        <v>0.28811211072664361</v>
      </c>
      <c r="AC197" s="23" t="e">
        <f>SQRT(VAR(V197:AA197))</f>
        <v>#DIV/0!</v>
      </c>
      <c r="AD197" s="10">
        <f>COUNT(V197:AA197)</f>
        <v>1</v>
      </c>
    </row>
    <row r="198" spans="1:30">
      <c r="A198" s="30"/>
      <c r="P198" s="4"/>
      <c r="U198" s="31"/>
    </row>
    <row r="199" spans="1:30" ht="25.5">
      <c r="A199" s="30"/>
      <c r="B199" s="3" t="s">
        <v>316</v>
      </c>
      <c r="C199" s="3" t="s">
        <v>323</v>
      </c>
      <c r="D199" s="3" t="s">
        <v>358</v>
      </c>
      <c r="E199" s="3" t="s">
        <v>319</v>
      </c>
      <c r="F199" s="3" t="s">
        <v>76</v>
      </c>
      <c r="H199" s="3" t="s">
        <v>320</v>
      </c>
      <c r="I199" s="3">
        <v>5.4</v>
      </c>
      <c r="P199" s="4" t="e">
        <f>AVERAGE(J199:O199)</f>
        <v>#DIV/0!</v>
      </c>
      <c r="Q199" s="4" t="e">
        <f>SQRT(VAR(J199:O199))</f>
        <v>#DIV/0!</v>
      </c>
      <c r="R199" s="3">
        <f>COUNT(J199:O199)</f>
        <v>0</v>
      </c>
      <c r="U199" s="31"/>
      <c r="AB199" s="5" t="e">
        <f>AVERAGE(V199:AA199)</f>
        <v>#DIV/0!</v>
      </c>
      <c r="AC199" s="4" t="e">
        <f>SQRT(VAR(V199:AA199))</f>
        <v>#DIV/0!</v>
      </c>
      <c r="AD199" s="3">
        <f>COUNT(V199:AA199)</f>
        <v>0</v>
      </c>
    </row>
    <row r="200" spans="1:30" ht="25.5">
      <c r="A200" s="30"/>
      <c r="H200" s="10" t="s">
        <v>321</v>
      </c>
      <c r="I200" s="10">
        <v>0.15</v>
      </c>
      <c r="J200" s="18"/>
      <c r="K200" s="18"/>
      <c r="L200" s="18"/>
      <c r="M200" s="18"/>
      <c r="N200" s="18"/>
      <c r="O200" s="18"/>
      <c r="P200" s="23" t="e">
        <f>AVERAGE(J200:O200)</f>
        <v>#DIV/0!</v>
      </c>
      <c r="Q200" s="23" t="e">
        <f>SQRT(VAR(J200:O200))</f>
        <v>#DIV/0!</v>
      </c>
      <c r="R200" s="10">
        <f>COUNT(J200:O200)</f>
        <v>0</v>
      </c>
      <c r="U200" s="31"/>
      <c r="V200" s="18"/>
      <c r="W200" s="18"/>
      <c r="X200" s="18"/>
      <c r="Y200" s="18"/>
      <c r="Z200" s="18"/>
      <c r="AA200" s="18"/>
      <c r="AB200" s="26" t="e">
        <f>AVERAGE(V200:AA200)</f>
        <v>#DIV/0!</v>
      </c>
      <c r="AC200" s="23" t="e">
        <f>SQRT(VAR(V200:AA200))</f>
        <v>#DIV/0!</v>
      </c>
      <c r="AD200" s="10">
        <f>COUNT(V200:AA200)</f>
        <v>0</v>
      </c>
    </row>
    <row r="201" spans="1:30">
      <c r="A201" s="30"/>
      <c r="P201" s="4"/>
      <c r="U201" s="31"/>
    </row>
    <row r="202" spans="1:30" ht="25.5">
      <c r="A202" s="30"/>
      <c r="B202" s="3" t="s">
        <v>316</v>
      </c>
      <c r="C202" s="3" t="s">
        <v>346</v>
      </c>
      <c r="D202" s="11" t="s">
        <v>359</v>
      </c>
      <c r="E202" s="3" t="s">
        <v>319</v>
      </c>
      <c r="F202" s="11" t="s">
        <v>76</v>
      </c>
      <c r="G202" s="11"/>
      <c r="H202" s="3" t="s">
        <v>320</v>
      </c>
      <c r="I202" s="3">
        <v>5.4</v>
      </c>
      <c r="K202" s="2">
        <v>6.56</v>
      </c>
      <c r="P202" s="4">
        <f>AVERAGE(J202:O202)</f>
        <v>6.56</v>
      </c>
      <c r="Q202" s="4" t="e">
        <f>SQRT(VAR(J202:O202))</f>
        <v>#DIV/0!</v>
      </c>
      <c r="R202" s="3">
        <f>COUNT(J202:O202)</f>
        <v>1</v>
      </c>
      <c r="U202" s="31"/>
      <c r="W202" s="2">
        <v>6.9</v>
      </c>
      <c r="AB202" s="5">
        <f>AVERAGE(V202:AA202)</f>
        <v>6.9</v>
      </c>
      <c r="AC202" s="4" t="e">
        <f>SQRT(VAR(V202:AA202))</f>
        <v>#DIV/0!</v>
      </c>
      <c r="AD202" s="3">
        <f>COUNT(V202:AA202)</f>
        <v>1</v>
      </c>
    </row>
    <row r="203" spans="1:30" ht="25.5">
      <c r="A203" s="30"/>
      <c r="H203" s="10" t="s">
        <v>321</v>
      </c>
      <c r="I203" s="10">
        <v>0.15</v>
      </c>
      <c r="J203" s="18"/>
      <c r="K203" s="18">
        <v>0.27</v>
      </c>
      <c r="L203" s="18"/>
      <c r="M203" s="18"/>
      <c r="N203" s="18"/>
      <c r="O203" s="18"/>
      <c r="P203" s="23">
        <f>AVERAGE(J203:O203)</f>
        <v>0.27</v>
      </c>
      <c r="Q203" s="23" t="e">
        <f>SQRT(VAR(J203:O203))</f>
        <v>#DIV/0!</v>
      </c>
      <c r="R203" s="10">
        <f>COUNT(J203:O203)</f>
        <v>1</v>
      </c>
      <c r="U203" s="31"/>
      <c r="V203" s="18"/>
      <c r="W203" s="18">
        <v>0.316</v>
      </c>
      <c r="X203" s="18"/>
      <c r="Y203" s="18"/>
      <c r="Z203" s="18"/>
      <c r="AA203" s="18"/>
      <c r="AB203" s="26">
        <f>AVERAGE(V203:AA203)</f>
        <v>0.316</v>
      </c>
      <c r="AC203" s="23" t="e">
        <f>SQRT(VAR(V203:AA203))</f>
        <v>#DIV/0!</v>
      </c>
      <c r="AD203" s="10">
        <f>COUNT(V203:AA203)</f>
        <v>1</v>
      </c>
    </row>
    <row r="204" spans="1:30">
      <c r="A204" s="30"/>
      <c r="P204" s="4"/>
      <c r="U204" s="31"/>
    </row>
    <row r="205" spans="1:30" ht="25.5">
      <c r="A205" s="30"/>
      <c r="B205" s="3" t="s">
        <v>316</v>
      </c>
      <c r="C205" s="3" t="s">
        <v>346</v>
      </c>
      <c r="D205" s="11" t="s">
        <v>359</v>
      </c>
      <c r="E205" s="11" t="s">
        <v>333</v>
      </c>
      <c r="F205" s="11" t="s">
        <v>76</v>
      </c>
      <c r="G205" s="11"/>
      <c r="H205" s="3" t="s">
        <v>320</v>
      </c>
      <c r="I205" s="3">
        <v>5.4</v>
      </c>
      <c r="K205" s="2">
        <v>6.28</v>
      </c>
      <c r="P205" s="4">
        <f>AVERAGE(J205:O205)</f>
        <v>6.28</v>
      </c>
      <c r="Q205" s="4" t="e">
        <f>SQRT(VAR(J205:O205))</f>
        <v>#DIV/0!</v>
      </c>
      <c r="R205" s="3">
        <f>COUNT(J205:O205)</f>
        <v>1</v>
      </c>
      <c r="U205" s="31"/>
      <c r="W205" s="2">
        <v>6.34</v>
      </c>
      <c r="AB205" s="5">
        <f>AVERAGE(V205:AA205)</f>
        <v>6.34</v>
      </c>
      <c r="AC205" s="4" t="e">
        <f>SQRT(VAR(V205:AA205))</f>
        <v>#DIV/0!</v>
      </c>
      <c r="AD205" s="3">
        <f>COUNT(V205:AA205)</f>
        <v>1</v>
      </c>
    </row>
    <row r="206" spans="1:30" ht="25.5">
      <c r="A206" s="30"/>
      <c r="H206" s="10" t="s">
        <v>321</v>
      </c>
      <c r="I206" s="10">
        <v>0.15</v>
      </c>
      <c r="J206" s="18"/>
      <c r="K206" s="18">
        <v>0.26200000000000001</v>
      </c>
      <c r="L206" s="18"/>
      <c r="M206" s="18"/>
      <c r="N206" s="18"/>
      <c r="O206" s="18"/>
      <c r="P206" s="23">
        <f>AVERAGE(J206:O206)</f>
        <v>0.26200000000000001</v>
      </c>
      <c r="Q206" s="23" t="e">
        <f>SQRT(VAR(J206:O206))</f>
        <v>#DIV/0!</v>
      </c>
      <c r="R206" s="10">
        <f>COUNT(J206:O206)</f>
        <v>1</v>
      </c>
      <c r="U206" s="31"/>
      <c r="V206" s="18"/>
      <c r="W206" s="18">
        <v>0.35199999999999998</v>
      </c>
      <c r="X206" s="18"/>
      <c r="Y206" s="18"/>
      <c r="Z206" s="18"/>
      <c r="AA206" s="18"/>
      <c r="AB206" s="26">
        <f>AVERAGE(V206:AA206)</f>
        <v>0.35199999999999998</v>
      </c>
      <c r="AC206" s="23" t="e">
        <f>SQRT(VAR(V206:AA206))</f>
        <v>#DIV/0!</v>
      </c>
      <c r="AD206" s="10">
        <f>COUNT(V206:AA206)</f>
        <v>1</v>
      </c>
    </row>
    <row r="207" spans="1:30">
      <c r="A207" s="30"/>
      <c r="H207" s="10"/>
      <c r="I207" s="10"/>
      <c r="J207" s="18"/>
      <c r="K207" s="18"/>
      <c r="L207" s="18"/>
      <c r="M207" s="18"/>
      <c r="N207" s="18"/>
      <c r="O207" s="18"/>
      <c r="P207" s="23"/>
      <c r="Q207" s="23"/>
      <c r="R207" s="10"/>
      <c r="U207" s="31"/>
      <c r="V207" s="18"/>
      <c r="W207" s="18"/>
      <c r="X207" s="18"/>
      <c r="Y207" s="18"/>
      <c r="Z207" s="18"/>
      <c r="AA207" s="18"/>
      <c r="AB207" s="26"/>
      <c r="AC207" s="23"/>
      <c r="AD207" s="10"/>
    </row>
    <row r="208" spans="1:30" ht="25.5">
      <c r="A208" s="30"/>
      <c r="B208" s="3" t="s">
        <v>316</v>
      </c>
      <c r="C208" s="3" t="s">
        <v>346</v>
      </c>
      <c r="D208" s="11" t="s">
        <v>360</v>
      </c>
      <c r="E208" s="3" t="s">
        <v>319</v>
      </c>
      <c r="F208" s="11" t="s">
        <v>76</v>
      </c>
      <c r="G208" s="11"/>
      <c r="H208" s="3" t="s">
        <v>320</v>
      </c>
      <c r="I208" s="3">
        <v>5.4</v>
      </c>
      <c r="K208" s="2">
        <v>6.05</v>
      </c>
      <c r="P208" s="4">
        <f>AVERAGE(J208:O208)</f>
        <v>6.05</v>
      </c>
      <c r="Q208" s="4" t="e">
        <f>SQRT(VAR(J208:O208))</f>
        <v>#DIV/0!</v>
      </c>
      <c r="R208" s="3">
        <f>COUNT(J208:O208)</f>
        <v>1</v>
      </c>
      <c r="U208" s="31"/>
      <c r="W208" s="2">
        <v>6.43</v>
      </c>
      <c r="AB208" s="5">
        <f>AVERAGE(V208:AA208)</f>
        <v>6.43</v>
      </c>
      <c r="AC208" s="4" t="e">
        <f>SQRT(VAR(V208:AA208))</f>
        <v>#DIV/0!</v>
      </c>
      <c r="AD208" s="3">
        <f>COUNT(V208:AA208)</f>
        <v>1</v>
      </c>
    </row>
    <row r="209" spans="1:30" ht="25.5">
      <c r="A209" s="30"/>
      <c r="H209" s="10" t="s">
        <v>321</v>
      </c>
      <c r="I209" s="10">
        <v>0.15</v>
      </c>
      <c r="J209" s="18"/>
      <c r="K209" s="18">
        <v>0.252</v>
      </c>
      <c r="L209" s="18"/>
      <c r="M209" s="18"/>
      <c r="N209" s="18"/>
      <c r="O209" s="18"/>
      <c r="P209" s="23">
        <f>AVERAGE(J209:O209)</f>
        <v>0.252</v>
      </c>
      <c r="Q209" s="23" t="e">
        <f>SQRT(VAR(J209:O209))</f>
        <v>#DIV/0!</v>
      </c>
      <c r="R209" s="10">
        <f>COUNT(J209:O209)</f>
        <v>1</v>
      </c>
      <c r="U209" s="31"/>
      <c r="V209" s="18"/>
      <c r="W209" s="18">
        <v>0.27700000000000002</v>
      </c>
      <c r="X209" s="18"/>
      <c r="Y209" s="18"/>
      <c r="Z209" s="18"/>
      <c r="AA209" s="18"/>
      <c r="AB209" s="26">
        <f>AVERAGE(V209:AA209)</f>
        <v>0.27700000000000002</v>
      </c>
      <c r="AC209" s="23" t="e">
        <f>SQRT(VAR(V209:AA209))</f>
        <v>#DIV/0!</v>
      </c>
      <c r="AD209" s="10">
        <f>COUNT(V209:AA209)</f>
        <v>1</v>
      </c>
    </row>
    <row r="210" spans="1:30">
      <c r="A210" s="30"/>
      <c r="P210" s="4"/>
      <c r="U210" s="31"/>
    </row>
    <row r="211" spans="1:30" ht="25.5">
      <c r="A211" s="30"/>
      <c r="B211" s="3" t="s">
        <v>316</v>
      </c>
      <c r="C211" s="3" t="s">
        <v>346</v>
      </c>
      <c r="D211" s="11" t="s">
        <v>360</v>
      </c>
      <c r="E211" s="11" t="s">
        <v>333</v>
      </c>
      <c r="F211" s="11" t="s">
        <v>76</v>
      </c>
      <c r="G211" s="11"/>
      <c r="H211" s="3" t="s">
        <v>320</v>
      </c>
      <c r="I211" s="3">
        <v>5.4</v>
      </c>
      <c r="K211" s="2">
        <v>5.69</v>
      </c>
      <c r="P211" s="4">
        <f>AVERAGE(J211:O211)</f>
        <v>5.69</v>
      </c>
      <c r="Q211" s="4" t="e">
        <f>SQRT(VAR(J211:O211))</f>
        <v>#DIV/0!</v>
      </c>
      <c r="R211" s="3">
        <f>COUNT(J211:O211)</f>
        <v>1</v>
      </c>
      <c r="U211" s="31"/>
      <c r="W211" s="2">
        <v>6.02</v>
      </c>
      <c r="AB211" s="5">
        <f>AVERAGE(V211:AA211)</f>
        <v>6.02</v>
      </c>
      <c r="AC211" s="4" t="e">
        <f>SQRT(VAR(V211:AA211))</f>
        <v>#DIV/0!</v>
      </c>
      <c r="AD211" s="3">
        <f>COUNT(V211:AA211)</f>
        <v>1</v>
      </c>
    </row>
    <row r="212" spans="1:30" ht="25.5">
      <c r="A212" s="30"/>
      <c r="H212" s="10" t="s">
        <v>321</v>
      </c>
      <c r="I212" s="10">
        <v>0.15</v>
      </c>
      <c r="J212" s="18"/>
      <c r="K212" s="18">
        <v>0.23</v>
      </c>
      <c r="L212" s="18"/>
      <c r="M212" s="18"/>
      <c r="N212" s="18"/>
      <c r="O212" s="18"/>
      <c r="P212" s="23">
        <f>AVERAGE(J212:O212)</f>
        <v>0.23</v>
      </c>
      <c r="Q212" s="23" t="e">
        <f>SQRT(VAR(J212:O212))</f>
        <v>#DIV/0!</v>
      </c>
      <c r="R212" s="10">
        <f>COUNT(J212:O212)</f>
        <v>1</v>
      </c>
      <c r="U212" s="31"/>
      <c r="V212" s="18"/>
      <c r="W212" s="18">
        <v>0.29199999999999998</v>
      </c>
      <c r="X212" s="18"/>
      <c r="Y212" s="18"/>
      <c r="Z212" s="18"/>
      <c r="AA212" s="18"/>
      <c r="AB212" s="26">
        <f>AVERAGE(V212:AA212)</f>
        <v>0.29199999999999998</v>
      </c>
      <c r="AC212" s="23" t="e">
        <f>SQRT(VAR(V212:AA212))</f>
        <v>#DIV/0!</v>
      </c>
      <c r="AD212" s="10">
        <f>COUNT(V212:AA212)</f>
        <v>1</v>
      </c>
    </row>
    <row r="213" spans="1:30">
      <c r="A213" s="30"/>
      <c r="P213" s="4"/>
      <c r="U213" s="31"/>
    </row>
    <row r="214" spans="1:30" ht="25.5">
      <c r="A214" s="30"/>
      <c r="B214" s="3" t="s">
        <v>316</v>
      </c>
      <c r="C214" s="3" t="s">
        <v>339</v>
      </c>
      <c r="D214" s="3" t="s">
        <v>361</v>
      </c>
      <c r="E214" s="3" t="s">
        <v>319</v>
      </c>
      <c r="F214" s="171" t="s">
        <v>379</v>
      </c>
      <c r="G214" s="11"/>
      <c r="H214" s="3" t="s">
        <v>320</v>
      </c>
      <c r="I214" s="3">
        <v>5.4</v>
      </c>
      <c r="P214" s="4" t="e">
        <f>AVERAGE(J214:O214)</f>
        <v>#DIV/0!</v>
      </c>
      <c r="Q214" s="4" t="e">
        <f>SQRT(VAR(J214:O214))</f>
        <v>#DIV/0!</v>
      </c>
      <c r="R214" s="3">
        <f>COUNT(J214:O214)</f>
        <v>0</v>
      </c>
      <c r="U214" s="31"/>
      <c r="AB214" s="5" t="e">
        <f>AVERAGE(V214:AA214)</f>
        <v>#DIV/0!</v>
      </c>
      <c r="AC214" s="4" t="e">
        <f>SQRT(VAR(V214:AA214))</f>
        <v>#DIV/0!</v>
      </c>
      <c r="AD214" s="3">
        <f>COUNT(V214:AA214)</f>
        <v>0</v>
      </c>
    </row>
    <row r="215" spans="1:30" ht="25.5">
      <c r="A215" s="30"/>
      <c r="H215" s="10" t="s">
        <v>321</v>
      </c>
      <c r="I215" s="10">
        <v>0.15</v>
      </c>
      <c r="J215" s="18"/>
      <c r="K215" s="18"/>
      <c r="L215" s="18"/>
      <c r="M215" s="18"/>
      <c r="N215" s="18"/>
      <c r="O215" s="18"/>
      <c r="P215" s="23" t="e">
        <f>AVERAGE(J215:O215)</f>
        <v>#DIV/0!</v>
      </c>
      <c r="Q215" s="23" t="e">
        <f>SQRT(VAR(J215:O215))</f>
        <v>#DIV/0!</v>
      </c>
      <c r="R215" s="10">
        <f>COUNT(J215:O215)</f>
        <v>0</v>
      </c>
      <c r="U215" s="31"/>
      <c r="V215" s="18"/>
      <c r="W215" s="18"/>
      <c r="X215" s="18"/>
      <c r="Y215" s="18"/>
      <c r="Z215" s="18"/>
      <c r="AA215" s="18"/>
      <c r="AB215" s="26" t="e">
        <f>AVERAGE(V215:AA215)</f>
        <v>#DIV/0!</v>
      </c>
      <c r="AC215" s="23" t="e">
        <f>SQRT(VAR(V215:AA215))</f>
        <v>#DIV/0!</v>
      </c>
      <c r="AD215" s="10">
        <f>COUNT(V215:AA215)</f>
        <v>0</v>
      </c>
    </row>
    <row r="216" spans="1:30">
      <c r="A216" s="30"/>
      <c r="P216" s="4"/>
      <c r="U216" s="31"/>
    </row>
    <row r="217" spans="1:30" ht="25.5">
      <c r="A217" s="30"/>
      <c r="B217" s="3" t="s">
        <v>316</v>
      </c>
      <c r="C217" s="3" t="s">
        <v>362</v>
      </c>
      <c r="D217" s="11" t="s">
        <v>355</v>
      </c>
      <c r="E217" s="3" t="s">
        <v>333</v>
      </c>
      <c r="F217" s="11" t="s">
        <v>76</v>
      </c>
      <c r="G217" s="11"/>
      <c r="H217" s="3" t="s">
        <v>320</v>
      </c>
      <c r="I217" s="3">
        <v>5.4</v>
      </c>
      <c r="P217" s="4" t="e">
        <f>AVERAGE(J217:O217)</f>
        <v>#DIV/0!</v>
      </c>
      <c r="Q217" s="4" t="e">
        <f>SQRT(VAR(J217:O217))</f>
        <v>#DIV/0!</v>
      </c>
      <c r="R217" s="3">
        <f>COUNT(J217:O217)</f>
        <v>0</v>
      </c>
      <c r="U217" s="31"/>
      <c r="Y217" s="17"/>
      <c r="Z217" s="2">
        <f>UL_OH!R27*7.8</f>
        <v>8.1595999607804686</v>
      </c>
      <c r="AB217" s="5">
        <f>AVERAGE(V217:AA217)</f>
        <v>8.1595999607804686</v>
      </c>
      <c r="AC217" s="4" t="e">
        <f>SQRT(VAR(V217:AA217))</f>
        <v>#DIV/0!</v>
      </c>
      <c r="AD217" s="3">
        <f>COUNT(V217:AA217)</f>
        <v>1</v>
      </c>
    </row>
    <row r="218" spans="1:30" ht="25.5">
      <c r="A218" s="30"/>
      <c r="H218" s="10" t="s">
        <v>321</v>
      </c>
      <c r="I218" s="10">
        <v>0.15</v>
      </c>
      <c r="J218" s="18"/>
      <c r="K218" s="18"/>
      <c r="L218" s="18"/>
      <c r="M218" s="18"/>
      <c r="N218" s="18"/>
      <c r="O218" s="18"/>
      <c r="P218" s="23" t="e">
        <f>AVERAGE(J218:O218)</f>
        <v>#DIV/0!</v>
      </c>
      <c r="Q218" s="23" t="e">
        <f>SQRT(VAR(J218:O218))</f>
        <v>#DIV/0!</v>
      </c>
      <c r="R218" s="10">
        <f>COUNT(J218:O218)</f>
        <v>0</v>
      </c>
      <c r="U218" s="31"/>
      <c r="V218" s="18"/>
      <c r="W218" s="18"/>
      <c r="X218" s="18"/>
      <c r="Y218" s="19"/>
      <c r="Z218" s="27">
        <f>UL_OH!R27*0.53</f>
        <v>0.55443435630944216</v>
      </c>
      <c r="AA218" s="27"/>
      <c r="AB218" s="26">
        <f>AVERAGE(V218:AA218)</f>
        <v>0.55443435630944216</v>
      </c>
      <c r="AC218" s="23" t="e">
        <f>SQRT(VAR(V218:AA218))</f>
        <v>#DIV/0!</v>
      </c>
      <c r="AD218" s="10">
        <f>COUNT(V218:AA218)</f>
        <v>1</v>
      </c>
    </row>
    <row r="219" spans="1:30">
      <c r="A219" s="30"/>
      <c r="P219" s="4"/>
      <c r="U219" s="31"/>
    </row>
    <row r="220" spans="1:30" ht="25.5">
      <c r="A220" s="30"/>
      <c r="B220" s="3" t="s">
        <v>316</v>
      </c>
      <c r="C220" s="3" t="s">
        <v>329</v>
      </c>
      <c r="D220" s="3" t="s">
        <v>356</v>
      </c>
      <c r="E220" s="3" t="s">
        <v>333</v>
      </c>
      <c r="F220" s="11" t="s">
        <v>76</v>
      </c>
      <c r="G220" s="11"/>
      <c r="H220" s="3" t="s">
        <v>320</v>
      </c>
      <c r="I220" s="3">
        <v>5.4</v>
      </c>
      <c r="O220" s="2">
        <f>UL_OH!R27*7.917</f>
        <v>8.2819939601921764</v>
      </c>
      <c r="P220" s="4">
        <f>AVERAGE(J220:O220)</f>
        <v>8.2819939601921764</v>
      </c>
      <c r="Q220" s="4" t="e">
        <f>SQRT(VAR(J220:O220))</f>
        <v>#DIV/0!</v>
      </c>
      <c r="R220" s="3">
        <f>COUNT(J220:O220)</f>
        <v>1</v>
      </c>
      <c r="U220" s="239"/>
      <c r="Z220" s="2">
        <f>UL_OH!R27*7.88</f>
        <v>8.2432881655064225</v>
      </c>
      <c r="AB220" s="5">
        <f>AVERAGE(V220:AA220)</f>
        <v>8.2432881655064225</v>
      </c>
      <c r="AC220" s="4" t="e">
        <f>SQRT(VAR(V220:AA220))</f>
        <v>#DIV/0!</v>
      </c>
      <c r="AD220" s="3">
        <f>COUNT(V220:AA220)</f>
        <v>1</v>
      </c>
    </row>
    <row r="221" spans="1:30" ht="25.5">
      <c r="A221" s="239"/>
      <c r="H221" s="10" t="s">
        <v>321</v>
      </c>
      <c r="I221" s="10">
        <v>0.15</v>
      </c>
      <c r="J221" s="18"/>
      <c r="K221" s="18"/>
      <c r="L221" s="18"/>
      <c r="M221" s="18"/>
      <c r="N221" s="18"/>
      <c r="O221" s="18">
        <f>UL_OH!R27*0.57</f>
        <v>0.5962784586724188</v>
      </c>
      <c r="P221" s="23">
        <f>AVERAGE(J221:O221)</f>
        <v>0.5962784586724188</v>
      </c>
      <c r="Q221" s="23" t="e">
        <f>SQRT(VAR(J221:O221))</f>
        <v>#DIV/0!</v>
      </c>
      <c r="R221" s="10">
        <f>COUNT(J221:O221)</f>
        <v>1</v>
      </c>
      <c r="U221" s="239"/>
      <c r="V221" s="18"/>
      <c r="W221" s="18"/>
      <c r="X221" s="18"/>
      <c r="Y221" s="18"/>
      <c r="Z221" s="27">
        <f>UL_OH!R27*0.55</f>
        <v>0.57535640749093053</v>
      </c>
      <c r="AA221" s="27"/>
      <c r="AB221" s="26">
        <f>AVERAGE(V221:AA221)</f>
        <v>0.57535640749093053</v>
      </c>
      <c r="AC221" s="23" t="e">
        <f>SQRT(VAR(V221:AA221))</f>
        <v>#DIV/0!</v>
      </c>
      <c r="AD221" s="10">
        <f>COUNT(V221:AA221)</f>
        <v>1</v>
      </c>
    </row>
    <row r="222" spans="1:30">
      <c r="A222" s="239"/>
      <c r="P222" s="4"/>
      <c r="U222" s="239"/>
    </row>
    <row r="223" spans="1:30" ht="25.5">
      <c r="A223" s="239"/>
      <c r="B223" s="3" t="s">
        <v>316</v>
      </c>
      <c r="C223" s="3" t="s">
        <v>343</v>
      </c>
      <c r="D223" s="3" t="s">
        <v>363</v>
      </c>
      <c r="E223" s="3" t="s">
        <v>333</v>
      </c>
      <c r="F223" s="11" t="s">
        <v>80</v>
      </c>
      <c r="G223" s="11"/>
      <c r="H223" s="3" t="s">
        <v>320</v>
      </c>
      <c r="I223" s="3">
        <v>5.4</v>
      </c>
      <c r="P223" s="4" t="e">
        <f>AVERAGE(J223:O223)</f>
        <v>#DIV/0!</v>
      </c>
      <c r="Q223" s="4" t="e">
        <f>SQRT(VAR(J223:O223))</f>
        <v>#DIV/0!</v>
      </c>
      <c r="R223" s="3">
        <f>COUNT(J223:O223)</f>
        <v>0</v>
      </c>
      <c r="U223" s="239"/>
      <c r="AB223" s="5" t="e">
        <f>AVERAGE(V223:AA223)</f>
        <v>#DIV/0!</v>
      </c>
      <c r="AC223" s="4" t="e">
        <f>SQRT(VAR(V223:AA223))</f>
        <v>#DIV/0!</v>
      </c>
      <c r="AD223" s="3">
        <f>COUNT(V223:AA223)</f>
        <v>0</v>
      </c>
    </row>
    <row r="224" spans="1:30" ht="25.5">
      <c r="A224" s="30"/>
      <c r="H224" s="10" t="s">
        <v>321</v>
      </c>
      <c r="I224" s="10">
        <v>0.15</v>
      </c>
      <c r="J224" s="18"/>
      <c r="K224" s="18"/>
      <c r="L224" s="18"/>
      <c r="M224" s="18"/>
      <c r="N224" s="18"/>
      <c r="O224" s="18"/>
      <c r="P224" s="23" t="e">
        <f>AVERAGE(J224:O224)</f>
        <v>#DIV/0!</v>
      </c>
      <c r="Q224" s="23" t="e">
        <f>SQRT(VAR(J224:O224))</f>
        <v>#DIV/0!</v>
      </c>
      <c r="R224" s="10">
        <f>COUNT(J224:O224)</f>
        <v>0</v>
      </c>
      <c r="U224" s="31"/>
      <c r="V224" s="18"/>
      <c r="W224" s="18"/>
      <c r="X224" s="18"/>
      <c r="Y224" s="18"/>
      <c r="Z224" s="18"/>
      <c r="AA224" s="27"/>
      <c r="AB224" s="26" t="e">
        <f>AVERAGE(V224:AA224)</f>
        <v>#DIV/0!</v>
      </c>
      <c r="AC224" s="23" t="e">
        <f>SQRT(VAR(V224:AA224))</f>
        <v>#DIV/0!</v>
      </c>
      <c r="AD224" s="10">
        <f>COUNT(V224:AA224)</f>
        <v>0</v>
      </c>
    </row>
    <row r="225" spans="16:21">
      <c r="P225" s="4"/>
      <c r="U225" s="31"/>
    </row>
    <row r="226" spans="16:21">
      <c r="P226" s="4"/>
      <c r="U226" s="31"/>
    </row>
    <row r="227" spans="16:21">
      <c r="P227" s="4"/>
    </row>
    <row r="228" spans="16:21">
      <c r="P228" s="4"/>
    </row>
    <row r="229" spans="16:21">
      <c r="P229" s="4"/>
    </row>
    <row r="230" spans="16:21">
      <c r="P230" s="4"/>
    </row>
    <row r="231" spans="16:21">
      <c r="P231" s="4"/>
    </row>
    <row r="232" spans="16:21">
      <c r="P232" s="4"/>
    </row>
    <row r="233" spans="16:21">
      <c r="P233" s="4"/>
    </row>
    <row r="234" spans="16:21">
      <c r="P234" s="4"/>
    </row>
    <row r="235" spans="16:21">
      <c r="P235" s="4"/>
    </row>
    <row r="236" spans="16:21">
      <c r="P236" s="4"/>
    </row>
    <row r="237" spans="16:21">
      <c r="P237" s="4"/>
    </row>
    <row r="238" spans="16:21">
      <c r="P238" s="4"/>
    </row>
    <row r="239" spans="16:21">
      <c r="P239" s="4"/>
    </row>
    <row r="240" spans="16:21">
      <c r="P240" s="4"/>
    </row>
    <row r="241" spans="16:16">
      <c r="P241" s="4"/>
    </row>
    <row r="242" spans="16:16">
      <c r="P242" s="4"/>
    </row>
    <row r="243" spans="16:16">
      <c r="P243" s="4"/>
    </row>
    <row r="244" spans="16:16">
      <c r="P244" s="4"/>
    </row>
    <row r="245" spans="16:16">
      <c r="P245" s="4"/>
    </row>
    <row r="246" spans="16:16">
      <c r="P246" s="4"/>
    </row>
    <row r="247" spans="16:16">
      <c r="P247" s="4"/>
    </row>
    <row r="248" spans="16:16">
      <c r="P248" s="4"/>
    </row>
    <row r="249" spans="16:16">
      <c r="P249" s="4"/>
    </row>
    <row r="250" spans="16:16">
      <c r="P250" s="4"/>
    </row>
    <row r="251" spans="16:16">
      <c r="P251" s="4"/>
    </row>
    <row r="252" spans="16:16">
      <c r="P252" s="4"/>
    </row>
    <row r="253" spans="16:16">
      <c r="P253" s="4"/>
    </row>
    <row r="254" spans="16:16">
      <c r="P254" s="4"/>
    </row>
    <row r="255" spans="16:16">
      <c r="P255" s="4"/>
    </row>
    <row r="256" spans="16:16">
      <c r="P256" s="4"/>
    </row>
    <row r="257" spans="1:30">
      <c r="P257" s="4"/>
    </row>
    <row r="258" spans="1:30">
      <c r="P258" s="4"/>
    </row>
    <row r="259" spans="1:30">
      <c r="P259" s="4"/>
    </row>
    <row r="260" spans="1:30">
      <c r="P260" s="4"/>
    </row>
    <row r="261" spans="1:30">
      <c r="P261" s="4"/>
    </row>
    <row r="262" spans="1:30">
      <c r="P262" s="4"/>
    </row>
    <row r="272" spans="1:30" s="2" customFormat="1">
      <c r="A272" s="3"/>
      <c r="B272" s="3"/>
      <c r="C272" s="3"/>
      <c r="D272" s="3"/>
      <c r="E272" s="3"/>
      <c r="F272" s="3"/>
      <c r="G272" s="3"/>
      <c r="H272" s="3"/>
      <c r="I272" s="3"/>
      <c r="P272" s="3"/>
      <c r="Q272" s="4"/>
      <c r="R272" s="3"/>
      <c r="S272" s="3"/>
      <c r="T272" s="3"/>
      <c r="U272" s="3"/>
      <c r="AB272" s="5"/>
      <c r="AC272" s="4"/>
      <c r="AD272" s="3"/>
    </row>
    <row r="273" spans="1:30" s="2" customFormat="1">
      <c r="A273" s="3"/>
      <c r="B273" s="3"/>
      <c r="C273" s="3"/>
      <c r="D273" s="3"/>
      <c r="E273" s="3"/>
      <c r="F273" s="3"/>
      <c r="G273" s="3"/>
      <c r="H273" s="3"/>
      <c r="I273" s="3"/>
      <c r="P273" s="3"/>
      <c r="Q273" s="4"/>
      <c r="R273" s="3"/>
      <c r="S273" s="3"/>
      <c r="T273" s="3"/>
      <c r="U273" s="3"/>
      <c r="AB273" s="5"/>
      <c r="AC273" s="4"/>
      <c r="AD273" s="3"/>
    </row>
    <row r="274" spans="1:30" s="2" customFormat="1">
      <c r="A274" s="3"/>
      <c r="B274" s="3"/>
      <c r="C274" s="3"/>
      <c r="D274" s="3"/>
      <c r="E274" s="3"/>
      <c r="F274" s="3"/>
      <c r="G274" s="3"/>
      <c r="H274" s="3"/>
      <c r="I274" s="3"/>
      <c r="P274" s="3"/>
      <c r="Q274" s="4"/>
      <c r="R274" s="3"/>
      <c r="S274" s="3"/>
      <c r="T274" s="3"/>
      <c r="U274" s="3"/>
      <c r="AB274" s="5"/>
      <c r="AC274" s="4"/>
      <c r="AD274" s="3"/>
    </row>
    <row r="275" spans="1:30" s="2" customFormat="1">
      <c r="A275" s="3"/>
      <c r="B275" s="3"/>
      <c r="C275" s="3"/>
      <c r="D275" s="3"/>
      <c r="E275" s="3"/>
      <c r="F275" s="3"/>
      <c r="G275" s="3"/>
      <c r="H275" s="3"/>
      <c r="I275" s="3"/>
      <c r="P275" s="3"/>
      <c r="Q275" s="4"/>
      <c r="R275" s="3"/>
      <c r="S275" s="3"/>
      <c r="T275" s="3"/>
      <c r="U275" s="3"/>
      <c r="AB275" s="5"/>
      <c r="AC275" s="4"/>
      <c r="AD275" s="3"/>
    </row>
    <row r="276" spans="1:30" s="2" customFormat="1">
      <c r="A276" s="3"/>
      <c r="B276" s="3"/>
      <c r="C276" s="3"/>
      <c r="D276" s="3"/>
      <c r="E276" s="3"/>
      <c r="F276" s="3"/>
      <c r="G276" s="3"/>
      <c r="H276" s="3"/>
      <c r="I276" s="3"/>
      <c r="P276" s="3"/>
      <c r="Q276" s="4"/>
      <c r="R276" s="3"/>
      <c r="S276" s="3"/>
      <c r="T276" s="3"/>
      <c r="U276" s="3"/>
      <c r="AB276" s="5"/>
      <c r="AC276" s="4"/>
      <c r="AD276" s="3"/>
    </row>
    <row r="277" spans="1:30" s="2" customFormat="1">
      <c r="A277" s="3"/>
      <c r="B277" s="3"/>
      <c r="C277" s="3"/>
      <c r="D277" s="3"/>
      <c r="E277" s="3"/>
      <c r="F277" s="3"/>
      <c r="G277" s="3"/>
      <c r="H277" s="3"/>
      <c r="I277" s="3"/>
      <c r="P277" s="3"/>
      <c r="Q277" s="4"/>
      <c r="R277" s="3"/>
      <c r="S277" s="3"/>
      <c r="T277" s="3"/>
      <c r="U277" s="3"/>
      <c r="AB277" s="5"/>
      <c r="AC277" s="4"/>
      <c r="AD277" s="3"/>
    </row>
    <row r="278" spans="1:30" s="2" customFormat="1">
      <c r="A278" s="3"/>
      <c r="B278" s="3"/>
      <c r="C278" s="3"/>
      <c r="D278" s="3"/>
      <c r="E278" s="3"/>
      <c r="F278" s="3"/>
      <c r="G278" s="3"/>
      <c r="H278" s="3"/>
      <c r="I278" s="3"/>
      <c r="P278" s="3"/>
      <c r="Q278" s="4"/>
      <c r="R278" s="3"/>
      <c r="S278" s="3"/>
      <c r="T278" s="3"/>
      <c r="U278" s="3"/>
      <c r="AB278" s="5"/>
      <c r="AC278" s="4"/>
      <c r="AD278" s="3"/>
    </row>
    <row r="279" spans="1:30" s="2" customFormat="1">
      <c r="A279" s="3"/>
      <c r="B279" s="3"/>
      <c r="C279" s="3"/>
      <c r="D279" s="3"/>
      <c r="E279" s="3"/>
      <c r="F279" s="3"/>
      <c r="G279" s="3"/>
      <c r="H279" s="3"/>
      <c r="I279" s="3"/>
      <c r="P279" s="3"/>
      <c r="Q279" s="4"/>
      <c r="R279" s="3"/>
      <c r="S279" s="3"/>
      <c r="T279" s="3"/>
      <c r="U279" s="3"/>
      <c r="AB279" s="5"/>
      <c r="AC279" s="4"/>
      <c r="AD279" s="3"/>
    </row>
    <row r="280" spans="1:30" s="2" customFormat="1">
      <c r="A280" s="3"/>
      <c r="B280" s="3"/>
      <c r="C280" s="3"/>
      <c r="D280" s="3"/>
      <c r="E280" s="3"/>
      <c r="F280" s="3"/>
      <c r="G280" s="3"/>
      <c r="H280" s="3"/>
      <c r="I280" s="3"/>
      <c r="P280" s="3"/>
      <c r="Q280" s="4"/>
      <c r="R280" s="3"/>
      <c r="S280" s="3"/>
      <c r="T280" s="3"/>
      <c r="U280" s="3"/>
      <c r="AB280" s="5"/>
      <c r="AC280" s="4"/>
      <c r="AD280" s="3"/>
    </row>
    <row r="281" spans="1:30" s="2" customFormat="1">
      <c r="A281" s="3"/>
      <c r="B281" s="3"/>
      <c r="C281" s="3"/>
      <c r="D281" s="3"/>
      <c r="E281" s="3"/>
      <c r="F281" s="3"/>
      <c r="G281" s="3"/>
      <c r="H281" s="3"/>
      <c r="I281" s="3"/>
      <c r="P281" s="3"/>
      <c r="Q281" s="4"/>
      <c r="R281" s="3"/>
      <c r="S281" s="3"/>
      <c r="T281" s="3"/>
      <c r="U281" s="3"/>
      <c r="AB281" s="5"/>
      <c r="AC281" s="4"/>
      <c r="AD281" s="3"/>
    </row>
    <row r="282" spans="1:30" s="2" customFormat="1">
      <c r="A282" s="3"/>
      <c r="B282" s="3"/>
      <c r="C282" s="3"/>
      <c r="D282" s="3"/>
      <c r="E282" s="3"/>
      <c r="F282" s="3"/>
      <c r="G282" s="3"/>
      <c r="H282" s="3"/>
      <c r="I282" s="3"/>
      <c r="P282" s="3"/>
      <c r="Q282" s="4"/>
      <c r="R282" s="3"/>
      <c r="S282" s="3"/>
      <c r="T282" s="3"/>
      <c r="U282" s="3"/>
      <c r="AB282" s="5"/>
      <c r="AC282" s="4"/>
      <c r="AD282" s="3"/>
    </row>
    <row r="283" spans="1:30" s="2" customFormat="1">
      <c r="A283" s="3"/>
      <c r="B283" s="3"/>
      <c r="C283" s="3"/>
      <c r="D283" s="3"/>
      <c r="E283" s="3"/>
      <c r="F283" s="3"/>
      <c r="G283" s="3"/>
      <c r="H283" s="3"/>
      <c r="I283" s="3"/>
      <c r="P283" s="3"/>
      <c r="Q283" s="4"/>
      <c r="R283" s="3"/>
      <c r="S283" s="3"/>
      <c r="T283" s="3"/>
      <c r="U283" s="3"/>
      <c r="AB283" s="5"/>
      <c r="AC283" s="4"/>
      <c r="AD283" s="3"/>
    </row>
    <row r="284" spans="1:30" s="2" customFormat="1">
      <c r="A284" s="3"/>
      <c r="B284" s="3"/>
      <c r="C284" s="3"/>
      <c r="D284" s="3"/>
      <c r="E284" s="3"/>
      <c r="F284" s="3"/>
      <c r="G284" s="3"/>
      <c r="H284" s="3"/>
      <c r="I284" s="3"/>
      <c r="P284" s="3"/>
      <c r="Q284" s="4"/>
      <c r="R284" s="3"/>
      <c r="S284" s="3"/>
      <c r="T284" s="3"/>
      <c r="U284" s="3"/>
      <c r="AB284" s="5"/>
      <c r="AC284" s="4"/>
      <c r="AD284" s="3"/>
    </row>
    <row r="285" spans="1:30" s="2" customFormat="1">
      <c r="A285" s="3"/>
      <c r="B285" s="3"/>
      <c r="C285" s="3"/>
      <c r="D285" s="3"/>
      <c r="E285" s="3"/>
      <c r="F285" s="3"/>
      <c r="G285" s="3"/>
      <c r="H285" s="3"/>
      <c r="I285" s="3"/>
      <c r="P285" s="3"/>
      <c r="Q285" s="4"/>
      <c r="R285" s="3"/>
      <c r="S285" s="3"/>
      <c r="T285" s="3"/>
      <c r="U285" s="3"/>
      <c r="AB285" s="5"/>
      <c r="AC285" s="4"/>
      <c r="AD285" s="3"/>
    </row>
    <row r="286" spans="1:30" s="2" customFormat="1">
      <c r="A286" s="3"/>
      <c r="B286" s="3"/>
      <c r="C286" s="3"/>
      <c r="D286" s="3"/>
      <c r="E286" s="3"/>
      <c r="F286" s="3"/>
      <c r="G286" s="3"/>
      <c r="H286" s="3"/>
      <c r="I286" s="3"/>
      <c r="P286" s="3"/>
      <c r="Q286" s="4"/>
      <c r="R286" s="3"/>
      <c r="S286" s="3"/>
      <c r="T286" s="3"/>
      <c r="U286" s="3"/>
      <c r="AB286" s="5"/>
      <c r="AC286" s="4"/>
      <c r="AD286" s="3"/>
    </row>
    <row r="287" spans="1:30" s="2" customFormat="1">
      <c r="A287" s="3"/>
      <c r="B287" s="3"/>
      <c r="C287" s="3"/>
      <c r="D287" s="3"/>
      <c r="E287" s="3"/>
      <c r="F287" s="3"/>
      <c r="G287" s="3"/>
      <c r="H287" s="3"/>
      <c r="I287" s="3"/>
      <c r="P287" s="3"/>
      <c r="Q287" s="4"/>
      <c r="R287" s="3"/>
      <c r="S287" s="3"/>
      <c r="T287" s="3"/>
      <c r="U287" s="3"/>
      <c r="AB287" s="5"/>
      <c r="AC287" s="4"/>
      <c r="AD287" s="3"/>
    </row>
    <row r="288" spans="1:30" s="2" customFormat="1">
      <c r="A288" s="3"/>
      <c r="B288" s="3"/>
      <c r="C288" s="3"/>
      <c r="D288" s="3"/>
      <c r="E288" s="3"/>
      <c r="F288" s="3"/>
      <c r="G288" s="3"/>
      <c r="H288" s="3"/>
      <c r="I288" s="3"/>
      <c r="P288" s="3"/>
      <c r="Q288" s="4"/>
      <c r="R288" s="3"/>
      <c r="S288" s="3"/>
      <c r="T288" s="3"/>
      <c r="U288" s="3"/>
      <c r="AB288" s="5"/>
      <c r="AC288" s="4"/>
      <c r="AD288" s="3"/>
    </row>
    <row r="289" spans="1:30" s="2" customFormat="1">
      <c r="A289" s="3"/>
      <c r="B289" s="3"/>
      <c r="C289" s="3"/>
      <c r="D289" s="3"/>
      <c r="E289" s="3"/>
      <c r="F289" s="3"/>
      <c r="G289" s="3"/>
      <c r="H289" s="3"/>
      <c r="I289" s="3"/>
      <c r="P289" s="3"/>
      <c r="Q289" s="4"/>
      <c r="R289" s="3"/>
      <c r="S289" s="3"/>
      <c r="T289" s="3"/>
      <c r="U289" s="3"/>
      <c r="AB289" s="5"/>
      <c r="AC289" s="4"/>
      <c r="AD289" s="3"/>
    </row>
    <row r="290" spans="1:30" s="2" customFormat="1">
      <c r="A290" s="3"/>
      <c r="B290" s="3"/>
      <c r="C290" s="3"/>
      <c r="D290" s="3"/>
      <c r="E290" s="3"/>
      <c r="F290" s="3"/>
      <c r="G290" s="3"/>
      <c r="H290" s="3"/>
      <c r="I290" s="3"/>
      <c r="P290" s="3"/>
      <c r="Q290" s="4"/>
      <c r="R290" s="3"/>
      <c r="S290" s="3"/>
      <c r="T290" s="3"/>
      <c r="U290" s="3"/>
      <c r="AB290" s="5"/>
      <c r="AC290" s="4"/>
      <c r="AD290" s="3"/>
    </row>
    <row r="291" spans="1:30" s="2" customFormat="1">
      <c r="A291" s="3"/>
      <c r="B291" s="3"/>
      <c r="C291" s="3"/>
      <c r="D291" s="3"/>
      <c r="E291" s="3"/>
      <c r="F291" s="3"/>
      <c r="G291" s="3"/>
      <c r="H291" s="3"/>
      <c r="I291" s="3"/>
      <c r="P291" s="3"/>
      <c r="Q291" s="4"/>
      <c r="R291" s="3"/>
      <c r="S291" s="3"/>
      <c r="T291" s="3"/>
      <c r="U291" s="3"/>
      <c r="AB291" s="5"/>
      <c r="AC291" s="4"/>
      <c r="AD291" s="3"/>
    </row>
    <row r="292" spans="1:30" s="2" customFormat="1">
      <c r="A292" s="3"/>
      <c r="B292" s="3"/>
      <c r="C292" s="3"/>
      <c r="D292" s="3"/>
      <c r="E292" s="3"/>
      <c r="F292" s="3"/>
      <c r="G292" s="3"/>
      <c r="H292" s="3"/>
      <c r="I292" s="3"/>
      <c r="P292" s="3"/>
      <c r="Q292" s="4"/>
      <c r="R292" s="3"/>
      <c r="S292" s="3"/>
      <c r="T292" s="3"/>
      <c r="U292" s="3"/>
      <c r="AB292" s="5"/>
      <c r="AC292" s="4"/>
      <c r="AD292" s="3"/>
    </row>
    <row r="293" spans="1:30" s="2" customFormat="1">
      <c r="A293" s="3"/>
      <c r="B293" s="3"/>
      <c r="C293" s="3"/>
      <c r="D293" s="3"/>
      <c r="E293" s="3"/>
      <c r="F293" s="3"/>
      <c r="G293" s="3"/>
      <c r="H293" s="3"/>
      <c r="I293" s="3"/>
      <c r="P293" s="3"/>
      <c r="Q293" s="4"/>
      <c r="R293" s="3"/>
      <c r="S293" s="3"/>
      <c r="T293" s="3"/>
      <c r="U293" s="3"/>
      <c r="AB293" s="5"/>
      <c r="AC293" s="4"/>
      <c r="AD293" s="3"/>
    </row>
    <row r="294" spans="1:30" s="2" customFormat="1">
      <c r="A294" s="3"/>
      <c r="B294" s="3"/>
      <c r="C294" s="3"/>
      <c r="D294" s="3"/>
      <c r="E294" s="3"/>
      <c r="F294" s="3"/>
      <c r="G294" s="3"/>
      <c r="H294" s="3"/>
      <c r="I294" s="3"/>
      <c r="P294" s="3"/>
      <c r="Q294" s="4"/>
      <c r="R294" s="3"/>
      <c r="S294" s="3"/>
      <c r="T294" s="3"/>
      <c r="U294" s="3"/>
      <c r="AB294" s="5"/>
      <c r="AC294" s="4"/>
      <c r="AD294" s="3"/>
    </row>
    <row r="295" spans="1:30" s="2" customFormat="1">
      <c r="A295" s="3"/>
      <c r="B295" s="3"/>
      <c r="C295" s="3"/>
      <c r="D295" s="3"/>
      <c r="E295" s="3"/>
      <c r="F295" s="3"/>
      <c r="G295" s="3"/>
      <c r="H295" s="3"/>
      <c r="I295" s="3"/>
      <c r="P295" s="3"/>
      <c r="Q295" s="4"/>
      <c r="R295" s="3"/>
      <c r="S295" s="3"/>
      <c r="T295" s="3"/>
      <c r="U295" s="3"/>
      <c r="AB295" s="5"/>
      <c r="AC295" s="4"/>
      <c r="AD295" s="3"/>
    </row>
    <row r="296" spans="1:30" s="2" customFormat="1">
      <c r="A296" s="3"/>
      <c r="B296" s="3"/>
      <c r="C296" s="3"/>
      <c r="D296" s="3"/>
      <c r="E296" s="3"/>
      <c r="F296" s="3"/>
      <c r="G296" s="3"/>
      <c r="H296" s="3"/>
      <c r="I296" s="3"/>
      <c r="P296" s="3"/>
      <c r="Q296" s="4"/>
      <c r="R296" s="3"/>
      <c r="S296" s="3"/>
      <c r="T296" s="3"/>
      <c r="U296" s="3"/>
      <c r="AB296" s="5"/>
      <c r="AC296" s="4"/>
      <c r="AD296" s="3"/>
    </row>
    <row r="297" spans="1:30" s="2" customFormat="1">
      <c r="A297" s="3"/>
      <c r="B297" s="3"/>
      <c r="C297" s="3"/>
      <c r="D297" s="3"/>
      <c r="E297" s="3"/>
      <c r="F297" s="3"/>
      <c r="G297" s="3"/>
      <c r="H297" s="3"/>
      <c r="I297" s="3"/>
      <c r="P297" s="3"/>
      <c r="Q297" s="4"/>
      <c r="R297" s="3"/>
      <c r="S297" s="3"/>
      <c r="T297" s="3"/>
      <c r="U297" s="3"/>
      <c r="AB297" s="5"/>
      <c r="AC297" s="4"/>
      <c r="AD297" s="3"/>
    </row>
    <row r="298" spans="1:30" s="2" customFormat="1">
      <c r="A298" s="3"/>
      <c r="B298" s="3"/>
      <c r="C298" s="3"/>
      <c r="D298" s="3"/>
      <c r="E298" s="3"/>
      <c r="F298" s="3"/>
      <c r="G298" s="3"/>
      <c r="H298" s="3"/>
      <c r="I298" s="3"/>
      <c r="P298" s="3"/>
      <c r="Q298" s="4"/>
      <c r="R298" s="3"/>
      <c r="S298" s="3"/>
      <c r="T298" s="3"/>
      <c r="U298" s="3"/>
      <c r="AB298" s="5"/>
      <c r="AC298" s="4"/>
      <c r="AD298" s="3"/>
    </row>
    <row r="299" spans="1:30" s="2" customFormat="1">
      <c r="A299" s="3"/>
      <c r="B299" s="3"/>
      <c r="C299" s="3"/>
      <c r="D299" s="3"/>
      <c r="E299" s="3"/>
      <c r="F299" s="3"/>
      <c r="G299" s="3"/>
      <c r="H299" s="3"/>
      <c r="I299" s="3"/>
      <c r="P299" s="3"/>
      <c r="Q299" s="4"/>
      <c r="R299" s="3"/>
      <c r="S299" s="3"/>
      <c r="T299" s="3"/>
      <c r="U299" s="3"/>
      <c r="AB299" s="5"/>
      <c r="AC299" s="4"/>
      <c r="AD299" s="3"/>
    </row>
    <row r="300" spans="1:30" s="2" customFormat="1">
      <c r="A300" s="3"/>
      <c r="B300" s="3"/>
      <c r="C300" s="3"/>
      <c r="D300" s="3"/>
      <c r="E300" s="3"/>
      <c r="F300" s="3"/>
      <c r="G300" s="3"/>
      <c r="H300" s="3"/>
      <c r="I300" s="3"/>
      <c r="P300" s="3"/>
      <c r="Q300" s="4"/>
      <c r="R300" s="3"/>
      <c r="S300" s="3"/>
      <c r="T300" s="3"/>
      <c r="U300" s="3"/>
      <c r="AB300" s="5"/>
      <c r="AC300" s="4"/>
      <c r="AD300" s="3"/>
    </row>
    <row r="301" spans="1:30" s="2" customFormat="1">
      <c r="A301" s="3"/>
      <c r="B301" s="3"/>
      <c r="C301" s="3"/>
      <c r="D301" s="3"/>
      <c r="E301" s="3"/>
      <c r="F301" s="3"/>
      <c r="G301" s="3"/>
      <c r="H301" s="3"/>
      <c r="I301" s="3"/>
      <c r="P301" s="3"/>
      <c r="Q301" s="4"/>
      <c r="R301" s="3"/>
      <c r="S301" s="3"/>
      <c r="T301" s="3"/>
      <c r="U301" s="3"/>
      <c r="AB301" s="5"/>
      <c r="AC301" s="4"/>
      <c r="AD301" s="3"/>
    </row>
    <row r="302" spans="1:30" s="2" customFormat="1">
      <c r="A302" s="3"/>
      <c r="B302" s="3"/>
      <c r="C302" s="3"/>
      <c r="D302" s="3"/>
      <c r="E302" s="3"/>
      <c r="F302" s="3"/>
      <c r="G302" s="3"/>
      <c r="H302" s="3"/>
      <c r="I302" s="3"/>
      <c r="P302" s="3"/>
      <c r="Q302" s="4"/>
      <c r="R302" s="3"/>
      <c r="S302" s="3"/>
      <c r="T302" s="3"/>
      <c r="U302" s="3"/>
      <c r="AB302" s="5"/>
      <c r="AC302" s="4"/>
      <c r="AD302" s="3"/>
    </row>
    <row r="303" spans="1:30" s="2" customFormat="1">
      <c r="A303" s="3"/>
      <c r="B303" s="3"/>
      <c r="C303" s="3"/>
      <c r="D303" s="3"/>
      <c r="E303" s="3"/>
      <c r="F303" s="3"/>
      <c r="G303" s="3"/>
      <c r="H303" s="3"/>
      <c r="I303" s="3"/>
      <c r="P303" s="3"/>
      <c r="Q303" s="4"/>
      <c r="R303" s="3"/>
      <c r="S303" s="3"/>
      <c r="T303" s="3"/>
      <c r="U303" s="3"/>
      <c r="AB303" s="5"/>
      <c r="AC303" s="4"/>
      <c r="AD303" s="3"/>
    </row>
    <row r="304" spans="1:30" s="2" customFormat="1">
      <c r="A304" s="3"/>
      <c r="B304" s="3"/>
      <c r="C304" s="3"/>
      <c r="D304" s="3"/>
      <c r="E304" s="3"/>
      <c r="F304" s="3"/>
      <c r="G304" s="3"/>
      <c r="H304" s="3"/>
      <c r="I304" s="3"/>
      <c r="P304" s="3"/>
      <c r="Q304" s="4"/>
      <c r="R304" s="3"/>
      <c r="S304" s="3"/>
      <c r="T304" s="3"/>
      <c r="U304" s="3"/>
      <c r="AB304" s="5"/>
      <c r="AC304" s="4"/>
      <c r="AD304" s="3"/>
    </row>
    <row r="305" spans="1:30" s="2" customFormat="1">
      <c r="A305" s="3"/>
      <c r="B305" s="3"/>
      <c r="C305" s="3"/>
      <c r="D305" s="3"/>
      <c r="E305" s="3"/>
      <c r="F305" s="3"/>
      <c r="G305" s="3"/>
      <c r="H305" s="3"/>
      <c r="I305" s="3"/>
      <c r="P305" s="3"/>
      <c r="Q305" s="4"/>
      <c r="R305" s="3"/>
      <c r="S305" s="3"/>
      <c r="T305" s="3"/>
      <c r="U305" s="3"/>
      <c r="AB305" s="5"/>
      <c r="AC305" s="4"/>
      <c r="AD305" s="3"/>
    </row>
    <row r="306" spans="1:30" s="2" customFormat="1">
      <c r="A306" s="3"/>
      <c r="B306" s="3"/>
      <c r="C306" s="3"/>
      <c r="D306" s="3"/>
      <c r="E306" s="3"/>
      <c r="F306" s="3"/>
      <c r="G306" s="3"/>
      <c r="H306" s="3"/>
      <c r="I306" s="3"/>
      <c r="P306" s="3"/>
      <c r="Q306" s="4"/>
      <c r="R306" s="3"/>
      <c r="S306" s="3"/>
      <c r="T306" s="3"/>
      <c r="U306" s="3"/>
      <c r="AB306" s="5"/>
      <c r="AC306" s="4"/>
      <c r="AD306" s="3"/>
    </row>
    <row r="307" spans="1:30" s="2" customFormat="1">
      <c r="A307" s="3"/>
      <c r="B307" s="3"/>
      <c r="C307" s="3"/>
      <c r="D307" s="3"/>
      <c r="E307" s="3"/>
      <c r="F307" s="3"/>
      <c r="G307" s="3"/>
      <c r="H307" s="3"/>
      <c r="I307" s="3"/>
      <c r="P307" s="3"/>
      <c r="Q307" s="4"/>
      <c r="R307" s="3"/>
      <c r="S307" s="3"/>
      <c r="T307" s="3"/>
      <c r="U307" s="3"/>
      <c r="AB307" s="5"/>
      <c r="AC307" s="4"/>
      <c r="AD307" s="3"/>
    </row>
    <row r="308" spans="1:30" s="2" customFormat="1">
      <c r="A308" s="3"/>
      <c r="B308" s="3"/>
      <c r="C308" s="3"/>
      <c r="D308" s="3"/>
      <c r="E308" s="3"/>
      <c r="F308" s="3"/>
      <c r="G308" s="3"/>
      <c r="H308" s="3"/>
      <c r="I308" s="3"/>
      <c r="P308" s="3"/>
      <c r="Q308" s="4"/>
      <c r="R308" s="3"/>
      <c r="S308" s="3"/>
      <c r="T308" s="3"/>
      <c r="U308" s="3"/>
      <c r="AB308" s="5"/>
      <c r="AC308" s="4"/>
      <c r="AD308" s="3"/>
    </row>
    <row r="309" spans="1:30" s="2" customFormat="1">
      <c r="A309" s="3"/>
      <c r="B309" s="3"/>
      <c r="C309" s="3"/>
      <c r="D309" s="3"/>
      <c r="E309" s="3"/>
      <c r="F309" s="3"/>
      <c r="G309" s="3"/>
      <c r="H309" s="3"/>
      <c r="I309" s="3"/>
      <c r="P309" s="3"/>
      <c r="Q309" s="4"/>
      <c r="R309" s="3"/>
      <c r="S309" s="3"/>
      <c r="T309" s="3"/>
      <c r="U309" s="3"/>
      <c r="AB309" s="5"/>
      <c r="AC309" s="4"/>
      <c r="AD309" s="3"/>
    </row>
    <row r="310" spans="1:30" s="2" customFormat="1">
      <c r="A310" s="3"/>
      <c r="B310" s="3"/>
      <c r="C310" s="3"/>
      <c r="D310" s="3"/>
      <c r="E310" s="3"/>
      <c r="F310" s="3"/>
      <c r="G310" s="3"/>
      <c r="H310" s="3"/>
      <c r="I310" s="3"/>
      <c r="P310" s="3"/>
      <c r="Q310" s="4"/>
      <c r="R310" s="3"/>
      <c r="S310" s="3"/>
      <c r="T310" s="3"/>
      <c r="U310" s="3"/>
      <c r="AB310" s="5"/>
      <c r="AC310" s="4"/>
      <c r="AD310" s="3"/>
    </row>
    <row r="311" spans="1:30" s="2" customFormat="1">
      <c r="A311" s="3"/>
      <c r="B311" s="3"/>
      <c r="C311" s="3"/>
      <c r="D311" s="3"/>
      <c r="E311" s="3"/>
      <c r="F311" s="3"/>
      <c r="G311" s="3"/>
      <c r="H311" s="3"/>
      <c r="I311" s="3"/>
      <c r="P311" s="3"/>
      <c r="Q311" s="4"/>
      <c r="R311" s="3"/>
      <c r="S311" s="3"/>
      <c r="T311" s="3"/>
      <c r="U311" s="3"/>
      <c r="AB311" s="5"/>
      <c r="AC311" s="4"/>
      <c r="AD311" s="3"/>
    </row>
    <row r="312" spans="1:30" s="2" customFormat="1">
      <c r="A312" s="3"/>
      <c r="B312" s="3"/>
      <c r="C312" s="3"/>
      <c r="D312" s="3"/>
      <c r="E312" s="3"/>
      <c r="F312" s="3"/>
      <c r="G312" s="3"/>
      <c r="H312" s="3"/>
      <c r="I312" s="3"/>
      <c r="P312" s="3"/>
      <c r="Q312" s="4"/>
      <c r="R312" s="3"/>
      <c r="S312" s="3"/>
      <c r="T312" s="3"/>
      <c r="U312" s="3"/>
      <c r="AB312" s="5"/>
      <c r="AC312" s="4"/>
      <c r="AD312" s="3"/>
    </row>
    <row r="313" spans="1:30" s="2" customFormat="1">
      <c r="A313" s="3"/>
      <c r="B313" s="3"/>
      <c r="C313" s="3"/>
      <c r="D313" s="3"/>
      <c r="E313" s="3"/>
      <c r="F313" s="3"/>
      <c r="G313" s="3"/>
      <c r="H313" s="3"/>
      <c r="I313" s="3"/>
      <c r="P313" s="3"/>
      <c r="Q313" s="4"/>
      <c r="R313" s="3"/>
      <c r="S313" s="3"/>
      <c r="T313" s="3"/>
      <c r="U313" s="3"/>
      <c r="AB313" s="5"/>
      <c r="AC313" s="4"/>
      <c r="AD313" s="3"/>
    </row>
    <row r="314" spans="1:30" s="2" customFormat="1">
      <c r="A314" s="3"/>
      <c r="B314" s="3"/>
      <c r="C314" s="3"/>
      <c r="D314" s="3"/>
      <c r="E314" s="3"/>
      <c r="F314" s="3"/>
      <c r="G314" s="3"/>
      <c r="H314" s="3"/>
      <c r="I314" s="3"/>
      <c r="P314" s="3"/>
      <c r="Q314" s="4"/>
      <c r="R314" s="3"/>
      <c r="S314" s="3"/>
      <c r="T314" s="3"/>
      <c r="U314" s="3"/>
      <c r="AB314" s="5"/>
      <c r="AC314" s="4"/>
      <c r="AD314" s="3"/>
    </row>
    <row r="315" spans="1:30" s="2" customFormat="1">
      <c r="A315" s="3"/>
      <c r="B315" s="3"/>
      <c r="C315" s="3"/>
      <c r="D315" s="3"/>
      <c r="E315" s="3"/>
      <c r="F315" s="3"/>
      <c r="G315" s="3"/>
      <c r="H315" s="3"/>
      <c r="I315" s="3"/>
      <c r="P315" s="3"/>
      <c r="Q315" s="4"/>
      <c r="R315" s="3"/>
      <c r="S315" s="3"/>
      <c r="T315" s="3"/>
      <c r="U315" s="3"/>
      <c r="AB315" s="5"/>
      <c r="AC315" s="4"/>
      <c r="AD315" s="3"/>
    </row>
    <row r="316" spans="1:30" s="2" customFormat="1">
      <c r="A316" s="3"/>
      <c r="B316" s="3"/>
      <c r="C316" s="3"/>
      <c r="D316" s="3"/>
      <c r="E316" s="3"/>
      <c r="F316" s="3"/>
      <c r="G316" s="3"/>
      <c r="H316" s="3"/>
      <c r="I316" s="3"/>
      <c r="P316" s="3"/>
      <c r="Q316" s="4"/>
      <c r="R316" s="3"/>
      <c r="S316" s="3"/>
      <c r="T316" s="3"/>
      <c r="U316" s="3"/>
      <c r="AB316" s="5"/>
      <c r="AC316" s="4"/>
      <c r="AD316" s="3"/>
    </row>
    <row r="317" spans="1:30" s="2" customFormat="1">
      <c r="A317" s="3"/>
      <c r="B317" s="3"/>
      <c r="C317" s="3"/>
      <c r="D317" s="3"/>
      <c r="E317" s="3"/>
      <c r="F317" s="3"/>
      <c r="G317" s="3"/>
      <c r="H317" s="3"/>
      <c r="I317" s="3"/>
      <c r="P317" s="3"/>
      <c r="Q317" s="4"/>
      <c r="R317" s="3"/>
      <c r="S317" s="3"/>
      <c r="T317" s="3"/>
      <c r="U317" s="3"/>
      <c r="AB317" s="5"/>
      <c r="AC317" s="4"/>
      <c r="AD317" s="3"/>
    </row>
    <row r="318" spans="1:30" s="2" customFormat="1">
      <c r="A318" s="3"/>
      <c r="B318" s="3"/>
      <c r="C318" s="3"/>
      <c r="D318" s="3"/>
      <c r="E318" s="3"/>
      <c r="F318" s="3"/>
      <c r="G318" s="3"/>
      <c r="H318" s="3"/>
      <c r="I318" s="3"/>
      <c r="P318" s="3"/>
      <c r="Q318" s="4"/>
      <c r="R318" s="3"/>
      <c r="S318" s="3"/>
      <c r="T318" s="3"/>
      <c r="U318" s="3"/>
      <c r="AB318" s="5"/>
      <c r="AC318" s="4"/>
      <c r="AD318" s="3"/>
    </row>
    <row r="319" spans="1:30" s="2" customFormat="1">
      <c r="A319" s="3"/>
      <c r="B319" s="3"/>
      <c r="C319" s="3"/>
      <c r="D319" s="3"/>
      <c r="E319" s="3"/>
      <c r="F319" s="3"/>
      <c r="G319" s="3"/>
      <c r="H319" s="3"/>
      <c r="I319" s="3"/>
      <c r="P319" s="3"/>
      <c r="Q319" s="4"/>
      <c r="R319" s="3"/>
      <c r="S319" s="3"/>
      <c r="T319" s="3"/>
      <c r="U319" s="3"/>
      <c r="AB319" s="5"/>
      <c r="AC319" s="4"/>
      <c r="AD319" s="3"/>
    </row>
    <row r="320" spans="1:30" s="2" customFormat="1">
      <c r="A320" s="3"/>
      <c r="B320" s="3"/>
      <c r="C320" s="3"/>
      <c r="D320" s="3"/>
      <c r="E320" s="3"/>
      <c r="F320" s="3"/>
      <c r="G320" s="3"/>
      <c r="H320" s="3"/>
      <c r="I320" s="3"/>
      <c r="P320" s="3"/>
      <c r="Q320" s="4"/>
      <c r="R320" s="3"/>
      <c r="S320" s="3"/>
      <c r="T320" s="3"/>
      <c r="U320" s="3"/>
      <c r="AB320" s="5"/>
      <c r="AC320" s="4"/>
      <c r="AD320" s="3"/>
    </row>
    <row r="321" spans="1:30" s="2" customFormat="1">
      <c r="A321" s="3"/>
      <c r="B321" s="3"/>
      <c r="C321" s="3"/>
      <c r="D321" s="3"/>
      <c r="E321" s="3"/>
      <c r="F321" s="3"/>
      <c r="G321" s="3"/>
      <c r="H321" s="3"/>
      <c r="I321" s="3"/>
      <c r="P321" s="3"/>
      <c r="Q321" s="4"/>
      <c r="R321" s="3"/>
      <c r="S321" s="3"/>
      <c r="T321" s="3"/>
      <c r="U321" s="3"/>
      <c r="AB321" s="5"/>
      <c r="AC321" s="4"/>
      <c r="AD321" s="3"/>
    </row>
    <row r="322" spans="1:30" s="2" customFormat="1">
      <c r="A322" s="3"/>
      <c r="B322" s="3"/>
      <c r="C322" s="3"/>
      <c r="D322" s="3"/>
      <c r="E322" s="3"/>
      <c r="F322" s="3"/>
      <c r="G322" s="3"/>
      <c r="H322" s="3"/>
      <c r="I322" s="3"/>
      <c r="P322" s="3"/>
      <c r="Q322" s="4"/>
      <c r="R322" s="3"/>
      <c r="S322" s="3"/>
      <c r="T322" s="3"/>
      <c r="U322" s="3"/>
      <c r="AB322" s="5"/>
      <c r="AC322" s="4"/>
      <c r="AD322" s="3"/>
    </row>
    <row r="323" spans="1:30" s="2" customFormat="1">
      <c r="A323" s="3"/>
      <c r="B323" s="3"/>
      <c r="C323" s="3"/>
      <c r="D323" s="3"/>
      <c r="E323" s="3"/>
      <c r="F323" s="3"/>
      <c r="G323" s="3"/>
      <c r="H323" s="3"/>
      <c r="I323" s="3"/>
      <c r="P323" s="3"/>
      <c r="Q323" s="4"/>
      <c r="R323" s="3"/>
      <c r="S323" s="3"/>
      <c r="T323" s="3"/>
      <c r="U323" s="3"/>
      <c r="AB323" s="5"/>
      <c r="AC323" s="4"/>
      <c r="AD323" s="3"/>
    </row>
    <row r="324" spans="1:30" s="2" customFormat="1">
      <c r="A324" s="3"/>
      <c r="B324" s="3"/>
      <c r="C324" s="3"/>
      <c r="D324" s="3"/>
      <c r="E324" s="3"/>
      <c r="F324" s="3"/>
      <c r="G324" s="3"/>
      <c r="H324" s="3"/>
      <c r="I324" s="3"/>
      <c r="P324" s="3"/>
      <c r="Q324" s="4"/>
      <c r="R324" s="3"/>
      <c r="S324" s="3"/>
      <c r="T324" s="3"/>
      <c r="U324" s="3"/>
      <c r="AB324" s="5"/>
      <c r="AC324" s="4"/>
      <c r="AD324" s="3"/>
    </row>
    <row r="325" spans="1:30" s="2" customFormat="1">
      <c r="A325" s="3"/>
      <c r="B325" s="3"/>
      <c r="C325" s="3"/>
      <c r="D325" s="3"/>
      <c r="E325" s="3"/>
      <c r="F325" s="3"/>
      <c r="G325" s="3"/>
      <c r="H325" s="3"/>
      <c r="I325" s="3"/>
      <c r="P325" s="3"/>
      <c r="Q325" s="4"/>
      <c r="R325" s="3"/>
      <c r="S325" s="3"/>
      <c r="T325" s="3"/>
      <c r="U325" s="3"/>
      <c r="AB325" s="5"/>
      <c r="AC325" s="4"/>
      <c r="AD325" s="3"/>
    </row>
    <row r="326" spans="1:30" s="2" customFormat="1">
      <c r="A326" s="3"/>
      <c r="B326" s="3"/>
      <c r="C326" s="3"/>
      <c r="D326" s="3"/>
      <c r="E326" s="3"/>
      <c r="F326" s="3"/>
      <c r="G326" s="3"/>
      <c r="H326" s="3"/>
      <c r="I326" s="3"/>
      <c r="P326" s="3"/>
      <c r="Q326" s="4"/>
      <c r="R326" s="3"/>
      <c r="S326" s="3"/>
      <c r="T326" s="3"/>
      <c r="U326" s="3"/>
      <c r="AB326" s="5"/>
      <c r="AC326" s="4"/>
      <c r="AD326" s="3"/>
    </row>
    <row r="327" spans="1:30" s="2" customFormat="1">
      <c r="A327" s="3"/>
      <c r="B327" s="3"/>
      <c r="C327" s="3"/>
      <c r="D327" s="3"/>
      <c r="E327" s="3"/>
      <c r="F327" s="3"/>
      <c r="G327" s="3"/>
      <c r="H327" s="3"/>
      <c r="I327" s="3"/>
      <c r="P327" s="3"/>
      <c r="Q327" s="4"/>
      <c r="R327" s="3"/>
      <c r="S327" s="3"/>
      <c r="T327" s="3"/>
      <c r="U327" s="3"/>
      <c r="AB327" s="5"/>
      <c r="AC327" s="4"/>
      <c r="AD327" s="3"/>
    </row>
    <row r="328" spans="1:30" s="2" customFormat="1">
      <c r="A328" s="3"/>
      <c r="B328" s="3"/>
      <c r="C328" s="3"/>
      <c r="D328" s="3"/>
      <c r="E328" s="3"/>
      <c r="F328" s="3"/>
      <c r="G328" s="3"/>
      <c r="H328" s="3"/>
      <c r="I328" s="3"/>
      <c r="P328" s="3"/>
      <c r="Q328" s="4"/>
      <c r="R328" s="3"/>
      <c r="S328" s="3"/>
      <c r="T328" s="3"/>
      <c r="U328" s="3"/>
      <c r="AB328" s="5"/>
      <c r="AC328" s="4"/>
      <c r="AD328" s="3"/>
    </row>
    <row r="329" spans="1:30" s="2" customFormat="1">
      <c r="A329" s="3"/>
      <c r="B329" s="3"/>
      <c r="C329" s="3"/>
      <c r="D329" s="3"/>
      <c r="E329" s="3"/>
      <c r="F329" s="3"/>
      <c r="G329" s="3"/>
      <c r="H329" s="3"/>
      <c r="I329" s="3"/>
      <c r="P329" s="3"/>
      <c r="Q329" s="4"/>
      <c r="R329" s="3"/>
      <c r="S329" s="3"/>
      <c r="T329" s="3"/>
      <c r="U329" s="3"/>
      <c r="AB329" s="5"/>
      <c r="AC329" s="4"/>
      <c r="AD329" s="3"/>
    </row>
    <row r="330" spans="1:30" s="2" customFormat="1">
      <c r="A330" s="3"/>
      <c r="B330" s="3"/>
      <c r="C330" s="3"/>
      <c r="D330" s="3"/>
      <c r="E330" s="3"/>
      <c r="F330" s="3"/>
      <c r="G330" s="3"/>
      <c r="H330" s="3"/>
      <c r="I330" s="3"/>
      <c r="P330" s="3"/>
      <c r="Q330" s="4"/>
      <c r="R330" s="3"/>
      <c r="S330" s="3"/>
      <c r="T330" s="3"/>
      <c r="U330" s="3"/>
      <c r="AB330" s="5"/>
      <c r="AC330" s="4"/>
      <c r="AD330" s="3"/>
    </row>
    <row r="331" spans="1:30" s="2" customFormat="1">
      <c r="A331" s="3"/>
      <c r="B331" s="3"/>
      <c r="C331" s="3"/>
      <c r="D331" s="3"/>
      <c r="E331" s="3"/>
      <c r="F331" s="3"/>
      <c r="G331" s="3"/>
      <c r="H331" s="3"/>
      <c r="I331" s="3"/>
      <c r="P331" s="3"/>
      <c r="Q331" s="4"/>
      <c r="R331" s="3"/>
      <c r="S331" s="3"/>
      <c r="T331" s="3"/>
      <c r="U331" s="3"/>
      <c r="AB331" s="5"/>
      <c r="AC331" s="4"/>
      <c r="AD331" s="3"/>
    </row>
    <row r="332" spans="1:30" s="2" customFormat="1">
      <c r="A332" s="3"/>
      <c r="B332" s="3"/>
      <c r="C332" s="3"/>
      <c r="D332" s="3"/>
      <c r="E332" s="3"/>
      <c r="F332" s="3"/>
      <c r="G332" s="3"/>
      <c r="H332" s="3"/>
      <c r="I332" s="3"/>
      <c r="P332" s="3"/>
      <c r="Q332" s="4"/>
      <c r="R332" s="3"/>
      <c r="S332" s="3"/>
      <c r="T332" s="3"/>
      <c r="U332" s="3"/>
      <c r="AB332" s="5"/>
      <c r="AC332" s="4"/>
      <c r="AD332" s="3"/>
    </row>
    <row r="333" spans="1:30" s="2" customFormat="1">
      <c r="A333" s="3"/>
      <c r="B333" s="3"/>
      <c r="C333" s="3"/>
      <c r="D333" s="3"/>
      <c r="E333" s="3"/>
      <c r="F333" s="3"/>
      <c r="G333" s="3"/>
      <c r="H333" s="3"/>
      <c r="I333" s="3"/>
      <c r="P333" s="3"/>
      <c r="Q333" s="4"/>
      <c r="R333" s="3"/>
      <c r="S333" s="3"/>
      <c r="T333" s="3"/>
      <c r="U333" s="3"/>
      <c r="AB333" s="5"/>
      <c r="AC333" s="4"/>
      <c r="AD333" s="3"/>
    </row>
    <row r="334" spans="1:30" s="2" customFormat="1">
      <c r="A334" s="3"/>
      <c r="B334" s="3"/>
      <c r="C334" s="3"/>
      <c r="D334" s="3"/>
      <c r="E334" s="3"/>
      <c r="F334" s="3"/>
      <c r="G334" s="3"/>
      <c r="H334" s="3"/>
      <c r="I334" s="3"/>
      <c r="P334" s="3"/>
      <c r="Q334" s="4"/>
      <c r="R334" s="3"/>
      <c r="S334" s="3"/>
      <c r="T334" s="3"/>
      <c r="U334" s="3"/>
      <c r="AB334" s="5"/>
      <c r="AC334" s="4"/>
      <c r="AD334" s="3"/>
    </row>
    <row r="335" spans="1:30" s="2" customFormat="1">
      <c r="A335" s="3"/>
      <c r="B335" s="3"/>
      <c r="C335" s="3"/>
      <c r="D335" s="3"/>
      <c r="E335" s="3"/>
      <c r="F335" s="3"/>
      <c r="G335" s="3"/>
      <c r="H335" s="3"/>
      <c r="I335" s="3"/>
      <c r="P335" s="3"/>
      <c r="Q335" s="4"/>
      <c r="R335" s="3"/>
      <c r="S335" s="3"/>
      <c r="T335" s="3"/>
      <c r="U335" s="3"/>
      <c r="AB335" s="5"/>
      <c r="AC335" s="4"/>
      <c r="AD335" s="3"/>
    </row>
    <row r="336" spans="1:30" s="2" customFormat="1">
      <c r="A336" s="3"/>
      <c r="B336" s="3"/>
      <c r="C336" s="3"/>
      <c r="D336" s="3"/>
      <c r="E336" s="3"/>
      <c r="F336" s="3"/>
      <c r="G336" s="3"/>
      <c r="H336" s="3"/>
      <c r="I336" s="3"/>
      <c r="P336" s="3"/>
      <c r="Q336" s="4"/>
      <c r="R336" s="3"/>
      <c r="S336" s="3"/>
      <c r="T336" s="3"/>
      <c r="U336" s="3"/>
      <c r="AB336" s="5"/>
      <c r="AC336" s="4"/>
      <c r="AD336" s="3"/>
    </row>
    <row r="337" spans="1:30" s="2" customFormat="1">
      <c r="A337" s="3"/>
      <c r="B337" s="3"/>
      <c r="C337" s="3"/>
      <c r="D337" s="3"/>
      <c r="E337" s="3"/>
      <c r="F337" s="3"/>
      <c r="G337" s="3"/>
      <c r="H337" s="3"/>
      <c r="I337" s="3"/>
      <c r="P337" s="3"/>
      <c r="Q337" s="4"/>
      <c r="R337" s="3"/>
      <c r="S337" s="3"/>
      <c r="T337" s="3"/>
      <c r="U337" s="3"/>
      <c r="AB337" s="5"/>
      <c r="AC337" s="4"/>
      <c r="AD337" s="3"/>
    </row>
    <row r="338" spans="1:30" s="2" customFormat="1">
      <c r="A338" s="3"/>
      <c r="B338" s="3"/>
      <c r="C338" s="3"/>
      <c r="D338" s="3"/>
      <c r="E338" s="3"/>
      <c r="F338" s="3"/>
      <c r="G338" s="3"/>
      <c r="H338" s="3"/>
      <c r="I338" s="3"/>
      <c r="P338" s="3"/>
      <c r="Q338" s="4"/>
      <c r="R338" s="3"/>
      <c r="S338" s="3"/>
      <c r="T338" s="3"/>
      <c r="U338" s="3"/>
      <c r="AB338" s="5"/>
      <c r="AC338" s="4"/>
      <c r="AD338" s="3"/>
    </row>
    <row r="339" spans="1:30" s="2" customFormat="1">
      <c r="A339" s="3"/>
      <c r="B339" s="3"/>
      <c r="C339" s="3"/>
      <c r="D339" s="3"/>
      <c r="E339" s="3"/>
      <c r="F339" s="3"/>
      <c r="G339" s="3"/>
      <c r="H339" s="3"/>
      <c r="I339" s="3"/>
      <c r="P339" s="3"/>
      <c r="Q339" s="4"/>
      <c r="R339" s="3"/>
      <c r="S339" s="3"/>
      <c r="T339" s="3"/>
      <c r="U339" s="3"/>
      <c r="AB339" s="5"/>
      <c r="AC339" s="4"/>
      <c r="AD339" s="3"/>
    </row>
    <row r="340" spans="1:30" s="2" customFormat="1">
      <c r="A340" s="3"/>
      <c r="B340" s="3"/>
      <c r="C340" s="3"/>
      <c r="D340" s="3"/>
      <c r="E340" s="3"/>
      <c r="F340" s="3"/>
      <c r="G340" s="3"/>
      <c r="H340" s="3"/>
      <c r="I340" s="3"/>
      <c r="P340" s="3"/>
      <c r="Q340" s="4"/>
      <c r="R340" s="3"/>
      <c r="S340" s="3"/>
      <c r="T340" s="3"/>
      <c r="U340" s="3"/>
      <c r="AB340" s="5"/>
      <c r="AC340" s="4"/>
      <c r="AD340" s="3"/>
    </row>
    <row r="341" spans="1:30" s="2" customFormat="1">
      <c r="A341" s="3"/>
      <c r="B341" s="3"/>
      <c r="C341" s="3"/>
      <c r="D341" s="3"/>
      <c r="E341" s="3"/>
      <c r="F341" s="3"/>
      <c r="G341" s="3"/>
      <c r="H341" s="3"/>
      <c r="I341" s="3"/>
      <c r="P341" s="3"/>
      <c r="Q341" s="4"/>
      <c r="R341" s="3"/>
      <c r="S341" s="3"/>
      <c r="T341" s="3"/>
      <c r="U341" s="3"/>
      <c r="AB341" s="5"/>
      <c r="AC341" s="4"/>
      <c r="AD341" s="3"/>
    </row>
    <row r="342" spans="1:30" s="2" customFormat="1">
      <c r="A342" s="3"/>
      <c r="B342" s="3"/>
      <c r="C342" s="3"/>
      <c r="D342" s="3"/>
      <c r="E342" s="3"/>
      <c r="F342" s="3"/>
      <c r="G342" s="3"/>
      <c r="H342" s="3"/>
      <c r="I342" s="3"/>
      <c r="P342" s="3"/>
      <c r="Q342" s="4"/>
      <c r="R342" s="3"/>
      <c r="S342" s="3"/>
      <c r="T342" s="3"/>
      <c r="U342" s="3"/>
      <c r="AB342" s="5"/>
      <c r="AC342" s="4"/>
      <c r="AD342" s="3"/>
    </row>
    <row r="343" spans="1:30" s="2" customFormat="1">
      <c r="A343" s="3"/>
      <c r="B343" s="3"/>
      <c r="C343" s="3"/>
      <c r="D343" s="3"/>
      <c r="E343" s="3"/>
      <c r="F343" s="3"/>
      <c r="G343" s="3"/>
      <c r="H343" s="3"/>
      <c r="I343" s="3"/>
      <c r="P343" s="3"/>
      <c r="Q343" s="4"/>
      <c r="R343" s="3"/>
      <c r="S343" s="3"/>
      <c r="T343" s="3"/>
      <c r="U343" s="3"/>
      <c r="AB343" s="5"/>
      <c r="AC343" s="4"/>
      <c r="AD343" s="3"/>
    </row>
    <row r="344" spans="1:30" s="2" customFormat="1">
      <c r="A344" s="3"/>
      <c r="B344" s="3"/>
      <c r="C344" s="3"/>
      <c r="D344" s="3"/>
      <c r="E344" s="3"/>
      <c r="F344" s="3"/>
      <c r="G344" s="3"/>
      <c r="H344" s="3"/>
      <c r="I344" s="3"/>
      <c r="P344" s="3"/>
      <c r="Q344" s="4"/>
      <c r="R344" s="3"/>
      <c r="S344" s="3"/>
      <c r="T344" s="3"/>
      <c r="U344" s="3"/>
      <c r="AB344" s="5"/>
      <c r="AC344" s="4"/>
      <c r="AD344" s="3"/>
    </row>
    <row r="345" spans="1:30" s="2" customFormat="1">
      <c r="A345" s="3"/>
      <c r="B345" s="3"/>
      <c r="C345" s="3"/>
      <c r="D345" s="3"/>
      <c r="E345" s="3"/>
      <c r="F345" s="3"/>
      <c r="G345" s="3"/>
      <c r="H345" s="3"/>
      <c r="I345" s="3"/>
      <c r="P345" s="3"/>
      <c r="Q345" s="4"/>
      <c r="R345" s="3"/>
      <c r="S345" s="3"/>
      <c r="T345" s="3"/>
      <c r="U345" s="3"/>
      <c r="AB345" s="5"/>
      <c r="AC345" s="4"/>
      <c r="AD345" s="3"/>
    </row>
    <row r="346" spans="1:30" s="2" customFormat="1">
      <c r="A346" s="3"/>
      <c r="B346" s="3"/>
      <c r="C346" s="3"/>
      <c r="D346" s="3"/>
      <c r="E346" s="3"/>
      <c r="F346" s="3"/>
      <c r="G346" s="3"/>
      <c r="H346" s="3"/>
      <c r="I346" s="3"/>
      <c r="P346" s="3"/>
      <c r="Q346" s="4"/>
      <c r="R346" s="3"/>
      <c r="S346" s="3"/>
      <c r="T346" s="3"/>
      <c r="U346" s="3"/>
      <c r="AB346" s="5"/>
      <c r="AC346" s="4"/>
      <c r="AD346" s="3"/>
    </row>
    <row r="347" spans="1:30" s="2" customFormat="1">
      <c r="A347" s="3"/>
      <c r="B347" s="3"/>
      <c r="C347" s="3"/>
      <c r="D347" s="3"/>
      <c r="E347" s="3"/>
      <c r="F347" s="3"/>
      <c r="G347" s="3"/>
      <c r="H347" s="3"/>
      <c r="I347" s="3"/>
      <c r="P347" s="3"/>
      <c r="Q347" s="4"/>
      <c r="R347" s="3"/>
      <c r="S347" s="3"/>
      <c r="T347" s="3"/>
      <c r="U347" s="3"/>
      <c r="AB347" s="5"/>
      <c r="AC347" s="4"/>
      <c r="AD347" s="3"/>
    </row>
    <row r="348" spans="1:30" s="2" customFormat="1">
      <c r="A348" s="3"/>
      <c r="B348" s="3"/>
      <c r="C348" s="3"/>
      <c r="D348" s="3"/>
      <c r="E348" s="3"/>
      <c r="F348" s="3"/>
      <c r="G348" s="3"/>
      <c r="H348" s="3"/>
      <c r="I348" s="3"/>
      <c r="P348" s="3"/>
      <c r="Q348" s="4"/>
      <c r="R348" s="3"/>
      <c r="S348" s="3"/>
      <c r="T348" s="3"/>
      <c r="U348" s="3"/>
      <c r="AB348" s="5"/>
      <c r="AC348" s="4"/>
      <c r="AD348" s="3"/>
    </row>
    <row r="349" spans="1:30" s="2" customFormat="1">
      <c r="A349" s="3"/>
      <c r="B349" s="3"/>
      <c r="C349" s="3"/>
      <c r="D349" s="3"/>
      <c r="E349" s="3"/>
      <c r="F349" s="3"/>
      <c r="G349" s="3"/>
      <c r="H349" s="3"/>
      <c r="I349" s="3"/>
      <c r="P349" s="3"/>
      <c r="Q349" s="4"/>
      <c r="R349" s="3"/>
      <c r="S349" s="3"/>
      <c r="T349" s="3"/>
      <c r="U349" s="3"/>
      <c r="AB349" s="5"/>
      <c r="AC349" s="4"/>
      <c r="AD349" s="3"/>
    </row>
    <row r="350" spans="1:30" s="2" customFormat="1">
      <c r="A350" s="3"/>
      <c r="B350" s="3"/>
      <c r="C350" s="3"/>
      <c r="D350" s="3"/>
      <c r="E350" s="3"/>
      <c r="F350" s="3"/>
      <c r="G350" s="3"/>
      <c r="H350" s="3"/>
      <c r="I350" s="3"/>
      <c r="P350" s="3"/>
      <c r="Q350" s="4"/>
      <c r="R350" s="3"/>
      <c r="S350" s="3"/>
      <c r="T350" s="3"/>
      <c r="U350" s="3"/>
      <c r="AB350" s="5"/>
      <c r="AC350" s="4"/>
      <c r="AD350" s="3"/>
    </row>
    <row r="351" spans="1:30" s="2" customFormat="1">
      <c r="A351" s="3"/>
      <c r="B351" s="3"/>
      <c r="C351" s="3"/>
      <c r="D351" s="3"/>
      <c r="E351" s="3"/>
      <c r="F351" s="3"/>
      <c r="G351" s="3"/>
      <c r="H351" s="3"/>
      <c r="I351" s="3"/>
      <c r="P351" s="3"/>
      <c r="Q351" s="4"/>
      <c r="R351" s="3"/>
      <c r="S351" s="3"/>
      <c r="T351" s="3"/>
      <c r="U351" s="3"/>
      <c r="AB351" s="5"/>
      <c r="AC351" s="4"/>
      <c r="AD351" s="3"/>
    </row>
    <row r="352" spans="1:30" s="2" customFormat="1">
      <c r="A352" s="3"/>
      <c r="B352" s="3"/>
      <c r="C352" s="3"/>
      <c r="D352" s="3"/>
      <c r="E352" s="3"/>
      <c r="F352" s="3"/>
      <c r="G352" s="3"/>
      <c r="H352" s="3"/>
      <c r="I352" s="3"/>
      <c r="P352" s="3"/>
      <c r="Q352" s="4"/>
      <c r="R352" s="3"/>
      <c r="S352" s="3"/>
      <c r="T352" s="3"/>
      <c r="U352" s="3"/>
      <c r="AB352" s="5"/>
      <c r="AC352" s="4"/>
      <c r="AD352" s="3"/>
    </row>
    <row r="353" spans="1:30" s="2" customFormat="1">
      <c r="A353" s="3"/>
      <c r="B353" s="3"/>
      <c r="C353" s="3"/>
      <c r="D353" s="3"/>
      <c r="E353" s="3"/>
      <c r="F353" s="3"/>
      <c r="G353" s="3"/>
      <c r="H353" s="3"/>
      <c r="I353" s="3"/>
      <c r="P353" s="3"/>
      <c r="Q353" s="4"/>
      <c r="R353" s="3"/>
      <c r="S353" s="3"/>
      <c r="T353" s="3"/>
      <c r="U353" s="3"/>
      <c r="AB353" s="5"/>
      <c r="AC353" s="4"/>
      <c r="AD353" s="3"/>
    </row>
    <row r="354" spans="1:30" s="2" customFormat="1">
      <c r="A354" s="3"/>
      <c r="B354" s="3"/>
      <c r="C354" s="3"/>
      <c r="D354" s="3"/>
      <c r="E354" s="3"/>
      <c r="F354" s="3"/>
      <c r="G354" s="3"/>
      <c r="H354" s="3"/>
      <c r="I354" s="3"/>
      <c r="P354" s="3"/>
      <c r="Q354" s="4"/>
      <c r="R354" s="3"/>
      <c r="S354" s="3"/>
      <c r="T354" s="3"/>
      <c r="U354" s="3"/>
      <c r="AB354" s="5"/>
      <c r="AC354" s="4"/>
      <c r="AD354" s="3"/>
    </row>
    <row r="355" spans="1:30" s="2" customFormat="1">
      <c r="A355" s="3"/>
      <c r="B355" s="3"/>
      <c r="C355" s="3"/>
      <c r="D355" s="3"/>
      <c r="E355" s="3"/>
      <c r="F355" s="3"/>
      <c r="G355" s="3"/>
      <c r="H355" s="3"/>
      <c r="I355" s="3"/>
      <c r="P355" s="3"/>
      <c r="Q355" s="4"/>
      <c r="R355" s="3"/>
      <c r="S355" s="3"/>
      <c r="T355" s="3"/>
      <c r="U355" s="3"/>
      <c r="AB355" s="5"/>
      <c r="AC355" s="4"/>
      <c r="AD355" s="3"/>
    </row>
    <row r="356" spans="1:30" s="2" customFormat="1">
      <c r="A356" s="3"/>
      <c r="B356" s="3"/>
      <c r="C356" s="3"/>
      <c r="D356" s="3"/>
      <c r="E356" s="3"/>
      <c r="F356" s="3"/>
      <c r="G356" s="3"/>
      <c r="H356" s="3"/>
      <c r="I356" s="3"/>
      <c r="P356" s="3"/>
      <c r="Q356" s="4"/>
      <c r="R356" s="3"/>
      <c r="S356" s="3"/>
      <c r="T356" s="3"/>
      <c r="U356" s="3"/>
      <c r="AB356" s="5"/>
      <c r="AC356" s="4"/>
      <c r="AD356" s="3"/>
    </row>
    <row r="357" spans="1:30" s="2" customFormat="1">
      <c r="A357" s="3"/>
      <c r="B357" s="3"/>
      <c r="C357" s="3"/>
      <c r="D357" s="3"/>
      <c r="E357" s="3"/>
      <c r="F357" s="3"/>
      <c r="G357" s="3"/>
      <c r="H357" s="3"/>
      <c r="I357" s="3"/>
      <c r="P357" s="3"/>
      <c r="Q357" s="4"/>
      <c r="R357" s="3"/>
      <c r="S357" s="3"/>
      <c r="T357" s="3"/>
      <c r="U357" s="3"/>
      <c r="AB357" s="5"/>
      <c r="AC357" s="4"/>
      <c r="AD357" s="3"/>
    </row>
    <row r="358" spans="1:30" s="2" customFormat="1">
      <c r="A358" s="3"/>
      <c r="B358" s="3"/>
      <c r="C358" s="3"/>
      <c r="D358" s="3"/>
      <c r="E358" s="3"/>
      <c r="F358" s="3"/>
      <c r="G358" s="3"/>
      <c r="H358" s="3"/>
      <c r="I358" s="3"/>
      <c r="P358" s="3"/>
      <c r="Q358" s="4"/>
      <c r="R358" s="3"/>
      <c r="S358" s="3"/>
      <c r="T358" s="3"/>
      <c r="U358" s="3"/>
      <c r="AB358" s="5"/>
      <c r="AC358" s="4"/>
      <c r="AD358" s="3"/>
    </row>
    <row r="359" spans="1:30" s="2" customFormat="1">
      <c r="A359" s="3"/>
      <c r="B359" s="3"/>
      <c r="C359" s="3"/>
      <c r="D359" s="3"/>
      <c r="E359" s="3"/>
      <c r="F359" s="3"/>
      <c r="G359" s="3"/>
      <c r="H359" s="3"/>
      <c r="I359" s="3"/>
      <c r="P359" s="3"/>
      <c r="Q359" s="4"/>
      <c r="R359" s="3"/>
      <c r="S359" s="3"/>
      <c r="T359" s="3"/>
      <c r="U359" s="3"/>
      <c r="AB359" s="5"/>
      <c r="AC359" s="4"/>
      <c r="AD359" s="3"/>
    </row>
    <row r="360" spans="1:30" s="2" customFormat="1">
      <c r="A360" s="3"/>
      <c r="B360" s="3"/>
      <c r="C360" s="3"/>
      <c r="D360" s="3"/>
      <c r="E360" s="3"/>
      <c r="F360" s="3"/>
      <c r="G360" s="3"/>
      <c r="H360" s="3"/>
      <c r="I360" s="3"/>
      <c r="P360" s="3"/>
      <c r="Q360" s="4"/>
      <c r="R360" s="3"/>
      <c r="S360" s="3"/>
      <c r="T360" s="3"/>
      <c r="U360" s="3"/>
      <c r="AB360" s="5"/>
      <c r="AC360" s="4"/>
      <c r="AD360" s="3"/>
    </row>
    <row r="361" spans="1:30" s="2" customFormat="1">
      <c r="A361" s="3"/>
      <c r="B361" s="3"/>
      <c r="C361" s="3"/>
      <c r="D361" s="3"/>
      <c r="E361" s="3"/>
      <c r="F361" s="3"/>
      <c r="G361" s="3"/>
      <c r="H361" s="3"/>
      <c r="I361" s="3"/>
      <c r="P361" s="3"/>
      <c r="Q361" s="4"/>
      <c r="R361" s="3"/>
      <c r="S361" s="3"/>
      <c r="T361" s="3"/>
      <c r="U361" s="3"/>
      <c r="AB361" s="5"/>
      <c r="AC361" s="4"/>
      <c r="AD361" s="3"/>
    </row>
    <row r="362" spans="1:30" s="2" customFormat="1">
      <c r="A362" s="3"/>
      <c r="B362" s="3"/>
      <c r="C362" s="3"/>
      <c r="D362" s="3"/>
      <c r="E362" s="3"/>
      <c r="F362" s="3"/>
      <c r="G362" s="3"/>
      <c r="H362" s="3"/>
      <c r="I362" s="3"/>
      <c r="P362" s="3"/>
      <c r="Q362" s="4"/>
      <c r="R362" s="3"/>
      <c r="S362" s="3"/>
      <c r="T362" s="3"/>
      <c r="U362" s="3"/>
      <c r="AB362" s="5"/>
      <c r="AC362" s="4"/>
      <c r="AD362" s="3"/>
    </row>
    <row r="363" spans="1:30" s="2" customFormat="1">
      <c r="A363" s="3"/>
      <c r="B363" s="3"/>
      <c r="C363" s="3"/>
      <c r="D363" s="3"/>
      <c r="E363" s="3"/>
      <c r="F363" s="3"/>
      <c r="G363" s="3"/>
      <c r="H363" s="3"/>
      <c r="I363" s="3"/>
      <c r="P363" s="3"/>
      <c r="Q363" s="4"/>
      <c r="R363" s="3"/>
      <c r="S363" s="3"/>
      <c r="T363" s="3"/>
      <c r="U363" s="3"/>
      <c r="AB363" s="5"/>
      <c r="AC363" s="4"/>
      <c r="AD363" s="3"/>
    </row>
    <row r="364" spans="1:30" s="2" customFormat="1">
      <c r="A364" s="3"/>
      <c r="B364" s="3"/>
      <c r="C364" s="3"/>
      <c r="D364" s="3"/>
      <c r="E364" s="3"/>
      <c r="F364" s="3"/>
      <c r="G364" s="3"/>
      <c r="H364" s="3"/>
      <c r="I364" s="3"/>
      <c r="P364" s="3"/>
      <c r="Q364" s="4"/>
      <c r="R364" s="3"/>
      <c r="S364" s="3"/>
      <c r="T364" s="3"/>
      <c r="U364" s="3"/>
      <c r="AB364" s="5"/>
      <c r="AC364" s="4"/>
      <c r="AD364" s="3"/>
    </row>
    <row r="365" spans="1:30" s="2" customFormat="1">
      <c r="A365" s="3"/>
      <c r="B365" s="3"/>
      <c r="C365" s="3"/>
      <c r="D365" s="3"/>
      <c r="E365" s="3"/>
      <c r="F365" s="3"/>
      <c r="G365" s="3"/>
      <c r="H365" s="3"/>
      <c r="I365" s="3"/>
      <c r="P365" s="3"/>
      <c r="Q365" s="4"/>
      <c r="R365" s="3"/>
      <c r="S365" s="3"/>
      <c r="T365" s="3"/>
      <c r="U365" s="3"/>
      <c r="AB365" s="5"/>
      <c r="AC365" s="4"/>
      <c r="AD365" s="3"/>
    </row>
    <row r="366" spans="1:30" s="2" customFormat="1">
      <c r="A366" s="3"/>
      <c r="B366" s="3"/>
      <c r="C366" s="3"/>
      <c r="D366" s="3"/>
      <c r="E366" s="3"/>
      <c r="F366" s="3"/>
      <c r="G366" s="3"/>
      <c r="H366" s="3"/>
      <c r="I366" s="3"/>
      <c r="P366" s="3"/>
      <c r="Q366" s="4"/>
      <c r="R366" s="3"/>
      <c r="S366" s="3"/>
      <c r="T366" s="3"/>
      <c r="U366" s="3"/>
      <c r="AB366" s="5"/>
      <c r="AC366" s="4"/>
      <c r="AD366" s="3"/>
    </row>
    <row r="367" spans="1:30" s="2" customFormat="1">
      <c r="A367" s="3"/>
      <c r="B367" s="3"/>
      <c r="C367" s="3"/>
      <c r="D367" s="3"/>
      <c r="E367" s="3"/>
      <c r="F367" s="3"/>
      <c r="G367" s="3"/>
      <c r="H367" s="3"/>
      <c r="I367" s="3"/>
      <c r="P367" s="3"/>
      <c r="Q367" s="4"/>
      <c r="R367" s="3"/>
      <c r="S367" s="3"/>
      <c r="T367" s="3"/>
      <c r="U367" s="3"/>
      <c r="AB367" s="5"/>
      <c r="AC367" s="4"/>
      <c r="AD367" s="3"/>
    </row>
    <row r="368" spans="1:30" s="2" customFormat="1">
      <c r="A368" s="3"/>
      <c r="B368" s="3"/>
      <c r="C368" s="3"/>
      <c r="D368" s="3"/>
      <c r="E368" s="3"/>
      <c r="F368" s="3"/>
      <c r="G368" s="3"/>
      <c r="H368" s="3"/>
      <c r="I368" s="3"/>
      <c r="P368" s="3"/>
      <c r="Q368" s="4"/>
      <c r="R368" s="3"/>
      <c r="S368" s="3"/>
      <c r="T368" s="3"/>
      <c r="U368" s="3"/>
      <c r="AB368" s="5"/>
      <c r="AC368" s="4"/>
      <c r="AD368" s="3"/>
    </row>
    <row r="369" spans="1:30" s="2" customFormat="1">
      <c r="A369" s="3"/>
      <c r="B369" s="3"/>
      <c r="C369" s="3"/>
      <c r="D369" s="3"/>
      <c r="E369" s="3"/>
      <c r="F369" s="3"/>
      <c r="G369" s="3"/>
      <c r="H369" s="3"/>
      <c r="I369" s="3"/>
      <c r="P369" s="3"/>
      <c r="Q369" s="4"/>
      <c r="R369" s="3"/>
      <c r="S369" s="3"/>
      <c r="T369" s="3"/>
      <c r="U369" s="3"/>
      <c r="AB369" s="5"/>
      <c r="AC369" s="4"/>
      <c r="AD369" s="3"/>
    </row>
    <row r="370" spans="1:30" s="2" customFormat="1">
      <c r="A370" s="3"/>
      <c r="B370" s="3"/>
      <c r="C370" s="3"/>
      <c r="D370" s="3"/>
      <c r="E370" s="3"/>
      <c r="F370" s="3"/>
      <c r="G370" s="3"/>
      <c r="H370" s="3"/>
      <c r="I370" s="3"/>
      <c r="P370" s="3"/>
      <c r="Q370" s="4"/>
      <c r="R370" s="3"/>
      <c r="S370" s="3"/>
      <c r="T370" s="3"/>
      <c r="U370" s="3"/>
      <c r="AB370" s="5"/>
      <c r="AC370" s="4"/>
      <c r="AD370" s="3"/>
    </row>
    <row r="371" spans="1:30" s="2" customFormat="1">
      <c r="A371" s="3"/>
      <c r="B371" s="3"/>
      <c r="C371" s="3"/>
      <c r="D371" s="3"/>
      <c r="E371" s="3"/>
      <c r="F371" s="3"/>
      <c r="G371" s="3"/>
      <c r="H371" s="3"/>
      <c r="I371" s="3"/>
      <c r="P371" s="3"/>
      <c r="Q371" s="4"/>
      <c r="R371" s="3"/>
      <c r="S371" s="3"/>
      <c r="T371" s="3"/>
      <c r="U371" s="3"/>
      <c r="AB371" s="5"/>
      <c r="AC371" s="4"/>
      <c r="AD371" s="3"/>
    </row>
    <row r="372" spans="1:30" s="2" customFormat="1">
      <c r="A372" s="3"/>
      <c r="B372" s="3"/>
      <c r="C372" s="3"/>
      <c r="D372" s="3"/>
      <c r="E372" s="3"/>
      <c r="F372" s="3"/>
      <c r="G372" s="3"/>
      <c r="H372" s="3"/>
      <c r="I372" s="3"/>
      <c r="P372" s="3"/>
      <c r="Q372" s="4"/>
      <c r="R372" s="3"/>
      <c r="S372" s="3"/>
      <c r="T372" s="3"/>
      <c r="U372" s="3"/>
      <c r="AB372" s="5"/>
      <c r="AC372" s="4"/>
      <c r="AD372" s="3"/>
    </row>
    <row r="373" spans="1:30" s="2" customFormat="1">
      <c r="A373" s="3"/>
      <c r="B373" s="3"/>
      <c r="C373" s="3"/>
      <c r="D373" s="3"/>
      <c r="E373" s="3"/>
      <c r="F373" s="3"/>
      <c r="G373" s="3"/>
      <c r="H373" s="3"/>
      <c r="I373" s="3"/>
      <c r="P373" s="3"/>
      <c r="Q373" s="4"/>
      <c r="R373" s="3"/>
      <c r="S373" s="3"/>
      <c r="T373" s="3"/>
      <c r="U373" s="3"/>
      <c r="AB373" s="5"/>
      <c r="AC373" s="4"/>
      <c r="AD373" s="3"/>
    </row>
    <row r="374" spans="1:30" s="2" customFormat="1">
      <c r="A374" s="3"/>
      <c r="B374" s="3"/>
      <c r="C374" s="3"/>
      <c r="D374" s="3"/>
      <c r="E374" s="3"/>
      <c r="F374" s="3"/>
      <c r="G374" s="3"/>
      <c r="H374" s="3"/>
      <c r="I374" s="3"/>
      <c r="P374" s="3"/>
      <c r="Q374" s="4"/>
      <c r="R374" s="3"/>
      <c r="S374" s="3"/>
      <c r="T374" s="3"/>
      <c r="U374" s="3"/>
      <c r="AB374" s="5"/>
      <c r="AC374" s="4"/>
      <c r="AD374" s="3"/>
    </row>
    <row r="375" spans="1:30" s="2" customFormat="1">
      <c r="A375" s="3"/>
      <c r="B375" s="3"/>
      <c r="C375" s="3"/>
      <c r="D375" s="3"/>
      <c r="E375" s="3"/>
      <c r="F375" s="3"/>
      <c r="G375" s="3"/>
      <c r="H375" s="3"/>
      <c r="I375" s="3"/>
      <c r="P375" s="3"/>
      <c r="Q375" s="4"/>
      <c r="R375" s="3"/>
      <c r="S375" s="3"/>
      <c r="T375" s="3"/>
      <c r="U375" s="3"/>
      <c r="AB375" s="5"/>
      <c r="AC375" s="4"/>
      <c r="AD375" s="3"/>
    </row>
    <row r="376" spans="1:30" s="2" customFormat="1">
      <c r="A376" s="3"/>
      <c r="B376" s="3"/>
      <c r="C376" s="3"/>
      <c r="D376" s="3"/>
      <c r="E376" s="3"/>
      <c r="F376" s="3"/>
      <c r="G376" s="3"/>
      <c r="H376" s="3"/>
      <c r="I376" s="3"/>
      <c r="P376" s="3"/>
      <c r="Q376" s="4"/>
      <c r="R376" s="3"/>
      <c r="S376" s="3"/>
      <c r="T376" s="3"/>
      <c r="U376" s="3"/>
      <c r="AB376" s="5"/>
      <c r="AC376" s="4"/>
      <c r="AD376" s="3"/>
    </row>
    <row r="377" spans="1:30" s="2" customFormat="1">
      <c r="A377" s="3"/>
      <c r="B377" s="3"/>
      <c r="C377" s="3"/>
      <c r="D377" s="3"/>
      <c r="E377" s="3"/>
      <c r="F377" s="3"/>
      <c r="G377" s="3"/>
      <c r="H377" s="3"/>
      <c r="I377" s="3"/>
      <c r="P377" s="3"/>
      <c r="Q377" s="4"/>
      <c r="R377" s="3"/>
      <c r="S377" s="3"/>
      <c r="T377" s="3"/>
      <c r="U377" s="3"/>
      <c r="AB377" s="5"/>
      <c r="AC377" s="4"/>
      <c r="AD377" s="3"/>
    </row>
    <row r="378" spans="1:30" s="2" customFormat="1">
      <c r="A378" s="3"/>
      <c r="B378" s="3"/>
      <c r="C378" s="3"/>
      <c r="D378" s="3"/>
      <c r="E378" s="3"/>
      <c r="F378" s="3"/>
      <c r="G378" s="3"/>
      <c r="H378" s="3"/>
      <c r="I378" s="3"/>
      <c r="P378" s="3"/>
      <c r="Q378" s="4"/>
      <c r="R378" s="3"/>
      <c r="S378" s="3"/>
      <c r="T378" s="3"/>
      <c r="U378" s="3"/>
      <c r="AB378" s="5"/>
      <c r="AC378" s="4"/>
      <c r="AD378" s="3"/>
    </row>
    <row r="379" spans="1:30" s="2" customFormat="1">
      <c r="A379" s="3"/>
      <c r="B379" s="3"/>
      <c r="C379" s="3"/>
      <c r="D379" s="3"/>
      <c r="E379" s="3"/>
      <c r="F379" s="3"/>
      <c r="G379" s="3"/>
      <c r="H379" s="3"/>
      <c r="I379" s="3"/>
      <c r="P379" s="3"/>
      <c r="Q379" s="4"/>
      <c r="R379" s="3"/>
      <c r="S379" s="3"/>
      <c r="T379" s="3"/>
      <c r="U379" s="3"/>
      <c r="AB379" s="5"/>
      <c r="AC379" s="4"/>
      <c r="AD379" s="3"/>
    </row>
    <row r="380" spans="1:30" s="2" customFormat="1">
      <c r="A380" s="3"/>
      <c r="B380" s="3"/>
      <c r="C380" s="3"/>
      <c r="D380" s="3"/>
      <c r="E380" s="3"/>
      <c r="F380" s="3"/>
      <c r="G380" s="3"/>
      <c r="H380" s="3"/>
      <c r="I380" s="3"/>
      <c r="P380" s="3"/>
      <c r="Q380" s="4"/>
      <c r="R380" s="3"/>
      <c r="S380" s="3"/>
      <c r="T380" s="3"/>
      <c r="U380" s="3"/>
      <c r="AB380" s="5"/>
      <c r="AC380" s="4"/>
      <c r="AD380" s="3"/>
    </row>
    <row r="381" spans="1:30" s="2" customFormat="1">
      <c r="A381" s="3"/>
      <c r="B381" s="3"/>
      <c r="C381" s="3"/>
      <c r="D381" s="3"/>
      <c r="E381" s="3"/>
      <c r="F381" s="3"/>
      <c r="G381" s="3"/>
      <c r="H381" s="3"/>
      <c r="I381" s="3"/>
      <c r="P381" s="3"/>
      <c r="Q381" s="4"/>
      <c r="R381" s="3"/>
      <c r="S381" s="3"/>
      <c r="T381" s="3"/>
      <c r="U381" s="3"/>
      <c r="AB381" s="5"/>
      <c r="AC381" s="4"/>
      <c r="AD381" s="3"/>
    </row>
    <row r="382" spans="1:30" s="2" customFormat="1">
      <c r="A382" s="3"/>
      <c r="B382" s="3"/>
      <c r="C382" s="3"/>
      <c r="D382" s="3"/>
      <c r="E382" s="3"/>
      <c r="F382" s="3"/>
      <c r="G382" s="3"/>
      <c r="H382" s="3"/>
      <c r="I382" s="3"/>
      <c r="P382" s="3"/>
      <c r="Q382" s="4"/>
      <c r="R382" s="3"/>
      <c r="S382" s="3"/>
      <c r="T382" s="3"/>
      <c r="U382" s="3"/>
      <c r="AB382" s="5"/>
      <c r="AC382" s="4"/>
      <c r="AD382" s="3"/>
    </row>
    <row r="383" spans="1:30" s="2" customFormat="1">
      <c r="A383" s="3"/>
      <c r="B383" s="3"/>
      <c r="C383" s="3"/>
      <c r="D383" s="3"/>
      <c r="E383" s="3"/>
      <c r="F383" s="3"/>
      <c r="G383" s="3"/>
      <c r="H383" s="3"/>
      <c r="I383" s="3"/>
      <c r="P383" s="3"/>
      <c r="Q383" s="4"/>
      <c r="R383" s="3"/>
      <c r="S383" s="3"/>
      <c r="T383" s="3"/>
      <c r="U383" s="3"/>
      <c r="AB383" s="5"/>
      <c r="AC383" s="4"/>
      <c r="AD383" s="3"/>
    </row>
    <row r="384" spans="1:30" s="2" customFormat="1">
      <c r="A384" s="3"/>
      <c r="B384" s="3"/>
      <c r="C384" s="3"/>
      <c r="D384" s="3"/>
      <c r="E384" s="3"/>
      <c r="F384" s="3"/>
      <c r="G384" s="3"/>
      <c r="H384" s="3"/>
      <c r="I384" s="3"/>
      <c r="P384" s="3"/>
      <c r="Q384" s="4"/>
      <c r="R384" s="3"/>
      <c r="S384" s="3"/>
      <c r="T384" s="3"/>
      <c r="U384" s="3"/>
      <c r="AB384" s="5"/>
      <c r="AC384" s="4"/>
      <c r="AD384" s="3"/>
    </row>
    <row r="385" spans="1:30" s="2" customFormat="1">
      <c r="A385" s="3"/>
      <c r="B385" s="3"/>
      <c r="C385" s="3"/>
      <c r="D385" s="3"/>
      <c r="E385" s="3"/>
      <c r="F385" s="3"/>
      <c r="G385" s="3"/>
      <c r="H385" s="3"/>
      <c r="I385" s="3"/>
      <c r="P385" s="3"/>
      <c r="Q385" s="4"/>
      <c r="R385" s="3"/>
      <c r="S385" s="3"/>
      <c r="T385" s="3"/>
      <c r="U385" s="3"/>
      <c r="AB385" s="5"/>
      <c r="AC385" s="4"/>
      <c r="AD385" s="3"/>
    </row>
    <row r="386" spans="1:30" s="2" customFormat="1">
      <c r="A386" s="3"/>
      <c r="B386" s="3"/>
      <c r="C386" s="3"/>
      <c r="D386" s="3"/>
      <c r="E386" s="3"/>
      <c r="F386" s="3"/>
      <c r="G386" s="3"/>
      <c r="H386" s="3"/>
      <c r="I386" s="3"/>
      <c r="P386" s="3"/>
      <c r="Q386" s="4"/>
      <c r="R386" s="3"/>
      <c r="S386" s="3"/>
      <c r="T386" s="3"/>
      <c r="U386" s="3"/>
      <c r="AB386" s="5"/>
      <c r="AC386" s="4"/>
      <c r="AD386" s="3"/>
    </row>
    <row r="387" spans="1:30" s="2" customFormat="1">
      <c r="A387" s="3"/>
      <c r="B387" s="3"/>
      <c r="C387" s="3"/>
      <c r="D387" s="3"/>
      <c r="E387" s="3"/>
      <c r="F387" s="3"/>
      <c r="G387" s="3"/>
      <c r="H387" s="3"/>
      <c r="I387" s="3"/>
      <c r="P387" s="3"/>
      <c r="Q387" s="4"/>
      <c r="R387" s="3"/>
      <c r="S387" s="3"/>
      <c r="T387" s="3"/>
      <c r="U387" s="3"/>
      <c r="AB387" s="5"/>
      <c r="AC387" s="4"/>
      <c r="AD387" s="3"/>
    </row>
    <row r="388" spans="1:30" s="2" customFormat="1">
      <c r="A388" s="3"/>
      <c r="B388" s="3"/>
      <c r="C388" s="3"/>
      <c r="D388" s="3"/>
      <c r="E388" s="3"/>
      <c r="F388" s="3"/>
      <c r="G388" s="3"/>
      <c r="H388" s="3"/>
      <c r="I388" s="3"/>
      <c r="P388" s="3"/>
      <c r="Q388" s="4"/>
      <c r="R388" s="3"/>
      <c r="S388" s="3"/>
      <c r="T388" s="3"/>
      <c r="U388" s="3"/>
      <c r="AB388" s="5"/>
      <c r="AC388" s="4"/>
      <c r="AD388" s="3"/>
    </row>
    <row r="389" spans="1:30" s="2" customFormat="1">
      <c r="A389" s="3"/>
      <c r="B389" s="3"/>
      <c r="C389" s="3"/>
      <c r="D389" s="3"/>
      <c r="E389" s="3"/>
      <c r="F389" s="3"/>
      <c r="G389" s="3"/>
      <c r="H389" s="3"/>
      <c r="I389" s="3"/>
      <c r="P389" s="3"/>
      <c r="Q389" s="4"/>
      <c r="R389" s="3"/>
      <c r="S389" s="3"/>
      <c r="T389" s="3"/>
      <c r="U389" s="3"/>
      <c r="AB389" s="5"/>
      <c r="AC389" s="4"/>
      <c r="AD389" s="3"/>
    </row>
    <row r="390" spans="1:30" s="2" customFormat="1">
      <c r="A390" s="3"/>
      <c r="B390" s="3"/>
      <c r="C390" s="3"/>
      <c r="D390" s="3"/>
      <c r="E390" s="3"/>
      <c r="F390" s="3"/>
      <c r="G390" s="3"/>
      <c r="H390" s="3"/>
      <c r="I390" s="3"/>
      <c r="P390" s="3"/>
      <c r="Q390" s="4"/>
      <c r="R390" s="3"/>
      <c r="S390" s="3"/>
      <c r="T390" s="3"/>
      <c r="U390" s="3"/>
      <c r="AB390" s="5"/>
      <c r="AC390" s="4"/>
      <c r="AD390" s="3"/>
    </row>
    <row r="391" spans="1:30" s="2" customFormat="1">
      <c r="A391" s="3"/>
      <c r="B391" s="3"/>
      <c r="C391" s="3"/>
      <c r="D391" s="3"/>
      <c r="E391" s="3"/>
      <c r="F391" s="3"/>
      <c r="G391" s="3"/>
      <c r="H391" s="3"/>
      <c r="I391" s="3"/>
      <c r="P391" s="3"/>
      <c r="Q391" s="4"/>
      <c r="R391" s="3"/>
      <c r="S391" s="3"/>
      <c r="T391" s="3"/>
      <c r="U391" s="3"/>
      <c r="AB391" s="5"/>
      <c r="AC391" s="4"/>
      <c r="AD391" s="3"/>
    </row>
    <row r="392" spans="1:30" s="2" customFormat="1">
      <c r="A392" s="3"/>
      <c r="B392" s="3"/>
      <c r="C392" s="3"/>
      <c r="D392" s="3"/>
      <c r="E392" s="3"/>
      <c r="F392" s="3"/>
      <c r="G392" s="3"/>
      <c r="H392" s="3"/>
      <c r="I392" s="3"/>
      <c r="P392" s="3"/>
      <c r="Q392" s="4"/>
      <c r="R392" s="3"/>
      <c r="S392" s="3"/>
      <c r="T392" s="3"/>
      <c r="U392" s="3"/>
      <c r="AB392" s="5"/>
      <c r="AC392" s="4"/>
      <c r="AD392" s="3"/>
    </row>
    <row r="393" spans="1:30" s="2" customFormat="1">
      <c r="A393" s="3"/>
      <c r="B393" s="3"/>
      <c r="C393" s="3"/>
      <c r="D393" s="3"/>
      <c r="E393" s="3"/>
      <c r="F393" s="3"/>
      <c r="G393" s="3"/>
      <c r="H393" s="3"/>
      <c r="I393" s="3"/>
      <c r="P393" s="3"/>
      <c r="Q393" s="4"/>
      <c r="R393" s="3"/>
      <c r="S393" s="3"/>
      <c r="T393" s="3"/>
      <c r="U393" s="3"/>
      <c r="AB393" s="5"/>
      <c r="AC393" s="4"/>
      <c r="AD393" s="3"/>
    </row>
    <row r="394" spans="1:30" s="2" customFormat="1">
      <c r="A394" s="3"/>
      <c r="B394" s="3"/>
      <c r="C394" s="3"/>
      <c r="D394" s="3"/>
      <c r="E394" s="3"/>
      <c r="F394" s="3"/>
      <c r="G394" s="3"/>
      <c r="H394" s="3"/>
      <c r="I394" s="3"/>
      <c r="P394" s="3"/>
      <c r="Q394" s="4"/>
      <c r="R394" s="3"/>
      <c r="S394" s="3"/>
      <c r="T394" s="3"/>
      <c r="U394" s="3"/>
      <c r="AB394" s="5"/>
      <c r="AC394" s="4"/>
      <c r="AD394" s="3"/>
    </row>
    <row r="395" spans="1:30" s="2" customFormat="1">
      <c r="A395" s="3"/>
      <c r="B395" s="3"/>
      <c r="C395" s="3"/>
      <c r="D395" s="3"/>
      <c r="E395" s="3"/>
      <c r="F395" s="3"/>
      <c r="G395" s="3"/>
      <c r="H395" s="3"/>
      <c r="I395" s="3"/>
      <c r="P395" s="3"/>
      <c r="Q395" s="4"/>
      <c r="R395" s="3"/>
      <c r="S395" s="3"/>
      <c r="T395" s="3"/>
      <c r="U395" s="3"/>
      <c r="AB395" s="5"/>
      <c r="AC395" s="4"/>
      <c r="AD395" s="3"/>
    </row>
  </sheetData>
  <mergeCells count="7">
    <mergeCell ref="H1:I1"/>
    <mergeCell ref="A2:A153"/>
    <mergeCell ref="A155:A182"/>
    <mergeCell ref="A221:A223"/>
    <mergeCell ref="U2:U153"/>
    <mergeCell ref="U155:U182"/>
    <mergeCell ref="U220:U223"/>
  </mergeCells>
  <phoneticPr fontId="14" type="noConversion"/>
  <pageMargins left="0.69930555555555596" right="0.69930555555555596"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文档" ma:contentTypeID="0x010100AF9254F916046D47805269FA44C28805" ma:contentTypeVersion="11" ma:contentTypeDescription="新建文档。" ma:contentTypeScope="" ma:versionID="8e552e9faad47e1ac1cd93d3d0d27245">
  <xsd:schema xmlns:xsd="http://www.w3.org/2001/XMLSchema" xmlns:xs="http://www.w3.org/2001/XMLSchema" xmlns:p="http://schemas.microsoft.com/office/2006/metadata/properties" xmlns:ns2="25a9b192-4ffd-45fe-9f9b-78d47ef7d08b" xmlns:ns3="887e1eb4-d705-45f4-998c-aa955aed8a7f" targetNamespace="http://schemas.microsoft.com/office/2006/metadata/properties" ma:root="true" ma:fieldsID="7ea357d1f358b868c7854abeba98cd03" ns2:_="" ns3:_="">
    <xsd:import namespace="25a9b192-4ffd-45fe-9f9b-78d47ef7d08b"/>
    <xsd:import namespace="887e1eb4-d705-45f4-998c-aa955aed8a7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9b192-4ffd-45fe-9f9b-78d47ef7d08b" elementFormDefault="qualified">
    <xsd:import namespace="http://schemas.microsoft.com/office/2006/documentManagement/types"/>
    <xsd:import namespace="http://schemas.microsoft.com/office/infopath/2007/PartnerControls"/>
    <xsd:element name="SharedWithUsers" ma:index="8" nillable="true" ma:displayName="共享对象:"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享对象详细信息" ma:description="" ma:internalName="SharedWithDetails" ma:readOnly="true">
      <xsd:simpleType>
        <xsd:restriction base="dms:Note">
          <xsd:maxLength value="255"/>
        </xsd:restriction>
      </xsd:simpleType>
    </xsd:element>
    <xsd:element name="LastSharedByUser" ma:index="10" nillable="true" ma:displayName="上次共享用户" ma:description="" ma:internalName="LastSharedByUser" ma:readOnly="true">
      <xsd:simpleType>
        <xsd:restriction base="dms:Note">
          <xsd:maxLength value="255"/>
        </xsd:restriction>
      </xsd:simpleType>
    </xsd:element>
    <xsd:element name="LastSharedByTime" ma:index="11" nillable="true" ma:displayName="上次共享时间"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87e1eb4-d705-45f4-998c-aa955aed8a7f"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内容类型"/>
        <xsd:element ref="dc:title" minOccurs="0" maxOccurs="1" ma:index="4" ma:displayName="标题"/>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8AC80BEB-915D-43B1-9CAD-DCD3B95AF534}">
  <ds:schemaRefs/>
</ds:datastoreItem>
</file>

<file path=customXml/itemProps2.xml><?xml version="1.0" encoding="utf-8"?>
<ds:datastoreItem xmlns:ds="http://schemas.openxmlformats.org/officeDocument/2006/customXml" ds:itemID="{9601AB05-C92B-430F-8185-B6D95B62B89A}">
  <ds:schemaRefs/>
</ds:datastoreItem>
</file>

<file path=customXml/itemProps3.xml><?xml version="1.0" encoding="utf-8"?>
<ds:datastoreItem xmlns:ds="http://schemas.openxmlformats.org/officeDocument/2006/customXml" ds:itemID="{25789EEF-91FB-42B3-A3F2-5A53C39B2814}">
  <ds:schemaRefs>
    <ds:schemaRef ds:uri="http://www.w3.org/XML/1998/namespace"/>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2006/metadata/properties"/>
    <ds:schemaRef ds:uri="http://schemas.microsoft.com/office/infopath/2007/PartnerControls"/>
    <ds:schemaRef ds:uri="887e1eb4-d705-45f4-998c-aa955aed8a7f"/>
    <ds:schemaRef ds:uri="25a9b192-4ffd-45fe-9f9b-78d47ef7d08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Revision comments</vt:lpstr>
      <vt:lpstr>DL_Para_4GHz</vt:lpstr>
      <vt:lpstr>UL_Para_4GHz</vt:lpstr>
      <vt:lpstr>DL_OH_Para</vt:lpstr>
      <vt:lpstr>UL_OH_Para</vt:lpstr>
      <vt:lpstr>DL_OH</vt:lpstr>
      <vt:lpstr>UL_OH</vt:lpstr>
      <vt:lpstr>Results_4GHz</vt:lpstr>
      <vt:lpstr>Results_4GHz_LargerBW</vt:lpstr>
    </vt:vector>
  </TitlesOfParts>
  <Company>Ericsson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erafura</dc:creator>
  <cp:keywords>CTPClassification=CTP_IC:VisualMarkings=, CTPClassification=CTP_IC</cp:keywords>
  <cp:lastModifiedBy>- ITU -</cp:lastModifiedBy>
  <cp:lastPrinted>2011-08-15T04:23:00Z</cp:lastPrinted>
  <dcterms:created xsi:type="dcterms:W3CDTF">2009-04-02T17:18:00Z</dcterms:created>
  <dcterms:modified xsi:type="dcterms:W3CDTF">2018-10-10T06:31:36Z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level">
    <vt:lpwstr>5</vt:lpwstr>
  </property>
  <property fmtid="{D5CDD505-2E9C-101B-9397-08002B2CF9AE}" pid="3" name="slevelui">
    <vt:lpwstr>0</vt:lpwstr>
  </property>
  <property fmtid="{D5CDD505-2E9C-101B-9397-08002B2CF9AE}" pid="4" name="_NewReviewCycle">
    <vt:lpwstr/>
  </property>
  <property fmtid="{D5CDD505-2E9C-101B-9397-08002B2CF9AE}" pid="5" name="_ms_pID_725343">
    <vt:lpwstr>(3)ndg2hq9+vee9ZpH7NtmS+49bamYLNL7V3rHDIFvLz86GXp9LbdREafClwTNEMYP9z6o6SuU5_x000d_
riAauRvj5BB9BN2g+p0ZN+25KvgVK+sXmXpBkjC1K3xtKZ9dSdV4ubarm8JqGT3dAX33yrma_x000d_
00jB7Khe02XbVBs727JBFgoewPnCMADQuo86JbUuiKIrD96xvq4orXBS6TnzMH56sb+x9RdI_x000d_
s+XWGprl4Z/cH+R0+X</vt:lpwstr>
  </property>
  <property fmtid="{D5CDD505-2E9C-101B-9397-08002B2CF9AE}" pid="6" name="_ms_pID_7253432">
    <vt:lpwstr>5OJGb3f+mH1KzqZbnkYTVAeOjlSdIMeSlRi0_x000d_
T/acmNf7nIMFpuxj6DgIG5q3cKVhyUYcFSQiHVBrrxtrBHIJzns=</vt:lpwstr>
  </property>
  <property fmtid="{D5CDD505-2E9C-101B-9397-08002B2CF9AE}" pid="7" name="_ms_pID_7253431">
    <vt:lpwstr>JlkahCVCgBiAbbK2PRtN4TNI4Cf96TF9zAJtItSRPLOCiVFqgnXNQl_x000d_
0LnhEEKhALHOvwNRoXcsM2ckJ5D13XOkM8P1fLpGrFHRc0CQx1iCAp7/gi5Uz8nOixsjcCfI_x000d_
uoV6NsXdKtrq3EmqW2TT9jfetetwFR0R37eToZoHAhf5dSGLO3tteRe3/x8jUcBIZeKv29k5_x000d_
fPIkAJSS+OMNqGrmUpx/H+JDu4MZHHxAAMkB</vt:lpwstr>
  </property>
  <property fmtid="{D5CDD505-2E9C-101B-9397-08002B2CF9AE}" pid="8" name="_2015_ms_pID_725343">
    <vt:lpwstr>(3)H8uK0758olrcLFOItUZ5RcRa9+8AfFIAN+bRQyldK2EPUMXukIeqHOKcvZjrY/EhMddDvWLa
O053V2H2XUtCxXraaK/gk8r07IGfUdv4Hccg+yoS3SUPAtH0PEZINjpPSClgxI+FfuDxLp4+
inUjkxdUaoUR+xbTxasrK0dTPFa/sxb/hqlMK0gFKCT/pWugFs22YQHxlAgrtkhFjWFYHbqk
84w45vVmtQGp0ykNBG</vt:lpwstr>
  </property>
  <property fmtid="{D5CDD505-2E9C-101B-9397-08002B2CF9AE}" pid="9" name="_2015_ms_pID_7253431">
    <vt:lpwstr>R77lvcdWbVaj0UYAkNprvsYO/IWp8XeMFXbI/hVoHTtS68lvPGtwrN
IvffnCfTTofHbETe/WybaA6cI/h/PWcfi/37bAtg3nE6pdJVdZ6V4HWhibNVQcp2ratyGbVB
t4nOxLlCD3/KpEAWtj0HdJIJhu26tIj/z7xVbzV82xw95ilfDc/E2lpbx6Xif+ag+1nAcE3Q
GmEFvEOtM1Xzg6sSqQnSjRsQgahgOkBloj4u</vt:lpwstr>
  </property>
  <property fmtid="{D5CDD505-2E9C-101B-9397-08002B2CF9AE}" pid="10" name="_2015_ms_pID_7253432">
    <vt:lpwstr>yaytIPhgBExXQtMjqS04YFPw5VXFtaOUajUm
O5RHSkWl5w2IS1tcI+LBLOayoichw5y9N6jEGzIYfsZO9mehqHE=</vt:lpwstr>
  </property>
  <property fmtid="{D5CDD505-2E9C-101B-9397-08002B2CF9AE}" pid="11" name="ContentTypeId">
    <vt:lpwstr>0x010100AF9254F916046D47805269FA44C28805</vt:lpwstr>
  </property>
  <property fmtid="{D5CDD505-2E9C-101B-9397-08002B2CF9AE}" pid="12" name="TitusGUID">
    <vt:lpwstr>fbf37dd8-1465-489a-801f-3cf9f9496f01</vt:lpwstr>
  </property>
  <property fmtid="{D5CDD505-2E9C-101B-9397-08002B2CF9AE}" pid="13" name="CTP_BU">
    <vt:lpwstr>NEXT GEN AND STANDARDS GROUP</vt:lpwstr>
  </property>
  <property fmtid="{D5CDD505-2E9C-101B-9397-08002B2CF9AE}" pid="14" name="CTP_TimeStamp">
    <vt:lpwstr>2018-02-05 18:52:22Z</vt:lpwstr>
  </property>
  <property fmtid="{D5CDD505-2E9C-101B-9397-08002B2CF9AE}" pid="15" name="CTPClassification">
    <vt:lpwstr>CTP_IC</vt:lpwstr>
  </property>
  <property fmtid="{D5CDD505-2E9C-101B-9397-08002B2CF9AE}" pid="16" name="KSOProductBuildVer">
    <vt:lpwstr>2052-10.8.0.6206</vt:lpwstr>
  </property>
  <property fmtid="{D5CDD505-2E9C-101B-9397-08002B2CF9AE}" pid="17" name="_readonly">
    <vt:lpwstr/>
  </property>
  <property fmtid="{D5CDD505-2E9C-101B-9397-08002B2CF9AE}" pid="18" name="_change">
    <vt:lpwstr/>
  </property>
  <property fmtid="{D5CDD505-2E9C-101B-9397-08002B2CF9AE}" pid="19" name="_full-control">
    <vt:lpwstr/>
  </property>
  <property fmtid="{D5CDD505-2E9C-101B-9397-08002B2CF9AE}" pid="20" name="sflag">
    <vt:lpwstr>1536565599</vt:lpwstr>
  </property>
</Properties>
</file>