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M:\BRSGD\TEXT2018\SG05\WP5D\1000\"/>
    </mc:Choice>
  </mc:AlternateContent>
  <bookViews>
    <workbookView xWindow="0" yWindow="0" windowWidth="24000" windowHeight="14235" tabRatio="706" firstSheet="3" activeTab="7"/>
  </bookViews>
  <sheets>
    <sheet name="Revision comments" sheetId="59" r:id="rId1"/>
    <sheet name="DL_Para_4GHz" sheetId="98" r:id="rId2"/>
    <sheet name="UL_Para_4GHz" sheetId="101" r:id="rId3"/>
    <sheet name="DL_OH_Para" sheetId="104" r:id="rId4"/>
    <sheet name="UL_OH_Para" sheetId="100" r:id="rId5"/>
    <sheet name="DL_OH" sheetId="115" r:id="rId6"/>
    <sheet name="UL_OH" sheetId="114" r:id="rId7"/>
    <sheet name="Results_4GHz_12TRxP" sheetId="102" r:id="rId8"/>
    <sheet name="Results_4GHz_36TRxP" sheetId="111" r:id="rId9"/>
    <sheet name="Results_4GHz_LargerBW_12TRxP" sheetId="116" r:id="rId10"/>
    <sheet name="Results_4GHz_LargerBW_36TRxP" sheetId="117" r:id="rId11"/>
  </sheets>
  <definedNames>
    <definedName name="OLE_LINK27" localSheetId="4">UL_OH_Para!$F$4</definedName>
  </definedNames>
  <calcPr calcId="162913"/>
</workbook>
</file>

<file path=xl/calcChain.xml><?xml version="1.0" encoding="utf-8"?>
<calcChain xmlns="http://schemas.openxmlformats.org/spreadsheetml/2006/main">
  <c r="K52" i="102" l="1"/>
  <c r="K51" i="102"/>
  <c r="K42" i="102"/>
  <c r="K41" i="102"/>
  <c r="D33" i="114" l="1"/>
  <c r="F33" i="114" l="1"/>
  <c r="D10" i="114"/>
  <c r="F10" i="114"/>
  <c r="E33" i="114"/>
  <c r="P33" i="114" s="1"/>
  <c r="Q33" i="114" s="1"/>
  <c r="L33" i="114"/>
  <c r="G33" i="114"/>
  <c r="O33" i="114" s="1"/>
  <c r="M33" i="114" l="1"/>
  <c r="N33" i="114" s="1"/>
  <c r="R33" i="114" s="1"/>
  <c r="E10" i="114" l="1"/>
  <c r="M10" i="114" s="1"/>
  <c r="N10" i="114" s="1"/>
  <c r="L10" i="114"/>
  <c r="O10" i="114" s="1"/>
  <c r="P10" i="114" l="1"/>
  <c r="Q10" i="114" s="1"/>
  <c r="R10" i="114" s="1"/>
  <c r="AE51" i="116"/>
  <c r="AD51" i="116"/>
  <c r="AC51" i="116"/>
  <c r="R51" i="116"/>
  <c r="Q51" i="116"/>
  <c r="P51" i="116"/>
  <c r="AE49" i="116"/>
  <c r="AD49" i="116"/>
  <c r="AC49" i="116"/>
  <c r="R49" i="116"/>
  <c r="Q49" i="116"/>
  <c r="P49" i="116"/>
  <c r="AD26" i="102"/>
  <c r="AC26" i="102"/>
  <c r="AB26" i="102"/>
  <c r="O26" i="102"/>
  <c r="AD25" i="102"/>
  <c r="AC25" i="102"/>
  <c r="AB25" i="102"/>
  <c r="O25" i="102"/>
  <c r="P26" i="102" l="1"/>
  <c r="P25" i="102"/>
  <c r="Q26" i="102"/>
  <c r="Q25" i="102"/>
  <c r="AF16" i="117" l="1"/>
  <c r="AE16" i="117"/>
  <c r="AD16" i="117"/>
  <c r="AF14" i="117"/>
  <c r="AE14" i="117"/>
  <c r="AD14" i="117"/>
  <c r="AF34" i="117"/>
  <c r="AE34" i="117"/>
  <c r="AD34" i="117"/>
  <c r="AF32" i="117"/>
  <c r="AE32" i="117"/>
  <c r="AD32" i="117"/>
  <c r="S53" i="117"/>
  <c r="R53" i="117"/>
  <c r="Q53" i="117"/>
  <c r="S52" i="117"/>
  <c r="R52" i="117"/>
  <c r="Q52" i="117"/>
  <c r="S50" i="117"/>
  <c r="R50" i="117"/>
  <c r="Q50" i="117"/>
  <c r="S49" i="117"/>
  <c r="R49" i="117"/>
  <c r="Q49" i="117"/>
  <c r="S11" i="117"/>
  <c r="R11" i="117"/>
  <c r="Q11" i="117"/>
  <c r="S9" i="117"/>
  <c r="R9" i="117"/>
  <c r="Q9" i="117"/>
  <c r="AE76" i="116"/>
  <c r="AD76" i="116"/>
  <c r="AC76" i="116"/>
  <c r="AE74" i="116"/>
  <c r="AD74" i="116"/>
  <c r="AC74" i="116"/>
  <c r="AE71" i="116"/>
  <c r="AD71" i="116"/>
  <c r="AC71" i="116"/>
  <c r="AE70" i="116"/>
  <c r="AD70" i="116"/>
  <c r="AC70" i="116"/>
  <c r="AE68" i="116"/>
  <c r="AD68" i="116"/>
  <c r="AC68" i="116"/>
  <c r="AE67" i="116"/>
  <c r="AD67" i="116"/>
  <c r="AC67" i="116"/>
  <c r="AE46" i="116"/>
  <c r="AD46" i="116"/>
  <c r="AC46" i="116"/>
  <c r="AE44" i="116"/>
  <c r="AD44" i="116"/>
  <c r="AC44" i="116"/>
  <c r="AD23" i="102"/>
  <c r="AC23" i="102"/>
  <c r="AB23" i="102"/>
  <c r="AD22" i="102"/>
  <c r="AC22" i="102"/>
  <c r="AB22" i="102"/>
  <c r="AE29" i="116"/>
  <c r="AD29" i="116"/>
  <c r="AC29" i="116"/>
  <c r="AE28" i="116"/>
  <c r="AD28" i="116"/>
  <c r="AC28" i="116"/>
  <c r="AE26" i="116"/>
  <c r="AD26" i="116"/>
  <c r="AC26" i="116"/>
  <c r="AE25" i="116"/>
  <c r="AD25" i="116"/>
  <c r="AC25" i="116"/>
  <c r="AE15" i="116"/>
  <c r="AD15" i="116"/>
  <c r="AC15" i="116"/>
  <c r="AE14" i="116"/>
  <c r="AD14" i="116"/>
  <c r="AC14" i="116"/>
  <c r="AE12" i="116"/>
  <c r="AD12" i="116"/>
  <c r="AC12" i="116"/>
  <c r="AE11" i="116"/>
  <c r="AD11" i="116"/>
  <c r="AC11" i="116"/>
  <c r="R22" i="116"/>
  <c r="Q22" i="116"/>
  <c r="P22" i="116"/>
  <c r="R21" i="116"/>
  <c r="Q21" i="116"/>
  <c r="P21" i="116"/>
  <c r="R19" i="116"/>
  <c r="Q19" i="116"/>
  <c r="P19" i="116"/>
  <c r="R18" i="116"/>
  <c r="Q18" i="116"/>
  <c r="P18" i="116"/>
  <c r="AF74" i="117" l="1"/>
  <c r="AE74" i="117"/>
  <c r="AD74" i="117"/>
  <c r="S74" i="117"/>
  <c r="R74" i="117"/>
  <c r="Q74" i="117"/>
  <c r="AF73" i="117"/>
  <c r="AE73" i="117"/>
  <c r="AD73" i="117"/>
  <c r="S73" i="117"/>
  <c r="R73" i="117"/>
  <c r="Q73" i="117"/>
  <c r="AF71" i="117"/>
  <c r="AE71" i="117"/>
  <c r="AD71" i="117"/>
  <c r="S71" i="117"/>
  <c r="R71" i="117"/>
  <c r="Q71" i="117"/>
  <c r="AF70" i="117"/>
  <c r="AE70" i="117"/>
  <c r="AD70" i="117"/>
  <c r="S70" i="117"/>
  <c r="R70" i="117"/>
  <c r="Q70" i="117"/>
  <c r="AF68" i="117"/>
  <c r="AE68" i="117"/>
  <c r="AD68" i="117"/>
  <c r="AF67" i="117"/>
  <c r="AE67" i="117"/>
  <c r="AD67" i="117"/>
  <c r="AF64" i="117"/>
  <c r="AE64" i="117"/>
  <c r="AD64" i="117"/>
  <c r="S64" i="117"/>
  <c r="R64" i="117"/>
  <c r="Q64" i="117"/>
  <c r="AF63" i="117"/>
  <c r="AE63" i="117"/>
  <c r="AD63" i="117"/>
  <c r="S63" i="117"/>
  <c r="R63" i="117"/>
  <c r="Q63" i="117"/>
  <c r="AF61" i="117"/>
  <c r="AE61" i="117"/>
  <c r="AD61" i="117"/>
  <c r="AF60" i="117"/>
  <c r="AE60" i="117"/>
  <c r="AD60" i="117"/>
  <c r="AF58" i="117"/>
  <c r="AE58" i="117"/>
  <c r="AD58" i="117"/>
  <c r="AF57" i="117"/>
  <c r="AE57" i="117"/>
  <c r="AD57" i="117"/>
  <c r="S51" i="117"/>
  <c r="R51" i="117"/>
  <c r="Q51" i="117"/>
  <c r="S48" i="117"/>
  <c r="R48" i="117"/>
  <c r="Q48" i="117"/>
  <c r="AF44" i="117"/>
  <c r="AE44" i="117"/>
  <c r="AD44" i="117"/>
  <c r="S44" i="117"/>
  <c r="R44" i="117"/>
  <c r="Q44" i="117"/>
  <c r="AF41" i="117"/>
  <c r="AE41" i="117"/>
  <c r="AD41" i="117"/>
  <c r="S41" i="117"/>
  <c r="R41" i="117"/>
  <c r="Q41" i="117"/>
  <c r="AF33" i="117"/>
  <c r="AE33" i="117"/>
  <c r="AD33" i="117"/>
  <c r="AF31" i="117"/>
  <c r="AE31" i="117"/>
  <c r="AD31" i="117"/>
  <c r="AF15" i="117"/>
  <c r="AE15" i="117"/>
  <c r="AD15" i="117"/>
  <c r="S15" i="117"/>
  <c r="R15" i="117"/>
  <c r="Q15" i="117"/>
  <c r="AF13" i="117"/>
  <c r="AE13" i="117"/>
  <c r="AD13" i="117"/>
  <c r="S13" i="117"/>
  <c r="R13" i="117"/>
  <c r="Q13" i="117"/>
  <c r="AF10" i="117"/>
  <c r="AE10" i="117"/>
  <c r="AD10" i="117"/>
  <c r="S10" i="117"/>
  <c r="R10" i="117"/>
  <c r="Q10" i="117"/>
  <c r="AF8" i="117"/>
  <c r="AE8" i="117"/>
  <c r="AD8" i="117"/>
  <c r="S8" i="117"/>
  <c r="R8" i="117"/>
  <c r="Q8" i="117"/>
  <c r="AF5" i="117"/>
  <c r="AE5" i="117"/>
  <c r="AD5" i="117"/>
  <c r="AF3" i="117"/>
  <c r="AE3" i="117"/>
  <c r="AD3" i="117"/>
  <c r="Y1" i="117"/>
  <c r="W1" i="117"/>
  <c r="AE114" i="116"/>
  <c r="AD114" i="116"/>
  <c r="AC114" i="116"/>
  <c r="R114" i="116"/>
  <c r="Q114" i="116"/>
  <c r="P114" i="116"/>
  <c r="AE113" i="116"/>
  <c r="AD113" i="116"/>
  <c r="AC113" i="116"/>
  <c r="R113" i="116"/>
  <c r="Q113" i="116"/>
  <c r="P113" i="116"/>
  <c r="AE111" i="116"/>
  <c r="AD111" i="116"/>
  <c r="AC111" i="116"/>
  <c r="R111" i="116"/>
  <c r="Q111" i="116"/>
  <c r="P111" i="116"/>
  <c r="AE110" i="116"/>
  <c r="AD110" i="116"/>
  <c r="AC110" i="116"/>
  <c r="R110" i="116"/>
  <c r="Q110" i="116"/>
  <c r="P110" i="116"/>
  <c r="AE108" i="116"/>
  <c r="AD108" i="116"/>
  <c r="AC108" i="116"/>
  <c r="R108" i="116"/>
  <c r="Q108" i="116"/>
  <c r="P108" i="116"/>
  <c r="AE107" i="116"/>
  <c r="AD107" i="116"/>
  <c r="AC107" i="116"/>
  <c r="R107" i="116"/>
  <c r="Q107" i="116"/>
  <c r="P107" i="116"/>
  <c r="AE105" i="116"/>
  <c r="AD105" i="116"/>
  <c r="AC105" i="116"/>
  <c r="R105" i="116"/>
  <c r="Q105" i="116"/>
  <c r="P105" i="116"/>
  <c r="AE104" i="116"/>
  <c r="AD104" i="116"/>
  <c r="AC104" i="116"/>
  <c r="R104" i="116"/>
  <c r="Q104" i="116"/>
  <c r="P104" i="116"/>
  <c r="AE102" i="116"/>
  <c r="AD102" i="116"/>
  <c r="AC102" i="116"/>
  <c r="AE101" i="116"/>
  <c r="AD101" i="116"/>
  <c r="AC101" i="116"/>
  <c r="AE83" i="116"/>
  <c r="AD83" i="116"/>
  <c r="AC83" i="116"/>
  <c r="AE82" i="116"/>
  <c r="AD82" i="116"/>
  <c r="AC82" i="116"/>
  <c r="AE75" i="116"/>
  <c r="AD75" i="116"/>
  <c r="AC75" i="116"/>
  <c r="AE73" i="116"/>
  <c r="AD73" i="116"/>
  <c r="AC73" i="116"/>
  <c r="AE69" i="116"/>
  <c r="AD69" i="116"/>
  <c r="AC69" i="116"/>
  <c r="AE66" i="116"/>
  <c r="AD66" i="116"/>
  <c r="AC66" i="116"/>
  <c r="AE27" i="116"/>
  <c r="AD27" i="116"/>
  <c r="AC27" i="116"/>
  <c r="R27" i="116"/>
  <c r="Q27" i="116"/>
  <c r="P27" i="116"/>
  <c r="AE24" i="116"/>
  <c r="AD24" i="116"/>
  <c r="AC24" i="116"/>
  <c r="R24" i="116"/>
  <c r="Q24" i="116"/>
  <c r="P24" i="116"/>
  <c r="AE20" i="116"/>
  <c r="AD20" i="116"/>
  <c r="AC20" i="116"/>
  <c r="R20" i="116"/>
  <c r="Q20" i="116"/>
  <c r="P20" i="116"/>
  <c r="AE17" i="116"/>
  <c r="AD17" i="116"/>
  <c r="AC17" i="116"/>
  <c r="R17" i="116"/>
  <c r="Q17" i="116"/>
  <c r="P17" i="116"/>
  <c r="AE13" i="116"/>
  <c r="AD13" i="116"/>
  <c r="AC13" i="116"/>
  <c r="R13" i="116"/>
  <c r="Q13" i="116"/>
  <c r="P13" i="116"/>
  <c r="AE10" i="116"/>
  <c r="AD10" i="116"/>
  <c r="AC10" i="116"/>
  <c r="R10" i="116"/>
  <c r="Q10" i="116"/>
  <c r="P10" i="116"/>
  <c r="AE6" i="116"/>
  <c r="AD6" i="116"/>
  <c r="AC6" i="116"/>
  <c r="AE3" i="116"/>
  <c r="AD3" i="116"/>
  <c r="AC3" i="116"/>
  <c r="Y1" i="116"/>
  <c r="X1" i="116"/>
  <c r="V1" i="116"/>
  <c r="AE45" i="116" l="1"/>
  <c r="AD45" i="116"/>
  <c r="AC45" i="116"/>
  <c r="AC47" i="116"/>
  <c r="AD47" i="116"/>
  <c r="AE47" i="116"/>
  <c r="D5" i="115" l="1"/>
  <c r="P44" i="115" l="1"/>
  <c r="M44" i="115"/>
  <c r="K44" i="115"/>
  <c r="J44" i="115"/>
  <c r="I44" i="115"/>
  <c r="H44" i="115"/>
  <c r="G44" i="115"/>
  <c r="F44" i="115"/>
  <c r="E44" i="115"/>
  <c r="P43" i="115"/>
  <c r="N43" i="115"/>
  <c r="M43" i="115"/>
  <c r="K43" i="115"/>
  <c r="P42" i="115"/>
  <c r="N42" i="115"/>
  <c r="M42" i="115"/>
  <c r="K42" i="115"/>
  <c r="Q42" i="115" s="1"/>
  <c r="P41" i="115"/>
  <c r="M41" i="115"/>
  <c r="K41" i="115"/>
  <c r="J41" i="115"/>
  <c r="I41" i="115"/>
  <c r="H41" i="115"/>
  <c r="G41" i="115"/>
  <c r="F41" i="115"/>
  <c r="E41" i="115"/>
  <c r="P40" i="115"/>
  <c r="M40" i="115"/>
  <c r="K40" i="115"/>
  <c r="J40" i="115"/>
  <c r="I40" i="115"/>
  <c r="H40" i="115"/>
  <c r="G40" i="115"/>
  <c r="F40" i="115"/>
  <c r="P39" i="115"/>
  <c r="M39" i="115"/>
  <c r="K39" i="115"/>
  <c r="J39" i="115"/>
  <c r="I39" i="115"/>
  <c r="H39" i="115"/>
  <c r="G39" i="115"/>
  <c r="F39" i="115"/>
  <c r="P38" i="115"/>
  <c r="K38" i="115"/>
  <c r="J38" i="115"/>
  <c r="I38" i="115"/>
  <c r="H38" i="115"/>
  <c r="G38" i="115"/>
  <c r="F38" i="115"/>
  <c r="E38" i="115"/>
  <c r="P37" i="115"/>
  <c r="K37" i="115"/>
  <c r="J37" i="115"/>
  <c r="I37" i="115"/>
  <c r="H37" i="115"/>
  <c r="G37" i="115"/>
  <c r="F37" i="115"/>
  <c r="E37" i="115"/>
  <c r="P36" i="115"/>
  <c r="M36" i="115"/>
  <c r="K36" i="115"/>
  <c r="J36" i="115"/>
  <c r="I36" i="115"/>
  <c r="H36" i="115"/>
  <c r="G36" i="115"/>
  <c r="F36" i="115"/>
  <c r="E36" i="115"/>
  <c r="P27" i="115"/>
  <c r="T27" i="115" s="1"/>
  <c r="M27" i="115"/>
  <c r="K27" i="115"/>
  <c r="J27" i="115"/>
  <c r="I27" i="115"/>
  <c r="H27" i="115"/>
  <c r="G27" i="115"/>
  <c r="F27" i="115"/>
  <c r="E27" i="115"/>
  <c r="P26" i="115"/>
  <c r="T26" i="115" s="1"/>
  <c r="M26" i="115"/>
  <c r="K26" i="115"/>
  <c r="J26" i="115"/>
  <c r="I26" i="115"/>
  <c r="H26" i="115"/>
  <c r="G26" i="115"/>
  <c r="F26" i="115"/>
  <c r="P25" i="115"/>
  <c r="T25" i="115" s="1"/>
  <c r="M25" i="115"/>
  <c r="K25" i="115"/>
  <c r="J25" i="115"/>
  <c r="I25" i="115"/>
  <c r="H25" i="115"/>
  <c r="G25" i="115"/>
  <c r="F25" i="115"/>
  <c r="P24" i="115"/>
  <c r="T24" i="115" s="1"/>
  <c r="M24" i="115"/>
  <c r="K24" i="115"/>
  <c r="J24" i="115"/>
  <c r="I24" i="115"/>
  <c r="H24" i="115"/>
  <c r="G24" i="115"/>
  <c r="F24" i="115"/>
  <c r="E24" i="115"/>
  <c r="P23" i="115"/>
  <c r="T23" i="115" s="1"/>
  <c r="M23" i="115"/>
  <c r="K23" i="115"/>
  <c r="J23" i="115"/>
  <c r="I23" i="115"/>
  <c r="H23" i="115"/>
  <c r="G23" i="115"/>
  <c r="F23" i="115"/>
  <c r="E23" i="115"/>
  <c r="P22" i="115"/>
  <c r="T22" i="115" s="1"/>
  <c r="M22" i="115"/>
  <c r="K22" i="115"/>
  <c r="J22" i="115"/>
  <c r="I22" i="115"/>
  <c r="H22" i="115"/>
  <c r="G22" i="115"/>
  <c r="F22" i="115"/>
  <c r="E22" i="115"/>
  <c r="P21" i="115"/>
  <c r="T21" i="115" s="1"/>
  <c r="M21" i="115"/>
  <c r="K21" i="115"/>
  <c r="J21" i="115"/>
  <c r="I21" i="115"/>
  <c r="H21" i="115"/>
  <c r="G21" i="115"/>
  <c r="F21" i="115"/>
  <c r="E21" i="115"/>
  <c r="I12" i="115"/>
  <c r="H12" i="115"/>
  <c r="J11" i="115"/>
  <c r="I11" i="115"/>
  <c r="I10" i="115"/>
  <c r="M9" i="115"/>
  <c r="P9" i="115" s="1"/>
  <c r="I9" i="115"/>
  <c r="J8" i="115"/>
  <c r="I8" i="115"/>
  <c r="L32" i="114"/>
  <c r="G32" i="114"/>
  <c r="F32" i="114"/>
  <c r="E32" i="114"/>
  <c r="D32" i="114"/>
  <c r="L31" i="114"/>
  <c r="G31" i="114"/>
  <c r="F31" i="114"/>
  <c r="E31" i="114"/>
  <c r="D31" i="114"/>
  <c r="O30" i="114"/>
  <c r="L30" i="114"/>
  <c r="G30" i="114"/>
  <c r="F30" i="114"/>
  <c r="E30" i="114"/>
  <c r="D30" i="114"/>
  <c r="L29" i="114"/>
  <c r="G29" i="114"/>
  <c r="F29" i="114"/>
  <c r="E29" i="114"/>
  <c r="D29" i="114"/>
  <c r="L21" i="114"/>
  <c r="G21" i="114"/>
  <c r="F21" i="114"/>
  <c r="E21" i="114"/>
  <c r="D21" i="114"/>
  <c r="O20" i="114"/>
  <c r="G20" i="114"/>
  <c r="F20" i="114"/>
  <c r="E20" i="114"/>
  <c r="D20" i="114"/>
  <c r="L9" i="114"/>
  <c r="O9" i="114" s="1"/>
  <c r="F9" i="114"/>
  <c r="E9" i="114"/>
  <c r="D9" i="114"/>
  <c r="L8" i="114"/>
  <c r="F8" i="114"/>
  <c r="E8" i="114"/>
  <c r="D8" i="114"/>
  <c r="O43" i="115" l="1"/>
  <c r="M29" i="114"/>
  <c r="N29" i="114" s="1"/>
  <c r="O31" i="114"/>
  <c r="P32" i="114"/>
  <c r="M21" i="114"/>
  <c r="N21" i="114" s="1"/>
  <c r="O29" i="114"/>
  <c r="M8" i="114"/>
  <c r="N8" i="114" s="1"/>
  <c r="R8" i="114" s="1"/>
  <c r="P9" i="114"/>
  <c r="Q9" i="114" s="1"/>
  <c r="O21" i="114"/>
  <c r="O42" i="115"/>
  <c r="U23" i="115"/>
  <c r="V23" i="115" s="1"/>
  <c r="Q26" i="115"/>
  <c r="R26" i="115" s="1"/>
  <c r="Q41" i="115"/>
  <c r="R42" i="115"/>
  <c r="S42" i="115" s="1"/>
  <c r="N23" i="115"/>
  <c r="O23" i="115" s="1"/>
  <c r="U36" i="115"/>
  <c r="Y36" i="115"/>
  <c r="Y39" i="115"/>
  <c r="U39" i="115"/>
  <c r="N40" i="115"/>
  <c r="O40" i="115" s="1"/>
  <c r="Y40" i="115"/>
  <c r="U40" i="115"/>
  <c r="Q43" i="115"/>
  <c r="R43" i="115" s="1"/>
  <c r="S43" i="115" s="1"/>
  <c r="U43" i="115"/>
  <c r="Y43" i="115"/>
  <c r="M30" i="114"/>
  <c r="N30" i="114" s="1"/>
  <c r="U21" i="115"/>
  <c r="V21" i="115" s="1"/>
  <c r="U24" i="115"/>
  <c r="V24" i="115" s="1"/>
  <c r="U25" i="115"/>
  <c r="V25" i="115" s="1"/>
  <c r="U26" i="115"/>
  <c r="V26" i="115" s="1"/>
  <c r="X36" i="115"/>
  <c r="T36" i="115"/>
  <c r="U37" i="115"/>
  <c r="Y37" i="115"/>
  <c r="X37" i="115"/>
  <c r="T37" i="115"/>
  <c r="U38" i="115"/>
  <c r="Y38" i="115"/>
  <c r="X38" i="115"/>
  <c r="T38" i="115"/>
  <c r="T39" i="115"/>
  <c r="X39" i="115"/>
  <c r="X40" i="115"/>
  <c r="T40" i="115"/>
  <c r="U41" i="115"/>
  <c r="Y41" i="115"/>
  <c r="T44" i="115"/>
  <c r="X44" i="115"/>
  <c r="Y42" i="115"/>
  <c r="U42" i="115"/>
  <c r="P30" i="114"/>
  <c r="Q30" i="114" s="1"/>
  <c r="M32" i="114"/>
  <c r="N32" i="114" s="1"/>
  <c r="T9" i="115"/>
  <c r="X9" i="115"/>
  <c r="X43" i="115"/>
  <c r="T43" i="115"/>
  <c r="Y44" i="115"/>
  <c r="U44" i="115"/>
  <c r="P20" i="114"/>
  <c r="Q20" i="114" s="1"/>
  <c r="R20" i="114" s="1"/>
  <c r="P21" i="114"/>
  <c r="M31" i="114"/>
  <c r="N31" i="114" s="1"/>
  <c r="O32" i="114"/>
  <c r="U22" i="115"/>
  <c r="V22" i="115" s="1"/>
  <c r="Q27" i="115"/>
  <c r="R27" i="115" s="1"/>
  <c r="U27" i="115"/>
  <c r="V27" i="115" s="1"/>
  <c r="Q40" i="115"/>
  <c r="R40" i="115" s="1"/>
  <c r="X41" i="115"/>
  <c r="T41" i="115"/>
  <c r="T42" i="115"/>
  <c r="X42" i="115"/>
  <c r="Q36" i="115"/>
  <c r="R36" i="115" s="1"/>
  <c r="N39" i="115"/>
  <c r="O39" i="115" s="1"/>
  <c r="Q44" i="115"/>
  <c r="R44" i="115" s="1"/>
  <c r="Q38" i="115"/>
  <c r="R38" i="115" s="1"/>
  <c r="S38" i="115" s="1"/>
  <c r="Q22" i="115"/>
  <c r="R22" i="115" s="1"/>
  <c r="N24" i="115"/>
  <c r="Q21" i="115"/>
  <c r="R21" i="115" s="1"/>
  <c r="Q23" i="115"/>
  <c r="R23" i="115" s="1"/>
  <c r="Q24" i="115"/>
  <c r="R24" i="115" s="1"/>
  <c r="S24" i="115" s="1"/>
  <c r="Q25" i="115"/>
  <c r="R25" i="115" s="1"/>
  <c r="N25" i="115"/>
  <c r="O25" i="115" s="1"/>
  <c r="N27" i="115"/>
  <c r="O27" i="115" s="1"/>
  <c r="N36" i="115"/>
  <c r="O36" i="115" s="1"/>
  <c r="M12" i="115"/>
  <c r="P12" i="115" s="1"/>
  <c r="G12" i="115"/>
  <c r="H11" i="115"/>
  <c r="E9" i="115"/>
  <c r="F8" i="115"/>
  <c r="J12" i="115"/>
  <c r="E12" i="115"/>
  <c r="G11" i="115"/>
  <c r="M10" i="115"/>
  <c r="P10" i="115" s="1"/>
  <c r="G10" i="115"/>
  <c r="H8" i="115"/>
  <c r="M11" i="115"/>
  <c r="P11" i="115" s="1"/>
  <c r="J10" i="115"/>
  <c r="F10" i="115"/>
  <c r="H9" i="115"/>
  <c r="G8" i="115"/>
  <c r="F12" i="115"/>
  <c r="H10" i="115"/>
  <c r="J9" i="115"/>
  <c r="F9" i="115"/>
  <c r="F11" i="115"/>
  <c r="M8" i="115"/>
  <c r="P8" i="115" s="1"/>
  <c r="E8" i="115"/>
  <c r="G9" i="115"/>
  <c r="E11" i="115"/>
  <c r="R41" i="115"/>
  <c r="N26" i="115"/>
  <c r="O26" i="115" s="1"/>
  <c r="N44" i="115"/>
  <c r="O44" i="115" s="1"/>
  <c r="N21" i="115"/>
  <c r="O21" i="115" s="1"/>
  <c r="S21" i="115" s="1"/>
  <c r="N22" i="115"/>
  <c r="O22" i="115" s="1"/>
  <c r="N41" i="115"/>
  <c r="O41" i="115" s="1"/>
  <c r="Q37" i="115"/>
  <c r="R37" i="115" s="1"/>
  <c r="S37" i="115" s="1"/>
  <c r="Q39" i="115"/>
  <c r="R39" i="115" s="1"/>
  <c r="P29" i="114"/>
  <c r="Q29" i="114" s="1"/>
  <c r="R29" i="114" s="1"/>
  <c r="M9" i="114"/>
  <c r="N9" i="114" s="1"/>
  <c r="P31" i="114"/>
  <c r="Q31" i="114" s="1"/>
  <c r="S26" i="115" l="1"/>
  <c r="Q32" i="114"/>
  <c r="W26" i="115"/>
  <c r="Z44" i="115"/>
  <c r="AA44" i="115" s="1"/>
  <c r="R9" i="114"/>
  <c r="Q21" i="114"/>
  <c r="R21" i="114" s="1"/>
  <c r="V98" i="116" s="1"/>
  <c r="R30" i="114"/>
  <c r="R32" i="114"/>
  <c r="Z89" i="116" s="1"/>
  <c r="R31" i="114"/>
  <c r="V90" i="116" s="1"/>
  <c r="U12" i="115"/>
  <c r="S25" i="115"/>
  <c r="J41" i="116" s="1"/>
  <c r="V38" i="115"/>
  <c r="W38" i="115" s="1"/>
  <c r="W58" i="116" s="1"/>
  <c r="W22" i="115"/>
  <c r="K52" i="116" s="1"/>
  <c r="V44" i="115"/>
  <c r="Z42" i="115"/>
  <c r="AA42" i="115" s="1"/>
  <c r="Z38" i="115"/>
  <c r="AA38" i="115" s="1"/>
  <c r="Z37" i="115"/>
  <c r="AA37" i="115" s="1"/>
  <c r="Z43" i="115"/>
  <c r="AA43" i="115" s="1"/>
  <c r="Z40" i="115"/>
  <c r="AA40" i="115" s="1"/>
  <c r="Z36" i="115"/>
  <c r="AA36" i="115" s="1"/>
  <c r="W23" i="115"/>
  <c r="K64" i="116" s="1"/>
  <c r="V37" i="115"/>
  <c r="W37" i="115" s="1"/>
  <c r="X42" i="117" s="1"/>
  <c r="V43" i="115"/>
  <c r="W43" i="115" s="1"/>
  <c r="N12" i="115"/>
  <c r="Q12" i="115" s="1"/>
  <c r="R12" i="115" s="1"/>
  <c r="N117" i="116"/>
  <c r="Z116" i="116"/>
  <c r="Z117" i="116"/>
  <c r="N116" i="116"/>
  <c r="Y79" i="102"/>
  <c r="M79" i="102"/>
  <c r="M78" i="102"/>
  <c r="Y78" i="102"/>
  <c r="X12" i="115"/>
  <c r="T12" i="115"/>
  <c r="W44" i="115"/>
  <c r="V41" i="115"/>
  <c r="W41" i="115" s="1"/>
  <c r="K42" i="117"/>
  <c r="U9" i="115"/>
  <c r="V9" i="115" s="1"/>
  <c r="Y9" i="115"/>
  <c r="Z9" i="115" s="1"/>
  <c r="U8" i="115"/>
  <c r="Y8" i="115"/>
  <c r="Z51" i="117"/>
  <c r="Z48" i="117"/>
  <c r="W24" i="115"/>
  <c r="Y12" i="115"/>
  <c r="V36" i="115"/>
  <c r="W36" i="115" s="1"/>
  <c r="W28" i="117"/>
  <c r="J28" i="117"/>
  <c r="W26" i="117"/>
  <c r="J26" i="117"/>
  <c r="N10" i="115"/>
  <c r="Q10" i="115" s="1"/>
  <c r="R10" i="115" s="1"/>
  <c r="X11" i="115"/>
  <c r="T11" i="115"/>
  <c r="U11" i="115"/>
  <c r="Y11" i="115"/>
  <c r="S27" i="115"/>
  <c r="K23" i="111" s="1"/>
  <c r="S23" i="115"/>
  <c r="S22" i="115"/>
  <c r="S40" i="115"/>
  <c r="J99" i="116"/>
  <c r="J93" i="116"/>
  <c r="V93" i="116"/>
  <c r="J92" i="116"/>
  <c r="U61" i="102"/>
  <c r="I55" i="102"/>
  <c r="U60" i="102"/>
  <c r="I54" i="102"/>
  <c r="V42" i="115"/>
  <c r="W42" i="115" s="1"/>
  <c r="W21" i="115"/>
  <c r="V39" i="115"/>
  <c r="W39" i="115" s="1"/>
  <c r="J96" i="116"/>
  <c r="I51" i="102"/>
  <c r="U58" i="102"/>
  <c r="Z90" i="116"/>
  <c r="V41" i="116"/>
  <c r="J39" i="116"/>
  <c r="W25" i="115"/>
  <c r="W52" i="116"/>
  <c r="W50" i="116"/>
  <c r="X39" i="117"/>
  <c r="K37" i="117"/>
  <c r="V85" i="116"/>
  <c r="J80" i="116"/>
  <c r="J79" i="116"/>
  <c r="J86" i="116"/>
  <c r="V80" i="116"/>
  <c r="V79" i="116"/>
  <c r="V86" i="116"/>
  <c r="J85" i="116"/>
  <c r="U48" i="102"/>
  <c r="I48" i="102"/>
  <c r="U42" i="102"/>
  <c r="U41" i="102"/>
  <c r="U47" i="102"/>
  <c r="I47" i="102"/>
  <c r="I42" i="102"/>
  <c r="I41" i="102"/>
  <c r="AA32" i="116"/>
  <c r="AA35" i="116"/>
  <c r="T8" i="115"/>
  <c r="V8" i="115" s="1"/>
  <c r="X8" i="115"/>
  <c r="Y10" i="115"/>
  <c r="U10" i="115"/>
  <c r="T10" i="115"/>
  <c r="X10" i="115"/>
  <c r="W27" i="115"/>
  <c r="Z41" i="115"/>
  <c r="AA41" i="115" s="1"/>
  <c r="V40" i="115"/>
  <c r="W40" i="115" s="1"/>
  <c r="Z39" i="115"/>
  <c r="AA39" i="115" s="1"/>
  <c r="S44" i="115"/>
  <c r="S36" i="115"/>
  <c r="Y28" i="111"/>
  <c r="Y29" i="111"/>
  <c r="S39" i="115"/>
  <c r="Z16" i="102"/>
  <c r="Z17" i="102"/>
  <c r="Y32" i="102"/>
  <c r="N31" i="102"/>
  <c r="V17" i="111"/>
  <c r="I17" i="111"/>
  <c r="I16" i="111"/>
  <c r="V16" i="111"/>
  <c r="I20" i="102"/>
  <c r="I19" i="102"/>
  <c r="U20" i="102"/>
  <c r="N11" i="115"/>
  <c r="Q11" i="115" s="1"/>
  <c r="R11" i="115" s="1"/>
  <c r="N8" i="115"/>
  <c r="O8" i="115" s="1"/>
  <c r="N9" i="115"/>
  <c r="Q9" i="115" s="1"/>
  <c r="R9" i="115" s="1"/>
  <c r="S41" i="115"/>
  <c r="O10" i="115"/>
  <c r="Y51" i="102" l="1"/>
  <c r="Y52" i="102"/>
  <c r="X45" i="117"/>
  <c r="K45" i="117"/>
  <c r="Q45" i="117" s="1"/>
  <c r="AA31" i="102"/>
  <c r="X23" i="111"/>
  <c r="W62" i="116"/>
  <c r="O12" i="115"/>
  <c r="S12" i="115" s="1"/>
  <c r="AA32" i="102"/>
  <c r="V11" i="115"/>
  <c r="W11" i="115" s="1"/>
  <c r="K55" i="116"/>
  <c r="U19" i="102"/>
  <c r="X37" i="117"/>
  <c r="K50" i="116"/>
  <c r="Q50" i="116" s="1"/>
  <c r="K62" i="116"/>
  <c r="K58" i="116"/>
  <c r="V39" i="116"/>
  <c r="AC39" i="116" s="1"/>
  <c r="I58" i="102"/>
  <c r="U54" i="102"/>
  <c r="I60" i="102"/>
  <c r="J98" i="116"/>
  <c r="R98" i="116" s="1"/>
  <c r="V92" i="116"/>
  <c r="AC92" i="116" s="1"/>
  <c r="W64" i="116"/>
  <c r="W55" i="116"/>
  <c r="K39" i="117"/>
  <c r="I52" i="102"/>
  <c r="U55" i="102"/>
  <c r="I61" i="102"/>
  <c r="V99" i="116"/>
  <c r="AC99" i="116" s="1"/>
  <c r="U57" i="102"/>
  <c r="I57" i="102"/>
  <c r="V89" i="116"/>
  <c r="AD89" i="116" s="1"/>
  <c r="U51" i="102"/>
  <c r="U52" i="102"/>
  <c r="J90" i="116"/>
  <c r="J95" i="116"/>
  <c r="P95" i="116" s="1"/>
  <c r="J89" i="116"/>
  <c r="R89" i="116" s="1"/>
  <c r="V95" i="116"/>
  <c r="AE95" i="116" s="1"/>
  <c r="V96" i="116"/>
  <c r="AD96" i="116" s="1"/>
  <c r="O9" i="115"/>
  <c r="V12" i="115"/>
  <c r="W12" i="115" s="1"/>
  <c r="O11" i="115"/>
  <c r="S11" i="115" s="1"/>
  <c r="Z10" i="115"/>
  <c r="AA10" i="115" s="1"/>
  <c r="V10" i="115"/>
  <c r="W10" i="115" s="1"/>
  <c r="V35" i="116"/>
  <c r="V32" i="116"/>
  <c r="J32" i="116"/>
  <c r="J35" i="116"/>
  <c r="R50" i="116"/>
  <c r="AC96" i="116"/>
  <c r="AC90" i="116"/>
  <c r="AE90" i="116"/>
  <c r="AD90" i="116"/>
  <c r="P92" i="116"/>
  <c r="Q92" i="116"/>
  <c r="R92" i="116"/>
  <c r="S26" i="117"/>
  <c r="J27" i="117"/>
  <c r="Q26" i="117"/>
  <c r="R26" i="117"/>
  <c r="AE116" i="116"/>
  <c r="AC116" i="116"/>
  <c r="AD116" i="116"/>
  <c r="Z35" i="116"/>
  <c r="Z32" i="116"/>
  <c r="P39" i="116"/>
  <c r="J40" i="116"/>
  <c r="Q39" i="116"/>
  <c r="R39" i="116"/>
  <c r="P96" i="116"/>
  <c r="R96" i="116"/>
  <c r="Q96" i="116"/>
  <c r="AC93" i="116"/>
  <c r="AE93" i="116"/>
  <c r="AD93" i="116"/>
  <c r="P99" i="116"/>
  <c r="Q99" i="116"/>
  <c r="R99" i="116"/>
  <c r="W22" i="117"/>
  <c r="W19" i="117"/>
  <c r="J22" i="117"/>
  <c r="J19" i="117"/>
  <c r="V14" i="111"/>
  <c r="I13" i="111"/>
  <c r="V13" i="111"/>
  <c r="I14" i="111"/>
  <c r="Y38" i="117"/>
  <c r="Y36" i="117"/>
  <c r="L38" i="117"/>
  <c r="AB63" i="116"/>
  <c r="AB64" i="116" s="1"/>
  <c r="AB61" i="116"/>
  <c r="AB62" i="116" s="1"/>
  <c r="L36" i="117"/>
  <c r="O61" i="116"/>
  <c r="O62" i="116" s="1"/>
  <c r="Z63" i="116"/>
  <c r="O63" i="116"/>
  <c r="O64" i="116" s="1"/>
  <c r="Z61" i="116"/>
  <c r="AF26" i="117"/>
  <c r="AE26" i="117"/>
  <c r="W27" i="117"/>
  <c r="AD26" i="117"/>
  <c r="AA9" i="115"/>
  <c r="AF42" i="117"/>
  <c r="AD42" i="117"/>
  <c r="AE42" i="117"/>
  <c r="R117" i="116"/>
  <c r="P117" i="116"/>
  <c r="Q117" i="116"/>
  <c r="R61" i="117"/>
  <c r="Q61" i="117"/>
  <c r="S61" i="117"/>
  <c r="K22" i="111"/>
  <c r="Y31" i="102"/>
  <c r="AA33" i="116"/>
  <c r="AA34" i="116"/>
  <c r="AE79" i="116"/>
  <c r="AD79" i="116"/>
  <c r="AC79" i="116"/>
  <c r="P80" i="116"/>
  <c r="R80" i="116"/>
  <c r="Q80" i="116"/>
  <c r="AC19" i="116"/>
  <c r="AD19" i="116"/>
  <c r="AE19" i="116"/>
  <c r="AC52" i="116"/>
  <c r="AE52" i="116"/>
  <c r="AD52" i="116"/>
  <c r="Q102" i="116"/>
  <c r="P102" i="116"/>
  <c r="R102" i="116"/>
  <c r="AC41" i="116"/>
  <c r="V42" i="116"/>
  <c r="AE41" i="116"/>
  <c r="AD41" i="116"/>
  <c r="AC95" i="116"/>
  <c r="P98" i="116"/>
  <c r="Q98" i="116"/>
  <c r="AD92" i="116"/>
  <c r="Z11" i="115"/>
  <c r="AA11" i="115" s="1"/>
  <c r="S28" i="117"/>
  <c r="J29" i="117"/>
  <c r="R28" i="117"/>
  <c r="Q28" i="117"/>
  <c r="Z12" i="115"/>
  <c r="AA12" i="115" s="1"/>
  <c r="AF51" i="117"/>
  <c r="Z52" i="117"/>
  <c r="AD51" i="117"/>
  <c r="AE51" i="117"/>
  <c r="Z53" i="117"/>
  <c r="W9" i="115"/>
  <c r="P46" i="116"/>
  <c r="R46" i="116"/>
  <c r="Q46" i="116"/>
  <c r="Q42" i="117"/>
  <c r="R42" i="117"/>
  <c r="S42" i="117"/>
  <c r="R116" i="116"/>
  <c r="Q116" i="116"/>
  <c r="P116" i="116"/>
  <c r="R60" i="117"/>
  <c r="S60" i="117"/>
  <c r="Q60" i="117"/>
  <c r="Q73" i="116"/>
  <c r="R73" i="116"/>
  <c r="P73" i="116"/>
  <c r="M69" i="116"/>
  <c r="M66" i="116"/>
  <c r="X46" i="117"/>
  <c r="K43" i="117"/>
  <c r="X43" i="117"/>
  <c r="K46" i="117"/>
  <c r="R68" i="117"/>
  <c r="S68" i="117"/>
  <c r="Q68" i="117"/>
  <c r="P41" i="116"/>
  <c r="Q41" i="116"/>
  <c r="J42" i="116"/>
  <c r="R41" i="116"/>
  <c r="P93" i="116"/>
  <c r="Q93" i="116"/>
  <c r="R93" i="116"/>
  <c r="S31" i="117"/>
  <c r="Q31" i="117"/>
  <c r="R31" i="117"/>
  <c r="S9" i="115"/>
  <c r="W59" i="116"/>
  <c r="K59" i="116"/>
  <c r="K56" i="116"/>
  <c r="W56" i="116"/>
  <c r="AA37" i="116"/>
  <c r="AA36" i="116"/>
  <c r="P79" i="116"/>
  <c r="R79" i="116"/>
  <c r="Q79" i="116"/>
  <c r="AC22" i="116"/>
  <c r="AE22" i="116"/>
  <c r="AD22" i="116"/>
  <c r="Q52" i="116"/>
  <c r="P52" i="116"/>
  <c r="R52" i="116"/>
  <c r="P101" i="116"/>
  <c r="Q101" i="116"/>
  <c r="R101" i="116"/>
  <c r="Q90" i="116"/>
  <c r="R90" i="116"/>
  <c r="P90" i="116"/>
  <c r="AE48" i="117"/>
  <c r="Z50" i="117"/>
  <c r="AD48" i="117"/>
  <c r="AF48" i="117"/>
  <c r="Z49" i="117"/>
  <c r="S33" i="117"/>
  <c r="Q33" i="117"/>
  <c r="R33" i="117"/>
  <c r="N32" i="102"/>
  <c r="X22" i="111"/>
  <c r="N54" i="116"/>
  <c r="Z57" i="116"/>
  <c r="Z54" i="116"/>
  <c r="N57" i="116"/>
  <c r="AC80" i="116"/>
  <c r="AD80" i="116"/>
  <c r="AE80" i="116"/>
  <c r="AE50" i="116"/>
  <c r="AD50" i="116"/>
  <c r="AC50" i="116"/>
  <c r="Q67" i="117"/>
  <c r="R67" i="117"/>
  <c r="S67" i="117"/>
  <c r="AE39" i="116"/>
  <c r="P89" i="116"/>
  <c r="Q89" i="116"/>
  <c r="AD99" i="116"/>
  <c r="AC98" i="116"/>
  <c r="AE98" i="116"/>
  <c r="AD98" i="116"/>
  <c r="AF28" i="117"/>
  <c r="W29" i="117"/>
  <c r="AD28" i="117"/>
  <c r="AE28" i="117"/>
  <c r="Z8" i="115"/>
  <c r="P44" i="116"/>
  <c r="Q44" i="116"/>
  <c r="R44" i="116"/>
  <c r="Q86" i="116"/>
  <c r="AC86" i="116"/>
  <c r="R85" i="116"/>
  <c r="AC85" i="116"/>
  <c r="AF45" i="117"/>
  <c r="AD45" i="117"/>
  <c r="AE45" i="117"/>
  <c r="AE117" i="116"/>
  <c r="AC117" i="116"/>
  <c r="AD117" i="116"/>
  <c r="Q75" i="116"/>
  <c r="R75" i="116"/>
  <c r="P75" i="116"/>
  <c r="Y29" i="102"/>
  <c r="M29" i="102"/>
  <c r="Y28" i="102"/>
  <c r="M28" i="102"/>
  <c r="Y17" i="102"/>
  <c r="Y16" i="102"/>
  <c r="U17" i="102"/>
  <c r="U16" i="102"/>
  <c r="I17" i="102"/>
  <c r="I16" i="102"/>
  <c r="L34" i="102"/>
  <c r="L35" i="102"/>
  <c r="Q8" i="115"/>
  <c r="R8" i="115" s="1"/>
  <c r="S8" i="115" s="1"/>
  <c r="S10" i="115"/>
  <c r="S45" i="117" l="1"/>
  <c r="Q95" i="116"/>
  <c r="R45" i="117"/>
  <c r="AE89" i="116"/>
  <c r="AD39" i="116"/>
  <c r="AE92" i="116"/>
  <c r="P50" i="116"/>
  <c r="AE99" i="116"/>
  <c r="V40" i="116"/>
  <c r="AD40" i="116" s="1"/>
  <c r="AD95" i="116"/>
  <c r="R95" i="116"/>
  <c r="AC89" i="116"/>
  <c r="AE96" i="116"/>
  <c r="AD85" i="116"/>
  <c r="AE85" i="116"/>
  <c r="AD86" i="116"/>
  <c r="P86" i="116"/>
  <c r="R86" i="116"/>
  <c r="AD21" i="116"/>
  <c r="AC21" i="116"/>
  <c r="AE21" i="116"/>
  <c r="Q34" i="117"/>
  <c r="R34" i="117"/>
  <c r="S34" i="117"/>
  <c r="AC42" i="116"/>
  <c r="AE42" i="116"/>
  <c r="AD42" i="116"/>
  <c r="AF22" i="117"/>
  <c r="W23" i="117"/>
  <c r="AD22" i="117"/>
  <c r="AE22" i="117"/>
  <c r="W24" i="117"/>
  <c r="P32" i="116"/>
  <c r="J33" i="116"/>
  <c r="J34" i="116"/>
  <c r="R32" i="116"/>
  <c r="Q32" i="116"/>
  <c r="AD11" i="117"/>
  <c r="AE11" i="117"/>
  <c r="AF11" i="117"/>
  <c r="AE50" i="117"/>
  <c r="AD50" i="117"/>
  <c r="AF50" i="117"/>
  <c r="V5" i="116"/>
  <c r="J5" i="116"/>
  <c r="V8" i="116"/>
  <c r="J8" i="116"/>
  <c r="AF46" i="117"/>
  <c r="AD46" i="117"/>
  <c r="AE46" i="117"/>
  <c r="W7" i="116"/>
  <c r="K7" i="116"/>
  <c r="K6" i="117"/>
  <c r="X6" i="117"/>
  <c r="K4" i="117"/>
  <c r="X4" i="117"/>
  <c r="W4" i="116"/>
  <c r="K4" i="116"/>
  <c r="AD52" i="117"/>
  <c r="AF52" i="117"/>
  <c r="AE52" i="117"/>
  <c r="S58" i="117"/>
  <c r="Q58" i="117"/>
  <c r="R58" i="117"/>
  <c r="S19" i="117"/>
  <c r="J20" i="117"/>
  <c r="J21" i="117"/>
  <c r="Q19" i="117"/>
  <c r="R19" i="117"/>
  <c r="R27" i="117"/>
  <c r="S27" i="117"/>
  <c r="Q27" i="117"/>
  <c r="W8" i="115"/>
  <c r="V34" i="116"/>
  <c r="V33" i="116"/>
  <c r="AE32" i="116"/>
  <c r="AD32" i="116"/>
  <c r="AC32" i="116"/>
  <c r="Q76" i="116"/>
  <c r="R76" i="116"/>
  <c r="P76" i="116"/>
  <c r="AF29" i="117"/>
  <c r="AD29" i="117"/>
  <c r="AE29" i="117"/>
  <c r="AE18" i="116"/>
  <c r="AC18" i="116"/>
  <c r="AD18" i="116"/>
  <c r="AC57" i="116"/>
  <c r="Z59" i="116"/>
  <c r="AD59" i="116" s="1"/>
  <c r="AE57" i="116"/>
  <c r="AD57" i="116"/>
  <c r="Z58" i="116"/>
  <c r="AD49" i="117"/>
  <c r="AF49" i="117"/>
  <c r="AE49" i="117"/>
  <c r="Q32" i="117"/>
  <c r="S32" i="117"/>
  <c r="R32" i="117"/>
  <c r="R46" i="117"/>
  <c r="S46" i="117"/>
  <c r="Q46" i="117"/>
  <c r="P66" i="116"/>
  <c r="M68" i="116"/>
  <c r="M67" i="116"/>
  <c r="Q66" i="116"/>
  <c r="R66" i="116"/>
  <c r="P74" i="116"/>
  <c r="R74" i="116"/>
  <c r="Q74" i="116"/>
  <c r="AD53" i="117"/>
  <c r="AE53" i="117"/>
  <c r="AF53" i="117"/>
  <c r="Q29" i="117"/>
  <c r="S29" i="117"/>
  <c r="R29" i="117"/>
  <c r="P61" i="116"/>
  <c r="R61" i="116"/>
  <c r="Q61" i="116"/>
  <c r="Q83" i="116"/>
  <c r="P83" i="116"/>
  <c r="R83" i="116"/>
  <c r="W5" i="116"/>
  <c r="K5" i="116"/>
  <c r="W8" i="116"/>
  <c r="K8" i="116"/>
  <c r="Q38" i="117"/>
  <c r="L39" i="117"/>
  <c r="R38" i="117"/>
  <c r="S38" i="117"/>
  <c r="S22" i="117"/>
  <c r="J24" i="117"/>
  <c r="J23" i="117"/>
  <c r="Q22" i="117"/>
  <c r="R22" i="117"/>
  <c r="AE86" i="116"/>
  <c r="Z33" i="116"/>
  <c r="Z34" i="116"/>
  <c r="P85" i="116"/>
  <c r="W6" i="117"/>
  <c r="J6" i="117"/>
  <c r="V7" i="116"/>
  <c r="J7" i="116"/>
  <c r="W4" i="117"/>
  <c r="J4" i="117"/>
  <c r="J4" i="116"/>
  <c r="V4" i="116"/>
  <c r="V36" i="116"/>
  <c r="V37" i="116"/>
  <c r="AC35" i="116"/>
  <c r="AE35" i="116"/>
  <c r="AD35" i="116"/>
  <c r="L4" i="116"/>
  <c r="L7" i="116"/>
  <c r="P57" i="116"/>
  <c r="N58" i="116"/>
  <c r="Q57" i="116"/>
  <c r="N59" i="116"/>
  <c r="P59" i="116" s="1"/>
  <c r="R57" i="116"/>
  <c r="Q42" i="116"/>
  <c r="P42" i="116"/>
  <c r="R42" i="116"/>
  <c r="R43" i="117"/>
  <c r="S43" i="117"/>
  <c r="Q43" i="117"/>
  <c r="S57" i="117"/>
  <c r="R57" i="117"/>
  <c r="Q57" i="117"/>
  <c r="AE27" i="117"/>
  <c r="AF27" i="117"/>
  <c r="AD27" i="117"/>
  <c r="AD38" i="117"/>
  <c r="Y39" i="117"/>
  <c r="AF38" i="117"/>
  <c r="AE38" i="117"/>
  <c r="Q40" i="116"/>
  <c r="P40" i="116"/>
  <c r="R40" i="116"/>
  <c r="Q85" i="116"/>
  <c r="R45" i="116"/>
  <c r="Q45" i="116"/>
  <c r="P45" i="116"/>
  <c r="AC54" i="116"/>
  <c r="Z55" i="116"/>
  <c r="Z56" i="116"/>
  <c r="AD56" i="116" s="1"/>
  <c r="AE54" i="116"/>
  <c r="AD54" i="116"/>
  <c r="P47" i="116"/>
  <c r="R47" i="116"/>
  <c r="Q47" i="116"/>
  <c r="L8" i="116"/>
  <c r="L5" i="116"/>
  <c r="Z64" i="116"/>
  <c r="AC63" i="116"/>
  <c r="AE63" i="116"/>
  <c r="AD63" i="116"/>
  <c r="Y6" i="117"/>
  <c r="L4" i="117"/>
  <c r="AB7" i="116"/>
  <c r="AB4" i="116"/>
  <c r="Y4" i="117"/>
  <c r="L6" i="117"/>
  <c r="O4" i="116"/>
  <c r="O7" i="116"/>
  <c r="AA8" i="115"/>
  <c r="AF9" i="117"/>
  <c r="AE9" i="117"/>
  <c r="AD9" i="117"/>
  <c r="P54" i="116"/>
  <c r="N56" i="116"/>
  <c r="Q56" i="116" s="1"/>
  <c r="R54" i="116"/>
  <c r="N55" i="116"/>
  <c r="Q54" i="116"/>
  <c r="AD43" i="117"/>
  <c r="AE43" i="117"/>
  <c r="AF43" i="117"/>
  <c r="Q69" i="116"/>
  <c r="P69" i="116"/>
  <c r="M71" i="116"/>
  <c r="R69" i="116"/>
  <c r="M70" i="116"/>
  <c r="AB5" i="116"/>
  <c r="O8" i="116"/>
  <c r="O5" i="116"/>
  <c r="AB8" i="116"/>
  <c r="Q63" i="116"/>
  <c r="P63" i="116"/>
  <c r="R63" i="116"/>
  <c r="P82" i="116"/>
  <c r="R82" i="116"/>
  <c r="Q82" i="116"/>
  <c r="Z62" i="116"/>
  <c r="AE61" i="116"/>
  <c r="AD61" i="116"/>
  <c r="AC61" i="116"/>
  <c r="Q36" i="117"/>
  <c r="L37" i="117"/>
  <c r="S36" i="117"/>
  <c r="R36" i="117"/>
  <c r="AD36" i="117"/>
  <c r="AF36" i="117"/>
  <c r="Y37" i="117"/>
  <c r="AE36" i="117"/>
  <c r="AF19" i="117"/>
  <c r="W20" i="117"/>
  <c r="AD19" i="117"/>
  <c r="AE19" i="117"/>
  <c r="W21" i="117"/>
  <c r="Z37" i="116"/>
  <c r="Z36" i="116"/>
  <c r="Q35" i="116"/>
  <c r="J36" i="116"/>
  <c r="J37" i="116"/>
  <c r="P35" i="116"/>
  <c r="R35" i="116"/>
  <c r="AE40" i="116" l="1"/>
  <c r="AC40" i="116"/>
  <c r="AC59" i="116"/>
  <c r="AE34" i="116"/>
  <c r="Q70" i="116"/>
  <c r="R70" i="116"/>
  <c r="P70" i="116"/>
  <c r="AD4" i="117"/>
  <c r="AE4" i="117"/>
  <c r="AF4" i="117"/>
  <c r="P6" i="116"/>
  <c r="R37" i="116"/>
  <c r="Q37" i="116"/>
  <c r="P37" i="116"/>
  <c r="R71" i="116"/>
  <c r="Q71" i="116"/>
  <c r="P71" i="116"/>
  <c r="AE59" i="116"/>
  <c r="Z5" i="116"/>
  <c r="Z8" i="116"/>
  <c r="AD8" i="116" s="1"/>
  <c r="AC64" i="116"/>
  <c r="AE64" i="116"/>
  <c r="AD64" i="116"/>
  <c r="P56" i="116"/>
  <c r="S23" i="117"/>
  <c r="Q23" i="117"/>
  <c r="R23" i="117"/>
  <c r="R59" i="116"/>
  <c r="Z7" i="116"/>
  <c r="AC7" i="116" s="1"/>
  <c r="Z4" i="116"/>
  <c r="AD4" i="116" s="1"/>
  <c r="Q20" i="117"/>
  <c r="R20" i="117"/>
  <c r="S20" i="117"/>
  <c r="P34" i="116"/>
  <c r="R34" i="116"/>
  <c r="Q34" i="116"/>
  <c r="AC56" i="116"/>
  <c r="P26" i="116"/>
  <c r="Q26" i="116"/>
  <c r="R26" i="116"/>
  <c r="P36" i="116"/>
  <c r="R36" i="116"/>
  <c r="Q36" i="116"/>
  <c r="AF37" i="117"/>
  <c r="AE37" i="117"/>
  <c r="AD37" i="117"/>
  <c r="R56" i="116"/>
  <c r="AE55" i="116"/>
  <c r="AC55" i="116"/>
  <c r="AD55" i="116"/>
  <c r="R11" i="116"/>
  <c r="Q11" i="116"/>
  <c r="P11" i="116"/>
  <c r="AD37" i="116"/>
  <c r="AE37" i="116"/>
  <c r="AC37" i="116"/>
  <c r="Q24" i="117"/>
  <c r="R24" i="117"/>
  <c r="S24" i="117"/>
  <c r="S39" i="117"/>
  <c r="Q39" i="117"/>
  <c r="R39" i="117"/>
  <c r="P62" i="116"/>
  <c r="R62" i="116"/>
  <c r="Q62" i="116"/>
  <c r="R33" i="116"/>
  <c r="Q33" i="116"/>
  <c r="P33" i="116"/>
  <c r="AE56" i="116"/>
  <c r="R29" i="116"/>
  <c r="P29" i="116"/>
  <c r="Q29" i="116"/>
  <c r="AD20" i="117"/>
  <c r="AF20" i="117"/>
  <c r="AE20" i="117"/>
  <c r="S37" i="117"/>
  <c r="Q37" i="117"/>
  <c r="R37" i="117"/>
  <c r="Q64" i="116"/>
  <c r="R64" i="116"/>
  <c r="P64" i="116"/>
  <c r="P55" i="116"/>
  <c r="Q55" i="116"/>
  <c r="R55" i="116"/>
  <c r="P14" i="116"/>
  <c r="Q14" i="116"/>
  <c r="R14" i="116"/>
  <c r="R58" i="116"/>
  <c r="P58" i="116"/>
  <c r="Q58" i="116"/>
  <c r="AE36" i="116"/>
  <c r="AC36" i="116"/>
  <c r="AD36" i="116"/>
  <c r="AE6" i="117"/>
  <c r="AF6" i="117"/>
  <c r="AD6" i="117"/>
  <c r="P67" i="116"/>
  <c r="Q67" i="116"/>
  <c r="R67" i="116"/>
  <c r="AD33" i="116"/>
  <c r="AC33" i="116"/>
  <c r="AE33" i="116"/>
  <c r="AE5" i="116"/>
  <c r="AD5" i="116"/>
  <c r="AC5" i="116"/>
  <c r="AE23" i="117"/>
  <c r="AF23" i="117"/>
  <c r="AD23" i="117"/>
  <c r="Q25" i="116"/>
  <c r="R25" i="116"/>
  <c r="P25" i="116"/>
  <c r="AF21" i="117"/>
  <c r="AE21" i="117"/>
  <c r="AD21" i="117"/>
  <c r="AC62" i="116"/>
  <c r="AD62" i="116"/>
  <c r="AE62" i="116"/>
  <c r="AF39" i="117"/>
  <c r="AE39" i="117"/>
  <c r="AD39" i="117"/>
  <c r="Q68" i="116"/>
  <c r="R68" i="116"/>
  <c r="P68" i="116"/>
  <c r="Q59" i="116"/>
  <c r="AD58" i="116"/>
  <c r="AE58" i="116"/>
  <c r="AC58" i="116"/>
  <c r="AD34" i="116"/>
  <c r="AC34" i="116"/>
  <c r="R21" i="117"/>
  <c r="Q21" i="117"/>
  <c r="S21" i="117"/>
  <c r="AD24" i="117"/>
  <c r="AE24" i="117"/>
  <c r="AF24" i="117"/>
  <c r="R28" i="116"/>
  <c r="P28" i="116"/>
  <c r="Q28" i="116"/>
  <c r="Q6" i="116"/>
  <c r="Q3" i="117"/>
  <c r="S3" i="117"/>
  <c r="R3" i="117"/>
  <c r="R5" i="117"/>
  <c r="S5" i="117"/>
  <c r="P3" i="116"/>
  <c r="R3" i="116"/>
  <c r="Q3" i="116"/>
  <c r="AD32" i="102"/>
  <c r="AC32" i="102"/>
  <c r="AB32" i="102"/>
  <c r="Q32" i="102"/>
  <c r="P32" i="102"/>
  <c r="O32" i="102"/>
  <c r="AD31" i="102"/>
  <c r="AC31" i="102"/>
  <c r="AB31" i="102"/>
  <c r="Q31" i="102"/>
  <c r="P31" i="102"/>
  <c r="O31" i="102"/>
  <c r="AE4" i="116" l="1"/>
  <c r="AC8" i="116"/>
  <c r="AC4" i="116"/>
  <c r="AE8" i="116"/>
  <c r="Q12" i="116"/>
  <c r="P12" i="116"/>
  <c r="R12" i="116"/>
  <c r="AD7" i="116"/>
  <c r="Q5" i="117"/>
  <c r="R16" i="117"/>
  <c r="S16" i="117"/>
  <c r="Q16" i="117"/>
  <c r="S14" i="117"/>
  <c r="Q14" i="117"/>
  <c r="R14" i="117"/>
  <c r="AE7" i="116"/>
  <c r="P7" i="116"/>
  <c r="R8" i="116"/>
  <c r="R6" i="116"/>
  <c r="P15" i="116"/>
  <c r="R15" i="116"/>
  <c r="Q15" i="116"/>
  <c r="R4" i="117"/>
  <c r="Q4" i="117"/>
  <c r="S4" i="117"/>
  <c r="R4" i="116"/>
  <c r="Q4" i="116"/>
  <c r="P4" i="116"/>
  <c r="Q5" i="116"/>
  <c r="P5" i="116"/>
  <c r="R5" i="116"/>
  <c r="Q6" i="117"/>
  <c r="S6" i="117"/>
  <c r="R6" i="117"/>
  <c r="R7" i="116"/>
  <c r="Q79" i="102"/>
  <c r="P79" i="102"/>
  <c r="O79" i="102"/>
  <c r="Q78" i="102"/>
  <c r="P78" i="102"/>
  <c r="O78" i="102"/>
  <c r="Q76" i="102"/>
  <c r="P76" i="102"/>
  <c r="O76" i="102"/>
  <c r="Q75" i="102"/>
  <c r="P75" i="102"/>
  <c r="O75" i="102"/>
  <c r="Q73" i="102"/>
  <c r="P73" i="102"/>
  <c r="O73" i="102"/>
  <c r="Q72" i="102"/>
  <c r="P72" i="102"/>
  <c r="O72" i="102"/>
  <c r="Q70" i="102"/>
  <c r="P70" i="102"/>
  <c r="O70" i="102"/>
  <c r="Q69" i="102"/>
  <c r="P69" i="102"/>
  <c r="O69" i="102"/>
  <c r="Q67" i="102"/>
  <c r="P67" i="102"/>
  <c r="O67" i="102"/>
  <c r="Q66" i="102"/>
  <c r="P66" i="102"/>
  <c r="O66" i="102"/>
  <c r="Q64" i="102"/>
  <c r="P64" i="102"/>
  <c r="O64" i="102"/>
  <c r="Q63" i="102"/>
  <c r="P63" i="102"/>
  <c r="O63" i="102"/>
  <c r="Q61" i="102"/>
  <c r="P61" i="102"/>
  <c r="O61" i="102"/>
  <c r="Q60" i="102"/>
  <c r="P60" i="102"/>
  <c r="O60" i="102"/>
  <c r="Q58" i="102"/>
  <c r="P58" i="102"/>
  <c r="O58" i="102"/>
  <c r="Q57" i="102"/>
  <c r="P57" i="102"/>
  <c r="O57" i="102"/>
  <c r="Q55" i="102"/>
  <c r="P55" i="102"/>
  <c r="O55" i="102"/>
  <c r="Q54" i="102"/>
  <c r="P54" i="102"/>
  <c r="O54" i="102"/>
  <c r="Q52" i="102"/>
  <c r="P52" i="102"/>
  <c r="O52" i="102"/>
  <c r="Q51" i="102"/>
  <c r="P51" i="102"/>
  <c r="O51" i="102"/>
  <c r="Q48" i="102"/>
  <c r="P48" i="102"/>
  <c r="O48" i="102"/>
  <c r="Q47" i="102"/>
  <c r="P47" i="102"/>
  <c r="O47" i="102"/>
  <c r="Q45" i="102"/>
  <c r="P45" i="102"/>
  <c r="O45" i="102"/>
  <c r="Q44" i="102"/>
  <c r="P44" i="102"/>
  <c r="O44" i="102"/>
  <c r="Q42" i="102"/>
  <c r="P42" i="102"/>
  <c r="O42" i="102"/>
  <c r="Q41" i="102"/>
  <c r="P41" i="102"/>
  <c r="O41" i="102"/>
  <c r="Q38" i="102"/>
  <c r="P38" i="102"/>
  <c r="O38" i="102"/>
  <c r="Q37" i="102"/>
  <c r="P37" i="102"/>
  <c r="O37" i="102"/>
  <c r="Q35" i="102"/>
  <c r="P35" i="102"/>
  <c r="O35" i="102"/>
  <c r="Q34" i="102"/>
  <c r="P34" i="102"/>
  <c r="O34" i="102"/>
  <c r="Q29" i="102"/>
  <c r="P29" i="102"/>
  <c r="O29" i="102"/>
  <c r="Q28" i="102"/>
  <c r="P28" i="102"/>
  <c r="O28" i="102"/>
  <c r="Q23" i="102"/>
  <c r="P23" i="102"/>
  <c r="O23" i="102"/>
  <c r="Q22" i="102"/>
  <c r="P22" i="102"/>
  <c r="O22" i="102"/>
  <c r="Q20" i="102"/>
  <c r="P20" i="102"/>
  <c r="O20" i="102"/>
  <c r="Q19" i="102"/>
  <c r="P19" i="102"/>
  <c r="O19" i="102"/>
  <c r="Q17" i="102"/>
  <c r="P17" i="102"/>
  <c r="O17" i="102"/>
  <c r="Q16" i="102"/>
  <c r="P16" i="102"/>
  <c r="O16" i="102"/>
  <c r="Q13" i="102"/>
  <c r="P13" i="102"/>
  <c r="O13" i="102"/>
  <c r="Q12" i="102"/>
  <c r="P12" i="102"/>
  <c r="O12" i="102"/>
  <c r="Q10" i="102"/>
  <c r="P10" i="102"/>
  <c r="O10" i="102"/>
  <c r="Q9" i="102"/>
  <c r="P9" i="102"/>
  <c r="O9" i="102"/>
  <c r="Q7" i="102"/>
  <c r="P7" i="102"/>
  <c r="O7" i="102"/>
  <c r="Q6" i="102"/>
  <c r="P6" i="102"/>
  <c r="O6" i="102"/>
  <c r="Q4" i="102"/>
  <c r="P4" i="102"/>
  <c r="O4" i="102"/>
  <c r="Q3" i="102"/>
  <c r="P3" i="102"/>
  <c r="O3" i="102"/>
  <c r="Q7" i="116" l="1"/>
  <c r="Q8" i="116"/>
  <c r="P8" i="116"/>
  <c r="AE26" i="111"/>
  <c r="AD26" i="111"/>
  <c r="AC26" i="111"/>
  <c r="AE25" i="111"/>
  <c r="AD25" i="111"/>
  <c r="AC25" i="111"/>
  <c r="AE23" i="111"/>
  <c r="AD23" i="111"/>
  <c r="AC23" i="111"/>
  <c r="AE22" i="111"/>
  <c r="AD22" i="111"/>
  <c r="AC22" i="111"/>
  <c r="AE20" i="111"/>
  <c r="AD20" i="111"/>
  <c r="AC20" i="111"/>
  <c r="AE19" i="111"/>
  <c r="AD19" i="111"/>
  <c r="AC19" i="111"/>
  <c r="AE10" i="111"/>
  <c r="AD10" i="111"/>
  <c r="AC10" i="111"/>
  <c r="AE9" i="111"/>
  <c r="AD9" i="111"/>
  <c r="AC9" i="111"/>
  <c r="AD7" i="102" l="1"/>
  <c r="AC7" i="102"/>
  <c r="AB7" i="102"/>
  <c r="AD6" i="102"/>
  <c r="AC6" i="102"/>
  <c r="AB6" i="102"/>
  <c r="AD79" i="102"/>
  <c r="AC79" i="102"/>
  <c r="AB79" i="102"/>
  <c r="AD78" i="102"/>
  <c r="AC78" i="102"/>
  <c r="AB78" i="102"/>
  <c r="AD76" i="102"/>
  <c r="AC76" i="102"/>
  <c r="AB76" i="102"/>
  <c r="AD75" i="102"/>
  <c r="AC75" i="102"/>
  <c r="AB75" i="102"/>
  <c r="AD73" i="102"/>
  <c r="AC73" i="102"/>
  <c r="AB73" i="102"/>
  <c r="AD72" i="102"/>
  <c r="AC72" i="102"/>
  <c r="AB72" i="102"/>
  <c r="AD70" i="102"/>
  <c r="AC70" i="102"/>
  <c r="AB70" i="102"/>
  <c r="AD69" i="102"/>
  <c r="AC69" i="102"/>
  <c r="AB69" i="102"/>
  <c r="AD67" i="102"/>
  <c r="AC67" i="102"/>
  <c r="AB67" i="102"/>
  <c r="AD66" i="102"/>
  <c r="AC66" i="102"/>
  <c r="AB66" i="102"/>
  <c r="AD64" i="102"/>
  <c r="AC64" i="102"/>
  <c r="AB64" i="102"/>
  <c r="AD63" i="102"/>
  <c r="AC63" i="102"/>
  <c r="AB63" i="102"/>
  <c r="AD61" i="102"/>
  <c r="AC61" i="102"/>
  <c r="AB61" i="102"/>
  <c r="AD60" i="102"/>
  <c r="AC60" i="102"/>
  <c r="AB60" i="102"/>
  <c r="AD58" i="102"/>
  <c r="AC58" i="102"/>
  <c r="AB58" i="102"/>
  <c r="AD57" i="102"/>
  <c r="AC57" i="102"/>
  <c r="AB57" i="102"/>
  <c r="AD55" i="102"/>
  <c r="AC55" i="102"/>
  <c r="AB55" i="102"/>
  <c r="AD54" i="102"/>
  <c r="AC54" i="102"/>
  <c r="AB54" i="102"/>
  <c r="AD48" i="102"/>
  <c r="AC48" i="102"/>
  <c r="AB48" i="102"/>
  <c r="AD47" i="102"/>
  <c r="AC47" i="102"/>
  <c r="AB47" i="102"/>
  <c r="AD45" i="102"/>
  <c r="AC45" i="102"/>
  <c r="AB45" i="102"/>
  <c r="AD44" i="102"/>
  <c r="AC44" i="102"/>
  <c r="AB44" i="102"/>
  <c r="AD38" i="102"/>
  <c r="AC38" i="102"/>
  <c r="AB38" i="102"/>
  <c r="AD37" i="102"/>
  <c r="AC37" i="102"/>
  <c r="AB37" i="102"/>
  <c r="AD35" i="102"/>
  <c r="AC35" i="102"/>
  <c r="AB35" i="102"/>
  <c r="AD34" i="102"/>
  <c r="AC34" i="102"/>
  <c r="AB34" i="102"/>
  <c r="AD29" i="102"/>
  <c r="AC29" i="102"/>
  <c r="AB29" i="102"/>
  <c r="AD28" i="102"/>
  <c r="AC28" i="102"/>
  <c r="AB28" i="102"/>
  <c r="AE50" i="111" l="1"/>
  <c r="AD50" i="111"/>
  <c r="AC50" i="111"/>
  <c r="R50" i="111"/>
  <c r="Q50" i="111"/>
  <c r="P50" i="111"/>
  <c r="AE49" i="111"/>
  <c r="AD49" i="111"/>
  <c r="AC49" i="111"/>
  <c r="R49" i="111"/>
  <c r="Q49" i="111"/>
  <c r="P49" i="111"/>
  <c r="AD13" i="102" l="1"/>
  <c r="AC13" i="102"/>
  <c r="AB13" i="102"/>
  <c r="AD12" i="102"/>
  <c r="AC12" i="102"/>
  <c r="AB12" i="102"/>
  <c r="AD20" i="102" l="1"/>
  <c r="AC20" i="102"/>
  <c r="AB20" i="102"/>
  <c r="AD19" i="102"/>
  <c r="AC19" i="102"/>
  <c r="AB19" i="102"/>
  <c r="AE17" i="111" l="1"/>
  <c r="AD17" i="111"/>
  <c r="AC17" i="111"/>
  <c r="R17" i="111"/>
  <c r="Q17" i="111"/>
  <c r="P17" i="111"/>
  <c r="AE16" i="111"/>
  <c r="AD16" i="111"/>
  <c r="AC16" i="111"/>
  <c r="R16" i="111"/>
  <c r="Q16" i="111"/>
  <c r="P16" i="111"/>
  <c r="R29" i="111" l="1"/>
  <c r="Q29" i="111"/>
  <c r="P29" i="111"/>
  <c r="R28" i="111"/>
  <c r="Q28" i="111"/>
  <c r="P28" i="111"/>
  <c r="AD28" i="111"/>
  <c r="AE29" i="111"/>
  <c r="AD29" i="111"/>
  <c r="AC29" i="111"/>
  <c r="AE28" i="111"/>
  <c r="AC28" i="111"/>
  <c r="X1" i="111" l="1"/>
  <c r="R10" i="111" l="1"/>
  <c r="Q10" i="111"/>
  <c r="P10" i="111"/>
  <c r="R9" i="111"/>
  <c r="Q9" i="111"/>
  <c r="P9" i="111"/>
  <c r="W1" i="102" l="1"/>
  <c r="X1" i="102"/>
  <c r="AE37" i="111" l="1"/>
  <c r="AD37" i="111"/>
  <c r="AC37" i="111"/>
  <c r="AE36" i="111"/>
  <c r="AD36" i="111"/>
  <c r="AC36" i="111"/>
  <c r="R37" i="111"/>
  <c r="Q37" i="111"/>
  <c r="P37" i="111"/>
  <c r="R36" i="111"/>
  <c r="Q36" i="111"/>
  <c r="P36" i="111"/>
  <c r="AE7" i="111" l="1"/>
  <c r="AD7" i="111"/>
  <c r="AC7" i="111"/>
  <c r="R7" i="111"/>
  <c r="Q7" i="111"/>
  <c r="P7" i="111"/>
  <c r="AE6" i="111"/>
  <c r="AD6" i="111"/>
  <c r="AC6" i="111"/>
  <c r="R6" i="111"/>
  <c r="Q6" i="111"/>
  <c r="P6" i="111"/>
  <c r="AD10" i="102"/>
  <c r="AC10" i="102"/>
  <c r="AB10" i="102"/>
  <c r="AD9" i="102"/>
  <c r="AC9" i="102"/>
  <c r="AB9" i="102"/>
  <c r="AE47" i="111" l="1"/>
  <c r="AD47" i="111"/>
  <c r="AC47" i="111"/>
  <c r="R47" i="111"/>
  <c r="Q47" i="111"/>
  <c r="P47" i="111"/>
  <c r="AE46" i="111"/>
  <c r="AD46" i="111"/>
  <c r="AC46" i="111"/>
  <c r="R46" i="111"/>
  <c r="Q46" i="111"/>
  <c r="P46" i="111"/>
  <c r="AE40" i="111"/>
  <c r="AD40" i="111"/>
  <c r="AC40" i="111"/>
  <c r="R40" i="111"/>
  <c r="Q40" i="111"/>
  <c r="P40" i="111"/>
  <c r="AE39" i="111"/>
  <c r="AD39" i="111"/>
  <c r="AC39" i="111"/>
  <c r="R39" i="111"/>
  <c r="Q39" i="111"/>
  <c r="P39" i="111"/>
  <c r="R26" i="111"/>
  <c r="Q26" i="111"/>
  <c r="P26" i="111"/>
  <c r="R25" i="111"/>
  <c r="Q25" i="111"/>
  <c r="P25" i="111"/>
  <c r="R23" i="111"/>
  <c r="Q23" i="111"/>
  <c r="P23" i="111"/>
  <c r="R22" i="111"/>
  <c r="Q22" i="111"/>
  <c r="P22" i="111"/>
  <c r="R20" i="111" l="1"/>
  <c r="Q20" i="111"/>
  <c r="P20" i="111"/>
  <c r="R19" i="111"/>
  <c r="Q19" i="111"/>
  <c r="P19" i="111"/>
  <c r="V1" i="111" l="1"/>
  <c r="U1" i="102"/>
  <c r="AD52" i="102" l="1"/>
  <c r="AC52" i="102"/>
  <c r="AD51" i="102"/>
  <c r="AC51" i="102"/>
  <c r="AE44" i="111"/>
  <c r="AD44" i="111"/>
  <c r="AE43" i="111"/>
  <c r="AD43" i="111"/>
  <c r="R44" i="111"/>
  <c r="Q44" i="111"/>
  <c r="R43" i="111"/>
  <c r="Q43" i="111"/>
  <c r="AC44" i="111" l="1"/>
  <c r="AC43" i="111"/>
  <c r="AE34" i="111"/>
  <c r="AD34" i="111"/>
  <c r="AC34" i="111"/>
  <c r="AE33" i="111"/>
  <c r="AD33" i="111"/>
  <c r="AC33" i="111"/>
  <c r="AE14" i="111"/>
  <c r="AD14" i="111"/>
  <c r="AC14" i="111"/>
  <c r="AE13" i="111"/>
  <c r="AD13" i="111"/>
  <c r="AC13" i="111"/>
  <c r="AE4" i="111"/>
  <c r="AD4" i="111"/>
  <c r="AC4" i="111"/>
  <c r="AE3" i="111"/>
  <c r="AD3" i="111"/>
  <c r="AC3" i="111"/>
  <c r="AB52" i="102"/>
  <c r="AB51" i="102"/>
  <c r="AD42" i="102"/>
  <c r="AC42" i="102"/>
  <c r="AB42" i="102"/>
  <c r="AD41" i="102"/>
  <c r="AC41" i="102"/>
  <c r="AB41" i="102"/>
  <c r="AD17" i="102"/>
  <c r="AC17" i="102"/>
  <c r="AB17" i="102"/>
  <c r="AD16" i="102"/>
  <c r="AC16" i="102"/>
  <c r="AB16" i="102"/>
  <c r="AD4" i="102"/>
  <c r="AC4" i="102"/>
  <c r="AB4" i="102"/>
  <c r="AD3" i="102"/>
  <c r="AC3" i="102"/>
  <c r="AB3" i="102"/>
  <c r="P44" i="111" l="1"/>
  <c r="P43" i="111"/>
  <c r="R34" i="111"/>
  <c r="Q34" i="111"/>
  <c r="P34" i="111"/>
  <c r="R33" i="111"/>
  <c r="Q33" i="111"/>
  <c r="P33" i="111"/>
  <c r="R14" i="111"/>
  <c r="Q14" i="111"/>
  <c r="P14" i="111"/>
  <c r="R13" i="111"/>
  <c r="Q13" i="111"/>
  <c r="P13" i="111"/>
  <c r="R4" i="111"/>
  <c r="Q4" i="111"/>
  <c r="P4" i="111"/>
  <c r="R3" i="111"/>
  <c r="Q3" i="111"/>
  <c r="P3" i="111"/>
</calcChain>
</file>

<file path=xl/sharedStrings.xml><?xml version="1.0" encoding="utf-8"?>
<sst xmlns="http://schemas.openxmlformats.org/spreadsheetml/2006/main" count="1965" uniqueCount="641">
  <si>
    <t>Date</t>
  </si>
  <si>
    <t>Version</t>
  </si>
  <si>
    <t>Company</t>
  </si>
  <si>
    <t>Comments</t>
  </si>
  <si>
    <t>TRxP number per site</t>
  </si>
  <si>
    <t xml:space="preserve">Mechanic tilt </t>
  </si>
  <si>
    <t>Electronic tilt</t>
  </si>
  <si>
    <t>Handover margin (dB)</t>
  </si>
  <si>
    <t>UT attachment</t>
  </si>
  <si>
    <t>Criteria for selection for serving TRxP</t>
  </si>
  <si>
    <t>Criteria for analog beam selection for serving TRxP</t>
  </si>
  <si>
    <t>System configuration parameters</t>
    <phoneticPr fontId="32" type="noConversion"/>
  </si>
  <si>
    <t>Reference Value</t>
    <phoneticPr fontId="32" type="noConversion"/>
  </si>
  <si>
    <t>Technical configuration Parameters</t>
    <phoneticPr fontId="32" type="noConversion"/>
  </si>
  <si>
    <t>Reference value</t>
    <phoneticPr fontId="32" type="noConversion"/>
  </si>
  <si>
    <t>Multiple access</t>
    <phoneticPr fontId="32" type="noConversion"/>
  </si>
  <si>
    <t>OFDMA</t>
    <phoneticPr fontId="32" type="noConversion"/>
  </si>
  <si>
    <t>Duplexing</t>
    <phoneticPr fontId="32" type="noConversion"/>
  </si>
  <si>
    <t>Modulation</t>
    <phoneticPr fontId="32" type="noConversion"/>
  </si>
  <si>
    <t>Up to 256QAM</t>
    <phoneticPr fontId="32" type="noConversion"/>
  </si>
  <si>
    <t>Numerology</t>
    <phoneticPr fontId="32" type="noConversion"/>
  </si>
  <si>
    <t>Simulation bandwdith</t>
    <phoneticPr fontId="32" type="noConversion"/>
  </si>
  <si>
    <t>Transmission scheme</t>
    <phoneticPr fontId="32" type="noConversion"/>
  </si>
  <si>
    <t>UL codebook</t>
    <phoneticPr fontId="32" type="noConversion"/>
  </si>
  <si>
    <t>MU dimension</t>
    <phoneticPr fontId="32" type="noConversion"/>
  </si>
  <si>
    <t>SU dimension</t>
    <phoneticPr fontId="32" type="noConversion"/>
  </si>
  <si>
    <t>SRS transmission</t>
    <phoneticPr fontId="32" type="noConversion"/>
  </si>
  <si>
    <t>Antenna configuration at TRxP</t>
    <phoneticPr fontId="32" type="noConversion"/>
  </si>
  <si>
    <t>(M, N, P, Mg, Ng; Mp, Np)
- M: Number of vertical antenna elements within a panel, on one polarization
- N: Number of horizontal antenna elements within a panel, on one polarization
- P: Number of polarizations
- Mg: Number of panels in a column;
- Ng: Number of panels in a row;
- Mp: Number of vertical TXRUs within a panel, on one polarization
- Np: Number of horizontal TXRUs within a panel, on one polarization</t>
    <phoneticPr fontId="32" type="noConversion"/>
  </si>
  <si>
    <t>Antenna configuration at UE</t>
    <phoneticPr fontId="32" type="noConversion"/>
  </si>
  <si>
    <t>(M, N, P, Mg, Ng; Mp, Np)
- M: Number of vertical antenna elements within a panel, on one polarization
- N: Number of horizontal antenna elements within a panel, on one polarization
- P: Number of polarizations
- Mg: Number of panels;
- Ng: default: 1
- Mp: Number of vertical TXRUs within a panel, on one polarization
- Np: Number of horizontal TXRUs within a panel, on one polarization</t>
    <phoneticPr fontId="32" type="noConversion"/>
  </si>
  <si>
    <t>Scheduling</t>
    <phoneticPr fontId="32" type="noConversion"/>
  </si>
  <si>
    <t>PF</t>
    <phoneticPr fontId="32" type="noConversion"/>
  </si>
  <si>
    <t>Receiver</t>
    <phoneticPr fontId="32" type="noConversion"/>
  </si>
  <si>
    <t>MMSE-IRC</t>
    <phoneticPr fontId="32" type="noConversion"/>
  </si>
  <si>
    <t>Power control parameter</t>
    <phoneticPr fontId="32" type="noConversion"/>
  </si>
  <si>
    <t>Technical configuration Parameters</t>
    <phoneticPr fontId="32" type="noConversion"/>
  </si>
  <si>
    <t>Reference value</t>
    <phoneticPr fontId="32" type="noConversion"/>
  </si>
  <si>
    <t>Huawei</t>
    <phoneticPr fontId="32" type="noConversion"/>
  </si>
  <si>
    <t>FDD</t>
    <phoneticPr fontId="32" type="noConversion"/>
  </si>
  <si>
    <r>
      <t>N</t>
    </r>
    <r>
      <rPr>
        <sz val="10"/>
        <rFont val="Arial"/>
        <family val="2"/>
      </rPr>
      <t>/A</t>
    </r>
    <phoneticPr fontId="32" type="noConversion"/>
  </si>
  <si>
    <t>Aligned with reference</t>
  </si>
  <si>
    <t>UL SU-MIMO with rank adaptation</t>
    <phoneticPr fontId="32" type="noConversion"/>
  </si>
  <si>
    <t>DL codebook</t>
    <phoneticPr fontId="32" type="noConversion"/>
  </si>
  <si>
    <t>Frame structure</t>
    <phoneticPr fontId="32" type="noConversion"/>
  </si>
  <si>
    <t>Guard band ratio on simulation bandwidth</t>
    <phoneticPr fontId="32" type="noConversion"/>
  </si>
  <si>
    <t>DL CSI measurement</t>
    <phoneticPr fontId="32" type="noConversion"/>
  </si>
  <si>
    <t>CSI feedback</t>
    <phoneticPr fontId="32" type="noConversion"/>
  </si>
  <si>
    <t>Interference measurement</t>
    <phoneticPr fontId="32" type="noConversion"/>
  </si>
  <si>
    <t>CBG</t>
    <phoneticPr fontId="32" type="noConversion"/>
  </si>
  <si>
    <t>ACK/NACK delay</t>
    <phoneticPr fontId="32" type="noConversion"/>
  </si>
  <si>
    <t>Re-transmission delay</t>
    <phoneticPr fontId="32" type="noConversion"/>
  </si>
  <si>
    <t>closed SU/MU-MIMO adaptation</t>
    <phoneticPr fontId="32" type="noConversion"/>
  </si>
  <si>
    <t>Channel estimation</t>
    <phoneticPr fontId="32" type="noConversion"/>
  </si>
  <si>
    <t>Non-ideal</t>
    <phoneticPr fontId="32" type="noConversion"/>
  </si>
  <si>
    <t>FDD: 10 MHz
TDD: 20 MHz</t>
    <phoneticPr fontId="32" type="noConversion"/>
  </si>
  <si>
    <t>Up to 256 QAM</t>
    <phoneticPr fontId="32" type="noConversion"/>
  </si>
  <si>
    <t>TDD</t>
    <phoneticPr fontId="32" type="noConversion"/>
  </si>
  <si>
    <t>FR1</t>
    <phoneticPr fontId="32" type="noConversion"/>
  </si>
  <si>
    <t>PDCCH</t>
    <phoneticPr fontId="32" type="noConversion"/>
  </si>
  <si>
    <t>SSB</t>
    <phoneticPr fontId="32" type="noConversion"/>
  </si>
  <si>
    <t>DMRS</t>
    <phoneticPr fontId="32" type="noConversion"/>
  </si>
  <si>
    <t>TRS</t>
    <phoneticPr fontId="32" type="noConversion"/>
  </si>
  <si>
    <t>CSI-RS for IM</t>
    <phoneticPr fontId="32" type="noConversion"/>
  </si>
  <si>
    <t>CSI-RS for CM</t>
    <phoneticPr fontId="32" type="noConversion"/>
  </si>
  <si>
    <t>Overhead assumption</t>
    <phoneticPr fontId="32" type="noConversion"/>
  </si>
  <si>
    <t>PUCCH</t>
    <phoneticPr fontId="32" type="noConversion"/>
  </si>
  <si>
    <t>SRS</t>
    <phoneticPr fontId="32" type="noConversion"/>
  </si>
  <si>
    <t>UL spectral efficiency</t>
    <phoneticPr fontId="32" type="noConversion"/>
  </si>
  <si>
    <t>90° in LCS</t>
  </si>
  <si>
    <t>No wrapping around</t>
  </si>
  <si>
    <t>Wrapping around method</t>
    <phoneticPr fontId="32" type="noConversion"/>
  </si>
  <si>
    <t>Beam set at TRxP
(Constraints for the range of selective analog beams per TRxP)</t>
    <phoneticPr fontId="32" type="noConversion"/>
  </si>
  <si>
    <t>Beam set at UE
(Constraints for the range of selective analog beams for UE)</t>
    <phoneticPr fontId="32" type="noConversion"/>
  </si>
  <si>
    <t>Analog beam selection for interfering TRxP</t>
    <phoneticPr fontId="32" type="noConversion"/>
  </si>
  <si>
    <t>[110°] in GCS</t>
    <phoneticPr fontId="32" type="noConversion"/>
  </si>
  <si>
    <t>-</t>
    <phoneticPr fontId="32" type="noConversion"/>
  </si>
  <si>
    <t>Aligned with reference</t>
    <phoneticPr fontId="32" type="noConversion"/>
  </si>
  <si>
    <t>GP</t>
    <phoneticPr fontId="32" type="noConversion"/>
  </si>
  <si>
    <t>TDD</t>
    <phoneticPr fontId="32" type="noConversion"/>
  </si>
  <si>
    <t>N/A</t>
    <phoneticPr fontId="32" type="noConversion"/>
  </si>
  <si>
    <t>Technical configuration Parameters</t>
    <phoneticPr fontId="32" type="noConversion"/>
  </si>
  <si>
    <t>Reference value</t>
    <phoneticPr fontId="32" type="noConversion"/>
  </si>
  <si>
    <t>InH - eMBB</t>
  </si>
  <si>
    <t>InH - eMBB</t>
    <phoneticPr fontId="32" type="noConversion"/>
  </si>
  <si>
    <t>2 symbols</t>
  </si>
  <si>
    <t>Network synchronization</t>
    <phoneticPr fontId="32" type="noConversion"/>
  </si>
  <si>
    <t>Synchronized</t>
    <phoneticPr fontId="32" type="noConversion"/>
  </si>
  <si>
    <t>PRB bundling</t>
    <phoneticPr fontId="32" type="noConversion"/>
  </si>
  <si>
    <t>TDD</t>
  </si>
  <si>
    <t>TDD</t>
    <phoneticPr fontId="32" type="noConversion"/>
  </si>
  <si>
    <t>10 MHz</t>
  </si>
  <si>
    <t>20 MHz</t>
  </si>
  <si>
    <t>FDD: Full downlink</t>
    <phoneticPr fontId="32" type="noConversion"/>
  </si>
  <si>
    <t>Non-precoded CSI-RS  based</t>
    <phoneticPr fontId="32" type="noConversion"/>
  </si>
  <si>
    <t xml:space="preserve">PMI, CQI: every 5 slot; RI: every 5 slot;
Subband based </t>
    <phoneticPr fontId="32" type="noConversion"/>
  </si>
  <si>
    <t>Precoded CSI-RS based, non-PMI</t>
    <phoneticPr fontId="32" type="noConversion"/>
  </si>
  <si>
    <t>Max CBG number</t>
    <phoneticPr fontId="32" type="noConversion"/>
  </si>
  <si>
    <t>UL re-transmission delay</t>
    <phoneticPr fontId="32" type="noConversion"/>
  </si>
  <si>
    <t>FDD</t>
    <phoneticPr fontId="32" type="noConversion"/>
  </si>
  <si>
    <t>10 MHz</t>
    <phoneticPr fontId="32" type="noConversion"/>
  </si>
  <si>
    <t>20 MHz</t>
    <phoneticPr fontId="32" type="noConversion"/>
  </si>
  <si>
    <t>DDDSU</t>
  </si>
  <si>
    <t>180° in GCS (pointing to the ground)</t>
    <phoneticPr fontId="32" type="noConversion"/>
  </si>
  <si>
    <t>180° in GCS (pointing to the ground)</t>
    <phoneticPr fontId="32" type="noConversion"/>
  </si>
  <si>
    <t>DDDSU</t>
    <phoneticPr fontId="32" type="noConversion"/>
  </si>
  <si>
    <t>Antenna config &amp; Tx scheme</t>
    <phoneticPr fontId="32" type="noConversion"/>
  </si>
  <si>
    <t>Numerology</t>
    <phoneticPr fontId="32" type="noConversion"/>
  </si>
  <si>
    <t>Frame structure</t>
    <phoneticPr fontId="32" type="noConversion"/>
  </si>
  <si>
    <t>Req.</t>
    <phoneticPr fontId="32" type="noConversion"/>
  </si>
  <si>
    <t>Mean</t>
  </si>
  <si>
    <t>Var</t>
    <phoneticPr fontId="32" type="noConversion"/>
  </si>
  <si>
    <t>Number of samples</t>
    <phoneticPr fontId="32" type="noConversion"/>
  </si>
  <si>
    <t>DL Spectral efficiency</t>
    <phoneticPr fontId="32" type="noConversion"/>
  </si>
  <si>
    <t>15 kHz SCS</t>
    <phoneticPr fontId="32" type="noConversion"/>
  </si>
  <si>
    <t>Average [bit/s/Hz/TRxP]</t>
    <phoneticPr fontId="32" type="noConversion"/>
  </si>
  <si>
    <t>Average [bit/s/Hz/TRxP]</t>
    <phoneticPr fontId="32" type="noConversion"/>
  </si>
  <si>
    <t>5th percentile [bit/s/Hz]</t>
    <phoneticPr fontId="32" type="noConversion"/>
  </si>
  <si>
    <t>5th percentile [bit/s/Hz]</t>
    <phoneticPr fontId="32" type="noConversion"/>
  </si>
  <si>
    <t>TDD</t>
    <phoneticPr fontId="32" type="noConversion"/>
  </si>
  <si>
    <t>32x4 MU-MIMO,  4T SRS</t>
    <phoneticPr fontId="32" type="noConversion"/>
  </si>
  <si>
    <t>30 kHz SCS</t>
    <phoneticPr fontId="32" type="noConversion"/>
  </si>
  <si>
    <t>30 kHz SCS</t>
    <phoneticPr fontId="32" type="noConversion"/>
  </si>
  <si>
    <t>DDDSU</t>
    <phoneticPr fontId="32" type="noConversion"/>
  </si>
  <si>
    <t>15 kHz SCS</t>
  </si>
  <si>
    <t>30 kHz SCS</t>
  </si>
  <si>
    <t>Other system configuration parameters align with Report ITU-R M.2412</t>
    <phoneticPr fontId="32" type="noConversion"/>
  </si>
  <si>
    <t xml:space="preserve">Maximizing RSRP where the digital beamforming is not considered </t>
    <phoneticPr fontId="32" type="noConversion"/>
  </si>
  <si>
    <t xml:space="preserve">CQI: every 5 slot; RI: every 5 slot, CRI: every 5 slot
Subband based </t>
    <phoneticPr fontId="32" type="noConversion"/>
  </si>
  <si>
    <t>Network synchronization</t>
    <phoneticPr fontId="32" type="noConversion"/>
  </si>
  <si>
    <t>Based on RSRP (formula as shown in Appendix 3 of RP-180524) from port 0
The UE panel with the best receive SNR is chosen. i.e. no combining is done between panels.</t>
    <phoneticPr fontId="32" type="noConversion"/>
  </si>
  <si>
    <t>Aligned with reference</t>
    <phoneticPr fontId="32" type="noConversion"/>
  </si>
  <si>
    <t>5th percentile [bit/s/Hz]</t>
    <phoneticPr fontId="32" type="noConversion"/>
  </si>
  <si>
    <t>TDD</t>
    <phoneticPr fontId="32" type="noConversion"/>
  </si>
  <si>
    <t>Up to 12 layers</t>
    <phoneticPr fontId="32" type="noConversion"/>
  </si>
  <si>
    <t>Next available UL slot after receiving retransmission indication</t>
    <phoneticPr fontId="32" type="noConversion"/>
  </si>
  <si>
    <t>Next available UL slot after receiving retransmission indication</t>
    <phoneticPr fontId="32" type="noConversion"/>
  </si>
  <si>
    <t>2x32 SU-MIMO, OFDMA</t>
    <phoneticPr fontId="32" type="noConversion"/>
  </si>
  <si>
    <t>The next available UL slot</t>
    <phoneticPr fontId="32" type="noConversion"/>
  </si>
  <si>
    <t>The next available DL slot after receiving NACK</t>
    <phoneticPr fontId="32" type="noConversion"/>
  </si>
  <si>
    <t xml:space="preserve">2 PRBs and 14 OS for the slots without SRS transmission; 2 PRBs and 12 OS for the slots with SRS  </t>
  </si>
  <si>
    <t>Channel model A</t>
    <phoneticPr fontId="32" type="noConversion"/>
  </si>
  <si>
    <t>Channel model B</t>
    <phoneticPr fontId="32" type="noConversion"/>
  </si>
  <si>
    <t>Channel model A</t>
    <phoneticPr fontId="32" type="noConversion"/>
  </si>
  <si>
    <t>Channel model B</t>
    <phoneticPr fontId="32" type="noConversion"/>
  </si>
  <si>
    <t>Huawei</t>
    <phoneticPr fontId="29" type="noConversion"/>
  </si>
  <si>
    <t>Document created.</t>
    <phoneticPr fontId="29" type="noConversion"/>
  </si>
  <si>
    <t>For 4Rx: Up to 4 layers</t>
    <phoneticPr fontId="32" type="noConversion"/>
  </si>
  <si>
    <t>SU-CQI; CSI-IM for inter-cell interference measurement</t>
    <phoneticPr fontId="32" type="noConversion"/>
  </si>
  <si>
    <t>4 PRBs</t>
    <phoneticPr fontId="32" type="noConversion"/>
  </si>
  <si>
    <t>Power backoff model</t>
    <phoneticPr fontId="32" type="noConversion"/>
  </si>
  <si>
    <t>N/A</t>
    <phoneticPr fontId="32" type="noConversion"/>
  </si>
  <si>
    <t>closed SU/MU-MIMO adaptation</t>
  </si>
  <si>
    <t>DL Spectral efficiency</t>
    <phoneticPr fontId="32" type="noConversion"/>
  </si>
  <si>
    <t>Coding on PDSCH</t>
    <phoneticPr fontId="32" type="noConversion"/>
  </si>
  <si>
    <t>Codeword (CW)-to-layer mapping</t>
    <phoneticPr fontId="32" type="noConversion"/>
  </si>
  <si>
    <t>For 1~4 layers, CW1;
For 5 layers or more, two CWs</t>
    <phoneticPr fontId="32" type="noConversion"/>
  </si>
  <si>
    <t>LDPC
Max code-block size=8448bit 
[with BP decoding]</t>
    <phoneticPr fontId="32" type="noConversion"/>
  </si>
  <si>
    <t>Coding on PUSCH</t>
    <phoneticPr fontId="32" type="noConversion"/>
  </si>
  <si>
    <t xml:space="preserve">UL codebook based SU-MIMO / MU-MIMO </t>
  </si>
  <si>
    <t>4 PRBs</t>
    <phoneticPr fontId="32" type="noConversion"/>
  </si>
  <si>
    <t>NR FDD</t>
    <phoneticPr fontId="32" type="noConversion"/>
  </si>
  <si>
    <t>NR TDD</t>
    <phoneticPr fontId="32" type="noConversion"/>
  </si>
  <si>
    <t>Non-ideal</t>
    <phoneticPr fontId="32" type="noConversion"/>
  </si>
  <si>
    <t>15 kHz SCS,
14 OFDM symbol slot</t>
    <phoneticPr fontId="32" type="noConversion"/>
  </si>
  <si>
    <t>15 kHz / 30 kHz,
14 OFDM symbol slot</t>
    <phoneticPr fontId="32" type="noConversion"/>
  </si>
  <si>
    <t>15 kHz / 30 kHz,
14 OFDM symbol slot</t>
    <phoneticPr fontId="32" type="noConversion"/>
  </si>
  <si>
    <t xml:space="preserve">Full uplink </t>
    <phoneticPr fontId="32" type="noConversion"/>
  </si>
  <si>
    <t>NOTE: This table is a place-holder. The content will be from Intel's excel sheet on overhead.</t>
    <phoneticPr fontId="32" type="noConversion"/>
  </si>
  <si>
    <t xml:space="preserve">NR TDD </t>
    <phoneticPr fontId="32" type="noConversion"/>
  </si>
  <si>
    <t>NR FDD</t>
    <phoneticPr fontId="32" type="noConversion"/>
  </si>
  <si>
    <t>For 12TRxP: 
    - For 4R, (M,N,P,Mg,Ng; Mp,Np) = (1,2,2,1,1; 1,2)
(dH,dV) = (0.5, 0.5)λ</t>
    <phoneticPr fontId="32" type="noConversion"/>
  </si>
  <si>
    <t>RIT</t>
    <phoneticPr fontId="32" type="noConversion"/>
  </si>
  <si>
    <t>NR</t>
    <phoneticPr fontId="32" type="noConversion"/>
  </si>
  <si>
    <t>NR</t>
    <phoneticPr fontId="32" type="noConversion"/>
  </si>
  <si>
    <t>NR</t>
    <phoneticPr fontId="32" type="noConversion"/>
  </si>
  <si>
    <t>FDD</t>
    <phoneticPr fontId="32" type="noConversion"/>
  </si>
  <si>
    <t>32x4 MU-MIMO Type II Codebook</t>
    <phoneticPr fontId="32" type="noConversion"/>
  </si>
  <si>
    <t>32x4 MU-MIMO Type II Codebook (256Tx@gNB)</t>
    <phoneticPr fontId="32" type="noConversion"/>
  </si>
  <si>
    <t>2x32 SU-MIMO, Codebook based, OFDMA</t>
    <phoneticPr fontId="32" type="noConversion"/>
  </si>
  <si>
    <t>Companies to Report:
• Precoded or non-precoded SRS transmission;
• SRS switch or not for 1T4R/2T4R/1T2R
• SRS bandwidth
• Number of OFDM symbols within 1 slot for SRS transmission per UE</t>
    <phoneticPr fontId="32" type="noConversion"/>
  </si>
  <si>
    <t>Companies to Report:
• Precoded or non-precoded SRS transmission;
• SRS switch or not for 1T4R/2T4R/1T2R
• SRS bandwidth
• Number of OFDM symbols within 1 slot for SRS transmission per UE</t>
    <phoneticPr fontId="32" type="noConversion"/>
  </si>
  <si>
    <t>2018.7.24</t>
    <phoneticPr fontId="29" type="noConversion"/>
  </si>
  <si>
    <t>Results Updated</t>
  </si>
  <si>
    <t>32x4 MU-MIMO,  Type II Codebook</t>
  </si>
  <si>
    <t>DSUUD</t>
  </si>
  <si>
    <t>4x32 MU-MIMO, OFDMA</t>
  </si>
  <si>
    <t>UL Spectral Efficiency</t>
  </si>
  <si>
    <t>4x32 MU-MIMO, Codebook based, OFDMA</t>
  </si>
  <si>
    <t>32x4 MU-MIMO,  Type II Codebook (256Tx@gNB)</t>
  </si>
  <si>
    <t>4x32 MU-MIMO
OFDMA</t>
  </si>
  <si>
    <t>NR</t>
  </si>
  <si>
    <t>15 kHz SCS,
14 OFDM symbol slot</t>
  </si>
  <si>
    <t>N/A</t>
  </si>
  <si>
    <t>-</t>
  </si>
  <si>
    <t>Huawei</t>
    <phoneticPr fontId="29" type="noConversion"/>
  </si>
  <si>
    <t>2018.8.13</t>
    <phoneticPr fontId="29" type="noConversion"/>
  </si>
  <si>
    <t>1. Add results for new antenna configuration (32T8R and 8T32R) for 30 GHz.
2. Update UL results for 4GHz and 30GHz for 12TRxP with reduced DMRS overhead, by taking into account the tradeoff between the DMRS overhead and the accuary of channel estimation.</t>
    <phoneticPr fontId="29" type="noConversion"/>
  </si>
  <si>
    <t>Type II codebook;
4 beams, WB+SB amplitude quantization, 8 PSK phase quantization</t>
    <phoneticPr fontId="32" type="noConversion"/>
  </si>
  <si>
    <t>Synchronized</t>
    <phoneticPr fontId="32" type="noConversion"/>
  </si>
  <si>
    <t>TDD</t>
    <phoneticPr fontId="32" type="noConversion"/>
  </si>
  <si>
    <t>Next available UL slot after receiving retransmission indication</t>
    <phoneticPr fontId="32" type="noConversion"/>
  </si>
  <si>
    <t>2 symbols</t>
    <phoneticPr fontId="32" type="noConversion"/>
  </si>
  <si>
    <t>1 SSB / 20ms</t>
    <phoneticPr fontId="32" type="noConversion"/>
  </si>
  <si>
    <t>Type II, up to 12 ports, dynamic</t>
    <phoneticPr fontId="32" type="noConversion"/>
  </si>
  <si>
    <t>FDD</t>
    <phoneticPr fontId="32" type="noConversion"/>
  </si>
  <si>
    <t>Type II, 2  symbols (including one additional DMRS symbol), multiplexing with PUSCH</t>
    <phoneticPr fontId="32" type="noConversion"/>
  </si>
  <si>
    <t>2 symbols per 5 slots</t>
    <phoneticPr fontId="32" type="noConversion"/>
  </si>
  <si>
    <t>NR</t>
    <phoneticPr fontId="32" type="noConversion"/>
  </si>
  <si>
    <t>Results Updated</t>
    <phoneticPr fontId="29" type="noConversion"/>
  </si>
  <si>
    <t>NR FDD</t>
  </si>
  <si>
    <t xml:space="preserve">NR TDD </t>
  </si>
  <si>
    <t>FDD</t>
  </si>
  <si>
    <t>FDD: Full downlink</t>
  </si>
  <si>
    <t>Non-precoded CSI-RS  based</t>
  </si>
  <si>
    <t>4 PRBs</t>
  </si>
  <si>
    <t>Up to 12 layers</t>
  </si>
  <si>
    <t>For 4Rx: Up to 4 layers</t>
  </si>
  <si>
    <t>SU-CQI; CSI-IM for inter-cell interference measurement</t>
  </si>
  <si>
    <t>The next available UL slot</t>
  </si>
  <si>
    <t>The next available DL slot after receiving NACK</t>
  </si>
  <si>
    <t>For 12TRxP: 
    - For 4R, (M,N,P,Mg,Ng; Mp,Np) = (1,2,2,1,1; 1,2)
(dH,dV) = (0.5, 0.5)λ</t>
  </si>
  <si>
    <t>For 12TRxP: 
    - For 4R, (M,N,P,Mg,Ng; Mp,Np) =  (1,2,2,1,1; 1,2)
(dH,dV) = (0.5, 0.5)λ</t>
  </si>
  <si>
    <t>Non-ideal</t>
  </si>
  <si>
    <t>CATT</t>
    <phoneticPr fontId="32" type="noConversion"/>
  </si>
  <si>
    <t>DSUUD</t>
    <phoneticPr fontId="32" type="noConversion"/>
  </si>
  <si>
    <t>Type II codebook;
4 beams, WB+SB, 8 PSK</t>
    <phoneticPr fontId="32" type="noConversion"/>
  </si>
  <si>
    <t xml:space="preserve">PMI, CQI: every 10 slot; RI: every 10 slot;
Subband based </t>
    <phoneticPr fontId="32" type="noConversion"/>
  </si>
  <si>
    <t>CATT</t>
    <phoneticPr fontId="32" type="noConversion"/>
  </si>
  <si>
    <t>15 / 30 kHz SCS,
14 OFDM symbol slot</t>
    <phoneticPr fontId="32" type="noConversion"/>
  </si>
  <si>
    <t>15 / 30 kHz SCS,
14 OFDM symbol slot</t>
    <phoneticPr fontId="32" type="noConversion"/>
  </si>
  <si>
    <t>For 4Tx: NR 4Tx codebook</t>
    <phoneticPr fontId="32" type="noConversion"/>
  </si>
  <si>
    <t>For 4Tx: Up to 2 layers</t>
    <phoneticPr fontId="32" type="noConversion"/>
  </si>
  <si>
    <t>For UE 4 Tx ports: Non-precoded SRS, 4 SRS ports (with 4 SRS resources)
2 symbols in every 10 slots;</t>
    <phoneticPr fontId="32" type="noConversion"/>
  </si>
  <si>
    <t>For UE 4 Tx ports: Non-precoded SRS, 4 SRS ports (with 4 SRS resources),
2 symbols for SRS in every 10 slots,</t>
    <phoneticPr fontId="32" type="noConversion"/>
  </si>
  <si>
    <t>For UE 4 Tx ports: Non-precoded SRS, 4 SRS ports (with 4 SRS resources),
2 symbols in every 10 slots</t>
    <phoneticPr fontId="32" type="noConversion"/>
  </si>
  <si>
    <t>12TRP: For 32R, (M,N,P,Mg,Ng; Mp,Np) = (4,4,2,1,1;4,4)
 (dH,dV) = (0.5, 0.5)λ
36TRP: For 32R, (M,N,P,Mg,Ng; Mp,Np) = (4,8,2,1,1;2,8)
 (dH,dV) = (0.5, 0.5)λ</t>
    <phoneticPr fontId="32" type="noConversion"/>
  </si>
  <si>
    <t>SU-CQI; CSI-IM for inter-cell interference measurement</t>
    <phoneticPr fontId="32" type="noConversion"/>
  </si>
  <si>
    <t>For 12TRxP: 
     - For 32T, (M,N,P,Mg,Ng; Mp,Np) = (4,4,2,1,1;4,4)
For 36TRxP:
    - For 32T, (M,N,P,Mg,Ng; Mp,Np) = (8,16,2,1,1; 2,8)
 (dH,dV) = (0.5, 0.5)λ</t>
    <phoneticPr fontId="32" type="noConversion"/>
  </si>
  <si>
    <t>10 slots period;
32 ports for 32Tx;</t>
    <phoneticPr fontId="32" type="noConversion"/>
  </si>
  <si>
    <t>ZP CSI-RS with 10 slots period;
4 RE/PRB/10 slots</t>
    <phoneticPr fontId="32" type="noConversion"/>
  </si>
  <si>
    <t xml:space="preserve"> -- Precoded CSI-RS: 4*10 ports with 10 slots period (UE-specific beformed csi-rs, 4 ports per UE)
 -- Non-precoded CSI-RS: 32 ports with 10 slots period</t>
    <phoneticPr fontId="32" type="noConversion"/>
  </si>
  <si>
    <t>Type II, 12 ports</t>
    <phoneticPr fontId="32" type="noConversion"/>
  </si>
  <si>
    <t>Type II, 2  symbols</t>
    <phoneticPr fontId="32" type="noConversion"/>
  </si>
  <si>
    <t>2 symbols per 10 slots</t>
    <phoneticPr fontId="32" type="noConversion"/>
  </si>
  <si>
    <t>30 kHz SCS</t>
    <phoneticPr fontId="32" type="noConversion"/>
  </si>
  <si>
    <t>4x32 SU-MIMO, OFDMA</t>
    <phoneticPr fontId="32" type="noConversion"/>
  </si>
  <si>
    <t>4x32 SU-MIMO, Non-Codebook based, OFDMA</t>
    <phoneticPr fontId="32" type="noConversion"/>
  </si>
  <si>
    <t>32x4 MU-MIMO,  4T SRS (256Tx@gNB)</t>
    <phoneticPr fontId="32" type="noConversion"/>
  </si>
  <si>
    <t>4x32 SU-MIMO
OFDMA</t>
    <phoneticPr fontId="32" type="noConversion"/>
  </si>
  <si>
    <t>4x32 SU-MIMO
OFDMA</t>
    <phoneticPr fontId="32" type="noConversion"/>
  </si>
  <si>
    <t xml:space="preserve"> -- For precoded CSI-RS based, non-PMI, N.A.
 -- For non-precoded CSI-RS, Type II codebook;4 beams, WB+SB, 8 PSK</t>
    <phoneticPr fontId="32" type="noConversion"/>
  </si>
  <si>
    <t xml:space="preserve"> -- Precoded CSI-RS based
 -- Non-precoded CSI-RS based</t>
    <phoneticPr fontId="32" type="noConversion"/>
  </si>
  <si>
    <t xml:space="preserve">CQI: every 10 slot; RI: every 10 slot, CRI: every 10 slot; PMI: every 10 slot; 
Subband based </t>
    <phoneticPr fontId="32" type="noConversion"/>
  </si>
  <si>
    <t>12TRP: For 4T, (M,N,P,Mg,Ng; Mp,Np) = (1,2,2,1,1; 1,2)
(dH, dV)=( 0.5, N/A)λ
36TRP: For 4T, (M,N,P,Mg,Ng; Mp,Np) = (1,2,2,1,1; 1,2)
(dH, dV)=( 0.5, N/A)λ</t>
    <phoneticPr fontId="32" type="noConversion"/>
  </si>
  <si>
    <t>12TRP: For 4T, (M,N,P,Mg,Ng; Mp,Np) =  (1,2,2,1,1; 1,2)
(dH, dV)=( 0.5, N/A)λ
36TRP: For 4T, (M,N,P,Mg,Ng; Mp,Np) = (1,2,2,1,1; 1,2)
(dH, dV)=( 0.5, N/A)λ</t>
    <phoneticPr fontId="32" type="noConversion"/>
  </si>
  <si>
    <t>Non-ideal for 12TRxP
Ideal for 36TRxP</t>
    <phoneticPr fontId="32" type="noConversion"/>
  </si>
  <si>
    <t>P0=-76, alpha = 0.8</t>
    <phoneticPr fontId="32" type="noConversion"/>
  </si>
  <si>
    <t>P0=-81, alpha = 0.8</t>
    <phoneticPr fontId="32" type="noConversion"/>
  </si>
  <si>
    <t>Continuous RB allocation: follow TS 38.101 for FR1;
Non-continuous RB allocation:[R1-1806322]</t>
    <phoneticPr fontId="32" type="noConversion"/>
  </si>
  <si>
    <t xml:space="preserve">1 slot with (3 PRB, 14 OS) and 9 slots with (1 PRB, 2 OS) </t>
  </si>
  <si>
    <t xml:space="preserve">1 slot with (3 PRB, 14 OS) and  3 slots with (1 PRB, 2 OS) </t>
  </si>
  <si>
    <t>Four periodic NZP CSI-RS resources with 80ms period, bandwidth 52 PRB
12 RE/PRB/80ms</t>
    <phoneticPr fontId="70" type="noConversion"/>
  </si>
  <si>
    <t>2018.8.16</t>
    <phoneticPr fontId="29" type="noConversion"/>
  </si>
  <si>
    <t>CATT</t>
    <phoneticPr fontId="29" type="noConversion"/>
  </si>
  <si>
    <t>FDD: Full downlink</t>
    <phoneticPr fontId="32" type="noConversion"/>
  </si>
  <si>
    <t>closed SU/MU-MIMO adaptation</t>
    <phoneticPr fontId="32" type="noConversion"/>
  </si>
  <si>
    <t>Non-precoded CSI-RS  based</t>
    <phoneticPr fontId="32" type="noConversion"/>
  </si>
  <si>
    <t>Up to 12 layers</t>
    <phoneticPr fontId="32" type="noConversion"/>
  </si>
  <si>
    <t xml:space="preserve">PMI, CQI: every 5 slot; RI: every 5 slot;
Subband based </t>
    <phoneticPr fontId="32" type="noConversion"/>
  </si>
  <si>
    <t>The next available DL slot after receiving NACK</t>
    <phoneticPr fontId="32" type="noConversion"/>
  </si>
  <si>
    <t>-</t>
    <phoneticPr fontId="32" type="noConversion"/>
  </si>
  <si>
    <t>2018.8.16</t>
  </si>
  <si>
    <t>Ericsson</t>
  </si>
  <si>
    <t>Results added</t>
  </si>
  <si>
    <t>Average [bit/s/Hz/TRxP]</t>
    <phoneticPr fontId="32" type="noConversion"/>
  </si>
  <si>
    <t>2018.8.17</t>
    <phoneticPr fontId="29" type="noConversion"/>
  </si>
  <si>
    <t>2x32 MU-MIMO
OFDMA</t>
    <phoneticPr fontId="32" type="noConversion"/>
  </si>
  <si>
    <t>For 12TRxP: 
     - For 32T, (M,N,P,Mg,Ng; Mp,Np) = (4,4,2,1,1;4,4)</t>
    <phoneticPr fontId="32" type="noConversion"/>
  </si>
  <si>
    <t>For 12TRxP: 
    - For 4R, (M,N,P,Mg,Ng; Mp,Np) = (1,2,2,1,1; 1,2)
(dH,dV) = (0.5, 0.5)λ</t>
    <phoneticPr fontId="32" type="noConversion"/>
  </si>
  <si>
    <t>UL SU-MIMO with rank adaptation</t>
  </si>
  <si>
    <t>NR</t>
    <phoneticPr fontId="32" type="noConversion"/>
  </si>
  <si>
    <t>15 kHz SCS</t>
    <phoneticPr fontId="32" type="noConversion"/>
  </si>
  <si>
    <t>CAICT</t>
    <phoneticPr fontId="32" type="noConversion"/>
  </si>
  <si>
    <t>FDD</t>
    <phoneticPr fontId="32" type="noConversion"/>
  </si>
  <si>
    <t>TDD</t>
    <phoneticPr fontId="32" type="noConversion"/>
  </si>
  <si>
    <t>2 symbols</t>
    <phoneticPr fontId="32" type="noConversion"/>
  </si>
  <si>
    <t>1 SSB / 20ms</t>
    <phoneticPr fontId="32" type="noConversion"/>
  </si>
  <si>
    <t>5 slots period;
32 ports for 32Tx;</t>
    <phoneticPr fontId="32" type="noConversion"/>
  </si>
  <si>
    <t xml:space="preserve">
4*10 ports with 5 slots period (UE-specific beformed csi-rs, 4 ports per UE)</t>
    <phoneticPr fontId="32" type="noConversion"/>
  </si>
  <si>
    <t>ZP CSI-RS with 5 slots period;
4 RE/PRB/5 slots</t>
    <phoneticPr fontId="32" type="noConversion"/>
  </si>
  <si>
    <t>20ms period;
maximal bandwidth with 52 PRB;
burst length with 2 slots
12 RE/PRB/20ms</t>
    <phoneticPr fontId="32" type="noConversion"/>
  </si>
  <si>
    <t>20ms period;
maximal bandwidth with 51 PRB;
burst length with 2 slots
12 RE/PRB/20ms</t>
    <phoneticPr fontId="32" type="noConversion"/>
  </si>
  <si>
    <t>N/A</t>
    <phoneticPr fontId="32" type="noConversion"/>
  </si>
  <si>
    <t>CAICT</t>
    <phoneticPr fontId="32" type="noConversion"/>
  </si>
  <si>
    <t>FDD: Full downlink</t>
    <phoneticPr fontId="32" type="noConversion"/>
  </si>
  <si>
    <t>Non-precoded CSI-RS  based</t>
    <phoneticPr fontId="32" type="noConversion"/>
  </si>
  <si>
    <t>For 4Rx: Up to 2 layers</t>
    <phoneticPr fontId="32" type="noConversion"/>
  </si>
  <si>
    <t xml:space="preserve">PMI, CQI: every 5 slot; RI: every 5 slot;
Subband based </t>
    <phoneticPr fontId="32" type="noConversion"/>
  </si>
  <si>
    <t>SU-CQI; CSI-IM for inter-cell interference measurement</t>
    <phoneticPr fontId="32" type="noConversion"/>
  </si>
  <si>
    <t>For 12TRxP: 
     - For 32T, (M,N,P,Mg,Ng; Mp,Np) = (4,4,2,1,1;4,4)</t>
    <phoneticPr fontId="32" type="noConversion"/>
  </si>
  <si>
    <t>For 12TRxP: 
    - For 4R, (M,N,P,Mg,Ng; Mp,Np) =  (1,2,2,1,1; 1,2)
(dH,dV) = (0.5, 0.5)λ</t>
    <phoneticPr fontId="32" type="noConversion"/>
  </si>
  <si>
    <t>Aligned with reference</t>
    <phoneticPr fontId="32" type="noConversion"/>
  </si>
  <si>
    <t>-</t>
    <phoneticPr fontId="32" type="noConversion"/>
  </si>
  <si>
    <t>CAICT</t>
    <phoneticPr fontId="32" type="noConversion"/>
  </si>
  <si>
    <t>CAICT</t>
    <phoneticPr fontId="29" type="noConversion"/>
  </si>
  <si>
    <t>Rural Results Updated</t>
    <phoneticPr fontId="29" type="noConversion"/>
  </si>
  <si>
    <t>OPPO</t>
    <phoneticPr fontId="29" type="noConversion"/>
  </si>
  <si>
    <t>OPPO</t>
    <phoneticPr fontId="32" type="noConversion"/>
  </si>
  <si>
    <t>For UE 4 Tx ports: Non-precoded SRS, 4 SRS ports (with 4 SRS resources)
2 symbols every 10ms</t>
    <phoneticPr fontId="32" type="noConversion"/>
  </si>
  <si>
    <t>5 ms period;
32 ports for 32Tx, 1RE/port/PRB</t>
    <phoneticPr fontId="32" type="noConversion"/>
  </si>
  <si>
    <t>5 ms period;
4*10 ports, 1RE/port/PRB</t>
    <phoneticPr fontId="32" type="noConversion"/>
  </si>
  <si>
    <t>ZP CSI-RS with 5 ms period;
4 REs/PRB/5 ms</t>
    <phoneticPr fontId="32" type="noConversion"/>
  </si>
  <si>
    <t>12 REs/PRB with 20ms period;
maximal bandwidth with 52 PRB;</t>
    <phoneticPr fontId="32" type="noConversion"/>
  </si>
  <si>
    <t>2 symbols in 10ms</t>
    <phoneticPr fontId="32" type="noConversion"/>
  </si>
  <si>
    <t>12 REs/PRB with 20ms period;
maximal bandwidth with 51 PRB;</t>
    <phoneticPr fontId="32" type="noConversion"/>
  </si>
  <si>
    <t>OPPO</t>
    <phoneticPr fontId="32" type="noConversion"/>
  </si>
  <si>
    <t>Results Updated</t>
    <phoneticPr fontId="29" type="noConversion"/>
  </si>
  <si>
    <t>CMCC</t>
    <phoneticPr fontId="29" type="noConversion"/>
  </si>
  <si>
    <t>CMCC</t>
    <phoneticPr fontId="32" type="noConversion"/>
  </si>
  <si>
    <t>30kHz SCS,
14 OFDM symbol slot</t>
    <phoneticPr fontId="32" type="noConversion"/>
  </si>
  <si>
    <t>Precoded CSI-RS based</t>
    <phoneticPr fontId="32" type="noConversion"/>
  </si>
  <si>
    <t>• non-precoded SRS transmission;
• SRS switch for 2T4R
• adaptive SRS bandwidth per UE 
• 2 symbols within 1 slot for SRS transmission per UE</t>
    <phoneticPr fontId="32" type="noConversion"/>
  </si>
  <si>
    <t xml:space="preserve">CQI: every 10 slot; RI: every 10 slot, CRI: every 10 slot
Subband based </t>
    <phoneticPr fontId="32" type="noConversion"/>
  </si>
  <si>
    <t>For 4R:  (M,N,P,Mg,Ng; Mp,Np)= (1,2,2,1,1; 1,2)
(dH, dV)=(0.5, N/A)λ</t>
    <phoneticPr fontId="32" type="noConversion"/>
  </si>
  <si>
    <t>4 SSB / 20ms</t>
    <phoneticPr fontId="32" type="noConversion"/>
  </si>
  <si>
    <t>4 symbols per 5ms(10 slot)</t>
    <phoneticPr fontId="32" type="noConversion"/>
  </si>
  <si>
    <t>DDDDD DDSUU</t>
    <phoneticPr fontId="32" type="noConversion"/>
  </si>
  <si>
    <t>TDD: 8.2% (51 RB for 30 kHz 20 MHz); 1.72% (273 RB for 30 kHz 100 MHz)</t>
  </si>
  <si>
    <t>20MHz</t>
  </si>
  <si>
    <t xml:space="preserve">TDD Config 1: [DDDDDDDSUU], S(6DL:4GP:4UL) 
TDD Config 2: [DDSUUUUUUU], S(6DL:4GP:4UL) </t>
  </si>
  <si>
    <t>ZP CSI-RS with 5 slots period;
4 RE/PRB/5 slots</t>
  </si>
  <si>
    <t>ZP CSI-RS with 5 ms(10 slots) period;
4 RE/PRB/5 ms(10 slots)</t>
  </si>
  <si>
    <t>20ms period;
maximal bandwidth with 52 PRB;
burst length with 2 slots
12 RE/PRB/20ms</t>
  </si>
  <si>
    <t>2018.8.18</t>
  </si>
  <si>
    <t xml:space="preserve">
4*8 ports with 5ms(10 slots) period (4 ports beamformed csi-rs)</t>
  </si>
  <si>
    <t>2018.8.19</t>
    <phoneticPr fontId="29" type="noConversion"/>
  </si>
  <si>
    <t>ZTE</t>
  </si>
  <si>
    <t>ZTE</t>
    <phoneticPr fontId="29" type="noConversion"/>
  </si>
  <si>
    <t>NR TDD</t>
  </si>
  <si>
    <t>30 kHz SCS,
14 OFDM symbol slot</t>
  </si>
  <si>
    <t xml:space="preserve">PMI, CQI: every 5 slot; RI: every 5 slot;
Subband based </t>
  </si>
  <si>
    <t>For 12TRxP: 
     - For 32T, (M,N,P,Mg,Ng; Mp,Np) = (4,4,2,1,1;4,4)
 (dH,dV) = (0.5, 0.5)λ</t>
  </si>
  <si>
    <t>Type II codebook</t>
  </si>
  <si>
    <t>Option-1:DSUUD
Option-2:DDDSU</t>
    <phoneticPr fontId="32" type="noConversion"/>
  </si>
  <si>
    <t>For 2Tx: NR 2Tx codebook</t>
  </si>
  <si>
    <r>
      <rPr>
        <sz val="10"/>
        <rFont val="Arial"/>
        <family val="2"/>
      </rPr>
      <t>N</t>
    </r>
    <r>
      <rPr>
        <sz val="10"/>
        <rFont val="Arial"/>
        <family val="2"/>
      </rPr>
      <t>/A</t>
    </r>
  </si>
  <si>
    <t>For 2Tx: Up to 2 layers</t>
  </si>
  <si>
    <t>For 12TRxP: 
     - For 32R, (M,N,P,Mg,Ng; Mp,Np) = (4,4,2,1,1;4,4)
 (dH,dV) = (0.5, 0.5)λ</t>
  </si>
  <si>
    <t>For 12TRxP: 
     - For 2T, (M,N,P,Mg,Ng; Mp,Np) = (1,1,2,1,1;1,1)
 (dH,dV) = (0.5, 0.5)λ</t>
  </si>
  <si>
    <t>P0=-80, alpha = 0.8</t>
  </si>
  <si>
    <t>Upload results for 4GHz</t>
    <phoneticPr fontId="29" type="noConversion"/>
  </si>
  <si>
    <t>8 SSB / 20ms</t>
  </si>
  <si>
    <t>5 slots period;
32 ports for 32Tx;</t>
  </si>
  <si>
    <t>8*4 ports with 10 slots period</t>
  </si>
  <si>
    <t>Type II, up to 12 ports, dynamic</t>
  </si>
  <si>
    <t>20ms period;
maximal bandwidth with 52 PRB;
burst length with 2 slots
6 RE/PRB/20ms</t>
  </si>
  <si>
    <t>4 PRBs, 14 OS</t>
  </si>
  <si>
    <t>TypeII, 2 ports</t>
  </si>
  <si>
    <t>2 symbols per 10 slots</t>
  </si>
  <si>
    <t>ZTE</t>
    <phoneticPr fontId="32" type="noConversion"/>
  </si>
  <si>
    <t>DDDSU
DSUUD</t>
    <phoneticPr fontId="32" type="noConversion"/>
  </si>
  <si>
    <t>N/A</t>
    <phoneticPr fontId="32" type="noConversion"/>
  </si>
  <si>
    <t>• non-precoded SRS transmission;</t>
  </si>
  <si>
    <t>Non-PMI feedback</t>
  </si>
  <si>
    <t>2 SRS ports : Non-precoded SRS, 
2 symbols for SRS in every 10 slots,</t>
    <phoneticPr fontId="32" type="noConversion"/>
  </si>
  <si>
    <t>2018.8.20</t>
    <phoneticPr fontId="29" type="noConversion"/>
  </si>
  <si>
    <t>China Telecom</t>
    <phoneticPr fontId="29" type="noConversion"/>
  </si>
  <si>
    <t>China Telecom</t>
  </si>
  <si>
    <t>Precoded CSI-RS based, non-PMI</t>
  </si>
  <si>
    <t>For UE 4 Tx ports: Non-precoded SRS, 4 SRS ports (with 4 SRS resources)
2 symbols in special slot for SRS;
8 PRBs per symbol</t>
  </si>
  <si>
    <t xml:space="preserve">CQI: every 5 slot; RI: every 5 slot, CRI: every 5 slot
Subband based </t>
  </si>
  <si>
    <t>ideal</t>
  </si>
  <si>
    <t>1 SSB / 20ms</t>
  </si>
  <si>
    <t xml:space="preserve">
4*10 ports with 5 slots period (UE-specific beformed csi-rs, 4 ports per UE)</t>
  </si>
  <si>
    <t>China Telecom</t>
    <phoneticPr fontId="32" type="noConversion"/>
  </si>
  <si>
    <t>32x4 MU-MIMO,  4T SRS (128Tx@gNB)</t>
    <phoneticPr fontId="32" type="noConversion"/>
  </si>
  <si>
    <t>2018.8.20</t>
  </si>
  <si>
    <t>Huawei</t>
    <phoneticPr fontId="29" type="noConversion"/>
  </si>
  <si>
    <t>1. Add results for TDD 15kHz SCS and update results for TDD 30kHz SCS based on non-precoded CSI-RS measurement
2. Add results for new antenna configuration, i.e. 4Tx for UL</t>
    <phoneticPr fontId="29" type="noConversion"/>
  </si>
  <si>
    <t>FDD: 6.4% (for 10 MHz bandwidth)
TDD: 8.2% (51 RB for 30kHz SCS and  20 MHz bandwidth)
TDD: 4.6% (106 RB for 15kHz SCS and  20 MHz bandwidth)</t>
    <phoneticPr fontId="32" type="noConversion"/>
  </si>
  <si>
    <t xml:space="preserve">NR TDD </t>
    <phoneticPr fontId="32" type="noConversion"/>
  </si>
  <si>
    <t>15/30 kHz SCS,
14 OFDM symbol slot</t>
    <phoneticPr fontId="32" type="noConversion"/>
  </si>
  <si>
    <t>For UE 4 Tx ports: Non-precoded SRS, 4 SRS ports (with 4 SRS resources)
2 symbols per 5 slots for 30kHz SCS;
4 symbols per 5 slots for 15kHz SCS;</t>
    <phoneticPr fontId="32" type="noConversion"/>
  </si>
  <si>
    <t xml:space="preserve">CQI: every 5 slot; RI: every 5 slot, CRI: every 5 slot
Subband based </t>
    <phoneticPr fontId="32" type="noConversion"/>
  </si>
  <si>
    <t>Aligned with reference</t>
    <phoneticPr fontId="32" type="noConversion"/>
  </si>
  <si>
    <t>Huawei</t>
    <phoneticPr fontId="32" type="noConversion"/>
  </si>
  <si>
    <t>FDD</t>
    <phoneticPr fontId="32" type="noConversion"/>
  </si>
  <si>
    <t>TDD</t>
    <phoneticPr fontId="32" type="noConversion"/>
  </si>
  <si>
    <t>2 symbols</t>
    <phoneticPr fontId="32" type="noConversion"/>
  </si>
  <si>
    <t>1 SSB / 20ms</t>
    <phoneticPr fontId="32" type="noConversion"/>
  </si>
  <si>
    <t>5 slots period;
32 ports for 32Tx;</t>
    <phoneticPr fontId="32" type="noConversion"/>
  </si>
  <si>
    <t>ZP CSI-RS with 5 slots period;
4 RE/PRB/5 slots</t>
    <phoneticPr fontId="32" type="noConversion"/>
  </si>
  <si>
    <t>Type II, up to 12 ports, dynamic</t>
    <phoneticPr fontId="32" type="noConversion"/>
  </si>
  <si>
    <t>20ms period;
maximal bandwidth with 52 PRB;
burst length with 2 slots
12 RE/PRB/20ms</t>
    <phoneticPr fontId="32" type="noConversion"/>
  </si>
  <si>
    <t>N/A</t>
    <phoneticPr fontId="32" type="noConversion"/>
  </si>
  <si>
    <t>2 symbols</t>
    <phoneticPr fontId="32" type="noConversion"/>
  </si>
  <si>
    <t>2 PRBs and 14 OS for 30kHz SCS for the slots without SRS transmission;
4 PRBs and 14 OS for 15kHz  SCS for the slots without SRS transmission</t>
    <phoneticPr fontId="32" type="noConversion"/>
  </si>
  <si>
    <t>NR</t>
    <phoneticPr fontId="32" type="noConversion"/>
  </si>
  <si>
    <t>15 kHz SCS</t>
    <phoneticPr fontId="32" type="noConversion"/>
  </si>
  <si>
    <t>DDDSU</t>
    <phoneticPr fontId="32" type="noConversion"/>
  </si>
  <si>
    <t>Average [bit/s/Hz/TRxP]</t>
    <phoneticPr fontId="32" type="noConversion"/>
  </si>
  <si>
    <t>5th percentile [bit/s/Hz]</t>
    <phoneticPr fontId="32" type="noConversion"/>
  </si>
  <si>
    <t>NR</t>
    <phoneticPr fontId="32" type="noConversion"/>
  </si>
  <si>
    <t>2x32 SU-MIMO, Codebook based, OFDMA</t>
    <phoneticPr fontId="32" type="noConversion"/>
  </si>
  <si>
    <t>15 kHz SCS</t>
    <phoneticPr fontId="32" type="noConversion"/>
  </si>
  <si>
    <t>DDDSU</t>
    <phoneticPr fontId="32" type="noConversion"/>
  </si>
  <si>
    <t>Average [bit/s/Hz/TRxP]</t>
    <phoneticPr fontId="32" type="noConversion"/>
  </si>
  <si>
    <t>5th percentile [bit/s/Hz]</t>
    <phoneticPr fontId="32" type="noConversion"/>
  </si>
  <si>
    <t>4x32 SU-MIMO, Codebook based, OFDMA</t>
    <phoneticPr fontId="32" type="noConversion"/>
  </si>
  <si>
    <t>32x8 MU-MIMO
Type II Codebook</t>
  </si>
  <si>
    <t>32x8 MU-MIMO,  8T SRS</t>
  </si>
  <si>
    <t>20 MHz</t>
    <phoneticPr fontId="32" type="noConversion"/>
  </si>
  <si>
    <t>OPPO</t>
    <phoneticPr fontId="32" type="noConversion"/>
  </si>
  <si>
    <t>OPPO</t>
    <phoneticPr fontId="32" type="noConversion"/>
  </si>
  <si>
    <t>2018.8.23</t>
    <phoneticPr fontId="29" type="noConversion"/>
  </si>
  <si>
    <t>OPPO</t>
    <phoneticPr fontId="29" type="noConversion"/>
  </si>
  <si>
    <t>CATT</t>
    <phoneticPr fontId="29" type="noConversion"/>
  </si>
  <si>
    <t>Results updated according to the updated OH and UL 30KHz SCS results added</t>
    <phoneticPr fontId="29" type="noConversion"/>
  </si>
  <si>
    <t>2 symbols</t>
    <phoneticPr fontId="32" type="noConversion"/>
  </si>
  <si>
    <t>4x32 SU-MIMO, Non-Codebook based, OFDMA</t>
    <phoneticPr fontId="32" type="noConversion"/>
  </si>
  <si>
    <t>4x32 SU-MIMO, Codebook based, OFDMA</t>
    <phoneticPr fontId="32" type="noConversion"/>
  </si>
  <si>
    <t>2018.8.23</t>
    <phoneticPr fontId="29" type="noConversion"/>
  </si>
  <si>
    <t>ZTE</t>
    <phoneticPr fontId="29" type="noConversion"/>
  </si>
  <si>
    <t>updated results</t>
    <phoneticPr fontId="29" type="noConversion"/>
  </si>
  <si>
    <t>Antenna and TXRU mapping</t>
    <phoneticPr fontId="32" type="noConversion"/>
  </si>
  <si>
    <t>gNB: (M,N,P,Mg,Ng; Mp,Np) = (4,4,2,1,1;4,4)</t>
    <phoneticPr fontId="32" type="noConversion"/>
  </si>
  <si>
    <t>32x4 MU-MIMO
Ideal CSI feedback</t>
    <phoneticPr fontId="32" type="noConversion"/>
  </si>
  <si>
    <t>gNB: (M,N,P,Mg,Ng; Mp,Np) = (8,16,2,1,1;2,8)</t>
    <phoneticPr fontId="32" type="noConversion"/>
  </si>
  <si>
    <t>gNB: (M,N,P,Mg,Ng; Mp,Np) = (8,8,2,1,1;4,4)</t>
    <phoneticPr fontId="32" type="noConversion"/>
  </si>
  <si>
    <t>32x4 MU-MIMO ideal CSI feedback(128Tx@gNB)</t>
    <phoneticPr fontId="32" type="noConversion"/>
  </si>
  <si>
    <t>gNB: (M,N,P,Mg,Ng; Mp,Np) = (4,4,2,1,1;4,4)</t>
    <phoneticPr fontId="32" type="noConversion"/>
  </si>
  <si>
    <t>32x4 MU-MIMO Type I codebook (32Tx@gNB)</t>
    <phoneticPr fontId="32" type="noConversion"/>
  </si>
  <si>
    <t>32x4 MU-MIMO Type I Codebook</t>
    <phoneticPr fontId="32" type="noConversion"/>
  </si>
  <si>
    <t>gNB: (M,N,P,Mg,Ng; Mp,Np) = (8,8,2,1,1;2,8)</t>
    <phoneticPr fontId="32" type="noConversion"/>
  </si>
  <si>
    <r>
      <t>For 12TRxP: 
     - For 32T, (M,N,P,Mg,Ng; Mp,Np) = (4,4,2,1,1;4,4)
For 36TRxP:
    -</t>
    </r>
    <r>
      <rPr>
        <sz val="9"/>
        <color rgb="FFFF0000"/>
        <rFont val="Arial"/>
        <family val="2"/>
      </rPr>
      <t xml:space="preserve"> For 32T, (M,N,P,Mg,Ng; Mp,Np) = (8,16,2,1,1; 2,8)</t>
    </r>
    <r>
      <rPr>
        <sz val="9"/>
        <rFont val="Arial"/>
        <family val="2"/>
      </rPr>
      <t xml:space="preserve">
 (dH,dV) = (0.5, 0.5)λ</t>
    </r>
    <phoneticPr fontId="32" type="noConversion"/>
  </si>
  <si>
    <t>gNB: (M,N,P,Mg,Ng; Mp,Np) = (4,4,2,1,1;4,4)</t>
    <phoneticPr fontId="32" type="noConversion"/>
  </si>
  <si>
    <t>gNB: (M,N,P,Mg,Ng; Mp,Np) = (4,8,2,1,1;2,8)</t>
    <phoneticPr fontId="32" type="noConversion"/>
  </si>
  <si>
    <t>Frequency Range 1 - FDD</t>
  </si>
  <si>
    <t>Assumption: 10MHz BW, 15kHz SCS, 10ms duration</t>
  </si>
  <si>
    <t>TOTAL PRBs</t>
  </si>
  <si>
    <t>DMRS</t>
  </si>
  <si>
    <t>CSI-RS</t>
  </si>
  <si>
    <t>CSI-IM</t>
  </si>
  <si>
    <t>TRS</t>
  </si>
  <si>
    <t>SSB</t>
  </si>
  <si>
    <t>PDCCH</t>
  </si>
  <si>
    <t>Frequency Range 1 - TDD</t>
  </si>
  <si>
    <t>Assumption: 20 MHz BW, 15kHz SCS, 10ms duration</t>
  </si>
  <si>
    <t>Total PRBs</t>
  </si>
  <si>
    <t>TDD Frame Structure</t>
  </si>
  <si>
    <t>DSUUD; S (6D,2G,6U)</t>
  </si>
  <si>
    <t>DDDSU;S(10D,2G,2U)</t>
  </si>
  <si>
    <t>CATT(non-precoded CSIRS)</t>
    <phoneticPr fontId="70" type="noConversion"/>
  </si>
  <si>
    <t>Assumption: 10 MHz BW, 15kHz SCS, 10ms duration</t>
  </si>
  <si>
    <t>SRS</t>
  </si>
  <si>
    <t>PUCCH</t>
  </si>
  <si>
    <t>2018.8.27</t>
    <phoneticPr fontId="29" type="noConversion"/>
  </si>
  <si>
    <t>Huawei</t>
    <phoneticPr fontId="29" type="noConversion"/>
  </si>
  <si>
    <t>1. Adjust formats and add a column to indicate the antenna and TXRU mapping in the result sheets.
2. Merge the overhead calculation sheet based on the newest version v36 into the result collection excel.</t>
    <phoneticPr fontId="29" type="noConversion"/>
  </si>
  <si>
    <t>2018.8.28</t>
    <phoneticPr fontId="29" type="noConversion"/>
  </si>
  <si>
    <t>OPPO</t>
    <phoneticPr fontId="29" type="noConversion"/>
  </si>
  <si>
    <t>update results</t>
    <phoneticPr fontId="29" type="noConversion"/>
  </si>
  <si>
    <t>32x4 MU-MIMO,   Type II Codebook  (256Tx@gNB)</t>
    <phoneticPr fontId="32" type="noConversion"/>
  </si>
  <si>
    <t>Antenna config &amp; Tx scheme</t>
    <phoneticPr fontId="32" type="noConversion"/>
  </si>
  <si>
    <t>12TRP:For  32R, (M,N,P,Mg,Ng; Mp,Np) = (4,4,2,1,1;4,4)
 (dH,dV) = (0.5, 0.5)λ
36TRP: For 32R, (M,N,P,Mg,Ng; Mp,Np) = (4,8,2,1,1;2,8)
 (dH,dV) = (0.5, 0.5)λ</t>
    <phoneticPr fontId="32" type="noConversion"/>
  </si>
  <si>
    <t>gNB: (M,N,P,Mg,Ng; Mp,Np) = (4,8,2,1,1;2,8)</t>
    <phoneticPr fontId="32" type="noConversion"/>
  </si>
  <si>
    <t>gNB: (M,N,P,Mg,Ng; Mp,Np) = (4,8,2,1,1;2,8)</t>
    <phoneticPr fontId="32" type="noConversion"/>
  </si>
  <si>
    <t>Antenna and TXRU mapping</t>
    <phoneticPr fontId="32" type="noConversion"/>
  </si>
  <si>
    <t>2018.8.28</t>
    <phoneticPr fontId="29" type="noConversion"/>
  </si>
  <si>
    <t>CATT</t>
    <phoneticPr fontId="29" type="noConversion"/>
  </si>
  <si>
    <t>update Antenna and TXRU mapping and Antenna config &amp; Tx scheme</t>
    <phoneticPr fontId="29" type="noConversion"/>
  </si>
  <si>
    <t>Note: OH1 is the orginal overhead provided by each company. OH2 is the adjusted overhead according to the agreed GP and PUCCH assumption.</t>
    <phoneticPr fontId="32" type="noConversion"/>
  </si>
  <si>
    <t>Total RE
w/ OH1</t>
    <phoneticPr fontId="70" type="noConversion"/>
  </si>
  <si>
    <t>Total OH RE w/ OH1</t>
    <phoneticPr fontId="70" type="noConversion"/>
  </si>
  <si>
    <t>Total OH (%) w/ OH1</t>
    <phoneticPr fontId="70" type="noConversion"/>
  </si>
  <si>
    <t>Total RE
w/ OH2</t>
    <phoneticPr fontId="70" type="noConversion"/>
  </si>
  <si>
    <t>Total OH RE
w/ OH2</t>
    <phoneticPr fontId="70" type="noConversion"/>
  </si>
  <si>
    <t>Total OH (%) w/ OH2</t>
    <phoneticPr fontId="70" type="noConversion"/>
  </si>
  <si>
    <t>Adjust factor for OH1 and OH2</t>
    <phoneticPr fontId="70" type="noConversion"/>
  </si>
  <si>
    <t>CATT</t>
    <phoneticPr fontId="70" type="noConversion"/>
  </si>
  <si>
    <t>Huawei</t>
    <phoneticPr fontId="70" type="noConversion"/>
  </si>
  <si>
    <t>GP(50%)</t>
    <phoneticPr fontId="32" type="noConversion"/>
  </si>
  <si>
    <t>Total RE
w/ OH1</t>
    <phoneticPr fontId="70" type="noConversion"/>
  </si>
  <si>
    <t>Total OH RE w/ OH1</t>
    <phoneticPr fontId="70" type="noConversion"/>
  </si>
  <si>
    <t>Total OH (%) w/ OH1</t>
    <phoneticPr fontId="70" type="noConversion"/>
  </si>
  <si>
    <t>Total RE
w/ OH2</t>
    <phoneticPr fontId="70" type="noConversion"/>
  </si>
  <si>
    <t>Total OH RE
w/ OH2</t>
    <phoneticPr fontId="70" type="noConversion"/>
  </si>
  <si>
    <t>Total OH (%) w/ OH2</t>
    <phoneticPr fontId="70" type="noConversion"/>
  </si>
  <si>
    <t>Adjust factor for OH1 and OH2</t>
    <phoneticPr fontId="70" type="noConversion"/>
  </si>
  <si>
    <t>CATT</t>
    <phoneticPr fontId="70" type="noConversion"/>
  </si>
  <si>
    <t>DSUUD; S (11D,1G,2U)</t>
    <phoneticPr fontId="70" type="noConversion"/>
  </si>
  <si>
    <t>Huawei</t>
    <phoneticPr fontId="70" type="noConversion"/>
  </si>
  <si>
    <t>DDDSU; S (10D,2G,2U)</t>
    <phoneticPr fontId="70" type="noConversion"/>
  </si>
  <si>
    <t>Assumption: 20 MHz BW, 30kHz SCS, 10ms duration</t>
    <phoneticPr fontId="70" type="noConversion"/>
  </si>
  <si>
    <t>GP(50%)</t>
    <phoneticPr fontId="32" type="noConversion"/>
  </si>
  <si>
    <t>Total RE
w/ OH1</t>
    <phoneticPr fontId="70" type="noConversion"/>
  </si>
  <si>
    <t>Total OH RE w/ OH1</t>
    <phoneticPr fontId="70" type="noConversion"/>
  </si>
  <si>
    <t>Total OH (%) w/ OH1</t>
    <phoneticPr fontId="70" type="noConversion"/>
  </si>
  <si>
    <t>Total RE
w/ OH2</t>
    <phoneticPr fontId="70" type="noConversion"/>
  </si>
  <si>
    <t>Total OH RE
w/ OH2</t>
    <phoneticPr fontId="70" type="noConversion"/>
  </si>
  <si>
    <t>Total OH (%) w/ OH2</t>
    <phoneticPr fontId="70" type="noConversion"/>
  </si>
  <si>
    <t>Adjust factor for OH1 and OH2</t>
    <phoneticPr fontId="70" type="noConversion"/>
  </si>
  <si>
    <t>Total RE
w/ OH1</t>
    <phoneticPr fontId="70" type="noConversion"/>
  </si>
  <si>
    <t>Total OH RE w/ OH1</t>
    <phoneticPr fontId="70" type="noConversion"/>
  </si>
  <si>
    <t>Total OH (%) w/ OH1</t>
    <phoneticPr fontId="70" type="noConversion"/>
  </si>
  <si>
    <t>Total RE
w/ OH2</t>
    <phoneticPr fontId="70" type="noConversion"/>
  </si>
  <si>
    <t>Total OH RE
w/ OH2</t>
    <phoneticPr fontId="70" type="noConversion"/>
  </si>
  <si>
    <t>Total OH (%) w/ OH2</t>
    <phoneticPr fontId="70" type="noConversion"/>
  </si>
  <si>
    <t>Adjust factor for OH1 and OH2</t>
    <phoneticPr fontId="70" type="noConversion"/>
  </si>
  <si>
    <t>Antenna configuration</t>
    <phoneticPr fontId="70" type="noConversion"/>
  </si>
  <si>
    <t>GP</t>
    <phoneticPr fontId="70" type="noConversion"/>
  </si>
  <si>
    <t>Total RE
w/ OH1</t>
    <phoneticPr fontId="70" type="noConversion"/>
  </si>
  <si>
    <t>Total OH RE w/ OH1</t>
    <phoneticPr fontId="70" type="noConversion"/>
  </si>
  <si>
    <t>Total OH (%) w/ OH1</t>
    <phoneticPr fontId="70" type="noConversion"/>
  </si>
  <si>
    <t>Total RE
w/ OH2</t>
    <phoneticPr fontId="70" type="noConversion"/>
  </si>
  <si>
    <t>Total OH RE
w/ OH2</t>
    <phoneticPr fontId="70" type="noConversion"/>
  </si>
  <si>
    <t>Total OH (%) w/ OH2</t>
    <phoneticPr fontId="70" type="noConversion"/>
  </si>
  <si>
    <t>Adjust factor for OH1 and OH2</t>
    <phoneticPr fontId="70" type="noConversion"/>
  </si>
  <si>
    <t>32T4R</t>
    <phoneticPr fontId="70" type="noConversion"/>
  </si>
  <si>
    <t>32T4R</t>
    <phoneticPr fontId="70" type="noConversion"/>
  </si>
  <si>
    <t>CATT</t>
    <phoneticPr fontId="70" type="noConversion"/>
  </si>
  <si>
    <t>Huawei</t>
    <phoneticPr fontId="70" type="noConversion"/>
  </si>
  <si>
    <t>CAICT</t>
    <phoneticPr fontId="32" type="noConversion"/>
  </si>
  <si>
    <t>OPPO</t>
    <phoneticPr fontId="32" type="noConversion"/>
  </si>
  <si>
    <t>Antenna configuration</t>
    <phoneticPr fontId="70" type="noConversion"/>
  </si>
  <si>
    <t>GP(50%)</t>
    <phoneticPr fontId="70" type="noConversion"/>
  </si>
  <si>
    <t>32T4R</t>
    <phoneticPr fontId="32" type="noConversion"/>
  </si>
  <si>
    <t>32T4R</t>
    <phoneticPr fontId="70" type="noConversion"/>
  </si>
  <si>
    <t>DSUUD; S (11D,1G,2U)</t>
    <phoneticPr fontId="70" type="noConversion"/>
  </si>
  <si>
    <t>CATT(precoded CSIRS)</t>
    <phoneticPr fontId="70" type="noConversion"/>
  </si>
  <si>
    <t>32T4R</t>
    <phoneticPr fontId="70" type="noConversion"/>
  </si>
  <si>
    <t>DSUUD; S (11D,1G,2U)</t>
    <phoneticPr fontId="70" type="noConversion"/>
  </si>
  <si>
    <r>
      <t>3</t>
    </r>
    <r>
      <rPr>
        <sz val="10"/>
        <rFont val="Arial"/>
        <family val="2"/>
      </rPr>
      <t>2T4R</t>
    </r>
    <phoneticPr fontId="32" type="noConversion"/>
  </si>
  <si>
    <r>
      <t>H</t>
    </r>
    <r>
      <rPr>
        <sz val="10"/>
        <rFont val="Arial"/>
        <family val="2"/>
      </rPr>
      <t>uawei</t>
    </r>
    <phoneticPr fontId="32" type="noConversion"/>
  </si>
  <si>
    <t>32T4R (12TRxP)</t>
    <phoneticPr fontId="70" type="noConversion"/>
  </si>
  <si>
    <t>DDDSU; S (10D,2G,2U)</t>
    <phoneticPr fontId="70" type="noConversion"/>
  </si>
  <si>
    <r>
      <t>H</t>
    </r>
    <r>
      <rPr>
        <sz val="10"/>
        <rFont val="Arial"/>
        <family val="2"/>
      </rPr>
      <t>uawei</t>
    </r>
    <phoneticPr fontId="32" type="noConversion"/>
  </si>
  <si>
    <t>32T4R (36TRxP)</t>
    <phoneticPr fontId="70" type="noConversion"/>
  </si>
  <si>
    <t>DDDSU; S (10D,2G,2U)</t>
    <phoneticPr fontId="70" type="noConversion"/>
  </si>
  <si>
    <t>OPPO</t>
    <phoneticPr fontId="32" type="noConversion"/>
  </si>
  <si>
    <t>DSUUD; S (11D,1G,2U)</t>
    <phoneticPr fontId="70" type="noConversion"/>
  </si>
  <si>
    <t>GP</t>
    <phoneticPr fontId="70" type="noConversion"/>
  </si>
  <si>
    <t>CATT(non-precoded CSIRS)</t>
    <phoneticPr fontId="70" type="noConversion"/>
  </si>
  <si>
    <r>
      <t>3</t>
    </r>
    <r>
      <rPr>
        <sz val="10"/>
        <rFont val="Arial"/>
        <family val="2"/>
      </rPr>
      <t>2T4R</t>
    </r>
    <phoneticPr fontId="32" type="noConversion"/>
  </si>
  <si>
    <t>CATT(precoded CSIRS)</t>
    <phoneticPr fontId="70" type="noConversion"/>
  </si>
  <si>
    <t>32T4R (36TRxP)</t>
    <phoneticPr fontId="70" type="noConversion"/>
  </si>
  <si>
    <t>China Telecom</t>
    <phoneticPr fontId="70" type="noConversion"/>
  </si>
  <si>
    <t>32T4R (Indoor 12TRxP)</t>
    <phoneticPr fontId="70" type="noConversion"/>
  </si>
  <si>
    <t>32T4R (Indoor 36TRxP)</t>
    <phoneticPr fontId="70" type="noConversion"/>
  </si>
  <si>
    <t>CMCC</t>
    <phoneticPr fontId="32" type="noConversion"/>
  </si>
  <si>
    <t xml:space="preserve">DDDDD DDSUU;  S(6D,4G,4U) </t>
    <phoneticPr fontId="32" type="noConversion"/>
  </si>
  <si>
    <t>15 kHz SCS</t>
    <phoneticPr fontId="32" type="noConversion"/>
  </si>
  <si>
    <t>2018.8.30</t>
    <phoneticPr fontId="29" type="noConversion"/>
  </si>
  <si>
    <t>Note: OH1 is the orginal overhead provided by each company. OH2 is the adjusted overhead according to the agreed GP and PDCCH assumption. OH3 and OH4 is the further adjusted overhead for the larger bandwidth taking into account the gurad band ratio and PDCCH overhead reduction.</t>
    <phoneticPr fontId="32" type="noConversion"/>
  </si>
  <si>
    <t>Simulation BW&amp;RB#</t>
    <phoneticPr fontId="32" type="noConversion"/>
  </si>
  <si>
    <t>Scale BW1&amp;RB#</t>
    <phoneticPr fontId="32" type="noConversion"/>
  </si>
  <si>
    <t>Scale BW2&amp;RB#</t>
    <phoneticPr fontId="32" type="noConversion"/>
  </si>
  <si>
    <t>Total bandwidth</t>
    <phoneticPr fontId="32" type="noConversion"/>
  </si>
  <si>
    <t>Total bandwidth</t>
    <phoneticPr fontId="32" type="noConversion"/>
  </si>
  <si>
    <t>Guard band rtio</t>
    <phoneticPr fontId="32" type="noConversion"/>
  </si>
  <si>
    <t>Total RE
w/ OH3 (20MHz)</t>
    <phoneticPr fontId="70" type="noConversion"/>
  </si>
  <si>
    <t>Total OH RE
w/ OH3
(20MHz)</t>
    <phoneticPr fontId="70" type="noConversion"/>
  </si>
  <si>
    <t>Total OH (%) w/ OH3 (20MHz)</t>
    <phoneticPr fontId="70" type="noConversion"/>
  </si>
  <si>
    <t>Adjust factor for OH2 and OH3</t>
    <phoneticPr fontId="70" type="noConversion"/>
  </si>
  <si>
    <t>Total RE
w/ OH4 (40MHz)</t>
    <phoneticPr fontId="70" type="noConversion"/>
  </si>
  <si>
    <t>Total OH RE
w/ OH4
(40MHz)</t>
    <phoneticPr fontId="70" type="noConversion"/>
  </si>
  <si>
    <t>Total OH (%) w/ OH4 (40MHz)</t>
    <phoneticPr fontId="70" type="noConversion"/>
  </si>
  <si>
    <t>Adjust factor for OH2 and OH4</t>
    <phoneticPr fontId="70" type="noConversion"/>
  </si>
  <si>
    <t>-</t>
    <phoneticPr fontId="32" type="noConversion"/>
  </si>
  <si>
    <t>Guard band rtio</t>
    <phoneticPr fontId="32" type="noConversion"/>
  </si>
  <si>
    <t>Total RE
w/ OH3 (40MHz)</t>
    <phoneticPr fontId="70" type="noConversion"/>
  </si>
  <si>
    <t>Total OH RE
w/ OH3
(40MHz)</t>
    <phoneticPr fontId="70" type="noConversion"/>
  </si>
  <si>
    <t>Total OH (%) w/ OH3 (40MHz)</t>
    <phoneticPr fontId="70" type="noConversion"/>
  </si>
  <si>
    <t>Adjust factor for OH2 and OH3</t>
    <phoneticPr fontId="70" type="noConversion"/>
  </si>
  <si>
    <t>Assumption: 20 MHz BW, 30kHz SCS, 10ms duration</t>
    <phoneticPr fontId="70" type="noConversion"/>
  </si>
  <si>
    <t>Simulation BW&amp;RB#</t>
    <phoneticPr fontId="32" type="noConversion"/>
  </si>
  <si>
    <t>Scale BW1&amp;RB#</t>
    <phoneticPr fontId="32" type="noConversion"/>
  </si>
  <si>
    <t>Scale BW2&amp;RB#</t>
    <phoneticPr fontId="32" type="noConversion"/>
  </si>
  <si>
    <t>Total bandwidth [MHz]</t>
    <phoneticPr fontId="32" type="noConversion"/>
  </si>
  <si>
    <t>Guard band rtio</t>
    <phoneticPr fontId="32" type="noConversion"/>
  </si>
  <si>
    <t>Total RE
w/ OH3 (40MHz)</t>
    <phoneticPr fontId="70" type="noConversion"/>
  </si>
  <si>
    <t>Total OH RE
w/ OH3
(40MHz)</t>
    <phoneticPr fontId="70" type="noConversion"/>
  </si>
  <si>
    <t>Adjust factor for OH2 and OH3</t>
    <phoneticPr fontId="70" type="noConversion"/>
  </si>
  <si>
    <t>Total RE
w/ OH4 (100MHz)</t>
    <phoneticPr fontId="70" type="noConversion"/>
  </si>
  <si>
    <t>Total OH RE
w/ OH4
(100MHz)</t>
    <phoneticPr fontId="70" type="noConversion"/>
  </si>
  <si>
    <t>Total OH (%) w/ OH4 (100MHz)</t>
    <phoneticPr fontId="70" type="noConversion"/>
  </si>
  <si>
    <t>Adjust factor for OH2 and OH4</t>
    <phoneticPr fontId="70" type="noConversion"/>
  </si>
  <si>
    <t>Bandwidth</t>
    <phoneticPr fontId="32" type="noConversion"/>
  </si>
  <si>
    <t>1. Update the overhead calculation according to the agrreed GP/PDCCH/PUCCH assumption in the overhead sheet.
2. Update the spectral efficiency results according to the adjusted overhead.</t>
    <phoneticPr fontId="29" type="noConversion"/>
  </si>
  <si>
    <t>1. Update the overhead calculation for larger bandwidth taking into account the guard band ratio and PDCCH overhead reduction in DL.
2. Add new sheets for the spectral efficiency results of the larger bandwidth.</t>
    <phoneticPr fontId="29" type="noConversion"/>
  </si>
  <si>
    <t>2018.9.01</t>
    <phoneticPr fontId="29" type="noConversion"/>
  </si>
  <si>
    <t>2018.9.03</t>
    <phoneticPr fontId="29" type="noConversion"/>
  </si>
  <si>
    <t>Huawei</t>
    <phoneticPr fontId="29" type="noConversion"/>
  </si>
  <si>
    <t>Add QC overhead detailed information for DL and UL</t>
    <phoneticPr fontId="29" type="noConversion"/>
  </si>
  <si>
    <t>32x4 MU-MIMO,   Reciprocity based, Type II Codebook (256Tx@gNB)</t>
    <phoneticPr fontId="32" type="noConversion"/>
  </si>
  <si>
    <t>32x4 MU-MIMO, Reciprocity based,  Type II Codebook</t>
    <phoneticPr fontId="32" type="noConversion"/>
  </si>
  <si>
    <t>2018.9.07</t>
    <phoneticPr fontId="29" type="noConversion"/>
  </si>
  <si>
    <t>Adjust formats</t>
    <phoneticPr fontId="29" type="noConversion"/>
  </si>
  <si>
    <t>32x4 MU-MIMO, Reciprocity based,  Type II Codebook</t>
    <phoneticPr fontId="32" type="noConversion"/>
  </si>
  <si>
    <t>32x4 MU-MIMO,   Reciprocity based, Type II Codebook (256Tx@gNB)</t>
    <phoneticPr fontId="32" type="noConversion"/>
  </si>
  <si>
    <t>Huawei</t>
    <phoneticPr fontId="32" type="noConversion"/>
  </si>
  <si>
    <t>NR FDD</t>
    <phoneticPr fontId="32" type="noConversion"/>
  </si>
  <si>
    <t>NR TDD</t>
    <phoneticPr fontId="32" type="noConversion"/>
  </si>
  <si>
    <t>FDD</t>
    <phoneticPr fontId="32" type="noConversion"/>
  </si>
  <si>
    <t>15 kHz SCS,
14 OFDM symbol slot</t>
    <phoneticPr fontId="32" type="noConversion"/>
  </si>
  <si>
    <t>30 kHz SCS,
14 OFDM symbol slot</t>
    <phoneticPr fontId="32" type="noConversion"/>
  </si>
  <si>
    <t>Aligned with reference</t>
    <phoneticPr fontId="32" type="noConversion"/>
  </si>
  <si>
    <t>10 MHz</t>
    <phoneticPr fontId="32" type="noConversion"/>
  </si>
  <si>
    <t>20 MHz</t>
    <phoneticPr fontId="32" type="noConversion"/>
  </si>
  <si>
    <t xml:space="preserve">Full uplink </t>
    <phoneticPr fontId="32" type="noConversion"/>
  </si>
  <si>
    <t>UL SU-MIMO with rank adaptation</t>
    <phoneticPr fontId="32" type="noConversion"/>
  </si>
  <si>
    <r>
      <t>N</t>
    </r>
    <r>
      <rPr>
        <sz val="10"/>
        <rFont val="Arial"/>
        <family val="2"/>
      </rPr>
      <t>/A</t>
    </r>
    <phoneticPr fontId="32" type="noConversion"/>
  </si>
  <si>
    <t>12TRP: For 32R, (M,N,P,Mg,Ng; Mp,Np) = (4,4,2,1,1;4,4)
 (dH,dV) = (0.5, 0.5)λ</t>
    <phoneticPr fontId="32" type="noConversion"/>
  </si>
  <si>
    <t>12TRP:For  32R, (M,N,P,Mg,Ng; Mp,Np) = (4,4,2,1,1;4,4)
 (dH,dV) = (0.5, 0.5)λ</t>
    <phoneticPr fontId="32" type="noConversion"/>
  </si>
  <si>
    <t>P0=-60, alpha = 0.6</t>
    <phoneticPr fontId="32" type="noConversion"/>
  </si>
  <si>
    <t>Continuous RB allocation: follow TS 38.101 for FR1;
Non-continuous RB allocation: additional 2 dB reduction</t>
    <phoneticPr fontId="32" type="noConversion"/>
  </si>
  <si>
    <t>Aligned with reference</t>
    <phoneticPr fontId="32" type="noConversion"/>
  </si>
  <si>
    <t>-</t>
    <phoneticPr fontId="32" type="noConversion"/>
  </si>
  <si>
    <t>Aligned with reference</t>
    <phoneticPr fontId="32" type="noConversion"/>
  </si>
  <si>
    <r>
      <t>N</t>
    </r>
    <r>
      <rPr>
        <sz val="10"/>
        <rFont val="Arial"/>
        <family val="2"/>
      </rPr>
      <t>/A</t>
    </r>
    <phoneticPr fontId="32" type="noConversion"/>
  </si>
  <si>
    <t>For 2Tx: NR 2Tx codebook;
For 4Tx: NR 4Tx codebook</t>
    <phoneticPr fontId="32" type="noConversion"/>
  </si>
  <si>
    <t>For UE 2 Tx ports: Non-precoded SRS, 2 SRS ports (with 2 SRS resources);
For UE 4Tx ports: Non-precoded SRS, 4 SRS ports (with 4 SRS resources);
2 symbols for SRS in every 5 slots,
8 PRBs per symbol</t>
    <phoneticPr fontId="32" type="noConversion"/>
  </si>
  <si>
    <t>For 2Tx/4Tx: Up to 2 layers</t>
    <phoneticPr fontId="32" type="noConversion"/>
  </si>
  <si>
    <t>12TRP: 
For 2T, (M,N,P,Mg,Ng; Mp,Np) = (1,1,2,1,1; 1,1); (dH, dV)=( N/A, N/A)λ
For 4T,  (M,N,P,Mg,Ng; Mp,Np) = (1,2,2,1,1; 1,2); (dH, dV)=( 0.5, N/A)λ</t>
    <phoneticPr fontId="32" type="noConversion"/>
  </si>
  <si>
    <t>Huawei</t>
    <phoneticPr fontId="29" type="noConversion"/>
  </si>
  <si>
    <t>2018.9.10</t>
    <phoneticPr fontId="29" type="noConversion"/>
  </si>
  <si>
    <t>1. Update the results for DL 12TRxP for 30GHz for NTT DOCOMO.
It's already based on 2 PDCCH OFDM Symbols, So it doesn't need to be adjusted by a factor. 
2. Update the frame structure DDDSU and the overehead calculation for Ericsson. The SE results is also updated.</t>
    <phoneticPr fontId="29" type="noConversion"/>
  </si>
  <si>
    <t>CAICT</t>
    <phoneticPr fontId="32" type="noConversion"/>
  </si>
  <si>
    <t>2 symbols per 5 slots</t>
    <phoneticPr fontId="32" type="noConversion"/>
  </si>
  <si>
    <t>2 symbols per 5 slots</t>
    <phoneticPr fontId="32" type="noConversion"/>
  </si>
  <si>
    <t>CAICT</t>
    <phoneticPr fontId="32" type="noConversion"/>
  </si>
  <si>
    <t>DDDSU; S (11D,1G,2U)</t>
  </si>
  <si>
    <t xml:space="preserve">For 2Tx: NR 2Tx codebook;
</t>
    <phoneticPr fontId="32" type="noConversion"/>
  </si>
  <si>
    <t>For 2Tx: Up to 2 layers</t>
    <phoneticPr fontId="32" type="noConversion"/>
  </si>
  <si>
    <t>For UE 2 Tx ports: Non-precoded SRS, 2 SRS ports (with 2 SRS resources);
2 symbols for SRS in every 5 slots,
8 PRBs per symbol</t>
    <phoneticPr fontId="32" type="noConversion"/>
  </si>
  <si>
    <t xml:space="preserve">12TRP: 
For 2T, (M,N,P,Mg,Ng; Mp,Np) = (1,1,2,1,1; 1,1); (dH, dV)=( N/A, N/A)λ
</t>
    <phoneticPr fontId="32" type="noConversion"/>
  </si>
  <si>
    <t xml:space="preserve">2 slots with (3 PRB, 14 OS) and 8 slots with (1 PRB, 2 OS) </t>
    <phoneticPr fontId="32" type="noConversion"/>
  </si>
  <si>
    <t>1 slot with (3 PRB, 14 OS)</t>
    <phoneticPr fontId="32" type="noConversion"/>
  </si>
  <si>
    <t>Type II, 2  symbols</t>
    <phoneticPr fontId="32" type="noConversion"/>
  </si>
  <si>
    <t>NR TDD</t>
    <phoneticPr fontId="3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</si>
</sst>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_ "/>
    <numFmt numFmtId="165" formatCode="0.000_ "/>
    <numFmt numFmtId="166" formatCode="0.000_);[Red]\(0.000\)"/>
    <numFmt numFmtId="167" formatCode="0.000"/>
    <numFmt numFmtId="168" formatCode="0.0_);[Red]\(0.0\)"/>
    <numFmt numFmtId="169" formatCode="0_ "/>
  </numFmts>
  <fonts count="79">
    <font>
      <sz val="10"/>
      <name val="Arial"/>
      <family val="2"/>
    </font>
    <font>
      <sz val="11"/>
      <color theme="1"/>
      <name val="Calibri"/>
      <family val="2"/>
      <scheme val="minor"/>
    </font>
    <font>
      <sz val="11"/>
      <color theme="1"/>
      <name val="Calibri"/>
      <family val="2"/>
      <charset val="134"/>
      <scheme val="minor"/>
    </font>
    <font>
      <sz val="11"/>
      <color theme="1"/>
      <name val="Calibri"/>
      <family val="2"/>
      <charset val="134"/>
      <scheme val="minor"/>
    </font>
    <font>
      <sz val="11"/>
      <color theme="1"/>
      <name val="Calibri"/>
      <family val="2"/>
      <charset val="134"/>
      <scheme val="minor"/>
    </font>
    <font>
      <sz val="11"/>
      <color theme="1"/>
      <name val="Calibri"/>
      <family val="2"/>
      <charset val="134"/>
      <scheme val="minor"/>
    </font>
    <font>
      <sz val="12"/>
      <color theme="1"/>
      <name val="Calibri"/>
      <family val="2"/>
      <charset val="136"/>
      <scheme val="minor"/>
    </font>
    <font>
      <sz val="11"/>
      <color theme="1"/>
      <name val="Calibri"/>
      <family val="2"/>
      <scheme val="minor"/>
    </font>
    <font>
      <sz val="12"/>
      <color theme="1"/>
      <name val="Calibri"/>
      <family val="2"/>
      <charset val="136"/>
      <scheme val="minor"/>
    </font>
    <font>
      <sz val="11"/>
      <color theme="1"/>
      <name val="Calibri"/>
      <family val="2"/>
      <scheme val="minor"/>
    </font>
    <font>
      <sz val="11"/>
      <color theme="1"/>
      <name val="Calibri"/>
      <family val="2"/>
      <scheme val="minor"/>
    </font>
    <font>
      <sz val="10"/>
      <name val="Arial"/>
      <family val="2"/>
    </font>
    <font>
      <sz val="10"/>
      <color indexed="6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細明體"/>
      <family val="3"/>
      <charset val="136"/>
    </font>
    <font>
      <u/>
      <sz val="10"/>
      <color theme="10"/>
      <name val="Arial"/>
      <family val="2"/>
    </font>
    <font>
      <u/>
      <sz val="10"/>
      <color theme="11"/>
      <name val="Arial"/>
      <family val="2"/>
    </font>
    <font>
      <sz val="9"/>
      <name val="宋体"/>
      <family val="3"/>
      <charset val="134"/>
    </font>
    <font>
      <sz val="12"/>
      <color rgb="FF000000"/>
      <name val="ＭＳ Ｐゴシック"/>
      <family val="2"/>
    </font>
    <font>
      <sz val="11"/>
      <color theme="1"/>
      <name val="Calibri"/>
      <family val="3"/>
      <charset val="134"/>
      <scheme val="minor"/>
    </font>
    <font>
      <sz val="11"/>
      <color rgb="FF9C0006"/>
      <name val="Calibri"/>
      <family val="3"/>
      <charset val="134"/>
      <scheme val="minor"/>
    </font>
    <font>
      <sz val="11"/>
      <color rgb="FF006100"/>
      <name val="Calibri"/>
      <family val="3"/>
      <charset val="134"/>
      <scheme val="minor"/>
    </font>
    <font>
      <sz val="12"/>
      <color theme="1"/>
      <name val="Calibri"/>
      <family val="3"/>
      <charset val="134"/>
      <scheme val="minor"/>
    </font>
    <font>
      <sz val="12"/>
      <name val="宋体"/>
      <family val="3"/>
      <charset val="134"/>
    </font>
    <font>
      <b/>
      <sz val="9"/>
      <color rgb="FF0000FF"/>
      <name val="Arial"/>
      <family val="2"/>
    </font>
    <font>
      <sz val="9"/>
      <name val="Arial"/>
      <family val="2"/>
    </font>
    <font>
      <sz val="9"/>
      <color rgb="FF000000"/>
      <name val="Arial"/>
      <family val="2"/>
    </font>
    <font>
      <b/>
      <sz val="18"/>
      <color theme="3"/>
      <name val="Cambria"/>
      <family val="2"/>
      <charset val="134"/>
      <scheme val="major"/>
    </font>
    <font>
      <b/>
      <sz val="15"/>
      <color theme="3"/>
      <name val="Calibri"/>
      <family val="2"/>
      <charset val="134"/>
      <scheme val="minor"/>
    </font>
    <font>
      <b/>
      <sz val="13"/>
      <color theme="3"/>
      <name val="Calibri"/>
      <family val="2"/>
      <charset val="134"/>
      <scheme val="minor"/>
    </font>
    <font>
      <b/>
      <sz val="11"/>
      <color theme="3"/>
      <name val="Calibri"/>
      <family val="2"/>
      <charset val="134"/>
      <scheme val="minor"/>
    </font>
    <font>
      <sz val="11"/>
      <color rgb="FF006100"/>
      <name val="Calibri"/>
      <family val="2"/>
      <charset val="134"/>
      <scheme val="minor"/>
    </font>
    <font>
      <sz val="11"/>
      <color rgb="FF9C0006"/>
      <name val="Calibri"/>
      <family val="2"/>
      <charset val="134"/>
      <scheme val="minor"/>
    </font>
    <font>
      <sz val="11"/>
      <color rgb="FF9C6500"/>
      <name val="Calibri"/>
      <family val="2"/>
      <charset val="134"/>
      <scheme val="minor"/>
    </font>
    <font>
      <sz val="11"/>
      <color rgb="FF3F3F76"/>
      <name val="Calibri"/>
      <family val="2"/>
      <charset val="134"/>
      <scheme val="minor"/>
    </font>
    <font>
      <b/>
      <sz val="11"/>
      <color rgb="FF3F3F3F"/>
      <name val="Calibri"/>
      <family val="2"/>
      <charset val="134"/>
      <scheme val="minor"/>
    </font>
    <font>
      <b/>
      <sz val="11"/>
      <color rgb="FFFA7D00"/>
      <name val="Calibri"/>
      <family val="2"/>
      <charset val="134"/>
      <scheme val="minor"/>
    </font>
    <font>
      <sz val="11"/>
      <color rgb="FFFA7D00"/>
      <name val="Calibri"/>
      <family val="2"/>
      <charset val="134"/>
      <scheme val="minor"/>
    </font>
    <font>
      <b/>
      <sz val="11"/>
      <color theme="0"/>
      <name val="Calibri"/>
      <family val="2"/>
      <charset val="134"/>
      <scheme val="minor"/>
    </font>
    <font>
      <sz val="11"/>
      <color rgb="FFFF0000"/>
      <name val="Calibri"/>
      <family val="2"/>
      <charset val="134"/>
      <scheme val="minor"/>
    </font>
    <font>
      <i/>
      <sz val="11"/>
      <color rgb="FF7F7F7F"/>
      <name val="Calibri"/>
      <family val="2"/>
      <charset val="134"/>
      <scheme val="minor"/>
    </font>
    <font>
      <b/>
      <sz val="11"/>
      <color theme="1"/>
      <name val="Calibri"/>
      <family val="2"/>
      <charset val="134"/>
      <scheme val="minor"/>
    </font>
    <font>
      <sz val="11"/>
      <color theme="0"/>
      <name val="Calibri"/>
      <family val="2"/>
      <charset val="134"/>
      <scheme val="minor"/>
    </font>
    <font>
      <sz val="10"/>
      <name val="Droid Sans"/>
      <family val="2"/>
    </font>
    <font>
      <sz val="11"/>
      <color rgb="FF000000"/>
      <name val="ＭＳ Ｐゴシック"/>
      <family val="2"/>
      <charset val="134"/>
    </font>
    <font>
      <b/>
      <sz val="9"/>
      <color rgb="FFFF0000"/>
      <name val="Arial"/>
      <family val="2"/>
    </font>
    <font>
      <sz val="9"/>
      <name val="Arial"/>
      <family val="2"/>
      <charset val="204"/>
    </font>
    <font>
      <sz val="9"/>
      <color theme="1"/>
      <name val="Arial"/>
      <family val="2"/>
    </font>
    <font>
      <b/>
      <sz val="9"/>
      <name val="Arial"/>
      <family val="2"/>
    </font>
    <font>
      <b/>
      <sz val="10"/>
      <name val="Arial"/>
      <family val="2"/>
    </font>
    <font>
      <sz val="10"/>
      <color theme="1"/>
      <name val="Arial"/>
      <family val="2"/>
    </font>
    <font>
      <sz val="10"/>
      <color rgb="FFFF0000"/>
      <name val="Arial"/>
      <family val="2"/>
    </font>
    <font>
      <b/>
      <sz val="11"/>
      <color rgb="FFFF0000"/>
      <name val="Arial"/>
      <family val="2"/>
    </font>
    <font>
      <sz val="10"/>
      <color rgb="FFC00000"/>
      <name val="Arial"/>
      <family val="2"/>
    </font>
    <font>
      <sz val="10"/>
      <name val="Times New Roman"/>
      <family val="1"/>
    </font>
    <font>
      <sz val="9"/>
      <name val="Calibri"/>
      <family val="3"/>
      <charset val="134"/>
      <scheme val="minor"/>
    </font>
    <font>
      <sz val="9"/>
      <color rgb="FFFF0000"/>
      <name val="Arial"/>
      <family val="2"/>
    </font>
    <font>
      <sz val="10"/>
      <color rgb="FF0070C0"/>
      <name val="Arial"/>
      <family val="2"/>
    </font>
    <font>
      <sz val="11"/>
      <name val="Calibri"/>
      <family val="2"/>
      <charset val="134"/>
      <scheme val="minor"/>
    </font>
    <font>
      <b/>
      <sz val="11"/>
      <color theme="1"/>
      <name val="Arial"/>
      <family val="2"/>
    </font>
    <font>
      <sz val="11"/>
      <color theme="1"/>
      <name val="Arial"/>
      <family val="2"/>
    </font>
    <font>
      <sz val="11"/>
      <color rgb="FFC00000"/>
      <name val="Arial"/>
      <family val="2"/>
    </font>
    <font>
      <sz val="10"/>
      <color rgb="FF000000"/>
      <name val="Arial"/>
      <family val="2"/>
    </font>
    <font>
      <sz val="9"/>
      <name val="Times New Roman"/>
      <family val="1"/>
    </font>
  </fonts>
  <fills count="42">
    <fill>
      <patternFill patternType="none"/>
    </fill>
    <fill>
      <patternFill patternType="gray125"/>
    </fill>
    <fill>
      <patternFill patternType="solid">
        <fgColor indexed="43"/>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8D8D8"/>
        <bgColor indexed="64"/>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6795556505021"/>
        <bgColor indexed="64"/>
      </patternFill>
    </fill>
    <fill>
      <patternFill patternType="solid">
        <fgColor theme="6"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indexed="64"/>
      </bottom>
      <diagonal/>
    </border>
    <border>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rgb="FFCCFFFF"/>
      </left>
      <right style="thin">
        <color rgb="FFCCFFFF"/>
      </right>
      <top style="thin">
        <color rgb="FFCCFFFF"/>
      </top>
      <bottom style="thin">
        <color rgb="FFCCFFFF"/>
      </bottom>
      <diagonal/>
    </border>
  </borders>
  <cellStyleXfs count="315">
    <xf numFmtId="0" fontId="0" fillId="0" borderId="0"/>
    <xf numFmtId="0" fontId="12" fillId="2" borderId="0" applyNumberFormat="0" applyBorder="0" applyAlignment="0" applyProtection="0"/>
    <xf numFmtId="0" fontId="13" fillId="0" borderId="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7" applyNumberFormat="0" applyAlignment="0" applyProtection="0"/>
    <xf numFmtId="0" fontId="21" fillId="6" borderId="8" applyNumberFormat="0" applyAlignment="0" applyProtection="0"/>
    <xf numFmtId="0" fontId="22" fillId="6" borderId="7" applyNumberFormat="0" applyAlignment="0" applyProtection="0"/>
    <xf numFmtId="0" fontId="23" fillId="0" borderId="9" applyNumberFormat="0" applyFill="0" applyAlignment="0" applyProtection="0"/>
    <xf numFmtId="0" fontId="24" fillId="7" borderId="10"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8" fillId="32" borderId="0" applyNumberFormat="0" applyBorder="0" applyAlignment="0" applyProtection="0"/>
    <xf numFmtId="0" fontId="10" fillId="0" borderId="0"/>
    <xf numFmtId="0" fontId="10" fillId="8" borderId="11" applyNumberFormat="0" applyFont="0" applyAlignment="0" applyProtection="0"/>
    <xf numFmtId="0" fontId="9" fillId="0" borderId="0"/>
    <xf numFmtId="0" fontId="11" fillId="0" borderId="0"/>
    <xf numFmtId="0" fontId="9" fillId="0" borderId="0"/>
    <xf numFmtId="0" fontId="8" fillId="0" borderId="0">
      <alignment vertical="center"/>
    </xf>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1" applyNumberFormat="0" applyFont="0" applyAlignment="0" applyProtection="0"/>
    <xf numFmtId="0" fontId="7" fillId="0" borderId="0"/>
    <xf numFmtId="0" fontId="7" fillId="0" borderId="0"/>
    <xf numFmtId="0" fontId="30" fillId="0" borderId="0" applyNumberFormat="0" applyFill="0" applyBorder="0" applyAlignment="0" applyProtection="0"/>
    <xf numFmtId="0" fontId="31" fillId="0" borderId="0" applyNumberFormat="0" applyFill="0" applyBorder="0" applyAlignment="0" applyProtection="0"/>
    <xf numFmtId="0" fontId="6" fillId="0" borderId="0">
      <alignment vertical="center"/>
    </xf>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alignment vertical="center"/>
    </xf>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alignment vertical="center"/>
    </xf>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1" applyNumberFormat="0" applyFont="0" applyAlignment="0" applyProtection="0"/>
    <xf numFmtId="0" fontId="7" fillId="0" borderId="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11" applyNumberFormat="0" applyFont="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31" borderId="0" applyNumberFormat="0" applyBorder="0" applyAlignment="0" applyProtection="0"/>
    <xf numFmtId="0" fontId="34" fillId="27" borderId="0" applyNumberFormat="0" applyBorder="0" applyAlignment="0" applyProtection="0"/>
    <xf numFmtId="0" fontId="34" fillId="23" borderId="0" applyNumberFormat="0" applyBorder="0" applyAlignment="0" applyProtection="0"/>
    <xf numFmtId="0" fontId="34" fillId="0" borderId="0"/>
    <xf numFmtId="0" fontId="34" fillId="0" borderId="0"/>
    <xf numFmtId="0" fontId="34" fillId="0" borderId="0"/>
    <xf numFmtId="0" fontId="34" fillId="19" borderId="0" applyNumberFormat="0" applyBorder="0" applyAlignment="0" applyProtection="0"/>
    <xf numFmtId="0" fontId="34" fillId="0" borderId="0"/>
    <xf numFmtId="0" fontId="34" fillId="0" borderId="0"/>
    <xf numFmtId="0" fontId="34" fillId="15" borderId="0" applyNumberFormat="0" applyBorder="0" applyAlignment="0" applyProtection="0"/>
    <xf numFmtId="0" fontId="34" fillId="11" borderId="0" applyNumberFormat="0" applyBorder="0" applyAlignment="0" applyProtection="0"/>
    <xf numFmtId="0" fontId="34" fillId="0" borderId="0"/>
    <xf numFmtId="0" fontId="35" fillId="4" borderId="0" applyNumberFormat="0" applyBorder="0" applyAlignment="0" applyProtection="0"/>
    <xf numFmtId="0" fontId="34" fillId="0" borderId="0"/>
    <xf numFmtId="0" fontId="36" fillId="3" borderId="0" applyNumberFormat="0" applyBorder="0" applyAlignment="0" applyProtection="0"/>
    <xf numFmtId="0" fontId="34" fillId="30" borderId="0" applyNumberFormat="0" applyBorder="0" applyAlignment="0" applyProtection="0"/>
    <xf numFmtId="0" fontId="34" fillId="0" borderId="0"/>
    <xf numFmtId="0" fontId="34" fillId="26" borderId="0" applyNumberFormat="0" applyBorder="0" applyAlignment="0" applyProtection="0"/>
    <xf numFmtId="0" fontId="34" fillId="22" borderId="0" applyNumberFormat="0" applyBorder="0" applyAlignment="0" applyProtection="0"/>
    <xf numFmtId="0" fontId="37" fillId="0" borderId="0">
      <alignment vertical="center"/>
    </xf>
    <xf numFmtId="0" fontId="34" fillId="18" borderId="0" applyNumberFormat="0" applyBorder="0" applyAlignment="0" applyProtection="0"/>
    <xf numFmtId="0" fontId="34" fillId="14" borderId="0" applyNumberFormat="0" applyBorder="0" applyAlignment="0" applyProtection="0"/>
    <xf numFmtId="0" fontId="34" fillId="10" borderId="0" applyNumberFormat="0" applyBorder="0" applyAlignment="0" applyProtection="0"/>
    <xf numFmtId="0" fontId="33" fillId="0" borderId="0">
      <alignment vertical="center"/>
    </xf>
    <xf numFmtId="0" fontId="38" fillId="0" borderId="0">
      <alignment vertical="center"/>
    </xf>
    <xf numFmtId="0" fontId="5" fillId="0" borderId="0">
      <alignment vertical="center"/>
    </xf>
    <xf numFmtId="0" fontId="42" fillId="0" borderId="0" applyNumberFormat="0" applyFill="0" applyBorder="0" applyAlignment="0" applyProtection="0">
      <alignment vertical="center"/>
    </xf>
    <xf numFmtId="0" fontId="43" fillId="0" borderId="4" applyNumberFormat="0" applyFill="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5" fillId="0" borderId="0" applyNumberFormat="0" applyFill="0" applyBorder="0" applyAlignment="0" applyProtection="0">
      <alignment vertical="center"/>
    </xf>
    <xf numFmtId="0" fontId="46" fillId="3" borderId="0" applyNumberFormat="0" applyBorder="0" applyAlignment="0" applyProtection="0">
      <alignment vertical="center"/>
    </xf>
    <xf numFmtId="0" fontId="47" fillId="4" borderId="0" applyNumberFormat="0" applyBorder="0" applyAlignment="0" applyProtection="0">
      <alignment vertical="center"/>
    </xf>
    <xf numFmtId="0" fontId="48" fillId="34" borderId="0" applyNumberFormat="0" applyBorder="0" applyAlignment="0" applyProtection="0">
      <alignment vertical="center"/>
    </xf>
    <xf numFmtId="0" fontId="49" fillId="5" borderId="7" applyNumberFormat="0" applyAlignment="0" applyProtection="0">
      <alignment vertical="center"/>
    </xf>
    <xf numFmtId="0" fontId="50" fillId="6" borderId="8" applyNumberFormat="0" applyAlignment="0" applyProtection="0">
      <alignment vertical="center"/>
    </xf>
    <xf numFmtId="0" fontId="51" fillId="6" borderId="7" applyNumberFormat="0" applyAlignment="0" applyProtection="0">
      <alignment vertical="center"/>
    </xf>
    <xf numFmtId="0" fontId="52" fillId="0" borderId="9" applyNumberFormat="0" applyFill="0" applyAlignment="0" applyProtection="0">
      <alignment vertical="center"/>
    </xf>
    <xf numFmtId="0" fontId="53" fillId="7" borderId="10" applyNumberFormat="0" applyAlignment="0" applyProtection="0">
      <alignment vertical="center"/>
    </xf>
    <xf numFmtId="0" fontId="54" fillId="0" borderId="0" applyNumberFormat="0" applyFill="0" applyBorder="0" applyAlignment="0" applyProtection="0">
      <alignment vertical="center"/>
    </xf>
    <xf numFmtId="0" fontId="5" fillId="8" borderId="11" applyNumberFormat="0" applyFont="0" applyAlignment="0" applyProtection="0">
      <alignment vertical="center"/>
    </xf>
    <xf numFmtId="0" fontId="55" fillId="0" borderId="0" applyNumberFormat="0" applyFill="0" applyBorder="0" applyAlignment="0" applyProtection="0">
      <alignment vertical="center"/>
    </xf>
    <xf numFmtId="0" fontId="56" fillId="0" borderId="12" applyNumberFormat="0" applyFill="0" applyAlignment="0" applyProtection="0">
      <alignment vertical="center"/>
    </xf>
    <xf numFmtId="0" fontId="57"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7" fillId="32" borderId="0" applyNumberFormat="0" applyBorder="0" applyAlignment="0" applyProtection="0">
      <alignment vertical="center"/>
    </xf>
    <xf numFmtId="0" fontId="4" fillId="0" borderId="0">
      <alignment vertical="center"/>
    </xf>
    <xf numFmtId="0" fontId="4" fillId="8" borderId="11" applyNumberFormat="0" applyFont="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0" fontId="58" fillId="0" borderId="0"/>
    <xf numFmtId="0" fontId="59" fillId="0" borderId="0">
      <alignment vertical="center"/>
    </xf>
    <xf numFmtId="0" fontId="3" fillId="0" borderId="0">
      <alignment vertical="center"/>
    </xf>
    <xf numFmtId="0" fontId="3" fillId="8" borderId="1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0" borderId="0">
      <alignment vertical="center"/>
    </xf>
    <xf numFmtId="0" fontId="3" fillId="8" borderId="11" applyNumberFormat="0" applyFont="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11" fillId="0" borderId="0"/>
    <xf numFmtId="0" fontId="2" fillId="0" borderId="0">
      <alignment vertical="center"/>
    </xf>
    <xf numFmtId="0" fontId="7"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cellStyleXfs>
  <cellXfs count="371">
    <xf numFmtId="0" fontId="0" fillId="0" borderId="0" xfId="0"/>
    <xf numFmtId="14" fontId="0" fillId="0" borderId="0" xfId="0" applyNumberFormat="1"/>
    <xf numFmtId="0" fontId="0" fillId="0" borderId="0" xfId="0"/>
    <xf numFmtId="0" fontId="38" fillId="0" borderId="0" xfId="222">
      <alignment vertical="center"/>
    </xf>
    <xf numFmtId="0" fontId="39" fillId="33" borderId="1" xfId="0" applyFont="1" applyFill="1" applyBorder="1" applyAlignment="1">
      <alignment horizontal="center" wrapText="1"/>
    </xf>
    <xf numFmtId="0" fontId="40" fillId="0" borderId="0" xfId="222" applyFont="1">
      <alignment vertical="center"/>
    </xf>
    <xf numFmtId="0" fontId="40" fillId="0" borderId="1" xfId="222" applyFont="1" applyBorder="1">
      <alignment vertical="center"/>
    </xf>
    <xf numFmtId="0" fontId="40" fillId="35" borderId="1" xfId="222" applyFont="1" applyFill="1" applyBorder="1" applyAlignment="1">
      <alignment horizontal="center" vertical="center"/>
    </xf>
    <xf numFmtId="0" fontId="40" fillId="35" borderId="1" xfId="222" applyFont="1" applyFill="1" applyBorder="1">
      <alignment vertical="center"/>
    </xf>
    <xf numFmtId="0" fontId="40" fillId="33" borderId="1" xfId="0" applyFont="1" applyFill="1" applyBorder="1" applyAlignment="1">
      <alignment horizontal="center" wrapText="1"/>
    </xf>
    <xf numFmtId="0" fontId="40" fillId="0" borderId="1" xfId="0" applyFont="1" applyFill="1" applyBorder="1" applyAlignment="1">
      <alignment wrapText="1"/>
    </xf>
    <xf numFmtId="0" fontId="40" fillId="0" borderId="1" xfId="0" applyFont="1" applyFill="1" applyBorder="1" applyAlignment="1">
      <alignment horizontal="center" wrapText="1"/>
    </xf>
    <xf numFmtId="0" fontId="40" fillId="0" borderId="1" xfId="0" applyFont="1" applyFill="1" applyBorder="1" applyAlignment="1">
      <alignment wrapText="1"/>
    </xf>
    <xf numFmtId="0" fontId="40" fillId="0" borderId="1" xfId="0" applyFont="1" applyFill="1" applyBorder="1" applyAlignment="1">
      <alignment horizontal="center" wrapText="1"/>
    </xf>
    <xf numFmtId="0" fontId="60" fillId="0" borderId="1" xfId="0" applyFont="1" applyFill="1" applyBorder="1" applyAlignment="1">
      <alignment horizontal="center" wrapText="1"/>
    </xf>
    <xf numFmtId="0" fontId="40" fillId="0" borderId="1" xfId="222" applyFont="1" applyFill="1" applyBorder="1" applyAlignment="1">
      <alignment vertical="center" wrapText="1"/>
    </xf>
    <xf numFmtId="0" fontId="40" fillId="0" borderId="1" xfId="222" applyFont="1" applyFill="1" applyBorder="1">
      <alignment vertical="center"/>
    </xf>
    <xf numFmtId="0" fontId="38" fillId="0" borderId="0" xfId="222" applyFill="1">
      <alignment vertical="center"/>
    </xf>
    <xf numFmtId="0" fontId="40" fillId="0" borderId="1" xfId="0" applyFont="1" applyFill="1" applyBorder="1" applyAlignment="1">
      <alignment vertical="top" wrapText="1"/>
    </xf>
    <xf numFmtId="0" fontId="40" fillId="0" borderId="1" xfId="0" applyFont="1" applyFill="1" applyBorder="1" applyAlignment="1">
      <alignment horizontal="center" vertical="top" wrapText="1"/>
    </xf>
    <xf numFmtId="0" fontId="61" fillId="0" borderId="1" xfId="0" applyFont="1" applyFill="1" applyBorder="1" applyAlignment="1">
      <alignment wrapText="1"/>
    </xf>
    <xf numFmtId="0" fontId="41" fillId="0" borderId="1" xfId="0" applyFont="1" applyFill="1" applyBorder="1" applyAlignment="1">
      <alignment horizontal="center" wrapText="1"/>
    </xf>
    <xf numFmtId="0" fontId="40" fillId="0" borderId="3" xfId="222" applyFont="1" applyBorder="1" applyAlignment="1">
      <alignment vertical="center" wrapText="1"/>
    </xf>
    <xf numFmtId="0" fontId="40" fillId="0" borderId="3" xfId="222" applyFont="1" applyFill="1" applyBorder="1" applyAlignment="1">
      <alignment vertical="center" wrapText="1"/>
    </xf>
    <xf numFmtId="0" fontId="40" fillId="0" borderId="3" xfId="0" applyFont="1" applyFill="1" applyBorder="1" applyAlignment="1">
      <alignment wrapText="1"/>
    </xf>
    <xf numFmtId="0" fontId="39" fillId="0" borderId="3" xfId="0" applyFont="1" applyFill="1" applyBorder="1" applyAlignment="1">
      <alignment horizontal="left" wrapText="1"/>
    </xf>
    <xf numFmtId="0" fontId="39" fillId="0" borderId="3" xfId="0" applyFont="1" applyFill="1" applyBorder="1" applyAlignment="1">
      <alignment horizontal="center" wrapText="1"/>
    </xf>
    <xf numFmtId="0" fontId="40" fillId="0" borderId="3" xfId="0" applyFont="1" applyFill="1" applyBorder="1" applyAlignment="1">
      <alignment vertical="top" wrapText="1"/>
    </xf>
    <xf numFmtId="0" fontId="38" fillId="0" borderId="1" xfId="222" applyBorder="1">
      <alignment vertical="center"/>
    </xf>
    <xf numFmtId="0" fontId="40" fillId="0" borderId="2" xfId="0" applyFont="1" applyFill="1" applyBorder="1" applyAlignment="1">
      <alignment horizontal="center" wrapText="1"/>
    </xf>
    <xf numFmtId="0" fontId="38" fillId="0" borderId="0" xfId="222" applyAlignment="1">
      <alignment horizontal="left" vertical="center"/>
    </xf>
    <xf numFmtId="0" fontId="38" fillId="0" borderId="0" xfId="222" applyAlignment="1">
      <alignment vertical="center" wrapText="1"/>
    </xf>
    <xf numFmtId="0" fontId="39" fillId="33" borderId="1" xfId="0" applyFont="1" applyFill="1" applyBorder="1" applyAlignment="1">
      <alignment horizontal="center" vertical="center" wrapText="1"/>
    </xf>
    <xf numFmtId="0" fontId="38" fillId="0" borderId="0" xfId="222" applyAlignment="1">
      <alignment horizontal="center" vertical="center"/>
    </xf>
    <xf numFmtId="0" fontId="40" fillId="0" borderId="1" xfId="0" applyFont="1" applyFill="1" applyBorder="1" applyAlignment="1">
      <alignment wrapText="1"/>
    </xf>
    <xf numFmtId="0" fontId="40" fillId="0" borderId="1" xfId="0" applyFont="1" applyFill="1" applyBorder="1" applyAlignment="1">
      <alignment horizontal="center" wrapText="1"/>
    </xf>
    <xf numFmtId="0" fontId="40" fillId="0" borderId="2" xfId="0" applyFont="1" applyFill="1" applyBorder="1" applyAlignment="1">
      <alignment horizontal="center" wrapText="1"/>
    </xf>
    <xf numFmtId="0" fontId="40" fillId="0" borderId="1" xfId="0" applyFont="1" applyFill="1" applyBorder="1" applyAlignment="1">
      <alignment wrapText="1"/>
    </xf>
    <xf numFmtId="0" fontId="39" fillId="33" borderId="0" xfId="0" applyFont="1" applyFill="1" applyBorder="1" applyAlignment="1">
      <alignment horizontal="center" wrapText="1"/>
    </xf>
    <xf numFmtId="0" fontId="39" fillId="33" borderId="15" xfId="0" applyFont="1" applyFill="1" applyBorder="1" applyAlignment="1">
      <alignment horizontal="center" wrapText="1"/>
    </xf>
    <xf numFmtId="0" fontId="40" fillId="0" borderId="13" xfId="0" applyFont="1" applyFill="1" applyBorder="1" applyAlignment="1">
      <alignment wrapText="1"/>
    </xf>
    <xf numFmtId="0" fontId="40" fillId="0" borderId="13" xfId="0" applyFont="1" applyFill="1" applyBorder="1" applyAlignment="1">
      <alignment horizontal="center" wrapText="1"/>
    </xf>
    <xf numFmtId="0" fontId="40" fillId="0" borderId="0" xfId="222" applyFont="1" applyAlignment="1">
      <alignment horizontal="left" vertical="center"/>
    </xf>
    <xf numFmtId="0" fontId="40" fillId="0" borderId="1" xfId="0" applyFont="1" applyFill="1" applyBorder="1" applyAlignment="1">
      <alignment wrapText="1"/>
    </xf>
    <xf numFmtId="0" fontId="61" fillId="0" borderId="1" xfId="0" applyFont="1" applyFill="1" applyBorder="1" applyAlignment="1">
      <alignment horizontal="left" wrapText="1"/>
    </xf>
    <xf numFmtId="0" fontId="40" fillId="33" borderId="0" xfId="0" applyFont="1" applyFill="1" applyBorder="1" applyAlignment="1">
      <alignment horizontal="center" wrapText="1"/>
    </xf>
    <xf numFmtId="0" fontId="64" fillId="37" borderId="0" xfId="0" applyFont="1" applyFill="1" applyBorder="1" applyAlignment="1">
      <alignment vertical="center" wrapText="1"/>
    </xf>
    <xf numFmtId="0" fontId="11" fillId="0" borderId="0" xfId="222" applyFont="1">
      <alignment vertical="center"/>
    </xf>
    <xf numFmtId="0" fontId="40" fillId="0" borderId="2" xfId="0" applyFont="1" applyFill="1" applyBorder="1" applyAlignment="1">
      <alignment horizontal="left" wrapText="1"/>
    </xf>
    <xf numFmtId="0" fontId="40" fillId="0" borderId="1" xfId="0" applyFont="1" applyFill="1" applyBorder="1" applyAlignment="1">
      <alignment horizontal="left" wrapText="1"/>
    </xf>
    <xf numFmtId="0" fontId="40" fillId="0" borderId="1" xfId="0" applyFont="1" applyFill="1" applyBorder="1" applyAlignment="1">
      <alignment wrapText="1"/>
    </xf>
    <xf numFmtId="0" fontId="39" fillId="33" borderId="0" xfId="0" applyFont="1" applyFill="1" applyBorder="1" applyAlignment="1">
      <alignment horizontal="left" wrapText="1"/>
    </xf>
    <xf numFmtId="0" fontId="40" fillId="0" borderId="13" xfId="0" applyFont="1" applyFill="1" applyBorder="1" applyAlignment="1">
      <alignment horizontal="left" wrapText="1"/>
    </xf>
    <xf numFmtId="0" fontId="0" fillId="35" borderId="0" xfId="0" applyFont="1" applyFill="1" applyBorder="1" applyAlignment="1">
      <alignment vertical="center" wrapText="1"/>
    </xf>
    <xf numFmtId="0" fontId="0" fillId="0" borderId="0" xfId="0" applyFont="1" applyFill="1" applyBorder="1" applyAlignment="1">
      <alignment vertical="center" wrapText="1"/>
    </xf>
    <xf numFmtId="0" fontId="0" fillId="37" borderId="0" xfId="0" applyFont="1" applyFill="1" applyBorder="1" applyAlignment="1">
      <alignment vertical="center" wrapText="1"/>
    </xf>
    <xf numFmtId="0" fontId="40" fillId="33" borderId="2" xfId="0" applyFont="1" applyFill="1" applyBorder="1" applyAlignment="1">
      <alignment horizontal="center" vertical="center" wrapText="1"/>
    </xf>
    <xf numFmtId="0" fontId="40" fillId="33" borderId="3" xfId="0" applyFont="1" applyFill="1" applyBorder="1" applyAlignment="1">
      <alignment horizontal="center" vertical="center" wrapText="1"/>
    </xf>
    <xf numFmtId="0" fontId="40" fillId="33" borderId="2" xfId="0" applyFont="1" applyFill="1" applyBorder="1" applyAlignment="1">
      <alignment horizontal="left" vertical="center" wrapText="1"/>
    </xf>
    <xf numFmtId="0" fontId="40" fillId="33" borderId="3" xfId="0" applyFont="1" applyFill="1" applyBorder="1" applyAlignment="1">
      <alignment horizontal="left" vertical="center" wrapText="1"/>
    </xf>
    <xf numFmtId="0" fontId="67" fillId="0" borderId="0" xfId="222" applyFont="1" applyAlignment="1">
      <alignment vertical="center" wrapText="1"/>
    </xf>
    <xf numFmtId="0" fontId="66" fillId="0" borderId="21" xfId="0" applyFont="1" applyFill="1" applyBorder="1" applyAlignment="1">
      <alignment vertical="center" wrapText="1"/>
    </xf>
    <xf numFmtId="0" fontId="0" fillId="0" borderId="21" xfId="0" applyFont="1" applyFill="1" applyBorder="1" applyAlignment="1">
      <alignment vertical="center" wrapText="1"/>
    </xf>
    <xf numFmtId="0" fontId="0" fillId="0" borderId="21" xfId="0" applyFont="1" applyFill="1" applyBorder="1" applyAlignment="1">
      <alignment horizontal="center" vertical="center" wrapText="1"/>
    </xf>
    <xf numFmtId="164" fontId="0" fillId="37" borderId="0" xfId="0" applyNumberFormat="1" applyFont="1" applyFill="1" applyBorder="1" applyAlignment="1">
      <alignment vertical="center" wrapText="1"/>
    </xf>
    <xf numFmtId="164" fontId="0" fillId="0" borderId="0" xfId="0" applyNumberFormat="1" applyFont="1" applyFill="1" applyBorder="1" applyAlignment="1">
      <alignment vertical="center" wrapText="1"/>
    </xf>
    <xf numFmtId="164" fontId="0" fillId="35" borderId="0" xfId="0" applyNumberFormat="1" applyFont="1" applyFill="1" applyBorder="1" applyAlignment="1">
      <alignment vertical="center" wrapText="1"/>
    </xf>
    <xf numFmtId="0" fontId="0" fillId="0" borderId="0" xfId="0" applyFont="1" applyFill="1" applyBorder="1" applyAlignment="1">
      <alignment horizontal="center" vertical="center" wrapText="1"/>
    </xf>
    <xf numFmtId="0" fontId="0" fillId="36"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0" fillId="38" borderId="0" xfId="0" applyFont="1" applyFill="1" applyBorder="1" applyAlignment="1">
      <alignment vertical="center" wrapText="1"/>
    </xf>
    <xf numFmtId="0" fontId="0" fillId="36" borderId="0" xfId="0" applyFont="1" applyFill="1" applyBorder="1" applyAlignment="1">
      <alignment vertical="center" wrapText="1"/>
    </xf>
    <xf numFmtId="0" fontId="0" fillId="36" borderId="22" xfId="0" applyFont="1" applyFill="1" applyBorder="1" applyAlignment="1">
      <alignment vertical="center" wrapText="1"/>
    </xf>
    <xf numFmtId="0" fontId="0" fillId="0" borderId="0" xfId="0" applyAlignment="1">
      <alignment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0" fillId="0" borderId="0" xfId="0"/>
    <xf numFmtId="14" fontId="0" fillId="0" borderId="0" xfId="0" applyNumberFormat="1"/>
    <xf numFmtId="0" fontId="40" fillId="0" borderId="0" xfId="222" applyFont="1">
      <alignment vertical="center"/>
    </xf>
    <xf numFmtId="0" fontId="40" fillId="0" borderId="1" xfId="222" applyFont="1" applyBorder="1">
      <alignment vertical="center"/>
    </xf>
    <xf numFmtId="0" fontId="40" fillId="0" borderId="1" xfId="222" applyFont="1" applyBorder="1" applyAlignment="1">
      <alignment vertical="center"/>
    </xf>
    <xf numFmtId="0" fontId="40" fillId="35" borderId="1" xfId="222" applyFont="1" applyFill="1" applyBorder="1" applyAlignment="1">
      <alignment horizontal="center" vertical="center"/>
    </xf>
    <xf numFmtId="0" fontId="40" fillId="0" borderId="1" xfId="222" applyFont="1" applyBorder="1" applyAlignment="1">
      <alignment vertical="center" wrapText="1"/>
    </xf>
    <xf numFmtId="0" fontId="40" fillId="0" borderId="0" xfId="222" applyFont="1" applyAlignment="1">
      <alignment horizontal="left" vertical="center" wrapText="1"/>
    </xf>
    <xf numFmtId="0" fontId="40" fillId="0" borderId="1" xfId="222" applyFont="1" applyBorder="1" applyAlignment="1">
      <alignment horizontal="left"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40" fillId="0" borderId="1" xfId="0" applyFont="1" applyBorder="1" applyAlignment="1">
      <alignment horizontal="left" wrapText="1"/>
    </xf>
    <xf numFmtId="0" fontId="40" fillId="0" borderId="1" xfId="0" applyFont="1" applyFill="1" applyBorder="1" applyAlignment="1">
      <alignment horizontal="center" wrapText="1"/>
    </xf>
    <xf numFmtId="0" fontId="40" fillId="0" borderId="14" xfId="222" applyFont="1" applyBorder="1" applyAlignment="1">
      <alignment horizontal="left" vertical="center" wrapText="1"/>
    </xf>
    <xf numFmtId="0" fontId="40" fillId="0" borderId="1" xfId="222" applyFont="1" applyFill="1" applyBorder="1" applyAlignment="1">
      <alignment horizontal="left" vertical="center" wrapText="1"/>
    </xf>
    <xf numFmtId="0" fontId="0" fillId="0" borderId="1" xfId="222" applyFont="1" applyFill="1" applyBorder="1" applyAlignment="1">
      <alignment horizontal="left" vertical="center" wrapText="1"/>
    </xf>
    <xf numFmtId="0" fontId="40" fillId="0" borderId="1" xfId="222" applyFont="1" applyFill="1" applyBorder="1" applyAlignment="1">
      <alignment vertical="center" wrapText="1"/>
    </xf>
    <xf numFmtId="0" fontId="40" fillId="0" borderId="1" xfId="222" applyFont="1" applyFill="1" applyBorder="1">
      <alignment vertical="center"/>
    </xf>
    <xf numFmtId="0" fontId="40" fillId="0" borderId="0" xfId="222" applyFont="1" applyFill="1">
      <alignment vertical="center"/>
    </xf>
    <xf numFmtId="0" fontId="0" fillId="0" borderId="1" xfId="0" applyBorder="1" applyAlignment="1">
      <alignment horizontal="justify" vertical="center" wrapText="1"/>
    </xf>
    <xf numFmtId="0" fontId="40" fillId="0" borderId="1" xfId="222" applyFont="1" applyBorder="1" applyAlignment="1">
      <alignment horizontal="left" vertical="center"/>
    </xf>
    <xf numFmtId="0" fontId="40" fillId="0" borderId="2" xfId="0" applyFont="1" applyFill="1" applyBorder="1" applyAlignment="1">
      <alignment horizontal="center" wrapText="1"/>
    </xf>
    <xf numFmtId="0" fontId="40" fillId="0" borderId="1" xfId="0" applyFont="1" applyFill="1" applyBorder="1" applyAlignment="1">
      <alignment horizontal="left" wrapText="1"/>
    </xf>
    <xf numFmtId="0" fontId="40" fillId="0" borderId="1" xfId="222" applyFont="1" applyBorder="1" applyAlignment="1">
      <alignment horizontal="left" wrapText="1"/>
    </xf>
    <xf numFmtId="0" fontId="40" fillId="0" borderId="1" xfId="0" applyFont="1" applyBorder="1" applyAlignment="1">
      <alignment horizontal="left" vertical="center" wrapText="1"/>
    </xf>
    <xf numFmtId="0" fontId="40" fillId="0" borderId="1" xfId="0" applyFont="1" applyBorder="1" applyAlignment="1">
      <alignment vertical="center" wrapText="1"/>
    </xf>
    <xf numFmtId="0" fontId="62" fillId="0" borderId="1" xfId="222" applyFont="1" applyBorder="1" applyAlignment="1">
      <alignment vertical="center" wrapText="1"/>
    </xf>
    <xf numFmtId="0" fontId="62" fillId="0" borderId="1" xfId="222" applyFont="1" applyFill="1" applyBorder="1" applyAlignment="1">
      <alignment vertical="center" wrapText="1"/>
    </xf>
    <xf numFmtId="0" fontId="0" fillId="35" borderId="0" xfId="0" applyFont="1" applyFill="1" applyBorder="1" applyAlignment="1">
      <alignment vertical="center" wrapText="1"/>
    </xf>
    <xf numFmtId="0" fontId="0" fillId="0" borderId="0" xfId="0" applyFont="1" applyFill="1" applyBorder="1" applyAlignment="1">
      <alignment vertical="center" wrapText="1"/>
    </xf>
    <xf numFmtId="0" fontId="39" fillId="35" borderId="23" xfId="222" applyFont="1" applyFill="1" applyBorder="1" applyAlignment="1">
      <alignment vertical="center" wrapText="1"/>
    </xf>
    <xf numFmtId="0" fontId="39" fillId="35" borderId="24" xfId="222" applyFont="1" applyFill="1" applyBorder="1" applyAlignment="1">
      <alignment vertical="center" wrapText="1"/>
    </xf>
    <xf numFmtId="164" fontId="0" fillId="0" borderId="0" xfId="0" applyNumberFormat="1" applyFont="1" applyFill="1" applyBorder="1" applyAlignment="1">
      <alignment vertical="center" wrapText="1"/>
    </xf>
    <xf numFmtId="164" fontId="0" fillId="35" borderId="0" xfId="0" applyNumberFormat="1" applyFont="1" applyFill="1" applyBorder="1" applyAlignment="1">
      <alignment vertical="center" wrapText="1"/>
    </xf>
    <xf numFmtId="0" fontId="0" fillId="36"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0" fillId="38" borderId="0" xfId="0" applyFont="1" applyFill="1" applyBorder="1" applyAlignment="1">
      <alignment vertical="center" wrapText="1"/>
    </xf>
    <xf numFmtId="0" fontId="0" fillId="36" borderId="0" xfId="0" applyFont="1" applyFill="1" applyBorder="1" applyAlignment="1">
      <alignment vertical="center" wrapText="1"/>
    </xf>
    <xf numFmtId="0" fontId="69" fillId="0" borderId="1" xfId="2" applyFont="1" applyBorder="1" applyAlignment="1">
      <alignment vertical="center" wrapText="1"/>
    </xf>
    <xf numFmtId="0" fontId="0" fillId="36" borderId="22" xfId="0" applyFont="1" applyFill="1" applyBorder="1" applyAlignment="1">
      <alignment horizontal="center" vertical="center" wrapText="1"/>
    </xf>
    <xf numFmtId="0" fontId="0" fillId="36" borderId="0" xfId="0" applyFont="1" applyFill="1" applyBorder="1" applyAlignment="1">
      <alignment horizontal="center" vertical="center" wrapText="1"/>
    </xf>
    <xf numFmtId="0" fontId="0" fillId="0" borderId="0" xfId="0" applyAlignment="1">
      <alignment horizontal="right"/>
    </xf>
    <xf numFmtId="0" fontId="0" fillId="36" borderId="0" xfId="0" applyFont="1" applyFill="1" applyBorder="1" applyAlignment="1">
      <alignment horizontal="center" vertical="center" wrapText="1"/>
    </xf>
    <xf numFmtId="0" fontId="40" fillId="0" borderId="1" xfId="0" applyFont="1" applyFill="1" applyBorder="1" applyAlignment="1">
      <alignment horizontal="left" wrapText="1"/>
    </xf>
    <xf numFmtId="0" fontId="40" fillId="0" borderId="1" xfId="0" applyFont="1" applyFill="1" applyBorder="1" applyAlignment="1">
      <alignment horizontal="center" wrapText="1"/>
    </xf>
    <xf numFmtId="0" fontId="40" fillId="39" borderId="1" xfId="222" applyFont="1" applyFill="1" applyBorder="1" applyAlignment="1">
      <alignment horizontal="left" vertical="center"/>
    </xf>
    <xf numFmtId="0" fontId="40" fillId="39" borderId="1" xfId="0" applyFont="1" applyFill="1" applyBorder="1" applyAlignment="1">
      <alignment horizontal="left" wrapText="1"/>
    </xf>
    <xf numFmtId="0" fontId="40" fillId="35" borderId="2" xfId="222" applyFont="1" applyFill="1" applyBorder="1" applyAlignment="1">
      <alignment vertical="center"/>
    </xf>
    <xf numFmtId="0" fontId="40" fillId="0" borderId="1" xfId="0" applyFont="1" applyFill="1" applyBorder="1" applyAlignment="1">
      <alignment horizontal="left" wrapText="1"/>
    </xf>
    <xf numFmtId="0" fontId="40" fillId="0" borderId="1" xfId="0" applyFont="1" applyFill="1" applyBorder="1" applyAlignment="1">
      <alignment horizontal="center" wrapText="1"/>
    </xf>
    <xf numFmtId="0" fontId="69" fillId="0" borderId="1" xfId="64" applyFont="1" applyBorder="1" applyAlignment="1">
      <alignment horizontal="left" vertical="center" wrapText="1"/>
    </xf>
    <xf numFmtId="0" fontId="0" fillId="36" borderId="0" xfId="0" applyFont="1" applyFill="1" applyBorder="1" applyAlignment="1">
      <alignment horizontal="center" vertical="center" wrapText="1"/>
    </xf>
    <xf numFmtId="0" fontId="40" fillId="0" borderId="1" xfId="0" applyFont="1" applyFill="1" applyBorder="1" applyAlignment="1">
      <alignment horizontal="left" wrapText="1"/>
    </xf>
    <xf numFmtId="14" fontId="0" fillId="0" borderId="0" xfId="0" applyNumberFormat="1" applyFont="1"/>
    <xf numFmtId="0" fontId="0" fillId="0" borderId="0" xfId="0" applyFont="1"/>
    <xf numFmtId="0" fontId="0" fillId="0" borderId="0" xfId="0" applyFont="1" applyAlignment="1">
      <alignment horizontal="right"/>
    </xf>
    <xf numFmtId="0" fontId="39" fillId="35" borderId="24" xfId="222" applyFont="1" applyFill="1" applyBorder="1" applyAlignment="1">
      <alignment horizontal="center" vertical="center" wrapText="1"/>
    </xf>
    <xf numFmtId="0" fontId="40" fillId="39" borderId="1" xfId="222" applyFont="1" applyFill="1" applyBorder="1" applyAlignment="1">
      <alignment horizontal="left" vertical="center" wrapText="1"/>
    </xf>
    <xf numFmtId="0" fontId="40" fillId="39" borderId="1" xfId="0" applyFont="1" applyFill="1" applyBorder="1" applyAlignment="1">
      <alignment horizontal="left" vertical="center" wrapText="1"/>
    </xf>
    <xf numFmtId="0" fontId="40" fillId="35" borderId="24" xfId="222" applyFont="1" applyFill="1" applyBorder="1" applyAlignment="1">
      <alignment horizontal="center" vertical="center" wrapText="1"/>
    </xf>
    <xf numFmtId="0" fontId="40" fillId="0" borderId="2" xfId="0" applyFont="1" applyFill="1" applyBorder="1" applyAlignment="1">
      <alignment horizontal="center" wrapText="1"/>
    </xf>
    <xf numFmtId="0" fontId="40" fillId="0" borderId="1" xfId="0" applyFont="1" applyFill="1" applyBorder="1" applyAlignment="1">
      <alignment horizontal="center" wrapText="1"/>
    </xf>
    <xf numFmtId="0" fontId="0" fillId="38"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40" fillId="40" borderId="1" xfId="222" applyFont="1" applyFill="1" applyBorder="1" applyAlignment="1">
      <alignment horizontal="center" vertical="center"/>
    </xf>
    <xf numFmtId="0" fontId="40" fillId="40" borderId="3" xfId="222" applyFont="1" applyFill="1" applyBorder="1" applyAlignment="1">
      <alignment horizontal="center" vertical="center"/>
    </xf>
    <xf numFmtId="0" fontId="39" fillId="40" borderId="1" xfId="222" applyFont="1" applyFill="1" applyBorder="1" applyAlignment="1">
      <alignment horizontal="center" vertical="center"/>
    </xf>
    <xf numFmtId="0" fontId="40" fillId="0" borderId="1" xfId="222" applyFont="1" applyBorder="1" applyAlignment="1">
      <alignment horizontal="center" vertical="center" wrapText="1"/>
    </xf>
    <xf numFmtId="0" fontId="40" fillId="0" borderId="1" xfId="222" applyFont="1" applyBorder="1" applyAlignment="1">
      <alignment horizontal="center" vertical="center"/>
    </xf>
    <xf numFmtId="0" fontId="40" fillId="0" borderId="1" xfId="0" applyFont="1" applyBorder="1" applyAlignment="1">
      <alignment horizontal="center" vertical="center" wrapText="1"/>
    </xf>
    <xf numFmtId="0" fontId="40" fillId="0" borderId="1" xfId="222" applyFont="1" applyFill="1" applyBorder="1" applyAlignment="1">
      <alignment horizontal="center" vertical="center"/>
    </xf>
    <xf numFmtId="0" fontId="40" fillId="0" borderId="1" xfId="222" applyFont="1" applyFill="1" applyBorder="1" applyAlignment="1">
      <alignment horizontal="center" vertical="center" wrapText="1"/>
    </xf>
    <xf numFmtId="0" fontId="40" fillId="0" borderId="1" xfId="222" applyFont="1" applyBorder="1" applyAlignment="1">
      <alignment horizontal="center" wrapText="1"/>
    </xf>
    <xf numFmtId="0" fontId="40" fillId="0" borderId="0" xfId="222" applyFont="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40" fillId="0" borderId="1" xfId="0" applyFont="1" applyBorder="1" applyAlignment="1">
      <alignment horizontal="center" wrapText="1"/>
    </xf>
    <xf numFmtId="0" fontId="62" fillId="0" borderId="1" xfId="222" applyFont="1" applyBorder="1" applyAlignment="1">
      <alignment horizontal="center" vertical="center" wrapText="1"/>
    </xf>
    <xf numFmtId="0" fontId="40" fillId="40" borderId="1" xfId="222" applyFont="1" applyFill="1" applyBorder="1">
      <alignment vertical="center"/>
    </xf>
    <xf numFmtId="0" fontId="0" fillId="0" borderId="2" xfId="211" applyFont="1" applyFill="1" applyBorder="1" applyAlignment="1">
      <alignment horizontal="justify" vertical="center" wrapText="1"/>
    </xf>
    <xf numFmtId="0" fontId="40" fillId="0" borderId="1" xfId="0" applyFont="1" applyFill="1" applyBorder="1" applyAlignment="1">
      <alignment horizontal="left" wrapText="1"/>
    </xf>
    <xf numFmtId="0" fontId="40" fillId="0" borderId="1" xfId="0" applyFont="1" applyFill="1" applyBorder="1" applyAlignment="1">
      <alignment horizontal="center" wrapText="1"/>
    </xf>
    <xf numFmtId="0" fontId="0" fillId="36" borderId="0" xfId="0" applyFont="1" applyFill="1" applyBorder="1" applyAlignment="1">
      <alignment horizontal="center" vertical="center" wrapText="1"/>
    </xf>
    <xf numFmtId="0" fontId="69" fillId="0" borderId="0" xfId="0" applyFont="1" applyAlignment="1">
      <alignment horizontal="center" vertical="center"/>
    </xf>
    <xf numFmtId="0" fontId="40" fillId="0" borderId="1" xfId="0" applyFont="1" applyFill="1" applyBorder="1" applyAlignment="1">
      <alignment horizontal="left" wrapText="1"/>
    </xf>
    <xf numFmtId="0" fontId="40" fillId="0" borderId="1" xfId="0" applyFont="1" applyFill="1" applyBorder="1" applyAlignment="1">
      <alignment horizontal="center" wrapText="1"/>
    </xf>
    <xf numFmtId="0" fontId="0" fillId="36" borderId="0" xfId="0" applyFont="1" applyFill="1" applyBorder="1" applyAlignment="1">
      <alignment horizontal="center" vertical="center" wrapText="1"/>
    </xf>
    <xf numFmtId="0" fontId="0" fillId="0" borderId="0" xfId="0" applyFont="1" applyAlignment="1">
      <alignment wrapText="1"/>
    </xf>
    <xf numFmtId="0" fontId="0" fillId="36"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27" fillId="0" borderId="0" xfId="0" applyFont="1"/>
    <xf numFmtId="0" fontId="0" fillId="0" borderId="0" xfId="0" applyAlignment="1">
      <alignment horizontal="center"/>
    </xf>
    <xf numFmtId="166" fontId="0" fillId="0" borderId="0" xfId="0" applyNumberFormat="1" applyAlignment="1">
      <alignment horizontal="center"/>
    </xf>
    <xf numFmtId="0" fontId="27" fillId="0" borderId="12" xfId="17" applyAlignment="1">
      <alignment horizontal="center"/>
    </xf>
    <xf numFmtId="0" fontId="27" fillId="0" borderId="12" xfId="17" applyAlignment="1">
      <alignment horizontal="center" wrapText="1"/>
    </xf>
    <xf numFmtId="0" fontId="0" fillId="0" borderId="0" xfId="0" applyFont="1" applyFill="1" applyAlignment="1">
      <alignment horizontal="center"/>
    </xf>
    <xf numFmtId="0" fontId="11" fillId="0" borderId="0" xfId="0" applyFont="1" applyFill="1" applyAlignment="1">
      <alignment horizontal="center"/>
    </xf>
    <xf numFmtId="166" fontId="11" fillId="0" borderId="0" xfId="0" applyNumberFormat="1" applyFont="1" applyFill="1" applyAlignment="1">
      <alignment horizontal="center"/>
    </xf>
    <xf numFmtId="0" fontId="11" fillId="0" borderId="0" xfId="0" applyFont="1" applyFill="1"/>
    <xf numFmtId="0" fontId="65" fillId="0" borderId="0" xfId="138" applyFont="1" applyFill="1" applyAlignment="1">
      <alignment horizontal="center"/>
    </xf>
    <xf numFmtId="0" fontId="0" fillId="0" borderId="0" xfId="0" applyFont="1" applyAlignment="1">
      <alignment horizontal="center"/>
    </xf>
    <xf numFmtId="0" fontId="27" fillId="41" borderId="12" xfId="17" applyFill="1" applyAlignment="1">
      <alignment horizontal="center" wrapText="1"/>
    </xf>
    <xf numFmtId="0" fontId="65" fillId="0" borderId="0" xfId="39" applyFont="1" applyFill="1" applyAlignment="1">
      <alignment horizontal="center"/>
    </xf>
    <xf numFmtId="166" fontId="65" fillId="0" borderId="0" xfId="39" applyNumberFormat="1" applyFont="1" applyFill="1" applyAlignment="1">
      <alignment horizontal="center"/>
    </xf>
    <xf numFmtId="0" fontId="11" fillId="0" borderId="0" xfId="0" applyFont="1" applyFill="1" applyBorder="1" applyAlignment="1">
      <alignment horizontal="center"/>
    </xf>
    <xf numFmtId="0" fontId="0" fillId="0" borderId="0" xfId="0" applyFill="1"/>
    <xf numFmtId="0" fontId="11" fillId="0" borderId="0" xfId="39" applyFont="1" applyFill="1" applyAlignment="1">
      <alignment horizontal="center"/>
    </xf>
    <xf numFmtId="0" fontId="0" fillId="0" borderId="0" xfId="0" applyAlignment="1">
      <alignment horizontal="center" vertical="center"/>
    </xf>
    <xf numFmtId="0" fontId="11" fillId="0" borderId="0" xfId="0" applyFont="1" applyFill="1" applyAlignment="1">
      <alignment horizontal="left"/>
    </xf>
    <xf numFmtId="0" fontId="0" fillId="0" borderId="0" xfId="0" applyFont="1" applyFill="1" applyAlignment="1">
      <alignment horizontal="left"/>
    </xf>
    <xf numFmtId="0" fontId="0" fillId="0" borderId="0" xfId="0" applyFont="1" applyFill="1"/>
    <xf numFmtId="0" fontId="0" fillId="36" borderId="0" xfId="0" applyFont="1" applyFill="1" applyBorder="1" applyAlignment="1">
      <alignment horizontal="center" vertical="center" wrapText="1"/>
    </xf>
    <xf numFmtId="0" fontId="74" fillId="0" borderId="0" xfId="0" applyFont="1" applyAlignment="1">
      <alignment horizontal="center"/>
    </xf>
    <xf numFmtId="0" fontId="74" fillId="0" borderId="12" xfId="17" applyFont="1" applyAlignment="1">
      <alignment horizontal="center"/>
    </xf>
    <xf numFmtId="0" fontId="74" fillId="0" borderId="12" xfId="17" applyFont="1" applyAlignment="1">
      <alignment horizontal="left"/>
    </xf>
    <xf numFmtId="0" fontId="74" fillId="0" borderId="12" xfId="17" applyFont="1" applyAlignment="1">
      <alignment horizontal="center" wrapText="1"/>
    </xf>
    <xf numFmtId="0" fontId="74" fillId="41" borderId="12" xfId="17" applyFont="1" applyFill="1" applyAlignment="1">
      <alignment horizontal="center" wrapText="1"/>
    </xf>
    <xf numFmtId="166" fontId="74" fillId="41" borderId="12" xfId="17" applyNumberFormat="1" applyFont="1" applyFill="1" applyAlignment="1">
      <alignment horizontal="center" wrapText="1"/>
    </xf>
    <xf numFmtId="166" fontId="27" fillId="36" borderId="12" xfId="17" applyNumberFormat="1" applyFill="1" applyAlignment="1">
      <alignment horizontal="center" wrapText="1"/>
    </xf>
    <xf numFmtId="167" fontId="75" fillId="0" borderId="0" xfId="312" applyNumberFormat="1" applyFont="1" applyFill="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165" fontId="0" fillId="0" borderId="0" xfId="0" applyNumberFormat="1" applyFont="1" applyFill="1" applyBorder="1" applyAlignment="1">
      <alignment horizontal="center"/>
    </xf>
    <xf numFmtId="0" fontId="0" fillId="0" borderId="0" xfId="0" applyFont="1" applyFill="1" applyBorder="1"/>
    <xf numFmtId="165" fontId="0" fillId="0" borderId="0" xfId="0" applyNumberFormat="1" applyFont="1" applyFill="1" applyAlignment="1">
      <alignment horizontal="center"/>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Border="1"/>
    <xf numFmtId="165" fontId="0" fillId="0" borderId="0" xfId="0" applyNumberFormat="1" applyFont="1" applyFill="1" applyAlignment="1"/>
    <xf numFmtId="0" fontId="75" fillId="0" borderId="0" xfId="138" applyFont="1" applyFill="1" applyAlignment="1">
      <alignment horizontal="center"/>
    </xf>
    <xf numFmtId="0" fontId="0" fillId="0" borderId="0" xfId="138" applyFont="1" applyFill="1" applyAlignment="1">
      <alignment horizontal="left"/>
    </xf>
    <xf numFmtId="0" fontId="0" fillId="0" borderId="0" xfId="138" applyFont="1" applyFill="1" applyAlignment="1">
      <alignment horizontal="center"/>
    </xf>
    <xf numFmtId="0" fontId="75" fillId="0" borderId="0" xfId="136" applyFont="1" applyFill="1" applyAlignment="1">
      <alignment horizontal="center"/>
    </xf>
    <xf numFmtId="167" fontId="75" fillId="0" borderId="0" xfId="136" applyNumberFormat="1" applyFont="1" applyFill="1" applyAlignment="1">
      <alignment horizontal="center"/>
    </xf>
    <xf numFmtId="165" fontId="0" fillId="0" borderId="0" xfId="0" applyNumberFormat="1" applyFont="1" applyFill="1" applyAlignment="1">
      <alignment horizontal="right"/>
    </xf>
    <xf numFmtId="0" fontId="0" fillId="0" borderId="0" xfId="0" applyFill="1" applyAlignment="1">
      <alignment horizontal="center"/>
    </xf>
    <xf numFmtId="166" fontId="0" fillId="0" borderId="0" xfId="0" applyNumberFormat="1" applyFill="1" applyAlignment="1">
      <alignment horizontal="center"/>
    </xf>
    <xf numFmtId="0" fontId="34" fillId="0" borderId="0" xfId="138" applyFont="1" applyFill="1" applyAlignment="1">
      <alignment horizontal="center"/>
    </xf>
    <xf numFmtId="166" fontId="27" fillId="41" borderId="12" xfId="17" applyNumberFormat="1" applyFill="1" applyAlignment="1">
      <alignment horizontal="center" wrapText="1"/>
    </xf>
    <xf numFmtId="0" fontId="65" fillId="0" borderId="0" xfId="312" applyFont="1" applyFill="1" applyAlignment="1">
      <alignment horizontal="center"/>
    </xf>
    <xf numFmtId="166" fontId="65" fillId="0" borderId="0" xfId="312" applyNumberFormat="1" applyFont="1" applyFill="1" applyAlignment="1">
      <alignment horizontal="center"/>
    </xf>
    <xf numFmtId="0" fontId="65" fillId="0" borderId="0" xfId="313" applyFont="1" applyFill="1" applyAlignment="1">
      <alignment horizontal="center"/>
    </xf>
    <xf numFmtId="0" fontId="1" fillId="0" borderId="0" xfId="312" applyFill="1" applyAlignment="1">
      <alignment horizontal="center"/>
    </xf>
    <xf numFmtId="166" fontId="1" fillId="0" borderId="0" xfId="312" applyNumberFormat="1" applyFill="1" applyAlignment="1">
      <alignment horizontal="center"/>
    </xf>
    <xf numFmtId="0" fontId="0" fillId="0" borderId="0" xfId="314" applyFont="1" applyFill="1" applyAlignment="1">
      <alignment horizontal="center"/>
    </xf>
    <xf numFmtId="167" fontId="0" fillId="0" borderId="0" xfId="138" applyNumberFormat="1" applyFont="1" applyFill="1" applyAlignment="1">
      <alignment horizontal="center"/>
    </xf>
    <xf numFmtId="0" fontId="34" fillId="0" borderId="0" xfId="313" applyFont="1" applyFill="1" applyAlignment="1">
      <alignment horizontal="center"/>
    </xf>
    <xf numFmtId="0" fontId="0" fillId="0" borderId="0" xfId="0" applyFill="1" applyAlignment="1">
      <alignment horizontal="center" wrapText="1"/>
    </xf>
    <xf numFmtId="166" fontId="0" fillId="0" borderId="21" xfId="0" applyNumberFormat="1" applyFont="1" applyFill="1" applyBorder="1" applyAlignment="1">
      <alignment vertical="center" wrapText="1"/>
    </xf>
    <xf numFmtId="166" fontId="0" fillId="0" borderId="21" xfId="0" applyNumberFormat="1" applyFill="1" applyBorder="1" applyAlignment="1">
      <alignment vertical="center" wrapText="1"/>
    </xf>
    <xf numFmtId="166" fontId="0" fillId="0" borderId="21" xfId="0" applyNumberFormat="1" applyFont="1" applyFill="1" applyBorder="1" applyAlignment="1">
      <alignment horizontal="center" vertical="center" wrapText="1"/>
    </xf>
    <xf numFmtId="166" fontId="0" fillId="37" borderId="0" xfId="0" applyNumberFormat="1" applyFont="1" applyFill="1" applyBorder="1" applyAlignment="1">
      <alignment vertical="center" wrapText="1"/>
    </xf>
    <xf numFmtId="166" fontId="0" fillId="0" borderId="0" xfId="0" applyNumberFormat="1" applyFont="1" applyFill="1" applyBorder="1" applyAlignment="1">
      <alignment vertical="center" wrapText="1"/>
    </xf>
    <xf numFmtId="166" fontId="11" fillId="0" borderId="0" xfId="309" applyNumberFormat="1" applyFont="1" applyFill="1" applyBorder="1" applyAlignment="1">
      <alignment vertical="center" wrapText="1"/>
    </xf>
    <xf numFmtId="166" fontId="0" fillId="35" borderId="0" xfId="0" applyNumberFormat="1" applyFont="1" applyFill="1" applyBorder="1" applyAlignment="1">
      <alignment vertical="center" wrapText="1"/>
    </xf>
    <xf numFmtId="166" fontId="11" fillId="35" borderId="0" xfId="309" applyNumberFormat="1" applyFont="1" applyFill="1" applyBorder="1" applyAlignment="1">
      <alignment vertical="center" wrapText="1"/>
    </xf>
    <xf numFmtId="166" fontId="0" fillId="40" borderId="0" xfId="0" applyNumberFormat="1" applyFont="1" applyFill="1" applyBorder="1" applyAlignment="1">
      <alignment vertical="center" wrapText="1"/>
    </xf>
    <xf numFmtId="166" fontId="65" fillId="0" borderId="0" xfId="295" applyNumberFormat="1" applyFont="1" applyFill="1" applyBorder="1" applyAlignment="1">
      <alignment vertical="center" wrapText="1"/>
    </xf>
    <xf numFmtId="166" fontId="65" fillId="35" borderId="0" xfId="295" applyNumberFormat="1" applyFont="1" applyFill="1" applyBorder="1" applyAlignment="1">
      <alignment vertical="center" wrapText="1"/>
    </xf>
    <xf numFmtId="166" fontId="2" fillId="0" borderId="0" xfId="310" applyNumberFormat="1">
      <alignment vertical="center"/>
    </xf>
    <xf numFmtId="166" fontId="72" fillId="0" borderId="0" xfId="309" applyNumberFormat="1" applyFont="1" applyFill="1" applyBorder="1" applyAlignment="1">
      <alignment vertical="center" wrapText="1"/>
    </xf>
    <xf numFmtId="166" fontId="65" fillId="0" borderId="0" xfId="310" applyNumberFormat="1" applyFont="1" applyFill="1" applyBorder="1" applyAlignment="1">
      <alignment vertical="center" wrapText="1"/>
    </xf>
    <xf numFmtId="166" fontId="65" fillId="35" borderId="0" xfId="310" applyNumberFormat="1" applyFont="1" applyFill="1" applyBorder="1" applyAlignment="1">
      <alignment vertical="center" wrapText="1"/>
    </xf>
    <xf numFmtId="166" fontId="11" fillId="35" borderId="0" xfId="0" applyNumberFormat="1" applyFont="1" applyFill="1" applyBorder="1" applyAlignment="1">
      <alignment vertical="center" wrapText="1"/>
    </xf>
    <xf numFmtId="166" fontId="73" fillId="0" borderId="0" xfId="310" applyNumberFormat="1" applyFont="1">
      <alignment vertical="center"/>
    </xf>
    <xf numFmtId="166" fontId="64" fillId="35" borderId="25" xfId="0" applyNumberFormat="1" applyFont="1" applyFill="1" applyBorder="1" applyAlignment="1">
      <alignment vertical="center" wrapText="1"/>
    </xf>
    <xf numFmtId="166" fontId="0" fillId="35" borderId="25" xfId="0" applyNumberFormat="1" applyFont="1" applyFill="1" applyBorder="1" applyAlignment="1">
      <alignment vertical="center" wrapText="1"/>
    </xf>
    <xf numFmtId="166" fontId="11" fillId="35" borderId="25" xfId="309" applyNumberFormat="1" applyFont="1" applyFill="1" applyBorder="1" applyAlignment="1">
      <alignment vertical="center" wrapText="1"/>
    </xf>
    <xf numFmtId="166" fontId="0" fillId="0" borderId="21" xfId="0" applyNumberFormat="1" applyFill="1" applyBorder="1" applyAlignment="1">
      <alignment horizontal="center" vertical="center" wrapText="1"/>
    </xf>
    <xf numFmtId="166" fontId="72" fillId="35" borderId="0" xfId="309" applyNumberFormat="1" applyFont="1" applyFill="1" applyBorder="1" applyAlignment="1">
      <alignment vertical="center" wrapText="1"/>
    </xf>
    <xf numFmtId="166" fontId="68" fillId="0" borderId="0" xfId="0" applyNumberFormat="1" applyFont="1" applyFill="1" applyBorder="1" applyAlignment="1">
      <alignment vertical="center" wrapText="1"/>
    </xf>
    <xf numFmtId="10" fontId="0" fillId="0" borderId="0" xfId="0" applyNumberFormat="1" applyAlignment="1">
      <alignment horizontal="center"/>
    </xf>
    <xf numFmtId="169" fontId="0" fillId="0" borderId="0" xfId="0" applyNumberFormat="1" applyAlignment="1">
      <alignment horizontal="center"/>
    </xf>
    <xf numFmtId="0" fontId="0" fillId="36" borderId="22" xfId="0" applyFont="1" applyFill="1" applyBorder="1" applyAlignment="1">
      <alignment horizontal="center" vertical="center" wrapText="1"/>
    </xf>
    <xf numFmtId="0" fontId="0" fillId="36"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64" fillId="37" borderId="0" xfId="0" applyFont="1" applyFill="1" applyBorder="1" applyAlignment="1">
      <alignment horizontal="center" vertical="center" wrapText="1"/>
    </xf>
    <xf numFmtId="164" fontId="0" fillId="0" borderId="21" xfId="0" applyNumberFormat="1" applyFont="1" applyFill="1" applyBorder="1" applyAlignment="1">
      <alignment vertical="center" wrapText="1"/>
    </xf>
    <xf numFmtId="0" fontId="0" fillId="0" borderId="0" xfId="0" applyFont="1" applyAlignment="1">
      <alignment horizontal="left"/>
    </xf>
    <xf numFmtId="166" fontId="74" fillId="36" borderId="12" xfId="17" applyNumberFormat="1" applyFont="1" applyFill="1" applyAlignment="1">
      <alignment horizontal="center" wrapText="1"/>
    </xf>
    <xf numFmtId="166" fontId="0" fillId="0" borderId="0" xfId="0" applyNumberFormat="1" applyFont="1" applyAlignment="1">
      <alignment horizontal="center"/>
    </xf>
    <xf numFmtId="0" fontId="0" fillId="36" borderId="0" xfId="0" applyFont="1" applyFill="1" applyBorder="1" applyAlignment="1">
      <alignment horizontal="center" vertical="center" wrapText="1"/>
    </xf>
    <xf numFmtId="0" fontId="40" fillId="0" borderId="2" xfId="0" applyFont="1" applyFill="1" applyBorder="1" applyAlignment="1">
      <alignment horizontal="center" wrapText="1"/>
    </xf>
    <xf numFmtId="0" fontId="40" fillId="0" borderId="1" xfId="0" applyFont="1" applyFill="1" applyBorder="1" applyAlignment="1">
      <alignment horizontal="left" wrapText="1"/>
    </xf>
    <xf numFmtId="0" fontId="11" fillId="0" borderId="0" xfId="0" applyFont="1" applyFill="1" applyBorder="1" applyAlignment="1">
      <alignment horizontal="left"/>
    </xf>
    <xf numFmtId="165" fontId="11" fillId="0" borderId="0" xfId="0" applyNumberFormat="1" applyFont="1" applyFill="1" applyBorder="1" applyAlignment="1">
      <alignment horizontal="center"/>
    </xf>
    <xf numFmtId="168" fontId="11" fillId="0" borderId="0" xfId="0" applyNumberFormat="1" applyFont="1" applyFill="1" applyBorder="1" applyAlignment="1">
      <alignment horizontal="center"/>
    </xf>
    <xf numFmtId="165" fontId="11" fillId="0" borderId="0" xfId="0" applyNumberFormat="1" applyFont="1" applyFill="1" applyBorder="1" applyAlignment="1"/>
    <xf numFmtId="166" fontId="0" fillId="0" borderId="0" xfId="0" applyNumberFormat="1" applyFill="1" applyBorder="1" applyAlignment="1">
      <alignment horizontal="center"/>
    </xf>
    <xf numFmtId="0" fontId="65" fillId="0" borderId="0" xfId="311" applyFont="1" applyFill="1" applyBorder="1" applyAlignment="1">
      <alignment horizontal="center"/>
    </xf>
    <xf numFmtId="0" fontId="68" fillId="0" borderId="0" xfId="0" applyFont="1" applyFill="1" applyBorder="1" applyAlignment="1">
      <alignment horizontal="center"/>
    </xf>
    <xf numFmtId="0" fontId="68" fillId="0" borderId="0" xfId="0" applyFont="1" applyFill="1" applyBorder="1" applyAlignment="1">
      <alignment horizontal="left"/>
    </xf>
    <xf numFmtId="0" fontId="68" fillId="0" borderId="0" xfId="0" applyFont="1" applyFill="1" applyBorder="1"/>
    <xf numFmtId="165" fontId="68" fillId="0" borderId="0" xfId="0" applyNumberFormat="1" applyFont="1" applyFill="1" applyBorder="1" applyAlignment="1">
      <alignment horizontal="center"/>
    </xf>
    <xf numFmtId="168" fontId="68" fillId="0" borderId="0" xfId="0" applyNumberFormat="1" applyFont="1" applyFill="1" applyBorder="1" applyAlignment="1">
      <alignment horizontal="center"/>
    </xf>
    <xf numFmtId="165" fontId="68" fillId="0" borderId="0" xfId="0" applyNumberFormat="1" applyFont="1" applyFill="1" applyBorder="1" applyAlignment="1"/>
    <xf numFmtId="0" fontId="11" fillId="0" borderId="0" xfId="0" applyFon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Border="1"/>
    <xf numFmtId="165" fontId="0" fillId="0" borderId="0" xfId="0" applyNumberFormat="1" applyFill="1" applyBorder="1" applyAlignment="1">
      <alignment horizontal="center"/>
    </xf>
    <xf numFmtId="168" fontId="0" fillId="0" borderId="0" xfId="0" applyNumberFormat="1" applyFill="1" applyBorder="1" applyAlignment="1">
      <alignment horizontal="center"/>
    </xf>
    <xf numFmtId="165" fontId="0" fillId="0" borderId="0" xfId="0" applyNumberFormat="1" applyFill="1" applyBorder="1" applyAlignment="1"/>
    <xf numFmtId="0" fontId="11" fillId="0" borderId="0" xfId="64" applyFont="1" applyFill="1" applyBorder="1" applyAlignment="1">
      <alignment horizontal="center"/>
    </xf>
    <xf numFmtId="0" fontId="65" fillId="0" borderId="0" xfId="0" applyFont="1" applyFill="1" applyBorder="1" applyAlignment="1">
      <alignment horizontal="center"/>
    </xf>
    <xf numFmtId="167" fontId="65" fillId="0" borderId="0" xfId="0" applyNumberFormat="1" applyFont="1" applyFill="1" applyBorder="1" applyAlignment="1">
      <alignment horizontal="center"/>
    </xf>
    <xf numFmtId="0" fontId="27" fillId="0" borderId="0" xfId="0" applyFont="1" applyFill="1" applyBorder="1"/>
    <xf numFmtId="10" fontId="0" fillId="0" borderId="0" xfId="0" applyNumberFormat="1" applyFill="1" applyBorder="1" applyAlignment="1">
      <alignment horizontal="center"/>
    </xf>
    <xf numFmtId="0" fontId="27" fillId="0" borderId="0" xfId="17" applyFill="1" applyBorder="1" applyAlignment="1">
      <alignment horizontal="center"/>
    </xf>
    <xf numFmtId="0" fontId="27" fillId="0" borderId="0" xfId="17" applyFill="1" applyBorder="1" applyAlignment="1">
      <alignment horizontal="left"/>
    </xf>
    <xf numFmtId="0" fontId="27" fillId="0" borderId="0" xfId="17" applyFill="1" applyBorder="1" applyAlignment="1">
      <alignment horizontal="center" wrapText="1"/>
    </xf>
    <xf numFmtId="166" fontId="27" fillId="0" borderId="0" xfId="17" applyNumberFormat="1" applyFill="1" applyBorder="1" applyAlignment="1">
      <alignment horizontal="center" wrapText="1"/>
    </xf>
    <xf numFmtId="169" fontId="0" fillId="0" borderId="0" xfId="0" applyNumberFormat="1" applyFill="1" applyBorder="1" applyAlignment="1">
      <alignment horizontal="center"/>
    </xf>
    <xf numFmtId="0" fontId="66" fillId="0" borderId="0" xfId="0" applyFont="1" applyFill="1" applyBorder="1"/>
    <xf numFmtId="168" fontId="27" fillId="0" borderId="0" xfId="17" applyNumberFormat="1" applyFill="1" applyBorder="1" applyAlignment="1">
      <alignment horizontal="center" wrapText="1"/>
    </xf>
    <xf numFmtId="0" fontId="27" fillId="0" borderId="0" xfId="0" applyFont="1" applyFill="1" applyBorder="1" applyAlignment="1">
      <alignment wrapText="1"/>
    </xf>
    <xf numFmtId="9" fontId="0" fillId="0" borderId="0" xfId="0" applyNumberFormat="1" applyFill="1" applyBorder="1" applyAlignment="1">
      <alignment horizontal="center"/>
    </xf>
    <xf numFmtId="0" fontId="0" fillId="0" borderId="0" xfId="0" applyFont="1" applyFill="1" applyBorder="1" applyAlignment="1">
      <alignment horizontal="center" vertical="center"/>
    </xf>
    <xf numFmtId="0" fontId="77" fillId="0" borderId="0" xfId="0" applyFont="1" applyFill="1" applyBorder="1" applyAlignment="1">
      <alignment horizontal="center" vertical="center"/>
    </xf>
    <xf numFmtId="166" fontId="0" fillId="0" borderId="0" xfId="0" applyNumberFormat="1" applyFont="1" applyFill="1" applyBorder="1" applyAlignment="1">
      <alignment horizontal="center"/>
    </xf>
    <xf numFmtId="0" fontId="74" fillId="0" borderId="0" xfId="0" applyFont="1" applyFill="1" applyBorder="1"/>
    <xf numFmtId="0" fontId="74" fillId="0" borderId="0" xfId="17" applyFont="1" applyFill="1" applyBorder="1" applyAlignment="1">
      <alignment horizontal="center"/>
    </xf>
    <xf numFmtId="0" fontId="74" fillId="0" borderId="0" xfId="17" applyFont="1" applyFill="1" applyBorder="1" applyAlignment="1">
      <alignment horizontal="left"/>
    </xf>
    <xf numFmtId="0" fontId="74" fillId="0" borderId="0" xfId="17" applyFont="1" applyFill="1" applyBorder="1" applyAlignment="1">
      <alignment horizontal="center" wrapText="1"/>
    </xf>
    <xf numFmtId="166" fontId="74" fillId="0" borderId="0" xfId="17" applyNumberFormat="1" applyFont="1" applyFill="1" applyBorder="1" applyAlignment="1">
      <alignment horizontal="center" wrapText="1"/>
    </xf>
    <xf numFmtId="0" fontId="75" fillId="0" borderId="0" xfId="35" applyFont="1" applyFill="1" applyBorder="1" applyAlignment="1">
      <alignment horizontal="center"/>
    </xf>
    <xf numFmtId="0" fontId="0" fillId="0" borderId="0" xfId="35" applyFont="1" applyFill="1" applyBorder="1" applyAlignment="1">
      <alignment horizontal="left"/>
    </xf>
    <xf numFmtId="167" fontId="75" fillId="0" borderId="0" xfId="35" applyNumberFormat="1" applyFont="1" applyFill="1" applyBorder="1" applyAlignment="1">
      <alignment horizontal="center"/>
    </xf>
    <xf numFmtId="165" fontId="0" fillId="0" borderId="0" xfId="0" applyNumberFormat="1" applyFont="1" applyFill="1" applyBorder="1" applyAlignment="1">
      <alignment horizontal="right"/>
    </xf>
    <xf numFmtId="0" fontId="0" fillId="0" borderId="0" xfId="0" applyFont="1" applyFill="1" applyBorder="1" applyAlignment="1">
      <alignment wrapText="1"/>
    </xf>
    <xf numFmtId="0" fontId="66" fillId="0" borderId="0" xfId="0" applyFont="1" applyFill="1" applyBorder="1" applyAlignment="1">
      <alignment horizontal="left"/>
    </xf>
    <xf numFmtId="167" fontId="0" fillId="0" borderId="0" xfId="0" applyNumberFormat="1" applyFont="1" applyFill="1" applyBorder="1" applyAlignment="1">
      <alignment horizontal="center"/>
    </xf>
    <xf numFmtId="167" fontId="75" fillId="0" borderId="0" xfId="312" applyNumberFormat="1" applyFont="1" applyFill="1" applyBorder="1" applyAlignment="1">
      <alignment horizontal="center"/>
    </xf>
    <xf numFmtId="0" fontId="40" fillId="0" borderId="2" xfId="0" applyFont="1" applyFill="1" applyBorder="1" applyAlignment="1">
      <alignment horizontal="center" wrapText="1"/>
    </xf>
    <xf numFmtId="0" fontId="78" fillId="35" borderId="1" xfId="222" applyFont="1" applyFill="1" applyBorder="1" applyAlignment="1">
      <alignment horizontal="center" vertical="center"/>
    </xf>
    <xf numFmtId="0" fontId="40" fillId="33" borderId="2" xfId="0" applyFont="1" applyFill="1" applyBorder="1" applyAlignment="1">
      <alignment horizontal="center" wrapText="1"/>
    </xf>
    <xf numFmtId="0" fontId="40" fillId="33" borderId="3" xfId="0" applyFont="1" applyFill="1" applyBorder="1" applyAlignment="1">
      <alignment horizontal="center" wrapText="1"/>
    </xf>
    <xf numFmtId="0" fontId="38" fillId="0" borderId="17" xfId="222" applyBorder="1" applyAlignment="1">
      <alignment horizontal="center" vertical="center"/>
    </xf>
    <xf numFmtId="0" fontId="38" fillId="0" borderId="3" xfId="222" applyBorder="1" applyAlignment="1">
      <alignment horizontal="center" vertical="center"/>
    </xf>
    <xf numFmtId="0" fontId="40" fillId="0" borderId="2" xfId="222" applyFont="1" applyBorder="1" applyAlignment="1">
      <alignment horizontal="left" vertical="center"/>
    </xf>
    <xf numFmtId="0" fontId="40" fillId="0" borderId="3" xfId="222" applyFont="1" applyBorder="1" applyAlignment="1">
      <alignment horizontal="left" vertical="center"/>
    </xf>
    <xf numFmtId="0" fontId="40" fillId="0" borderId="2" xfId="222" applyFont="1" applyBorder="1" applyAlignment="1">
      <alignment horizontal="left" vertical="center" wrapText="1"/>
    </xf>
    <xf numFmtId="0" fontId="40" fillId="0" borderId="3" xfId="222" applyFont="1" applyBorder="1" applyAlignment="1">
      <alignment horizontal="left" vertical="center" wrapText="1"/>
    </xf>
    <xf numFmtId="0" fontId="40" fillId="0" borderId="2" xfId="0" applyFont="1" applyFill="1" applyBorder="1" applyAlignment="1">
      <alignment horizontal="left" wrapText="1"/>
    </xf>
    <xf numFmtId="0" fontId="40" fillId="0" borderId="3" xfId="0" applyFont="1" applyFill="1" applyBorder="1" applyAlignment="1">
      <alignment horizontal="left" wrapText="1"/>
    </xf>
    <xf numFmtId="0" fontId="40" fillId="0" borderId="2" xfId="0" applyFont="1" applyFill="1" applyBorder="1" applyAlignment="1">
      <alignment horizontal="center" wrapText="1"/>
    </xf>
    <xf numFmtId="0" fontId="40" fillId="0" borderId="3" xfId="0" applyFont="1" applyFill="1" applyBorder="1" applyAlignment="1">
      <alignment horizontal="center" wrapText="1"/>
    </xf>
    <xf numFmtId="0" fontId="63" fillId="0" borderId="2" xfId="0" applyFont="1" applyFill="1" applyBorder="1" applyAlignment="1">
      <alignment horizontal="center" wrapText="1"/>
    </xf>
    <xf numFmtId="0" fontId="63" fillId="0" borderId="3" xfId="0" applyFont="1" applyFill="1" applyBorder="1" applyAlignment="1">
      <alignment horizontal="center" wrapText="1"/>
    </xf>
    <xf numFmtId="0" fontId="61" fillId="0" borderId="2" xfId="0" applyFont="1" applyFill="1" applyBorder="1" applyAlignment="1">
      <alignment horizontal="left" wrapText="1"/>
    </xf>
    <xf numFmtId="0" fontId="61" fillId="0" borderId="3" xfId="0" applyFont="1" applyFill="1" applyBorder="1" applyAlignment="1">
      <alignment horizontal="left" wrapText="1"/>
    </xf>
    <xf numFmtId="0" fontId="40" fillId="0" borderId="18" xfId="222" applyFont="1" applyBorder="1" applyAlignment="1">
      <alignment horizontal="left" vertical="center"/>
    </xf>
    <xf numFmtId="0" fontId="40" fillId="0" borderId="19" xfId="222" applyFont="1" applyBorder="1" applyAlignment="1">
      <alignment horizontal="left" vertical="center"/>
    </xf>
    <xf numFmtId="0" fontId="62" fillId="0" borderId="2" xfId="0" applyFont="1" applyBorder="1" applyAlignment="1">
      <alignment horizontal="left" vertical="center" wrapText="1"/>
    </xf>
    <xf numFmtId="0" fontId="62" fillId="0" borderId="3" xfId="0" applyFont="1" applyBorder="1" applyAlignment="1">
      <alignment horizontal="left" vertical="center" wrapText="1"/>
    </xf>
    <xf numFmtId="0" fontId="40" fillId="33" borderId="2" xfId="0" applyFont="1" applyFill="1" applyBorder="1" applyAlignment="1">
      <alignment horizontal="center" vertical="center" wrapText="1"/>
    </xf>
    <xf numFmtId="0" fontId="40" fillId="33" borderId="3" xfId="0" applyFont="1" applyFill="1" applyBorder="1" applyAlignment="1">
      <alignment horizontal="center" vertical="center" wrapText="1"/>
    </xf>
    <xf numFmtId="0" fontId="40" fillId="0" borderId="2" xfId="222" applyFont="1" applyBorder="1" applyAlignment="1">
      <alignment horizontal="center" vertical="center"/>
    </xf>
    <xf numFmtId="0" fontId="40" fillId="0" borderId="3" xfId="222" applyFont="1" applyBorder="1" applyAlignment="1">
      <alignment horizontal="center" vertical="center"/>
    </xf>
    <xf numFmtId="0" fontId="40" fillId="40" borderId="2" xfId="222" applyFont="1" applyFill="1" applyBorder="1" applyAlignment="1">
      <alignment horizontal="center" vertical="center"/>
    </xf>
    <xf numFmtId="0" fontId="40" fillId="40" borderId="3" xfId="222" applyFont="1" applyFill="1" applyBorder="1" applyAlignment="1">
      <alignment horizontal="center" vertical="center"/>
    </xf>
    <xf numFmtId="0" fontId="40" fillId="35" borderId="2" xfId="222" applyFont="1" applyFill="1" applyBorder="1" applyAlignment="1">
      <alignment horizontal="center" vertical="center" wrapText="1"/>
    </xf>
    <xf numFmtId="0" fontId="40" fillId="35" borderId="3" xfId="222" applyFont="1" applyFill="1" applyBorder="1" applyAlignment="1">
      <alignment horizontal="center" vertical="center" wrapText="1"/>
    </xf>
    <xf numFmtId="0" fontId="40" fillId="33" borderId="2" xfId="0" applyFont="1" applyFill="1" applyBorder="1" applyAlignment="1">
      <alignment horizontal="left" wrapText="1"/>
    </xf>
    <xf numFmtId="0" fontId="40" fillId="33" borderId="3" xfId="0" applyFont="1" applyFill="1" applyBorder="1" applyAlignment="1">
      <alignment horizontal="left" wrapText="1"/>
    </xf>
    <xf numFmtId="0" fontId="38" fillId="0" borderId="1" xfId="222" applyBorder="1" applyAlignment="1">
      <alignment horizontal="left" vertical="center"/>
    </xf>
    <xf numFmtId="0" fontId="63" fillId="0" borderId="2" xfId="0" applyFont="1" applyFill="1" applyBorder="1" applyAlignment="1">
      <alignment horizontal="left" wrapText="1"/>
    </xf>
    <xf numFmtId="0" fontId="63" fillId="0" borderId="3" xfId="0" applyFont="1" applyFill="1" applyBorder="1" applyAlignment="1">
      <alignment horizontal="left" wrapText="1"/>
    </xf>
    <xf numFmtId="0" fontId="40" fillId="33" borderId="2" xfId="0" applyFont="1" applyFill="1" applyBorder="1" applyAlignment="1">
      <alignment horizontal="left" vertical="center" wrapText="1"/>
    </xf>
    <xf numFmtId="0" fontId="40" fillId="33" borderId="3" xfId="0" applyFont="1" applyFill="1" applyBorder="1" applyAlignment="1">
      <alignment horizontal="left" vertical="center" wrapText="1"/>
    </xf>
    <xf numFmtId="0" fontId="39" fillId="33" borderId="0" xfId="0" applyFont="1" applyFill="1" applyBorder="1" applyAlignment="1">
      <alignment horizontal="center" wrapText="1"/>
    </xf>
    <xf numFmtId="0" fontId="39" fillId="33" borderId="15" xfId="0" applyFont="1" applyFill="1" applyBorder="1" applyAlignment="1">
      <alignment horizontal="center" wrapText="1"/>
    </xf>
    <xf numFmtId="0" fontId="40" fillId="0" borderId="3" xfId="0" applyFont="1" applyFill="1" applyBorder="1" applyAlignment="1">
      <alignment vertical="top" wrapText="1"/>
    </xf>
    <xf numFmtId="0" fontId="40" fillId="0" borderId="1" xfId="0" applyFont="1" applyFill="1" applyBorder="1" applyAlignment="1">
      <alignment vertical="top" wrapText="1"/>
    </xf>
    <xf numFmtId="0" fontId="40" fillId="0" borderId="1" xfId="0" applyFont="1" applyFill="1" applyBorder="1" applyAlignment="1">
      <alignment horizontal="center" wrapText="1"/>
    </xf>
    <xf numFmtId="0" fontId="38" fillId="0" borderId="13" xfId="222" applyBorder="1" applyAlignment="1">
      <alignment horizontal="center" vertical="center"/>
    </xf>
    <xf numFmtId="0" fontId="38" fillId="0" borderId="16" xfId="222" applyBorder="1" applyAlignment="1">
      <alignment horizontal="center" vertical="center"/>
    </xf>
    <xf numFmtId="0" fontId="38" fillId="0" borderId="14" xfId="222" applyBorder="1" applyAlignment="1">
      <alignment horizontal="center" vertical="center"/>
    </xf>
    <xf numFmtId="0" fontId="39" fillId="33" borderId="19" xfId="0" applyFont="1" applyFill="1" applyBorder="1" applyAlignment="1">
      <alignment horizontal="center" wrapText="1"/>
    </xf>
    <xf numFmtId="0" fontId="39" fillId="33" borderId="20" xfId="0" applyFont="1" applyFill="1" applyBorder="1" applyAlignment="1">
      <alignment horizontal="center" wrapText="1"/>
    </xf>
    <xf numFmtId="0" fontId="40" fillId="33" borderId="13" xfId="0" applyFont="1" applyFill="1" applyBorder="1" applyAlignment="1">
      <alignment horizontal="center" wrapText="1"/>
    </xf>
    <xf numFmtId="0" fontId="40" fillId="33" borderId="14" xfId="0" applyFont="1" applyFill="1" applyBorder="1" applyAlignment="1">
      <alignment horizontal="center" wrapText="1"/>
    </xf>
    <xf numFmtId="0" fontId="40" fillId="35" borderId="2" xfId="222" applyFont="1" applyFill="1" applyBorder="1" applyAlignment="1">
      <alignment horizontal="center" vertical="center"/>
    </xf>
    <xf numFmtId="0" fontId="40" fillId="35" borderId="3" xfId="222" applyFont="1" applyFill="1" applyBorder="1" applyAlignment="1">
      <alignment horizontal="center" vertical="center"/>
    </xf>
    <xf numFmtId="0" fontId="40" fillId="0" borderId="1" xfId="0" applyFont="1" applyFill="1" applyBorder="1" applyAlignment="1">
      <alignment wrapText="1"/>
    </xf>
    <xf numFmtId="0" fontId="40" fillId="0" borderId="1" xfId="0" applyFont="1" applyFill="1" applyBorder="1" applyAlignment="1"/>
    <xf numFmtId="0" fontId="78" fillId="35" borderId="2" xfId="222" applyFont="1" applyFill="1" applyBorder="1" applyAlignment="1">
      <alignment horizontal="center" vertical="center"/>
    </xf>
    <xf numFmtId="0" fontId="78" fillId="35" borderId="3" xfId="222" applyFont="1" applyFill="1" applyBorder="1" applyAlignment="1">
      <alignment horizontal="center" vertical="center"/>
    </xf>
    <xf numFmtId="0" fontId="76" fillId="0" borderId="0" xfId="0" applyFont="1" applyAlignment="1">
      <alignment horizontal="left" wrapText="1"/>
    </xf>
    <xf numFmtId="0" fontId="0" fillId="0" borderId="0" xfId="0" applyFont="1" applyAlignment="1">
      <alignment horizontal="left"/>
    </xf>
    <xf numFmtId="0" fontId="0" fillId="36" borderId="22" xfId="0" applyFont="1" applyFill="1" applyBorder="1" applyAlignment="1">
      <alignment horizontal="center" vertical="center" wrapText="1"/>
    </xf>
    <xf numFmtId="0" fontId="0" fillId="36" borderId="0" xfId="0" applyFont="1" applyFill="1" applyBorder="1" applyAlignment="1">
      <alignment horizontal="center" vertical="center" wrapText="1"/>
    </xf>
    <xf numFmtId="0" fontId="0" fillId="38" borderId="0" xfId="0" applyFont="1" applyFill="1" applyBorder="1" applyAlignment="1">
      <alignment horizontal="center" vertical="center" wrapText="1"/>
    </xf>
    <xf numFmtId="0" fontId="64" fillId="0" borderId="21" xfId="0" applyFont="1" applyFill="1" applyBorder="1" applyAlignment="1">
      <alignment horizontal="left" vertical="center" wrapText="1"/>
    </xf>
  </cellXfs>
  <cellStyles count="315">
    <cellStyle name="20% - Accent1" xfId="19" builtinId="30" customBuiltin="1"/>
    <cellStyle name="20% - Accent1 2" xfId="49"/>
    <cellStyle name="20% - Accent1 2 2" xfId="112"/>
    <cellStyle name="20% - Accent1 2_UMi-70GHz" xfId="220"/>
    <cellStyle name="20% - Accent1 3" xfId="95"/>
    <cellStyle name="20% - Accent2" xfId="23" builtinId="34" customBuiltin="1"/>
    <cellStyle name="20% - Accent2 2" xfId="51"/>
    <cellStyle name="20% - Accent2 2 2" xfId="114"/>
    <cellStyle name="20% - Accent2 2_UMi-70GHz" xfId="219"/>
    <cellStyle name="20% - Accent2 3" xfId="97"/>
    <cellStyle name="20% - Accent3" xfId="27" builtinId="38" customBuiltin="1"/>
    <cellStyle name="20% - Accent3 2" xfId="53"/>
    <cellStyle name="20% - Accent3 2 2" xfId="116"/>
    <cellStyle name="20% - Accent3 2_UMi-70GHz" xfId="218"/>
    <cellStyle name="20% - Accent3 3" xfId="99"/>
    <cellStyle name="20% - Accent4" xfId="31" builtinId="42" customBuiltin="1"/>
    <cellStyle name="20% - Accent4 2" xfId="55"/>
    <cellStyle name="20% - Accent4 2 2" xfId="118"/>
    <cellStyle name="20% - Accent4 2_UMi-70GHz" xfId="216"/>
    <cellStyle name="20% - Accent4 3" xfId="101"/>
    <cellStyle name="20% - Accent5" xfId="35" builtinId="46" customBuiltin="1"/>
    <cellStyle name="20% - Accent5 2" xfId="57"/>
    <cellStyle name="20% - Accent5 2 2" xfId="120"/>
    <cellStyle name="20% - Accent5 2_UMi-70GHz" xfId="215"/>
    <cellStyle name="20% - Accent5 3" xfId="103"/>
    <cellStyle name="20% - Accent6" xfId="39" builtinId="50" customBuiltin="1"/>
    <cellStyle name="20% - Accent6 2" xfId="59"/>
    <cellStyle name="20% - Accent6 2 2" xfId="122"/>
    <cellStyle name="20% - Accent6 2_UMi-70GHz" xfId="213"/>
    <cellStyle name="20% - Accent6 3" xfId="105"/>
    <cellStyle name="20% - 강조색1 2" xfId="81"/>
    <cellStyle name="20% - 강조색1 3" xfId="68"/>
    <cellStyle name="20% - 강조색2 2" xfId="83"/>
    <cellStyle name="20% - 강조색2 3" xfId="70"/>
    <cellStyle name="20% - 강조색3 2" xfId="85"/>
    <cellStyle name="20% - 강조색3 3" xfId="72"/>
    <cellStyle name="20% - 강조색4 2" xfId="87"/>
    <cellStyle name="20% - 강조색4 3" xfId="74"/>
    <cellStyle name="20% - 강조색5 2" xfId="89"/>
    <cellStyle name="20% - 강조색5 3" xfId="76"/>
    <cellStyle name="20% - 강조색6 2" xfId="91"/>
    <cellStyle name="20% - 강조색6 3" xfId="78"/>
    <cellStyle name="20% - 强调文字颜色 1 2" xfId="128"/>
    <cellStyle name="20% - 强调文字颜色 1 3" xfId="242"/>
    <cellStyle name="20% - 强调文字颜色 1 3 2" xfId="267"/>
    <cellStyle name="20% - 强调文字颜色 1 3 2 2" xfId="297"/>
    <cellStyle name="20% - 强调文字颜色 1 3 3" xfId="283"/>
    <cellStyle name="20% - 强调文字颜色 2 2" xfId="130"/>
    <cellStyle name="20% - 强调文字颜色 2 3" xfId="246"/>
    <cellStyle name="20% - 强调文字颜色 2 3 2" xfId="269"/>
    <cellStyle name="20% - 强调文字颜色 2 3 2 2" xfId="299"/>
    <cellStyle name="20% - 强调文字颜色 2 3 3" xfId="285"/>
    <cellStyle name="20% - 强调文字颜色 3 2" xfId="132"/>
    <cellStyle name="20% - 强调文字颜色 3 3" xfId="250"/>
    <cellStyle name="20% - 强调文字颜色 3 3 2" xfId="271"/>
    <cellStyle name="20% - 强调文字颜色 3 3 2 2" xfId="301"/>
    <cellStyle name="20% - 强调文字颜色 3 3 3" xfId="287"/>
    <cellStyle name="20% - 强调文字颜色 4 2" xfId="134"/>
    <cellStyle name="20% - 强调文字颜色 4 3" xfId="254"/>
    <cellStyle name="20% - 强调文字颜色 4 3 2" xfId="273"/>
    <cellStyle name="20% - 强调文字颜色 4 3 2 2" xfId="303"/>
    <cellStyle name="20% - 强调文字颜色 4 3 3" xfId="289"/>
    <cellStyle name="20% - 强调文字颜色 5 2" xfId="136"/>
    <cellStyle name="20% - 强调文字颜色 5 2 2" xfId="311"/>
    <cellStyle name="20% - 强调文字颜色 5 3" xfId="258"/>
    <cellStyle name="20% - 强调文字颜色 5 3 2" xfId="275"/>
    <cellStyle name="20% - 强调文字颜色 5 3 2 2" xfId="305"/>
    <cellStyle name="20% - 强调文字颜色 5 3 3" xfId="291"/>
    <cellStyle name="20% - 强调文字颜色 6 2" xfId="138"/>
    <cellStyle name="20% - 强调文字颜色 6 2 2" xfId="313"/>
    <cellStyle name="20% - 强调文字颜色 6 3" xfId="262"/>
    <cellStyle name="20% - 强调文字颜色 6 3 2" xfId="277"/>
    <cellStyle name="20% - 强调文字颜色 6 3 2 2" xfId="307"/>
    <cellStyle name="20% - 强调文字颜色 6 3 3" xfId="293"/>
    <cellStyle name="20% - 着色 5 2" xfId="312"/>
    <cellStyle name="20% - 着色 6 2" xfId="314"/>
    <cellStyle name="40% - Accent1" xfId="20" builtinId="31" customBuiltin="1"/>
    <cellStyle name="40% - Accent1 2" xfId="50"/>
    <cellStyle name="40% - Accent1 2 2" xfId="113"/>
    <cellStyle name="40% - Accent1 2_UMi-70GHz" xfId="208"/>
    <cellStyle name="40% - Accent1 3" xfId="96"/>
    <cellStyle name="40% - Accent2" xfId="24" builtinId="35" customBuiltin="1"/>
    <cellStyle name="40% - Accent2 2" xfId="52"/>
    <cellStyle name="40% - Accent2 2 2" xfId="115"/>
    <cellStyle name="40% - Accent2 2_UMi-70GHz" xfId="207"/>
    <cellStyle name="40% - Accent2 3" xfId="98"/>
    <cellStyle name="40% - Accent3" xfId="28" builtinId="39" customBuiltin="1"/>
    <cellStyle name="40% - Accent3 2" xfId="54"/>
    <cellStyle name="40% - Accent3 2 2" xfId="117"/>
    <cellStyle name="40% - Accent3 2_UMi-70GHz" xfId="204"/>
    <cellStyle name="40% - Accent3 3" xfId="100"/>
    <cellStyle name="40% - Accent4" xfId="32" builtinId="43" customBuiltin="1"/>
    <cellStyle name="40% - Accent4 2" xfId="56"/>
    <cellStyle name="40% - Accent4 2 2" xfId="119"/>
    <cellStyle name="40% - Accent4 2_UMi-70GHz" xfId="200"/>
    <cellStyle name="40% - Accent4 3" xfId="102"/>
    <cellStyle name="40% - Accent5" xfId="36" builtinId="47" customBuiltin="1"/>
    <cellStyle name="40% - Accent5 2" xfId="58"/>
    <cellStyle name="40% - Accent5 2 2" xfId="121"/>
    <cellStyle name="40% - Accent5 2_UMi-70GHz" xfId="199"/>
    <cellStyle name="40% - Accent5 3" xfId="104"/>
    <cellStyle name="40% - Accent6" xfId="40" builtinId="51" customBuiltin="1"/>
    <cellStyle name="40% - Accent6 2" xfId="60"/>
    <cellStyle name="40% - Accent6 2 2" xfId="123"/>
    <cellStyle name="40% - Accent6 2_UMi-70GHz" xfId="198"/>
    <cellStyle name="40% - Accent6 3" xfId="106"/>
    <cellStyle name="40% - 강조색1 2" xfId="82"/>
    <cellStyle name="40% - 강조색1 3" xfId="69"/>
    <cellStyle name="40% - 강조색2 2" xfId="84"/>
    <cellStyle name="40% - 강조색2 3" xfId="71"/>
    <cellStyle name="40% - 강조색3 2" xfId="86"/>
    <cellStyle name="40% - 강조색3 3" xfId="73"/>
    <cellStyle name="40% - 강조색4 2" xfId="88"/>
    <cellStyle name="40% - 강조색4 3" xfId="75"/>
    <cellStyle name="40% - 강조색5 2" xfId="90"/>
    <cellStyle name="40% - 강조색5 3" xfId="77"/>
    <cellStyle name="40% - 강조색6 2" xfId="92"/>
    <cellStyle name="40% - 강조색6 3" xfId="79"/>
    <cellStyle name="40% - 强调文字颜色 1 2" xfId="129"/>
    <cellStyle name="40% - 强调文字颜色 1 3" xfId="243"/>
    <cellStyle name="40% - 强调文字颜色 1 3 2" xfId="268"/>
    <cellStyle name="40% - 强调文字颜色 1 3 2 2" xfId="298"/>
    <cellStyle name="40% - 强调文字颜色 1 3 3" xfId="284"/>
    <cellStyle name="40% - 强调文字颜色 2 2" xfId="131"/>
    <cellStyle name="40% - 强调文字颜色 2 3" xfId="247"/>
    <cellStyle name="40% - 强调文字颜色 2 3 2" xfId="270"/>
    <cellStyle name="40% - 强调文字颜色 2 3 2 2" xfId="300"/>
    <cellStyle name="40% - 强调文字颜色 2 3 3" xfId="286"/>
    <cellStyle name="40% - 强调文字颜色 3 2" xfId="133"/>
    <cellStyle name="40% - 强调文字颜色 3 3" xfId="251"/>
    <cellStyle name="40% - 强调文字颜色 3 3 2" xfId="272"/>
    <cellStyle name="40% - 强调文字颜色 3 3 2 2" xfId="302"/>
    <cellStyle name="40% - 强调文字颜色 3 3 3" xfId="288"/>
    <cellStyle name="40% - 强调文字颜色 4 2" xfId="135"/>
    <cellStyle name="40% - 强调文字颜色 4 3" xfId="255"/>
    <cellStyle name="40% - 强调文字颜色 4 3 2" xfId="274"/>
    <cellStyle name="40% - 强调文字颜色 4 3 2 2" xfId="304"/>
    <cellStyle name="40% - 强调文字颜色 4 3 3" xfId="290"/>
    <cellStyle name="40% - 强调文字颜色 5 2" xfId="137"/>
    <cellStyle name="40% - 强调文字颜色 5 3" xfId="259"/>
    <cellStyle name="40% - 强调文字颜色 5 3 2" xfId="276"/>
    <cellStyle name="40% - 强调文字颜色 5 3 2 2" xfId="306"/>
    <cellStyle name="40% - 强调文字颜色 5 3 3" xfId="292"/>
    <cellStyle name="40% - 强调文字颜色 6 2" xfId="139"/>
    <cellStyle name="40% - 强调文字颜色 6 3" xfId="263"/>
    <cellStyle name="40% - 强调文字颜色 6 3 2" xfId="278"/>
    <cellStyle name="40% - 强调文字颜色 6 3 2 2" xfId="308"/>
    <cellStyle name="40% - 强调文字颜色 6 3 3" xfId="294"/>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60% - 强调文字颜色 1 2" xfId="244"/>
    <cellStyle name="60% - 强调文字颜色 2 2" xfId="248"/>
    <cellStyle name="60% - 强调文字颜色 3 2" xfId="252"/>
    <cellStyle name="60% - 强调文字颜色 4 2" xfId="256"/>
    <cellStyle name="60% - 强调文字颜色 5 2" xfId="260"/>
    <cellStyle name="60% - 强调文字颜色 6 2" xfId="264"/>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9" builtinId="27" customBuiltin="1"/>
    <cellStyle name="Calculation" xfId="12" builtinId="22" customBuiltin="1"/>
    <cellStyle name="Check Cell" xfId="14" builtinId="23" customBuiltin="1"/>
    <cellStyle name="Commentaire 2" xfId="43"/>
    <cellStyle name="Commentaire 2 2" xfId="62"/>
    <cellStyle name="Commentaire 2 2 2" xfId="125"/>
    <cellStyle name="Commentaire 2 3" xfId="108"/>
    <cellStyle name="Explanatory Text" xfId="16" builtinId="53" customBuiltin="1"/>
    <cellStyle name="Followed Hyperlink" xfId="66"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65"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Input" xfId="10" builtinId="20" customBuiltin="1"/>
    <cellStyle name="Linked Cell" xfId="13" builtinId="24" customBuiltin="1"/>
    <cellStyle name="Neutral" xfId="1" builtinId="28" customBuiltin="1"/>
    <cellStyle name="Normal" xfId="0" builtinId="0"/>
    <cellStyle name="Normal 2" xfId="2"/>
    <cellStyle name="Normal 2 2" xfId="46"/>
    <cellStyle name="Normal 2 2 2" xfId="64"/>
    <cellStyle name="Normal 2 2 2 2" xfId="127"/>
    <cellStyle name="Normal 2 2 2_UMi-70GHz" xfId="211"/>
    <cellStyle name="Normal 2 2 3" xfId="110"/>
    <cellStyle name="Normal 2 2_UMi-70GHz" xfId="206"/>
    <cellStyle name="Normal 2 3" xfId="48"/>
    <cellStyle name="Normal 2 3 2" xfId="111"/>
    <cellStyle name="Normal 2 3_UMi-70GHz" xfId="205"/>
    <cellStyle name="Normal 2 4" xfId="94"/>
    <cellStyle name="Normal 2_UMi-70GHz" xfId="201"/>
    <cellStyle name="Normal 3" xfId="42"/>
    <cellStyle name="Normal 3 2" xfId="45"/>
    <cellStyle name="Normal 3 3" xfId="61"/>
    <cellStyle name="Normal 3 3 2" xfId="124"/>
    <cellStyle name="Normal 3 3_UMi-70GHz" xfId="202"/>
    <cellStyle name="Normal 3 4" xfId="107"/>
    <cellStyle name="Normal 3_UMi-70GHz" xfId="209"/>
    <cellStyle name="Normal 4" xfId="44"/>
    <cellStyle name="Normal 4 2" xfId="63"/>
    <cellStyle name="Normal 4 2 2" xfId="126"/>
    <cellStyle name="Normal 4 2_UMi-70GHz" xfId="203"/>
    <cellStyle name="Normal 4 3" xfId="109"/>
    <cellStyle name="Normal 4_UMi-70GHz" xfId="214"/>
    <cellStyle name="Output" xfId="11" builtinId="21" customBuiltin="1"/>
    <cellStyle name="TableStyleLight1" xfId="221"/>
    <cellStyle name="TableStyleLight1 2" xfId="280"/>
    <cellStyle name="Title" xfId="3" builtinId="15" customBuiltin="1"/>
    <cellStyle name="Total" xfId="17" builtinId="25" customBuiltin="1"/>
    <cellStyle name="Warning Text" xfId="15" builtinId="11" customBuiltin="1"/>
    <cellStyle name="一般 2" xfId="47"/>
    <cellStyle name="一般 2 2" xfId="93"/>
    <cellStyle name="一般 2 3" xfId="80"/>
    <cellStyle name="一般 2_UMi-70GHz" xfId="217"/>
    <cellStyle name="一般 3" xfId="67"/>
    <cellStyle name="好 2" xfId="229"/>
    <cellStyle name="好_UMi-70GHz" xfId="212"/>
    <cellStyle name="差 2" xfId="230"/>
    <cellStyle name="差_UMi-70GHz" xfId="210"/>
    <cellStyle name="常规 2" xfId="222"/>
    <cellStyle name="常规 3" xfId="223"/>
    <cellStyle name="常规 3 2" xfId="265"/>
    <cellStyle name="常规 3 2 2" xfId="295"/>
    <cellStyle name="常规 3 2 2 2" xfId="310"/>
    <cellStyle name="常规 3 3" xfId="281"/>
    <cellStyle name="常规 4" xfId="279"/>
    <cellStyle name="常规 5" xfId="309"/>
    <cellStyle name="强调文字颜色 1 2" xfId="241"/>
    <cellStyle name="强调文字颜色 2 2" xfId="245"/>
    <cellStyle name="强调文字颜色 3 2" xfId="249"/>
    <cellStyle name="强调文字颜色 4 2" xfId="253"/>
    <cellStyle name="强调文字颜色 5 2" xfId="257"/>
    <cellStyle name="强调文字颜色 6 2" xfId="261"/>
    <cellStyle name="标题 1 2" xfId="225"/>
    <cellStyle name="标题 2 2" xfId="226"/>
    <cellStyle name="标题 3 2" xfId="227"/>
    <cellStyle name="标题 4 2" xfId="228"/>
    <cellStyle name="标题 5" xfId="224"/>
    <cellStyle name="检查单元格 2" xfId="236"/>
    <cellStyle name="汇总 2" xfId="240"/>
    <cellStyle name="注释 2" xfId="238"/>
    <cellStyle name="注释 2 2" xfId="266"/>
    <cellStyle name="注释 2 2 2" xfId="296"/>
    <cellStyle name="注释 2 3" xfId="282"/>
    <cellStyle name="解释性文本 2" xfId="239"/>
    <cellStyle name="警告文本 2" xfId="237"/>
    <cellStyle name="计算 2" xfId="234"/>
    <cellStyle name="输入 2" xfId="232"/>
    <cellStyle name="输出 2" xfId="233"/>
    <cellStyle name="适中 2" xfId="231"/>
    <cellStyle name="链接单元格 2" xfId="235"/>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57</xdr:row>
      <xdr:rowOff>9525</xdr:rowOff>
    </xdr:from>
    <xdr:to>
      <xdr:col>2</xdr:col>
      <xdr:colOff>590550</xdr:colOff>
      <xdr:row>58</xdr:row>
      <xdr:rowOff>180975</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0250" y="11858625"/>
          <a:ext cx="561975" cy="3524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53</xdr:row>
      <xdr:rowOff>9525</xdr:rowOff>
    </xdr:from>
    <xdr:to>
      <xdr:col>2</xdr:col>
      <xdr:colOff>590550</xdr:colOff>
      <xdr:row>54</xdr:row>
      <xdr:rowOff>180975</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00250" y="11858625"/>
          <a:ext cx="561975" cy="352425"/>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4:G38"/>
  <sheetViews>
    <sheetView topLeftCell="A22" workbookViewId="0">
      <selection activeCell="F32" sqref="F32"/>
    </sheetView>
  </sheetViews>
  <sheetFormatPr defaultColWidth="9.42578125" defaultRowHeight="12.75"/>
  <cols>
    <col min="1" max="1" width="10.42578125" customWidth="1"/>
    <col min="2" max="2" width="13.5703125" customWidth="1"/>
    <col min="4" max="4" width="24.5703125" customWidth="1"/>
    <col min="5" max="5" width="44.85546875" style="73" customWidth="1"/>
  </cols>
  <sheetData>
    <row r="4" spans="2:5">
      <c r="B4" t="s">
        <v>0</v>
      </c>
      <c r="C4" t="s">
        <v>1</v>
      </c>
      <c r="D4" t="s">
        <v>2</v>
      </c>
      <c r="E4" s="73" t="s">
        <v>3</v>
      </c>
    </row>
    <row r="5" spans="2:5">
      <c r="B5" s="1" t="s">
        <v>182</v>
      </c>
      <c r="C5" s="2">
        <v>1</v>
      </c>
      <c r="D5" s="2" t="s">
        <v>145</v>
      </c>
      <c r="E5" s="73" t="s">
        <v>146</v>
      </c>
    </row>
    <row r="6" spans="2:5" ht="76.5">
      <c r="B6" s="1" t="s">
        <v>196</v>
      </c>
      <c r="C6" s="2">
        <v>3</v>
      </c>
      <c r="D6" s="2" t="s">
        <v>195</v>
      </c>
      <c r="E6" s="73" t="s">
        <v>197</v>
      </c>
    </row>
    <row r="7" spans="2:5">
      <c r="B7" s="77" t="s">
        <v>263</v>
      </c>
      <c r="C7">
        <v>6</v>
      </c>
      <c r="D7" s="76" t="s">
        <v>264</v>
      </c>
      <c r="E7" s="73" t="s">
        <v>183</v>
      </c>
    </row>
    <row r="8" spans="2:5">
      <c r="B8" s="1" t="s">
        <v>272</v>
      </c>
      <c r="C8">
        <v>7</v>
      </c>
      <c r="D8" t="s">
        <v>273</v>
      </c>
      <c r="E8" s="73" t="s">
        <v>274</v>
      </c>
    </row>
    <row r="9" spans="2:5">
      <c r="B9" s="77" t="s">
        <v>276</v>
      </c>
      <c r="C9" s="76">
        <v>14</v>
      </c>
      <c r="D9" s="76" t="s">
        <v>305</v>
      </c>
      <c r="E9" s="73" t="s">
        <v>209</v>
      </c>
    </row>
    <row r="10" spans="2:5">
      <c r="B10" s="77" t="s">
        <v>276</v>
      </c>
      <c r="C10" s="76">
        <v>15</v>
      </c>
      <c r="D10" s="76" t="s">
        <v>305</v>
      </c>
      <c r="E10" s="73" t="s">
        <v>306</v>
      </c>
    </row>
    <row r="11" spans="2:5">
      <c r="B11" s="77" t="s">
        <v>276</v>
      </c>
      <c r="C11" s="76">
        <v>16</v>
      </c>
      <c r="D11" s="76" t="s">
        <v>307</v>
      </c>
      <c r="E11" s="73" t="s">
        <v>209</v>
      </c>
    </row>
    <row r="12" spans="2:5">
      <c r="B12" s="77" t="s">
        <v>276</v>
      </c>
      <c r="C12" s="76">
        <v>17</v>
      </c>
      <c r="D12" s="76" t="s">
        <v>307</v>
      </c>
      <c r="E12" s="73" t="s">
        <v>317</v>
      </c>
    </row>
    <row r="13" spans="2:5">
      <c r="B13" s="129" t="s">
        <v>334</v>
      </c>
      <c r="C13" s="131">
        <v>18</v>
      </c>
      <c r="D13" s="130" t="s">
        <v>318</v>
      </c>
      <c r="E13" s="130" t="s">
        <v>183</v>
      </c>
    </row>
    <row r="14" spans="2:5">
      <c r="B14" s="77" t="s">
        <v>336</v>
      </c>
      <c r="C14">
        <v>19</v>
      </c>
      <c r="D14" s="130" t="s">
        <v>338</v>
      </c>
      <c r="E14" s="73" t="s">
        <v>351</v>
      </c>
    </row>
    <row r="15" spans="2:5">
      <c r="B15" s="77" t="s">
        <v>366</v>
      </c>
      <c r="C15" s="76">
        <v>20</v>
      </c>
      <c r="D15" s="130" t="s">
        <v>367</v>
      </c>
      <c r="E15" s="73" t="s">
        <v>209</v>
      </c>
    </row>
    <row r="16" spans="2:5" ht="63.75">
      <c r="B16" s="77" t="s">
        <v>377</v>
      </c>
      <c r="C16" s="117">
        <v>22</v>
      </c>
      <c r="D16" s="76" t="s">
        <v>378</v>
      </c>
      <c r="E16" s="163" t="s">
        <v>379</v>
      </c>
    </row>
    <row r="17" spans="2:7">
      <c r="B17" s="77" t="s">
        <v>415</v>
      </c>
      <c r="C17" s="76">
        <v>28</v>
      </c>
      <c r="D17" s="130" t="s">
        <v>416</v>
      </c>
      <c r="E17" s="73" t="s">
        <v>274</v>
      </c>
    </row>
    <row r="18" spans="2:7" ht="25.5">
      <c r="B18" s="77" t="s">
        <v>415</v>
      </c>
      <c r="C18" s="76">
        <v>29</v>
      </c>
      <c r="D18" s="76" t="s">
        <v>417</v>
      </c>
      <c r="E18" s="73" t="s">
        <v>418</v>
      </c>
    </row>
    <row r="19" spans="2:7">
      <c r="B19" s="77" t="s">
        <v>422</v>
      </c>
      <c r="C19">
        <v>30</v>
      </c>
      <c r="D19" s="76" t="s">
        <v>423</v>
      </c>
      <c r="E19" s="73" t="s">
        <v>424</v>
      </c>
    </row>
    <row r="20" spans="2:7" ht="63.75">
      <c r="B20" s="77" t="s">
        <v>457</v>
      </c>
      <c r="C20" s="76">
        <v>31</v>
      </c>
      <c r="D20" s="76" t="s">
        <v>458</v>
      </c>
      <c r="E20" s="73" t="s">
        <v>459</v>
      </c>
    </row>
    <row r="21" spans="2:7">
      <c r="B21" s="77" t="s">
        <v>460</v>
      </c>
      <c r="C21" s="76">
        <v>33</v>
      </c>
      <c r="D21" s="76" t="s">
        <v>461</v>
      </c>
      <c r="E21" s="73" t="s">
        <v>462</v>
      </c>
    </row>
    <row r="22" spans="2:7" ht="25.5">
      <c r="B22" s="77" t="s">
        <v>469</v>
      </c>
      <c r="C22" s="76">
        <v>34</v>
      </c>
      <c r="D22" s="76" t="s">
        <v>470</v>
      </c>
      <c r="E22" s="73" t="s">
        <v>471</v>
      </c>
    </row>
    <row r="23" spans="2:7" ht="63.75">
      <c r="B23" s="77" t="s">
        <v>553</v>
      </c>
      <c r="C23" s="117">
        <v>38</v>
      </c>
      <c r="D23" s="76" t="s">
        <v>458</v>
      </c>
      <c r="E23" s="73" t="s">
        <v>589</v>
      </c>
    </row>
    <row r="24" spans="2:7" ht="63.75">
      <c r="B24" s="77" t="s">
        <v>591</v>
      </c>
      <c r="C24" s="117">
        <v>39</v>
      </c>
      <c r="D24" s="76" t="s">
        <v>458</v>
      </c>
      <c r="E24" s="73" t="s">
        <v>590</v>
      </c>
    </row>
    <row r="25" spans="2:7" ht="25.5">
      <c r="B25" s="1" t="s">
        <v>592</v>
      </c>
      <c r="C25" s="117">
        <v>40</v>
      </c>
      <c r="D25" s="2" t="s">
        <v>593</v>
      </c>
      <c r="E25" s="73" t="s">
        <v>594</v>
      </c>
      <c r="F25" s="2"/>
      <c r="G25" s="2"/>
    </row>
    <row r="26" spans="2:7">
      <c r="B26" s="77" t="s">
        <v>597</v>
      </c>
      <c r="C26" s="117">
        <v>42</v>
      </c>
      <c r="D26" s="76" t="s">
        <v>593</v>
      </c>
      <c r="E26" s="73" t="s">
        <v>598</v>
      </c>
    </row>
    <row r="27" spans="2:7" ht="89.25">
      <c r="B27" s="1" t="s">
        <v>626</v>
      </c>
      <c r="C27" s="117">
        <v>44</v>
      </c>
      <c r="D27" t="s">
        <v>625</v>
      </c>
      <c r="E27" s="73" t="s">
        <v>627</v>
      </c>
    </row>
    <row r="28" spans="2:7">
      <c r="B28" s="1"/>
    </row>
    <row r="29" spans="2:7">
      <c r="B29" s="1"/>
    </row>
    <row r="30" spans="2:7">
      <c r="B30" s="1"/>
    </row>
    <row r="31" spans="2:7">
      <c r="B31" s="1"/>
    </row>
    <row r="32" spans="2:7">
      <c r="B32" s="1"/>
    </row>
    <row r="33" spans="2:2">
      <c r="B33" s="1"/>
    </row>
    <row r="34" spans="2:2">
      <c r="B34" s="1"/>
    </row>
    <row r="35" spans="2:2">
      <c r="B35" s="1"/>
    </row>
    <row r="36" spans="2:2">
      <c r="B36" s="1"/>
    </row>
    <row r="37" spans="2:2">
      <c r="B37" s="1"/>
    </row>
    <row r="38" spans="2:2">
      <c r="B38" s="1"/>
    </row>
  </sheetData>
  <phoneticPr fontId="29" type="noConversion"/>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zoomScaleNormal="100" workbookViewId="0">
      <pane xSplit="3" ySplit="3" topLeftCell="M10" activePane="bottomRight" state="frozen"/>
      <selection pane="topRight" activeCell="D1" sqref="D1"/>
      <selection pane="bottomLeft" activeCell="A4" sqref="A4"/>
      <selection pane="bottomRight" activeCell="N21" sqref="N21"/>
    </sheetView>
  </sheetViews>
  <sheetFormatPr defaultColWidth="9.42578125" defaultRowHeight="14.25"/>
  <cols>
    <col min="1" max="1" width="29.140625" style="3" customWidth="1"/>
    <col min="2" max="2" width="24.42578125" style="30" customWidth="1"/>
    <col min="3" max="3" width="20.5703125" style="30" customWidth="1"/>
    <col min="4" max="4" width="27.42578125" style="83" customWidth="1"/>
    <col min="5" max="5" width="30" style="78" customWidth="1"/>
    <col min="6" max="7" width="31.42578125" style="5" customWidth="1"/>
    <col min="8" max="8" width="27.42578125" style="83" customWidth="1"/>
    <col min="9" max="10" width="25.140625" style="3" customWidth="1"/>
    <col min="11" max="11" width="31.42578125" style="78" customWidth="1"/>
    <col min="12" max="12" width="30.85546875" style="33" customWidth="1"/>
    <col min="13" max="13" width="33.42578125" style="33" customWidth="1"/>
    <col min="14" max="14" width="33.140625" style="3" customWidth="1"/>
    <col min="15" max="16384" width="9.42578125" style="3"/>
  </cols>
  <sheetData>
    <row r="1" spans="1:14">
      <c r="A1" s="4" t="s">
        <v>84</v>
      </c>
      <c r="B1" s="328"/>
      <c r="C1" s="329"/>
      <c r="F1" s="76"/>
      <c r="G1" s="76"/>
      <c r="N1" s="76"/>
    </row>
    <row r="2" spans="1:14" s="33" customFormat="1" ht="24">
      <c r="A2" s="32" t="s">
        <v>13</v>
      </c>
      <c r="B2" s="332" t="s">
        <v>14</v>
      </c>
      <c r="C2" s="333"/>
      <c r="D2" s="338" t="s">
        <v>38</v>
      </c>
      <c r="E2" s="339"/>
      <c r="F2" s="338" t="s">
        <v>224</v>
      </c>
      <c r="G2" s="339"/>
      <c r="H2" s="123" t="s">
        <v>294</v>
      </c>
      <c r="I2" s="338" t="s">
        <v>308</v>
      </c>
      <c r="J2" s="339"/>
      <c r="K2" s="81" t="s">
        <v>319</v>
      </c>
      <c r="L2" s="336" t="s">
        <v>337</v>
      </c>
      <c r="M2" s="337"/>
      <c r="N2" s="81" t="s">
        <v>368</v>
      </c>
    </row>
    <row r="3" spans="1:14" s="33" customFormat="1">
      <c r="A3" s="32"/>
      <c r="B3" s="56"/>
      <c r="C3" s="57"/>
      <c r="D3" s="106" t="s">
        <v>170</v>
      </c>
      <c r="E3" s="107" t="s">
        <v>381</v>
      </c>
      <c r="F3" s="106" t="s">
        <v>210</v>
      </c>
      <c r="G3" s="107" t="s">
        <v>211</v>
      </c>
      <c r="H3" s="106" t="s">
        <v>161</v>
      </c>
      <c r="I3" s="106" t="s">
        <v>161</v>
      </c>
      <c r="J3" s="107" t="s">
        <v>169</v>
      </c>
      <c r="K3" s="132" t="s">
        <v>162</v>
      </c>
      <c r="L3" s="140" t="s">
        <v>339</v>
      </c>
      <c r="M3" s="140" t="s">
        <v>210</v>
      </c>
      <c r="N3" s="132" t="s">
        <v>339</v>
      </c>
    </row>
    <row r="4" spans="1:14">
      <c r="A4" s="6" t="s">
        <v>15</v>
      </c>
      <c r="B4" s="316" t="s">
        <v>16</v>
      </c>
      <c r="C4" s="317"/>
      <c r="D4" s="84" t="s">
        <v>41</v>
      </c>
      <c r="E4" s="84" t="s">
        <v>41</v>
      </c>
      <c r="F4" s="84" t="s">
        <v>41</v>
      </c>
      <c r="G4" s="84" t="s">
        <v>41</v>
      </c>
      <c r="H4" s="84" t="s">
        <v>41</v>
      </c>
      <c r="I4" s="84" t="s">
        <v>41</v>
      </c>
      <c r="J4" s="84" t="s">
        <v>41</v>
      </c>
      <c r="K4" s="84" t="s">
        <v>41</v>
      </c>
      <c r="L4" s="143" t="s">
        <v>41</v>
      </c>
      <c r="M4" s="143" t="s">
        <v>41</v>
      </c>
      <c r="N4" s="84" t="s">
        <v>41</v>
      </c>
    </row>
    <row r="5" spans="1:14">
      <c r="A5" s="16" t="s">
        <v>17</v>
      </c>
      <c r="B5" s="316"/>
      <c r="C5" s="317"/>
      <c r="D5" s="84" t="s">
        <v>205</v>
      </c>
      <c r="E5" s="79" t="s">
        <v>133</v>
      </c>
      <c r="F5" s="84" t="s">
        <v>212</v>
      </c>
      <c r="G5" s="79" t="s">
        <v>89</v>
      </c>
      <c r="H5" s="84" t="s">
        <v>39</v>
      </c>
      <c r="I5" s="84" t="s">
        <v>39</v>
      </c>
      <c r="J5" s="79" t="s">
        <v>57</v>
      </c>
      <c r="K5" s="96" t="s">
        <v>89</v>
      </c>
      <c r="L5" s="144" t="s">
        <v>89</v>
      </c>
      <c r="M5" s="143" t="s">
        <v>212</v>
      </c>
      <c r="N5" s="79" t="s">
        <v>89</v>
      </c>
    </row>
    <row r="6" spans="1:14">
      <c r="A6" s="16" t="s">
        <v>86</v>
      </c>
      <c r="B6" s="316" t="s">
        <v>87</v>
      </c>
      <c r="C6" s="317"/>
      <c r="D6" s="84" t="s">
        <v>41</v>
      </c>
      <c r="E6" s="84" t="s">
        <v>41</v>
      </c>
      <c r="F6" s="84" t="s">
        <v>41</v>
      </c>
      <c r="G6" s="84" t="s">
        <v>41</v>
      </c>
      <c r="H6" s="84" t="s">
        <v>41</v>
      </c>
      <c r="I6" s="84" t="s">
        <v>41</v>
      </c>
      <c r="J6" s="84" t="s">
        <v>41</v>
      </c>
      <c r="K6" s="84" t="s">
        <v>41</v>
      </c>
      <c r="L6" s="143" t="s">
        <v>41</v>
      </c>
      <c r="M6" s="143" t="s">
        <v>41</v>
      </c>
      <c r="N6" s="84" t="s">
        <v>41</v>
      </c>
    </row>
    <row r="7" spans="1:14">
      <c r="A7" s="16" t="s">
        <v>18</v>
      </c>
      <c r="B7" s="316" t="s">
        <v>56</v>
      </c>
      <c r="C7" s="317"/>
      <c r="D7" s="84" t="s">
        <v>41</v>
      </c>
      <c r="E7" s="84" t="s">
        <v>41</v>
      </c>
      <c r="F7" s="84" t="s">
        <v>41</v>
      </c>
      <c r="G7" s="84" t="s">
        <v>41</v>
      </c>
      <c r="H7" s="84" t="s">
        <v>41</v>
      </c>
      <c r="I7" s="84" t="s">
        <v>41</v>
      </c>
      <c r="J7" s="84" t="s">
        <v>41</v>
      </c>
      <c r="K7" s="84" t="s">
        <v>41</v>
      </c>
      <c r="L7" s="143" t="s">
        <v>41</v>
      </c>
      <c r="M7" s="143" t="s">
        <v>41</v>
      </c>
      <c r="N7" s="84" t="s">
        <v>41</v>
      </c>
    </row>
    <row r="8" spans="1:14" ht="34.5" customHeight="1">
      <c r="A8" s="6" t="s">
        <v>154</v>
      </c>
      <c r="B8" s="318" t="s">
        <v>157</v>
      </c>
      <c r="C8" s="317"/>
      <c r="D8" s="84" t="s">
        <v>41</v>
      </c>
      <c r="E8" s="84" t="s">
        <v>41</v>
      </c>
      <c r="F8" s="84" t="s">
        <v>41</v>
      </c>
      <c r="G8" s="84" t="s">
        <v>41</v>
      </c>
      <c r="H8" s="84" t="s">
        <v>41</v>
      </c>
      <c r="I8" s="84" t="s">
        <v>41</v>
      </c>
      <c r="J8" s="84" t="s">
        <v>41</v>
      </c>
      <c r="K8" s="133" t="s">
        <v>41</v>
      </c>
      <c r="L8" s="143" t="s">
        <v>41</v>
      </c>
      <c r="M8" s="143" t="s">
        <v>41</v>
      </c>
      <c r="N8" s="84" t="s">
        <v>41</v>
      </c>
    </row>
    <row r="9" spans="1:14" ht="24">
      <c r="A9" s="16" t="s">
        <v>20</v>
      </c>
      <c r="B9" s="318" t="s">
        <v>166</v>
      </c>
      <c r="C9" s="319"/>
      <c r="D9" s="84" t="s">
        <v>164</v>
      </c>
      <c r="E9" s="84" t="s">
        <v>382</v>
      </c>
      <c r="F9" s="84" t="s">
        <v>192</v>
      </c>
      <c r="G9" s="84" t="s">
        <v>230</v>
      </c>
      <c r="H9" s="84" t="s">
        <v>164</v>
      </c>
      <c r="I9" s="84" t="s">
        <v>164</v>
      </c>
      <c r="J9" s="84" t="s">
        <v>164</v>
      </c>
      <c r="K9" s="84" t="s">
        <v>320</v>
      </c>
      <c r="L9" s="143" t="s">
        <v>340</v>
      </c>
      <c r="M9" s="143" t="s">
        <v>192</v>
      </c>
      <c r="N9" s="84" t="s">
        <v>340</v>
      </c>
    </row>
    <row r="10" spans="1:14" ht="47.25" customHeight="1">
      <c r="A10" s="15" t="s">
        <v>45</v>
      </c>
      <c r="B10" s="330" t="s">
        <v>380</v>
      </c>
      <c r="C10" s="331"/>
      <c r="D10" s="84" t="s">
        <v>131</v>
      </c>
      <c r="E10" s="84" t="s">
        <v>131</v>
      </c>
      <c r="F10" s="84" t="s">
        <v>41</v>
      </c>
      <c r="G10" s="84" t="s">
        <v>41</v>
      </c>
      <c r="H10" s="84" t="s">
        <v>77</v>
      </c>
      <c r="I10" s="84" t="s">
        <v>77</v>
      </c>
      <c r="J10" s="84" t="s">
        <v>77</v>
      </c>
      <c r="K10" s="84" t="s">
        <v>328</v>
      </c>
      <c r="L10" s="143" t="s">
        <v>41</v>
      </c>
      <c r="M10" s="143" t="s">
        <v>41</v>
      </c>
      <c r="N10" s="84" t="s">
        <v>41</v>
      </c>
    </row>
    <row r="11" spans="1:14" ht="24" customHeight="1">
      <c r="A11" s="16" t="s">
        <v>21</v>
      </c>
      <c r="B11" s="318" t="s">
        <v>55</v>
      </c>
      <c r="C11" s="319"/>
      <c r="D11" s="84" t="s">
        <v>91</v>
      </c>
      <c r="E11" s="84" t="s">
        <v>92</v>
      </c>
      <c r="F11" s="84" t="s">
        <v>91</v>
      </c>
      <c r="G11" s="84" t="s">
        <v>92</v>
      </c>
      <c r="H11" s="84" t="s">
        <v>91</v>
      </c>
      <c r="I11" s="84" t="s">
        <v>91</v>
      </c>
      <c r="J11" s="84" t="s">
        <v>412</v>
      </c>
      <c r="K11" s="84" t="s">
        <v>329</v>
      </c>
      <c r="L11" s="144" t="s">
        <v>329</v>
      </c>
      <c r="M11" s="143" t="s">
        <v>91</v>
      </c>
      <c r="N11" s="84" t="s">
        <v>92</v>
      </c>
    </row>
    <row r="12" spans="1:14" ht="48">
      <c r="A12" s="16" t="s">
        <v>44</v>
      </c>
      <c r="B12" s="316"/>
      <c r="C12" s="317"/>
      <c r="D12" s="84" t="s">
        <v>265</v>
      </c>
      <c r="E12" s="96" t="s">
        <v>105</v>
      </c>
      <c r="F12" s="84" t="s">
        <v>213</v>
      </c>
      <c r="G12" s="96" t="s">
        <v>225</v>
      </c>
      <c r="H12" s="84" t="s">
        <v>295</v>
      </c>
      <c r="I12" s="84" t="s">
        <v>93</v>
      </c>
      <c r="J12" s="96" t="s">
        <v>225</v>
      </c>
      <c r="K12" s="84" t="s">
        <v>330</v>
      </c>
      <c r="L12" s="143" t="s">
        <v>344</v>
      </c>
      <c r="M12" s="143" t="s">
        <v>213</v>
      </c>
      <c r="N12" s="96" t="s">
        <v>102</v>
      </c>
    </row>
    <row r="13" spans="1:14" ht="24">
      <c r="A13" s="16" t="s">
        <v>22</v>
      </c>
      <c r="B13" s="316" t="s">
        <v>152</v>
      </c>
      <c r="C13" s="317"/>
      <c r="D13" s="101" t="s">
        <v>266</v>
      </c>
      <c r="E13" s="101" t="s">
        <v>266</v>
      </c>
      <c r="F13" s="101" t="s">
        <v>152</v>
      </c>
      <c r="G13" s="101" t="s">
        <v>152</v>
      </c>
      <c r="H13" s="101" t="s">
        <v>52</v>
      </c>
      <c r="I13" s="101" t="s">
        <v>52</v>
      </c>
      <c r="J13" s="101" t="s">
        <v>52</v>
      </c>
      <c r="K13" s="84" t="s">
        <v>41</v>
      </c>
      <c r="L13" s="145" t="s">
        <v>152</v>
      </c>
      <c r="M13" s="145" t="s">
        <v>152</v>
      </c>
      <c r="N13" s="101" t="s">
        <v>152</v>
      </c>
    </row>
    <row r="14" spans="1:14" ht="24">
      <c r="A14" s="16" t="s">
        <v>46</v>
      </c>
      <c r="B14" s="316"/>
      <c r="C14" s="317"/>
      <c r="D14" s="100" t="s">
        <v>267</v>
      </c>
      <c r="E14" s="100" t="s">
        <v>267</v>
      </c>
      <c r="F14" s="100" t="s">
        <v>214</v>
      </c>
      <c r="G14" s="84" t="s">
        <v>252</v>
      </c>
      <c r="H14" s="100" t="s">
        <v>296</v>
      </c>
      <c r="I14" s="100" t="s">
        <v>94</v>
      </c>
      <c r="J14" s="84" t="s">
        <v>96</v>
      </c>
      <c r="K14" s="84" t="s">
        <v>321</v>
      </c>
      <c r="L14" s="159" t="s">
        <v>364</v>
      </c>
      <c r="M14" s="145" t="s">
        <v>214</v>
      </c>
      <c r="N14" s="84" t="s">
        <v>369</v>
      </c>
    </row>
    <row r="15" spans="1:14" ht="48">
      <c r="A15" s="16" t="s">
        <v>43</v>
      </c>
      <c r="B15" s="316"/>
      <c r="C15" s="317"/>
      <c r="D15" s="100" t="s">
        <v>198</v>
      </c>
      <c r="E15" s="100" t="s">
        <v>198</v>
      </c>
      <c r="F15" s="100" t="s">
        <v>226</v>
      </c>
      <c r="G15" s="84" t="s">
        <v>251</v>
      </c>
      <c r="H15" s="100" t="s">
        <v>198</v>
      </c>
      <c r="I15" s="100" t="s">
        <v>198</v>
      </c>
      <c r="J15" s="96" t="s">
        <v>80</v>
      </c>
      <c r="K15" s="121" t="s">
        <v>80</v>
      </c>
      <c r="L15" s="146" t="s">
        <v>362</v>
      </c>
      <c r="M15" s="146" t="s">
        <v>343</v>
      </c>
      <c r="N15" s="96" t="s">
        <v>193</v>
      </c>
    </row>
    <row r="16" spans="1:14">
      <c r="A16" s="16" t="s">
        <v>88</v>
      </c>
      <c r="B16" s="334"/>
      <c r="C16" s="335"/>
      <c r="D16" s="100" t="s">
        <v>160</v>
      </c>
      <c r="E16" s="100" t="s">
        <v>160</v>
      </c>
      <c r="F16" s="100" t="s">
        <v>215</v>
      </c>
      <c r="G16" s="100" t="s">
        <v>215</v>
      </c>
      <c r="H16" s="100" t="s">
        <v>149</v>
      </c>
      <c r="I16" s="100" t="s">
        <v>149</v>
      </c>
      <c r="J16" s="100" t="s">
        <v>149</v>
      </c>
      <c r="K16" s="134" t="s">
        <v>149</v>
      </c>
      <c r="L16" s="145" t="s">
        <v>215</v>
      </c>
      <c r="M16" s="145" t="s">
        <v>215</v>
      </c>
      <c r="N16" s="100" t="s">
        <v>215</v>
      </c>
    </row>
    <row r="17" spans="1:14">
      <c r="A17" s="16" t="s">
        <v>24</v>
      </c>
      <c r="B17" s="316"/>
      <c r="C17" s="317"/>
      <c r="D17" s="101" t="s">
        <v>268</v>
      </c>
      <c r="E17" s="101" t="s">
        <v>268</v>
      </c>
      <c r="F17" s="101" t="s">
        <v>216</v>
      </c>
      <c r="G17" s="101" t="s">
        <v>216</v>
      </c>
      <c r="H17" s="101" t="s">
        <v>134</v>
      </c>
      <c r="I17" s="101" t="s">
        <v>134</v>
      </c>
      <c r="J17" s="101" t="s">
        <v>134</v>
      </c>
      <c r="K17" s="100" t="s">
        <v>134</v>
      </c>
      <c r="L17" s="145" t="s">
        <v>216</v>
      </c>
      <c r="M17" s="145" t="s">
        <v>216</v>
      </c>
      <c r="N17" s="101" t="s">
        <v>216</v>
      </c>
    </row>
    <row r="18" spans="1:14">
      <c r="A18" s="16" t="s">
        <v>25</v>
      </c>
      <c r="B18" s="316"/>
      <c r="C18" s="317"/>
      <c r="D18" s="100" t="s">
        <v>147</v>
      </c>
      <c r="E18" s="100" t="s">
        <v>147</v>
      </c>
      <c r="F18" s="100" t="s">
        <v>217</v>
      </c>
      <c r="G18" s="100" t="s">
        <v>217</v>
      </c>
      <c r="H18" s="100" t="s">
        <v>297</v>
      </c>
      <c r="I18" s="100" t="s">
        <v>147</v>
      </c>
      <c r="J18" s="100" t="s">
        <v>147</v>
      </c>
      <c r="K18" s="100" t="s">
        <v>147</v>
      </c>
      <c r="L18" s="145" t="s">
        <v>217</v>
      </c>
      <c r="M18" s="145" t="s">
        <v>217</v>
      </c>
      <c r="N18" s="100" t="s">
        <v>217</v>
      </c>
    </row>
    <row r="19" spans="1:14">
      <c r="A19" s="6" t="s">
        <v>155</v>
      </c>
      <c r="B19" s="318" t="s">
        <v>156</v>
      </c>
      <c r="C19" s="319"/>
      <c r="D19" s="84" t="s">
        <v>41</v>
      </c>
      <c r="E19" s="84" t="s">
        <v>41</v>
      </c>
      <c r="F19" s="84" t="s">
        <v>41</v>
      </c>
      <c r="G19" s="84" t="s">
        <v>41</v>
      </c>
      <c r="H19" s="84" t="s">
        <v>41</v>
      </c>
      <c r="I19" s="84" t="s">
        <v>41</v>
      </c>
      <c r="J19" s="84" t="s">
        <v>41</v>
      </c>
      <c r="K19" s="133" t="s">
        <v>41</v>
      </c>
      <c r="L19" s="143" t="s">
        <v>41</v>
      </c>
      <c r="M19" s="143" t="s">
        <v>41</v>
      </c>
      <c r="N19" s="84" t="s">
        <v>41</v>
      </c>
    </row>
    <row r="20" spans="1:14" ht="86.25" customHeight="1">
      <c r="A20" s="16" t="s">
        <v>26</v>
      </c>
      <c r="B20" s="318" t="s">
        <v>180</v>
      </c>
      <c r="C20" s="319"/>
      <c r="D20" s="100" t="s">
        <v>151</v>
      </c>
      <c r="E20" s="84" t="s">
        <v>383</v>
      </c>
      <c r="F20" s="100" t="s">
        <v>193</v>
      </c>
      <c r="G20" s="84" t="s">
        <v>233</v>
      </c>
      <c r="H20" s="100" t="s">
        <v>80</v>
      </c>
      <c r="I20" s="100" t="s">
        <v>80</v>
      </c>
      <c r="J20" s="84" t="s">
        <v>309</v>
      </c>
      <c r="K20" s="133" t="s">
        <v>322</v>
      </c>
      <c r="L20" s="145" t="s">
        <v>363</v>
      </c>
      <c r="M20" s="145" t="s">
        <v>193</v>
      </c>
      <c r="N20" s="84" t="s">
        <v>370</v>
      </c>
    </row>
    <row r="21" spans="1:14" ht="36">
      <c r="A21" s="6" t="s">
        <v>47</v>
      </c>
      <c r="B21" s="316"/>
      <c r="C21" s="317"/>
      <c r="D21" s="100" t="s">
        <v>269</v>
      </c>
      <c r="E21" s="84" t="s">
        <v>384</v>
      </c>
      <c r="F21" s="100" t="s">
        <v>227</v>
      </c>
      <c r="G21" s="84" t="s">
        <v>253</v>
      </c>
      <c r="H21" s="100" t="s">
        <v>298</v>
      </c>
      <c r="I21" s="100" t="s">
        <v>95</v>
      </c>
      <c r="J21" s="84" t="s">
        <v>128</v>
      </c>
      <c r="K21" s="133" t="s">
        <v>323</v>
      </c>
      <c r="L21" s="145" t="s">
        <v>341</v>
      </c>
      <c r="M21" s="145" t="s">
        <v>341</v>
      </c>
      <c r="N21" s="84" t="s">
        <v>371</v>
      </c>
    </row>
    <row r="22" spans="1:14" ht="24">
      <c r="A22" s="6" t="s">
        <v>48</v>
      </c>
      <c r="B22" s="316"/>
      <c r="C22" s="317"/>
      <c r="D22" s="100" t="s">
        <v>237</v>
      </c>
      <c r="E22" s="100" t="s">
        <v>237</v>
      </c>
      <c r="F22" s="100" t="s">
        <v>218</v>
      </c>
      <c r="G22" s="100" t="s">
        <v>218</v>
      </c>
      <c r="H22" s="100" t="s">
        <v>299</v>
      </c>
      <c r="I22" s="100" t="s">
        <v>148</v>
      </c>
      <c r="J22" s="100" t="s">
        <v>148</v>
      </c>
      <c r="K22" s="134" t="s">
        <v>148</v>
      </c>
      <c r="L22" s="145" t="s">
        <v>218</v>
      </c>
      <c r="M22" s="145" t="s">
        <v>218</v>
      </c>
      <c r="N22" s="100" t="s">
        <v>218</v>
      </c>
    </row>
    <row r="23" spans="1:14">
      <c r="A23" s="6" t="s">
        <v>49</v>
      </c>
      <c r="B23" s="316">
        <v>1</v>
      </c>
      <c r="C23" s="317"/>
      <c r="D23" s="84" t="s">
        <v>41</v>
      </c>
      <c r="E23" s="84" t="s">
        <v>41</v>
      </c>
      <c r="F23" s="84" t="s">
        <v>41</v>
      </c>
      <c r="G23" s="84" t="s">
        <v>41</v>
      </c>
      <c r="H23" s="84" t="s">
        <v>41</v>
      </c>
      <c r="I23" s="84" t="s">
        <v>41</v>
      </c>
      <c r="J23" s="84" t="s">
        <v>41</v>
      </c>
      <c r="K23" s="84" t="s">
        <v>41</v>
      </c>
      <c r="L23" s="143" t="s">
        <v>41</v>
      </c>
      <c r="M23" s="143" t="s">
        <v>41</v>
      </c>
      <c r="N23" s="84" t="s">
        <v>41</v>
      </c>
    </row>
    <row r="24" spans="1:14">
      <c r="A24" s="6" t="s">
        <v>50</v>
      </c>
      <c r="B24" s="316"/>
      <c r="C24" s="317"/>
      <c r="D24" s="100" t="s">
        <v>138</v>
      </c>
      <c r="E24" s="100" t="s">
        <v>138</v>
      </c>
      <c r="F24" s="100" t="s">
        <v>219</v>
      </c>
      <c r="G24" s="100" t="s">
        <v>219</v>
      </c>
      <c r="H24" s="100" t="s">
        <v>138</v>
      </c>
      <c r="I24" s="100" t="s">
        <v>138</v>
      </c>
      <c r="J24" s="100" t="s">
        <v>138</v>
      </c>
      <c r="K24" s="134" t="s">
        <v>138</v>
      </c>
      <c r="L24" s="145" t="s">
        <v>219</v>
      </c>
      <c r="M24" s="145" t="s">
        <v>219</v>
      </c>
      <c r="N24" s="100" t="s">
        <v>219</v>
      </c>
    </row>
    <row r="25" spans="1:14" ht="24">
      <c r="A25" s="6" t="s">
        <v>51</v>
      </c>
      <c r="B25" s="316"/>
      <c r="C25" s="317"/>
      <c r="D25" s="84" t="s">
        <v>270</v>
      </c>
      <c r="E25" s="84" t="s">
        <v>270</v>
      </c>
      <c r="F25" s="84" t="s">
        <v>220</v>
      </c>
      <c r="G25" s="84" t="s">
        <v>220</v>
      </c>
      <c r="H25" s="84" t="s">
        <v>139</v>
      </c>
      <c r="I25" s="84" t="s">
        <v>139</v>
      </c>
      <c r="J25" s="84" t="s">
        <v>139</v>
      </c>
      <c r="K25" s="133" t="s">
        <v>139</v>
      </c>
      <c r="L25" s="143" t="s">
        <v>194</v>
      </c>
      <c r="M25" s="143" t="s">
        <v>194</v>
      </c>
      <c r="N25" s="84" t="s">
        <v>220</v>
      </c>
    </row>
    <row r="26" spans="1:14" ht="102.75" customHeight="1">
      <c r="A26" s="50" t="s">
        <v>27</v>
      </c>
      <c r="B26" s="320" t="s">
        <v>28</v>
      </c>
      <c r="C26" s="321"/>
      <c r="D26" s="90" t="s">
        <v>238</v>
      </c>
      <c r="E26" s="90" t="s">
        <v>238</v>
      </c>
      <c r="F26" s="90" t="s">
        <v>238</v>
      </c>
      <c r="G26" s="90" t="s">
        <v>238</v>
      </c>
      <c r="H26" s="90" t="s">
        <v>300</v>
      </c>
      <c r="I26" s="90" t="s">
        <v>238</v>
      </c>
      <c r="J26" s="90" t="s">
        <v>238</v>
      </c>
      <c r="K26" s="90" t="s">
        <v>278</v>
      </c>
      <c r="L26" s="147" t="s">
        <v>342</v>
      </c>
      <c r="M26" s="147" t="s">
        <v>342</v>
      </c>
      <c r="N26" s="90" t="s">
        <v>435</v>
      </c>
    </row>
    <row r="27" spans="1:14" ht="71.25" customHeight="1">
      <c r="A27" s="50" t="s">
        <v>29</v>
      </c>
      <c r="B27" s="320" t="s">
        <v>30</v>
      </c>
      <c r="C27" s="321"/>
      <c r="D27" s="82" t="s">
        <v>279</v>
      </c>
      <c r="E27" s="82" t="s">
        <v>301</v>
      </c>
      <c r="F27" s="82" t="s">
        <v>221</v>
      </c>
      <c r="G27" s="82" t="s">
        <v>222</v>
      </c>
      <c r="H27" s="82" t="s">
        <v>171</v>
      </c>
      <c r="I27" s="82" t="s">
        <v>171</v>
      </c>
      <c r="J27" s="82" t="s">
        <v>301</v>
      </c>
      <c r="K27" s="84" t="s">
        <v>324</v>
      </c>
      <c r="L27" s="143" t="s">
        <v>221</v>
      </c>
      <c r="M27" s="143" t="s">
        <v>221</v>
      </c>
      <c r="N27" s="82" t="s">
        <v>222</v>
      </c>
    </row>
    <row r="28" spans="1:14">
      <c r="A28" s="6" t="s">
        <v>31</v>
      </c>
      <c r="B28" s="316" t="s">
        <v>32</v>
      </c>
      <c r="C28" s="317"/>
      <c r="D28" s="84" t="s">
        <v>41</v>
      </c>
      <c r="E28" s="84" t="s">
        <v>41</v>
      </c>
      <c r="F28" s="84" t="s">
        <v>41</v>
      </c>
      <c r="G28" s="84" t="s">
        <v>41</v>
      </c>
      <c r="H28" s="84" t="s">
        <v>41</v>
      </c>
      <c r="I28" s="84" t="s">
        <v>41</v>
      </c>
      <c r="J28" s="84" t="s">
        <v>41</v>
      </c>
      <c r="K28" s="84" t="s">
        <v>41</v>
      </c>
      <c r="L28" s="143" t="s">
        <v>41</v>
      </c>
      <c r="M28" s="143" t="s">
        <v>41</v>
      </c>
      <c r="N28" s="84" t="s">
        <v>41</v>
      </c>
    </row>
    <row r="29" spans="1:14">
      <c r="A29" s="6" t="s">
        <v>33</v>
      </c>
      <c r="B29" s="316" t="s">
        <v>34</v>
      </c>
      <c r="C29" s="317"/>
      <c r="D29" s="84" t="s">
        <v>41</v>
      </c>
      <c r="E29" s="84" t="s">
        <v>41</v>
      </c>
      <c r="F29" s="84" t="s">
        <v>41</v>
      </c>
      <c r="G29" s="84" t="s">
        <v>41</v>
      </c>
      <c r="H29" s="84" t="s">
        <v>41</v>
      </c>
      <c r="I29" s="84" t="s">
        <v>41</v>
      </c>
      <c r="J29" s="84" t="s">
        <v>41</v>
      </c>
      <c r="K29" s="84" t="s">
        <v>41</v>
      </c>
      <c r="L29" s="143" t="s">
        <v>41</v>
      </c>
      <c r="M29" s="143" t="s">
        <v>41</v>
      </c>
      <c r="N29" s="84" t="s">
        <v>41</v>
      </c>
    </row>
    <row r="30" spans="1:14">
      <c r="A30" s="6" t="s">
        <v>53</v>
      </c>
      <c r="B30" s="316" t="s">
        <v>163</v>
      </c>
      <c r="C30" s="317"/>
      <c r="D30" s="84" t="s">
        <v>163</v>
      </c>
      <c r="E30" s="84" t="s">
        <v>163</v>
      </c>
      <c r="F30" s="84" t="s">
        <v>223</v>
      </c>
      <c r="G30" s="84" t="s">
        <v>223</v>
      </c>
      <c r="H30" s="84" t="s">
        <v>54</v>
      </c>
      <c r="I30" s="84" t="s">
        <v>54</v>
      </c>
      <c r="J30" s="84" t="s">
        <v>54</v>
      </c>
      <c r="K30" s="84" t="s">
        <v>54</v>
      </c>
      <c r="L30" s="143" t="s">
        <v>223</v>
      </c>
      <c r="M30" s="143" t="s">
        <v>223</v>
      </c>
      <c r="N30" s="79" t="s">
        <v>372</v>
      </c>
    </row>
    <row r="31" spans="1:14">
      <c r="B31" s="314"/>
      <c r="C31" s="315"/>
      <c r="D31" s="89"/>
      <c r="E31" s="79"/>
      <c r="F31" s="89"/>
      <c r="G31" s="79"/>
      <c r="H31" s="89"/>
      <c r="I31" s="89"/>
      <c r="J31" s="79"/>
      <c r="K31" s="96"/>
      <c r="L31" s="144"/>
      <c r="M31" s="144"/>
      <c r="N31" s="79"/>
    </row>
    <row r="32" spans="1:14" ht="24.75" customHeight="1">
      <c r="A32" s="4" t="s">
        <v>11</v>
      </c>
      <c r="B32" s="312" t="s">
        <v>12</v>
      </c>
      <c r="C32" s="313"/>
      <c r="D32" s="84"/>
      <c r="E32" s="79"/>
      <c r="F32" s="84"/>
      <c r="G32" s="79"/>
      <c r="H32" s="84"/>
      <c r="I32" s="84"/>
      <c r="J32" s="79"/>
      <c r="K32" s="96"/>
      <c r="L32" s="144"/>
      <c r="M32" s="144"/>
      <c r="N32" s="79"/>
    </row>
    <row r="33" spans="1:14">
      <c r="A33" s="12" t="s">
        <v>4</v>
      </c>
      <c r="B33" s="13">
        <v>1</v>
      </c>
      <c r="C33" s="29">
        <v>3</v>
      </c>
      <c r="D33" s="80" t="s">
        <v>131</v>
      </c>
      <c r="E33" s="80" t="s">
        <v>131</v>
      </c>
      <c r="F33" s="80" t="s">
        <v>41</v>
      </c>
      <c r="G33" s="80" t="s">
        <v>41</v>
      </c>
      <c r="H33" s="80" t="s">
        <v>77</v>
      </c>
      <c r="I33" s="80" t="s">
        <v>77</v>
      </c>
      <c r="J33" s="80" t="s">
        <v>77</v>
      </c>
      <c r="K33" s="87" t="s">
        <v>41</v>
      </c>
      <c r="L33" s="146">
        <v>1</v>
      </c>
      <c r="M33" s="146">
        <v>1</v>
      </c>
      <c r="N33" s="80" t="s">
        <v>41</v>
      </c>
    </row>
    <row r="34" spans="1:14" ht="27.75" customHeight="1">
      <c r="A34" s="40" t="s">
        <v>5</v>
      </c>
      <c r="B34" s="35" t="s">
        <v>103</v>
      </c>
      <c r="C34" s="41" t="s">
        <v>75</v>
      </c>
      <c r="D34" s="160" t="s">
        <v>131</v>
      </c>
      <c r="E34" s="160" t="s">
        <v>131</v>
      </c>
      <c r="F34" s="98" t="s">
        <v>41</v>
      </c>
      <c r="G34" s="98" t="s">
        <v>41</v>
      </c>
      <c r="H34" s="119" t="s">
        <v>302</v>
      </c>
      <c r="I34" s="124" t="s">
        <v>77</v>
      </c>
      <c r="J34" s="124" t="s">
        <v>77</v>
      </c>
      <c r="K34" s="87" t="s">
        <v>41</v>
      </c>
      <c r="L34" s="137" t="s">
        <v>41</v>
      </c>
      <c r="M34" s="137" t="s">
        <v>41</v>
      </c>
      <c r="N34" s="156" t="s">
        <v>41</v>
      </c>
    </row>
    <row r="35" spans="1:14">
      <c r="A35" s="34" t="s">
        <v>6</v>
      </c>
      <c r="B35" s="35" t="s">
        <v>69</v>
      </c>
      <c r="C35" s="36" t="s">
        <v>69</v>
      </c>
      <c r="D35" s="160" t="s">
        <v>41</v>
      </c>
      <c r="E35" s="160" t="s">
        <v>41</v>
      </c>
      <c r="F35" s="98" t="s">
        <v>41</v>
      </c>
      <c r="G35" s="98" t="s">
        <v>41</v>
      </c>
      <c r="H35" s="119" t="s">
        <v>41</v>
      </c>
      <c r="I35" s="124" t="s">
        <v>41</v>
      </c>
      <c r="J35" s="124" t="s">
        <v>41</v>
      </c>
      <c r="K35" s="87" t="s">
        <v>41</v>
      </c>
      <c r="L35" s="137" t="s">
        <v>41</v>
      </c>
      <c r="M35" s="137" t="s">
        <v>41</v>
      </c>
      <c r="N35" s="156" t="s">
        <v>41</v>
      </c>
    </row>
    <row r="36" spans="1:14">
      <c r="A36" s="34" t="s">
        <v>7</v>
      </c>
      <c r="B36" s="324"/>
      <c r="C36" s="325"/>
      <c r="D36" s="160">
        <v>1</v>
      </c>
      <c r="E36" s="160">
        <v>1</v>
      </c>
      <c r="F36" s="98">
        <v>1</v>
      </c>
      <c r="G36" s="98">
        <v>1</v>
      </c>
      <c r="H36" s="119">
        <v>1</v>
      </c>
      <c r="I36" s="124">
        <v>1</v>
      </c>
      <c r="J36" s="124">
        <v>1</v>
      </c>
      <c r="K36" s="122">
        <v>1</v>
      </c>
      <c r="L36" s="137">
        <v>1</v>
      </c>
      <c r="M36" s="137">
        <v>1</v>
      </c>
      <c r="N36" s="156">
        <v>1</v>
      </c>
    </row>
    <row r="37" spans="1:14" s="31" customFormat="1" ht="96" customHeight="1">
      <c r="A37" s="44" t="s">
        <v>8</v>
      </c>
      <c r="B37" s="326" t="s">
        <v>130</v>
      </c>
      <c r="C37" s="327"/>
      <c r="D37" s="99" t="s">
        <v>131</v>
      </c>
      <c r="E37" s="99" t="s">
        <v>131</v>
      </c>
      <c r="F37" s="99" t="s">
        <v>41</v>
      </c>
      <c r="G37" s="99" t="s">
        <v>41</v>
      </c>
      <c r="H37" s="99" t="s">
        <v>77</v>
      </c>
      <c r="I37" s="99" t="s">
        <v>77</v>
      </c>
      <c r="J37" s="99" t="s">
        <v>77</v>
      </c>
      <c r="K37" s="128" t="s">
        <v>77</v>
      </c>
      <c r="L37" s="148" t="s">
        <v>41</v>
      </c>
      <c r="M37" s="148" t="s">
        <v>41</v>
      </c>
      <c r="N37" s="99" t="s">
        <v>41</v>
      </c>
    </row>
    <row r="38" spans="1:14">
      <c r="A38" s="34" t="s">
        <v>71</v>
      </c>
      <c r="B38" s="320" t="s">
        <v>70</v>
      </c>
      <c r="C38" s="321"/>
      <c r="D38" s="160" t="s">
        <v>131</v>
      </c>
      <c r="E38" s="160" t="s">
        <v>131</v>
      </c>
      <c r="F38" s="98" t="s">
        <v>41</v>
      </c>
      <c r="G38" s="98" t="s">
        <v>41</v>
      </c>
      <c r="H38" s="119" t="s">
        <v>77</v>
      </c>
      <c r="I38" s="124" t="s">
        <v>77</v>
      </c>
      <c r="J38" s="124" t="s">
        <v>77</v>
      </c>
      <c r="K38" s="128" t="s">
        <v>41</v>
      </c>
      <c r="L38" s="137" t="s">
        <v>41</v>
      </c>
      <c r="M38" s="137" t="s">
        <v>41</v>
      </c>
      <c r="N38" s="156" t="s">
        <v>41</v>
      </c>
    </row>
    <row r="39" spans="1:14" ht="42" customHeight="1">
      <c r="A39" s="34" t="s">
        <v>72</v>
      </c>
      <c r="B39" s="322" t="s">
        <v>76</v>
      </c>
      <c r="C39" s="323"/>
      <c r="D39" s="161" t="s">
        <v>271</v>
      </c>
      <c r="E39" s="161" t="s">
        <v>271</v>
      </c>
      <c r="F39" s="88" t="s">
        <v>194</v>
      </c>
      <c r="G39" s="88" t="s">
        <v>194</v>
      </c>
      <c r="H39" s="120" t="s">
        <v>303</v>
      </c>
      <c r="I39" s="125" t="s">
        <v>76</v>
      </c>
      <c r="J39" s="125" t="s">
        <v>76</v>
      </c>
      <c r="K39" s="128" t="s">
        <v>76</v>
      </c>
      <c r="L39" s="137" t="s">
        <v>194</v>
      </c>
      <c r="M39" s="137" t="s">
        <v>194</v>
      </c>
      <c r="N39" s="157" t="s">
        <v>194</v>
      </c>
    </row>
    <row r="40" spans="1:14" ht="41.25" customHeight="1">
      <c r="A40" s="34" t="s">
        <v>73</v>
      </c>
      <c r="B40" s="322" t="s">
        <v>76</v>
      </c>
      <c r="C40" s="323"/>
      <c r="D40" s="161" t="s">
        <v>271</v>
      </c>
      <c r="E40" s="161" t="s">
        <v>271</v>
      </c>
      <c r="F40" s="88" t="s">
        <v>194</v>
      </c>
      <c r="G40" s="88" t="s">
        <v>194</v>
      </c>
      <c r="H40" s="120" t="s">
        <v>76</v>
      </c>
      <c r="I40" s="125" t="s">
        <v>76</v>
      </c>
      <c r="J40" s="125" t="s">
        <v>76</v>
      </c>
      <c r="K40" s="128" t="s">
        <v>194</v>
      </c>
      <c r="L40" s="137" t="s">
        <v>194</v>
      </c>
      <c r="M40" s="137" t="s">
        <v>194</v>
      </c>
      <c r="N40" s="157" t="s">
        <v>194</v>
      </c>
    </row>
    <row r="41" spans="1:14" ht="35.25" customHeight="1">
      <c r="A41" s="34" t="s">
        <v>9</v>
      </c>
      <c r="B41" s="320" t="s">
        <v>127</v>
      </c>
      <c r="C41" s="321"/>
      <c r="D41" s="160" t="s">
        <v>385</v>
      </c>
      <c r="E41" s="160" t="s">
        <v>385</v>
      </c>
      <c r="F41" s="98" t="s">
        <v>41</v>
      </c>
      <c r="G41" s="98" t="s">
        <v>41</v>
      </c>
      <c r="H41" s="119" t="s">
        <v>77</v>
      </c>
      <c r="I41" s="124" t="s">
        <v>77</v>
      </c>
      <c r="J41" s="124" t="s">
        <v>77</v>
      </c>
      <c r="K41" s="128" t="s">
        <v>41</v>
      </c>
      <c r="L41" s="137" t="s">
        <v>41</v>
      </c>
      <c r="M41" s="137" t="s">
        <v>41</v>
      </c>
      <c r="N41" s="156" t="s">
        <v>41</v>
      </c>
    </row>
    <row r="42" spans="1:14" ht="36.75" customHeight="1">
      <c r="A42" s="34" t="s">
        <v>10</v>
      </c>
      <c r="B42" s="322" t="s">
        <v>76</v>
      </c>
      <c r="C42" s="323"/>
      <c r="D42" s="161" t="s">
        <v>271</v>
      </c>
      <c r="E42" s="161" t="s">
        <v>271</v>
      </c>
      <c r="F42" s="88" t="s">
        <v>194</v>
      </c>
      <c r="G42" s="88" t="s">
        <v>194</v>
      </c>
      <c r="H42" s="120" t="s">
        <v>76</v>
      </c>
      <c r="I42" s="125" t="s">
        <v>76</v>
      </c>
      <c r="J42" s="125" t="s">
        <v>76</v>
      </c>
      <c r="K42" s="128" t="s">
        <v>76</v>
      </c>
      <c r="L42" s="137" t="s">
        <v>194</v>
      </c>
      <c r="M42" s="137" t="s">
        <v>194</v>
      </c>
      <c r="N42" s="157" t="s">
        <v>194</v>
      </c>
    </row>
    <row r="43" spans="1:14" ht="24">
      <c r="A43" s="34" t="s">
        <v>74</v>
      </c>
      <c r="B43" s="322" t="s">
        <v>76</v>
      </c>
      <c r="C43" s="323"/>
      <c r="D43" s="161" t="s">
        <v>271</v>
      </c>
      <c r="E43" s="161" t="s">
        <v>271</v>
      </c>
      <c r="F43" s="88" t="s">
        <v>194</v>
      </c>
      <c r="G43" s="88" t="s">
        <v>194</v>
      </c>
      <c r="H43" s="120" t="s">
        <v>303</v>
      </c>
      <c r="I43" s="125" t="s">
        <v>76</v>
      </c>
      <c r="J43" s="125" t="s">
        <v>76</v>
      </c>
      <c r="K43" s="128" t="s">
        <v>76</v>
      </c>
      <c r="L43" s="137" t="s">
        <v>194</v>
      </c>
      <c r="M43" s="137" t="s">
        <v>194</v>
      </c>
      <c r="N43" s="157" t="s">
        <v>194</v>
      </c>
    </row>
    <row r="44" spans="1:14">
      <c r="A44" s="47" t="s">
        <v>126</v>
      </c>
      <c r="B44" s="3"/>
      <c r="F44" s="76"/>
      <c r="G44" s="76"/>
      <c r="N44" s="76"/>
    </row>
  </sheetData>
  <mergeCells count="43">
    <mergeCell ref="L2:M2"/>
    <mergeCell ref="I2:J2"/>
    <mergeCell ref="B15:C15"/>
    <mergeCell ref="B27:C27"/>
    <mergeCell ref="B8:C8"/>
    <mergeCell ref="F2:G2"/>
    <mergeCell ref="D2:E2"/>
    <mergeCell ref="B1:C1"/>
    <mergeCell ref="B23:C23"/>
    <mergeCell ref="B24:C24"/>
    <mergeCell ref="B4:C4"/>
    <mergeCell ref="B5:C5"/>
    <mergeCell ref="B7:C7"/>
    <mergeCell ref="B9:C9"/>
    <mergeCell ref="B10:C10"/>
    <mergeCell ref="B2:C2"/>
    <mergeCell ref="B12:C12"/>
    <mergeCell ref="B13:C13"/>
    <mergeCell ref="B6:C6"/>
    <mergeCell ref="B11:C11"/>
    <mergeCell ref="B17:C17"/>
    <mergeCell ref="B16:C16"/>
    <mergeCell ref="B14:C14"/>
    <mergeCell ref="B41:C41"/>
    <mergeCell ref="B42:C42"/>
    <mergeCell ref="B43:C43"/>
    <mergeCell ref="B36:C36"/>
    <mergeCell ref="B37:C37"/>
    <mergeCell ref="B38:C38"/>
    <mergeCell ref="B39:C39"/>
    <mergeCell ref="B40:C40"/>
    <mergeCell ref="B32:C32"/>
    <mergeCell ref="B31:C31"/>
    <mergeCell ref="B18:C18"/>
    <mergeCell ref="B20:C20"/>
    <mergeCell ref="B21:C21"/>
    <mergeCell ref="B22:C22"/>
    <mergeCell ref="B28:C28"/>
    <mergeCell ref="B29:C29"/>
    <mergeCell ref="B30:C30"/>
    <mergeCell ref="B19:C19"/>
    <mergeCell ref="B25:C25"/>
    <mergeCell ref="B26:C26"/>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zoomScale="85" zoomScaleNormal="85" workbookViewId="0">
      <pane xSplit="3" ySplit="3" topLeftCell="H4" activePane="bottomRight" state="frozen"/>
      <selection pane="topRight" activeCell="D1" sqref="D1"/>
      <selection pane="bottomLeft" activeCell="A4" sqref="A4"/>
      <selection pane="bottomRight" activeCell="J20" sqref="J20"/>
    </sheetView>
  </sheetViews>
  <sheetFormatPr defaultColWidth="9.42578125" defaultRowHeight="14.25"/>
  <cols>
    <col min="1" max="1" width="29.42578125" style="3" customWidth="1"/>
    <col min="2" max="2" width="23.85546875" style="30" customWidth="1"/>
    <col min="3" max="3" width="24.85546875" style="30" customWidth="1"/>
    <col min="4" max="4" width="31.5703125" style="83" customWidth="1"/>
    <col min="5" max="5" width="31.5703125" style="78" customWidth="1"/>
    <col min="6" max="7" width="31.42578125" style="83" customWidth="1"/>
    <col min="8" max="8" width="31.5703125" style="149" customWidth="1"/>
    <col min="9" max="15" width="31.42578125" style="5" customWidth="1"/>
    <col min="16" max="16384" width="9.42578125" style="3"/>
  </cols>
  <sheetData>
    <row r="1" spans="1:15">
      <c r="A1" s="4" t="s">
        <v>84</v>
      </c>
      <c r="B1" s="51"/>
      <c r="C1" s="42"/>
    </row>
    <row r="2" spans="1:15" s="33" customFormat="1" ht="24">
      <c r="A2" s="32" t="s">
        <v>81</v>
      </c>
      <c r="B2" s="345" t="s">
        <v>82</v>
      </c>
      <c r="C2" s="346"/>
      <c r="D2" s="338" t="s">
        <v>601</v>
      </c>
      <c r="E2" s="339"/>
      <c r="F2" s="338" t="s">
        <v>228</v>
      </c>
      <c r="G2" s="339"/>
      <c r="H2" s="141" t="s">
        <v>337</v>
      </c>
      <c r="I2" s="338" t="s">
        <v>283</v>
      </c>
      <c r="J2" s="339"/>
      <c r="K2" s="7"/>
      <c r="L2" s="7"/>
      <c r="M2" s="7"/>
      <c r="N2" s="7"/>
      <c r="O2" s="7"/>
    </row>
    <row r="3" spans="1:15" s="33" customFormat="1">
      <c r="A3" s="32"/>
      <c r="B3" s="58"/>
      <c r="C3" s="59"/>
      <c r="D3" s="106" t="s">
        <v>602</v>
      </c>
      <c r="E3" s="107" t="s">
        <v>603</v>
      </c>
      <c r="F3" s="106" t="s">
        <v>161</v>
      </c>
      <c r="G3" s="107" t="s">
        <v>162</v>
      </c>
      <c r="H3" s="142" t="s">
        <v>339</v>
      </c>
      <c r="I3" s="106" t="s">
        <v>602</v>
      </c>
      <c r="J3" s="107" t="s">
        <v>162</v>
      </c>
      <c r="K3" s="7"/>
      <c r="L3" s="7"/>
      <c r="M3" s="7"/>
      <c r="N3" s="7"/>
      <c r="O3" s="7"/>
    </row>
    <row r="4" spans="1:15">
      <c r="A4" s="16" t="s">
        <v>15</v>
      </c>
      <c r="B4" s="316" t="s">
        <v>16</v>
      </c>
      <c r="C4" s="317"/>
      <c r="D4" s="84" t="s">
        <v>41</v>
      </c>
      <c r="E4" s="84" t="s">
        <v>41</v>
      </c>
      <c r="F4" s="84" t="s">
        <v>41</v>
      </c>
      <c r="G4" s="84" t="s">
        <v>41</v>
      </c>
      <c r="H4" s="143" t="s">
        <v>41</v>
      </c>
      <c r="I4" s="84" t="s">
        <v>41</v>
      </c>
      <c r="J4" s="84" t="s">
        <v>41</v>
      </c>
      <c r="K4" s="6"/>
      <c r="L4" s="6"/>
      <c r="M4" s="6"/>
      <c r="N4" s="6"/>
      <c r="O4" s="6"/>
    </row>
    <row r="5" spans="1:15">
      <c r="A5" s="16" t="s">
        <v>17</v>
      </c>
      <c r="B5" s="316"/>
      <c r="C5" s="317"/>
      <c r="D5" s="84" t="s">
        <v>604</v>
      </c>
      <c r="E5" s="79" t="s">
        <v>89</v>
      </c>
      <c r="F5" s="84" t="s">
        <v>99</v>
      </c>
      <c r="G5" s="79" t="s">
        <v>89</v>
      </c>
      <c r="H5" s="144" t="s">
        <v>89</v>
      </c>
      <c r="I5" s="84" t="s">
        <v>39</v>
      </c>
      <c r="J5" s="79" t="s">
        <v>89</v>
      </c>
      <c r="K5" s="6"/>
      <c r="L5" s="6"/>
      <c r="M5" s="6"/>
      <c r="N5" s="6"/>
      <c r="O5" s="6"/>
    </row>
    <row r="6" spans="1:15">
      <c r="A6" s="16" t="s">
        <v>129</v>
      </c>
      <c r="B6" s="316" t="s">
        <v>199</v>
      </c>
      <c r="C6" s="317"/>
      <c r="D6" s="84" t="s">
        <v>41</v>
      </c>
      <c r="E6" s="84" t="s">
        <v>41</v>
      </c>
      <c r="F6" s="84" t="s">
        <v>41</v>
      </c>
      <c r="G6" s="84" t="s">
        <v>41</v>
      </c>
      <c r="H6" s="143" t="s">
        <v>41</v>
      </c>
      <c r="I6" s="84" t="s">
        <v>41</v>
      </c>
      <c r="J6" s="84" t="s">
        <v>41</v>
      </c>
      <c r="K6" s="6"/>
      <c r="L6" s="6"/>
      <c r="M6" s="6"/>
      <c r="N6" s="6"/>
      <c r="O6" s="6"/>
    </row>
    <row r="7" spans="1:15">
      <c r="A7" s="16" t="s">
        <v>18</v>
      </c>
      <c r="B7" s="316" t="s">
        <v>19</v>
      </c>
      <c r="C7" s="317"/>
      <c r="D7" s="84" t="s">
        <v>41</v>
      </c>
      <c r="E7" s="84" t="s">
        <v>41</v>
      </c>
      <c r="F7" s="84" t="s">
        <v>41</v>
      </c>
      <c r="G7" s="84" t="s">
        <v>41</v>
      </c>
      <c r="H7" s="143" t="s">
        <v>41</v>
      </c>
      <c r="I7" s="84" t="s">
        <v>41</v>
      </c>
      <c r="J7" s="84" t="s">
        <v>41</v>
      </c>
      <c r="K7" s="6"/>
      <c r="L7" s="6"/>
      <c r="M7" s="6"/>
      <c r="N7" s="6"/>
      <c r="O7" s="6"/>
    </row>
    <row r="8" spans="1:15" ht="42" customHeight="1">
      <c r="A8" s="6" t="s">
        <v>158</v>
      </c>
      <c r="B8" s="318" t="s">
        <v>157</v>
      </c>
      <c r="C8" s="317"/>
      <c r="D8" s="84" t="s">
        <v>41</v>
      </c>
      <c r="E8" s="84" t="s">
        <v>41</v>
      </c>
      <c r="F8" s="84" t="s">
        <v>41</v>
      </c>
      <c r="G8" s="84" t="s">
        <v>41</v>
      </c>
      <c r="H8" s="143" t="s">
        <v>41</v>
      </c>
      <c r="I8" s="84" t="s">
        <v>41</v>
      </c>
      <c r="J8" s="84" t="s">
        <v>41</v>
      </c>
      <c r="K8" s="6"/>
      <c r="L8" s="6"/>
      <c r="M8" s="6"/>
      <c r="N8" s="3"/>
      <c r="O8" s="3"/>
    </row>
    <row r="9" spans="1:15" ht="24">
      <c r="A9" s="16" t="s">
        <v>20</v>
      </c>
      <c r="B9" s="318" t="s">
        <v>165</v>
      </c>
      <c r="C9" s="319"/>
      <c r="D9" s="84" t="s">
        <v>605</v>
      </c>
      <c r="E9" s="84" t="s">
        <v>606</v>
      </c>
      <c r="F9" s="84" t="s">
        <v>164</v>
      </c>
      <c r="G9" s="84" t="s">
        <v>229</v>
      </c>
      <c r="H9" s="143" t="s">
        <v>340</v>
      </c>
      <c r="I9" s="84" t="s">
        <v>164</v>
      </c>
      <c r="J9" s="84" t="s">
        <v>606</v>
      </c>
      <c r="K9" s="6"/>
      <c r="L9" s="6"/>
      <c r="M9" s="6"/>
      <c r="N9" s="6"/>
      <c r="O9" s="6"/>
    </row>
    <row r="10" spans="1:15" ht="34.5" customHeight="1">
      <c r="A10" s="15" t="s">
        <v>45</v>
      </c>
      <c r="B10" s="330" t="s">
        <v>380</v>
      </c>
      <c r="C10" s="331"/>
      <c r="D10" s="84" t="s">
        <v>607</v>
      </c>
      <c r="E10" s="84" t="s">
        <v>607</v>
      </c>
      <c r="F10" s="84" t="s">
        <v>77</v>
      </c>
      <c r="G10" s="84" t="s">
        <v>77</v>
      </c>
      <c r="H10" s="143" t="s">
        <v>41</v>
      </c>
      <c r="I10" s="84" t="s">
        <v>131</v>
      </c>
      <c r="J10" s="84" t="s">
        <v>131</v>
      </c>
      <c r="K10" s="6"/>
      <c r="L10" s="6"/>
      <c r="M10" s="6"/>
      <c r="N10" s="6"/>
      <c r="O10" s="6"/>
    </row>
    <row r="11" spans="1:15" ht="27.75" customHeight="1">
      <c r="A11" s="6" t="s">
        <v>21</v>
      </c>
      <c r="B11" s="318" t="s">
        <v>55</v>
      </c>
      <c r="C11" s="319"/>
      <c r="D11" s="84" t="s">
        <v>608</v>
      </c>
      <c r="E11" s="79" t="s">
        <v>609</v>
      </c>
      <c r="F11" s="84" t="s">
        <v>100</v>
      </c>
      <c r="G11" s="79" t="s">
        <v>101</v>
      </c>
      <c r="H11" s="144" t="s">
        <v>92</v>
      </c>
      <c r="I11" s="84" t="s">
        <v>608</v>
      </c>
      <c r="J11" s="79" t="s">
        <v>609</v>
      </c>
      <c r="K11" s="6"/>
      <c r="L11" s="6"/>
      <c r="M11" s="6"/>
      <c r="N11" s="6"/>
      <c r="O11" s="6"/>
    </row>
    <row r="12" spans="1:15" ht="24">
      <c r="A12" s="6" t="s">
        <v>44</v>
      </c>
      <c r="B12" s="316"/>
      <c r="C12" s="317"/>
      <c r="D12" s="84" t="s">
        <v>610</v>
      </c>
      <c r="E12" s="79" t="s">
        <v>102</v>
      </c>
      <c r="F12" s="84" t="s">
        <v>167</v>
      </c>
      <c r="G12" s="79" t="s">
        <v>225</v>
      </c>
      <c r="H12" s="143" t="s">
        <v>361</v>
      </c>
      <c r="I12" s="84" t="s">
        <v>167</v>
      </c>
      <c r="J12" s="79" t="s">
        <v>102</v>
      </c>
      <c r="K12" s="6"/>
      <c r="L12" s="6"/>
      <c r="M12" s="6"/>
      <c r="N12" s="6"/>
      <c r="O12" s="6"/>
    </row>
    <row r="13" spans="1:15">
      <c r="A13" s="6" t="s">
        <v>22</v>
      </c>
      <c r="B13" s="316" t="s">
        <v>159</v>
      </c>
      <c r="C13" s="317"/>
      <c r="D13" s="85" t="s">
        <v>611</v>
      </c>
      <c r="E13" s="85" t="s">
        <v>611</v>
      </c>
      <c r="F13" s="85" t="s">
        <v>42</v>
      </c>
      <c r="G13" s="85" t="s">
        <v>42</v>
      </c>
      <c r="H13" s="150" t="s">
        <v>280</v>
      </c>
      <c r="I13" s="85" t="s">
        <v>42</v>
      </c>
      <c r="J13" s="85" t="s">
        <v>42</v>
      </c>
      <c r="K13" s="6"/>
      <c r="L13" s="6"/>
      <c r="M13" s="6"/>
      <c r="N13" s="6"/>
      <c r="O13" s="6"/>
    </row>
    <row r="14" spans="1:15" ht="24">
      <c r="A14" s="6" t="s">
        <v>23</v>
      </c>
      <c r="B14" s="316"/>
      <c r="C14" s="317"/>
      <c r="D14" s="100" t="s">
        <v>621</v>
      </c>
      <c r="E14" s="100" t="s">
        <v>621</v>
      </c>
      <c r="F14" s="100" t="s">
        <v>231</v>
      </c>
      <c r="G14" s="86" t="s">
        <v>40</v>
      </c>
      <c r="H14" s="145" t="s">
        <v>345</v>
      </c>
      <c r="I14" s="100" t="s">
        <v>633</v>
      </c>
      <c r="J14" s="100" t="s">
        <v>633</v>
      </c>
      <c r="K14" s="6"/>
      <c r="L14" s="6"/>
      <c r="M14" s="6"/>
      <c r="N14" s="6"/>
      <c r="O14" s="6"/>
    </row>
    <row r="15" spans="1:15">
      <c r="A15" s="6" t="s">
        <v>24</v>
      </c>
      <c r="B15" s="316"/>
      <c r="C15" s="317"/>
      <c r="D15" s="86" t="s">
        <v>620</v>
      </c>
      <c r="E15" s="86" t="s">
        <v>612</v>
      </c>
      <c r="F15" s="86" t="s">
        <v>40</v>
      </c>
      <c r="G15" s="86" t="s">
        <v>40</v>
      </c>
      <c r="H15" s="151" t="s">
        <v>346</v>
      </c>
      <c r="I15" s="86" t="s">
        <v>612</v>
      </c>
      <c r="J15" s="86" t="s">
        <v>612</v>
      </c>
      <c r="K15" s="6"/>
      <c r="L15" s="6"/>
      <c r="M15" s="6"/>
      <c r="N15" s="6"/>
      <c r="O15" s="6"/>
    </row>
    <row r="16" spans="1:15">
      <c r="A16" s="6" t="s">
        <v>25</v>
      </c>
      <c r="B16" s="316"/>
      <c r="C16" s="317"/>
      <c r="D16" s="100" t="s">
        <v>623</v>
      </c>
      <c r="E16" s="100" t="s">
        <v>623</v>
      </c>
      <c r="F16" s="100" t="s">
        <v>232</v>
      </c>
      <c r="G16" s="100" t="s">
        <v>232</v>
      </c>
      <c r="H16" s="145" t="s">
        <v>347</v>
      </c>
      <c r="I16" s="100" t="s">
        <v>634</v>
      </c>
      <c r="J16" s="100" t="s">
        <v>634</v>
      </c>
      <c r="K16" s="6"/>
      <c r="L16" s="6"/>
      <c r="M16" s="6"/>
      <c r="N16" s="6"/>
      <c r="O16" s="6"/>
    </row>
    <row r="17" spans="1:15" ht="24" customHeight="1">
      <c r="A17" s="6" t="s">
        <v>155</v>
      </c>
      <c r="B17" s="318" t="s">
        <v>156</v>
      </c>
      <c r="C17" s="319"/>
      <c r="D17" s="84" t="s">
        <v>41</v>
      </c>
      <c r="E17" s="84" t="s">
        <v>41</v>
      </c>
      <c r="F17" s="84" t="s">
        <v>41</v>
      </c>
      <c r="G17" s="84" t="s">
        <v>41</v>
      </c>
      <c r="H17" s="143" t="s">
        <v>41</v>
      </c>
      <c r="I17" s="84" t="s">
        <v>41</v>
      </c>
      <c r="J17" s="84" t="s">
        <v>41</v>
      </c>
      <c r="K17" s="6"/>
      <c r="L17" s="6"/>
      <c r="M17" s="6"/>
      <c r="N17" s="3"/>
      <c r="O17" s="3"/>
    </row>
    <row r="18" spans="1:15" ht="78" customHeight="1">
      <c r="A18" s="6" t="s">
        <v>26</v>
      </c>
      <c r="B18" s="318" t="s">
        <v>181</v>
      </c>
      <c r="C18" s="319"/>
      <c r="D18" s="84" t="s">
        <v>622</v>
      </c>
      <c r="E18" s="84" t="s">
        <v>622</v>
      </c>
      <c r="F18" s="84" t="s">
        <v>234</v>
      </c>
      <c r="G18" s="84" t="s">
        <v>235</v>
      </c>
      <c r="H18" s="143" t="s">
        <v>365</v>
      </c>
      <c r="I18" s="84" t="s">
        <v>635</v>
      </c>
      <c r="J18" s="84" t="s">
        <v>635</v>
      </c>
      <c r="K18" s="6"/>
      <c r="L18" s="6"/>
      <c r="M18" s="6"/>
      <c r="N18" s="6"/>
      <c r="O18" s="6"/>
    </row>
    <row r="19" spans="1:15" ht="96">
      <c r="A19" s="10" t="s">
        <v>27</v>
      </c>
      <c r="B19" s="320" t="s">
        <v>28</v>
      </c>
      <c r="C19" s="321"/>
      <c r="D19" s="90" t="s">
        <v>613</v>
      </c>
      <c r="E19" s="90" t="s">
        <v>614</v>
      </c>
      <c r="F19" s="90" t="s">
        <v>236</v>
      </c>
      <c r="G19" s="90" t="s">
        <v>465</v>
      </c>
      <c r="H19" s="147" t="s">
        <v>348</v>
      </c>
      <c r="I19" s="90" t="s">
        <v>613</v>
      </c>
      <c r="J19" s="90" t="s">
        <v>614</v>
      </c>
      <c r="K19" s="6"/>
      <c r="L19" s="6"/>
      <c r="M19" s="6"/>
      <c r="N19" s="6"/>
      <c r="O19" s="6"/>
    </row>
    <row r="20" spans="1:15" ht="84">
      <c r="A20" s="10" t="s">
        <v>29</v>
      </c>
      <c r="B20" s="320" t="s">
        <v>30</v>
      </c>
      <c r="C20" s="321"/>
      <c r="D20" s="82" t="s">
        <v>624</v>
      </c>
      <c r="E20" s="82" t="s">
        <v>624</v>
      </c>
      <c r="F20" s="82" t="s">
        <v>254</v>
      </c>
      <c r="G20" s="82" t="s">
        <v>255</v>
      </c>
      <c r="H20" s="147" t="s">
        <v>349</v>
      </c>
      <c r="I20" s="82" t="s">
        <v>636</v>
      </c>
      <c r="J20" s="82" t="s">
        <v>636</v>
      </c>
      <c r="K20" s="6"/>
      <c r="L20" s="6"/>
      <c r="M20" s="6"/>
      <c r="N20" s="6"/>
      <c r="O20" s="6"/>
    </row>
    <row r="21" spans="1:15" ht="24" customHeight="1">
      <c r="A21" s="34" t="s">
        <v>97</v>
      </c>
      <c r="B21" s="320">
        <v>1</v>
      </c>
      <c r="C21" s="321"/>
      <c r="D21" s="84" t="s">
        <v>41</v>
      </c>
      <c r="E21" s="84" t="s">
        <v>41</v>
      </c>
      <c r="F21" s="84" t="s">
        <v>41</v>
      </c>
      <c r="G21" s="84" t="s">
        <v>41</v>
      </c>
      <c r="H21" s="143" t="s">
        <v>41</v>
      </c>
      <c r="I21" s="84" t="s">
        <v>41</v>
      </c>
      <c r="J21" s="84" t="s">
        <v>41</v>
      </c>
      <c r="K21" s="6"/>
      <c r="L21" s="6"/>
      <c r="M21" s="6"/>
      <c r="N21" s="6"/>
      <c r="O21" s="6"/>
    </row>
    <row r="22" spans="1:15" ht="32.25" customHeight="1">
      <c r="A22" s="34" t="s">
        <v>98</v>
      </c>
      <c r="B22" s="320"/>
      <c r="C22" s="321"/>
      <c r="D22" s="91" t="s">
        <v>201</v>
      </c>
      <c r="E22" s="91" t="s">
        <v>201</v>
      </c>
      <c r="F22" s="91" t="s">
        <v>136</v>
      </c>
      <c r="G22" s="91" t="s">
        <v>135</v>
      </c>
      <c r="H22" s="136" t="s">
        <v>194</v>
      </c>
      <c r="I22" s="91" t="s">
        <v>135</v>
      </c>
      <c r="J22" s="91" t="s">
        <v>135</v>
      </c>
      <c r="K22" s="6"/>
      <c r="L22" s="6"/>
      <c r="M22" s="6"/>
      <c r="N22" s="6"/>
      <c r="O22" s="6"/>
    </row>
    <row r="23" spans="1:15">
      <c r="A23" s="6" t="s">
        <v>31</v>
      </c>
      <c r="B23" s="316" t="s">
        <v>32</v>
      </c>
      <c r="C23" s="317"/>
      <c r="D23" s="84" t="s">
        <v>41</v>
      </c>
      <c r="E23" s="84" t="s">
        <v>41</v>
      </c>
      <c r="F23" s="84" t="s">
        <v>41</v>
      </c>
      <c r="G23" s="84" t="s">
        <v>41</v>
      </c>
      <c r="H23" s="143" t="s">
        <v>41</v>
      </c>
      <c r="I23" s="84" t="s">
        <v>41</v>
      </c>
      <c r="J23" s="84" t="s">
        <v>41</v>
      </c>
      <c r="K23" s="6"/>
      <c r="L23" s="6"/>
      <c r="M23" s="6"/>
      <c r="N23" s="6"/>
      <c r="O23" s="6"/>
    </row>
    <row r="24" spans="1:15">
      <c r="A24" s="6" t="s">
        <v>33</v>
      </c>
      <c r="B24" s="316" t="s">
        <v>34</v>
      </c>
      <c r="C24" s="317"/>
      <c r="D24" s="84" t="s">
        <v>41</v>
      </c>
      <c r="E24" s="84" t="s">
        <v>41</v>
      </c>
      <c r="F24" s="84" t="s">
        <v>41</v>
      </c>
      <c r="G24" s="84" t="s">
        <v>41</v>
      </c>
      <c r="H24" s="143" t="s">
        <v>41</v>
      </c>
      <c r="I24" s="84" t="s">
        <v>41</v>
      </c>
      <c r="J24" s="84" t="s">
        <v>41</v>
      </c>
      <c r="K24" s="6"/>
      <c r="L24" s="6"/>
      <c r="M24" s="6"/>
      <c r="N24" s="6"/>
      <c r="O24" s="6"/>
    </row>
    <row r="25" spans="1:15" ht="24">
      <c r="A25" s="6" t="s">
        <v>53</v>
      </c>
      <c r="B25" s="316"/>
      <c r="C25" s="317"/>
      <c r="D25" s="84" t="s">
        <v>54</v>
      </c>
      <c r="E25" s="84" t="s">
        <v>54</v>
      </c>
      <c r="F25" s="90" t="s">
        <v>256</v>
      </c>
      <c r="G25" s="90" t="s">
        <v>256</v>
      </c>
      <c r="H25" s="143" t="s">
        <v>223</v>
      </c>
      <c r="I25" s="84" t="s">
        <v>54</v>
      </c>
      <c r="J25" s="84" t="s">
        <v>54</v>
      </c>
      <c r="K25" s="6"/>
      <c r="L25" s="6"/>
      <c r="M25" s="6"/>
      <c r="N25" s="6"/>
      <c r="O25" s="6"/>
    </row>
    <row r="26" spans="1:15">
      <c r="A26" s="6" t="s">
        <v>35</v>
      </c>
      <c r="B26" s="316"/>
      <c r="C26" s="317"/>
      <c r="D26" s="90" t="s">
        <v>615</v>
      </c>
      <c r="E26" s="90" t="s">
        <v>615</v>
      </c>
      <c r="F26" s="90" t="s">
        <v>257</v>
      </c>
      <c r="G26" s="90" t="s">
        <v>258</v>
      </c>
      <c r="H26" s="147" t="s">
        <v>350</v>
      </c>
      <c r="I26" s="90" t="s">
        <v>615</v>
      </c>
      <c r="J26" s="90" t="s">
        <v>615</v>
      </c>
      <c r="K26" s="6"/>
      <c r="L26" s="6"/>
      <c r="M26" s="6"/>
      <c r="N26" s="6"/>
      <c r="O26" s="6"/>
    </row>
    <row r="27" spans="1:15" ht="48">
      <c r="A27" s="6" t="s">
        <v>150</v>
      </c>
      <c r="B27" s="334"/>
      <c r="C27" s="335"/>
      <c r="D27" s="82" t="s">
        <v>616</v>
      </c>
      <c r="E27" s="82" t="s">
        <v>616</v>
      </c>
      <c r="F27" s="82" t="s">
        <v>259</v>
      </c>
      <c r="G27" s="82" t="s">
        <v>259</v>
      </c>
      <c r="H27" s="136" t="s">
        <v>194</v>
      </c>
      <c r="I27" s="82" t="s">
        <v>616</v>
      </c>
      <c r="J27" s="82" t="s">
        <v>616</v>
      </c>
      <c r="K27" s="6"/>
      <c r="L27" s="6"/>
      <c r="M27" s="6"/>
      <c r="N27" s="6"/>
      <c r="O27" s="3"/>
    </row>
    <row r="28" spans="1:15">
      <c r="A28" s="28"/>
      <c r="B28" s="342"/>
      <c r="C28" s="342"/>
      <c r="D28" s="84"/>
      <c r="E28" s="79"/>
      <c r="F28" s="84"/>
      <c r="G28" s="79"/>
      <c r="H28" s="144"/>
      <c r="I28" s="84"/>
      <c r="J28" s="79"/>
      <c r="K28" s="6"/>
      <c r="L28" s="6"/>
      <c r="M28" s="6"/>
      <c r="N28" s="6"/>
      <c r="O28" s="6"/>
    </row>
    <row r="29" spans="1:15">
      <c r="A29" s="4" t="s">
        <v>11</v>
      </c>
      <c r="B29" s="340" t="s">
        <v>12</v>
      </c>
      <c r="C29" s="341"/>
      <c r="D29" s="84"/>
      <c r="E29" s="79"/>
      <c r="F29" s="84"/>
      <c r="G29" s="79"/>
      <c r="H29" s="144"/>
      <c r="I29" s="84"/>
      <c r="J29" s="79"/>
      <c r="K29" s="6"/>
      <c r="L29" s="6"/>
      <c r="M29" s="6"/>
      <c r="N29" s="6"/>
      <c r="O29" s="6"/>
    </row>
    <row r="30" spans="1:15">
      <c r="A30" s="12" t="s">
        <v>4</v>
      </c>
      <c r="B30" s="49">
        <v>1</v>
      </c>
      <c r="C30" s="48">
        <v>3</v>
      </c>
      <c r="D30" s="87" t="s">
        <v>607</v>
      </c>
      <c r="E30" s="87" t="s">
        <v>607</v>
      </c>
      <c r="F30" s="87" t="s">
        <v>77</v>
      </c>
      <c r="G30" s="87" t="s">
        <v>77</v>
      </c>
      <c r="H30" s="152" t="s">
        <v>41</v>
      </c>
      <c r="I30" s="87" t="s">
        <v>131</v>
      </c>
      <c r="J30" s="87" t="s">
        <v>131</v>
      </c>
      <c r="K30" s="6"/>
      <c r="L30" s="6"/>
      <c r="M30" s="6"/>
      <c r="N30" s="6"/>
      <c r="O30" s="6"/>
    </row>
    <row r="31" spans="1:15" ht="24">
      <c r="A31" s="40" t="s">
        <v>5</v>
      </c>
      <c r="B31" s="49" t="s">
        <v>104</v>
      </c>
      <c r="C31" s="52" t="s">
        <v>75</v>
      </c>
      <c r="D31" s="87" t="s">
        <v>607</v>
      </c>
      <c r="E31" s="87" t="s">
        <v>607</v>
      </c>
      <c r="F31" s="87" t="s">
        <v>77</v>
      </c>
      <c r="G31" s="87" t="s">
        <v>77</v>
      </c>
      <c r="H31" s="152" t="s">
        <v>41</v>
      </c>
      <c r="I31" s="87" t="s">
        <v>131</v>
      </c>
      <c r="J31" s="87" t="s">
        <v>131</v>
      </c>
      <c r="K31" s="6"/>
      <c r="L31" s="6"/>
      <c r="M31" s="6"/>
      <c r="N31" s="6"/>
      <c r="O31" s="6"/>
    </row>
    <row r="32" spans="1:15">
      <c r="A32" s="34" t="s">
        <v>6</v>
      </c>
      <c r="B32" s="49" t="s">
        <v>69</v>
      </c>
      <c r="C32" s="48" t="s">
        <v>69</v>
      </c>
      <c r="D32" s="87" t="s">
        <v>607</v>
      </c>
      <c r="E32" s="87" t="s">
        <v>607</v>
      </c>
      <c r="F32" s="87" t="s">
        <v>77</v>
      </c>
      <c r="G32" s="87" t="s">
        <v>77</v>
      </c>
      <c r="H32" s="152" t="s">
        <v>41</v>
      </c>
      <c r="I32" s="87" t="s">
        <v>131</v>
      </c>
      <c r="J32" s="87" t="s">
        <v>131</v>
      </c>
      <c r="K32" s="6"/>
      <c r="L32" s="6"/>
      <c r="M32" s="6"/>
      <c r="N32" s="6"/>
      <c r="O32" s="6"/>
    </row>
    <row r="33" spans="1:15">
      <c r="A33" s="43" t="s">
        <v>7</v>
      </c>
      <c r="B33" s="343"/>
      <c r="C33" s="344"/>
      <c r="D33" s="260">
        <v>1</v>
      </c>
      <c r="E33" s="260">
        <v>1</v>
      </c>
      <c r="F33" s="98">
        <v>1</v>
      </c>
      <c r="G33" s="98">
        <v>1</v>
      </c>
      <c r="H33" s="137">
        <v>1</v>
      </c>
      <c r="I33" s="260">
        <v>1</v>
      </c>
      <c r="J33" s="260">
        <v>1</v>
      </c>
    </row>
    <row r="34" spans="1:15" s="31" customFormat="1" ht="96" customHeight="1">
      <c r="A34" s="44" t="s">
        <v>8</v>
      </c>
      <c r="B34" s="326" t="s">
        <v>130</v>
      </c>
      <c r="C34" s="327"/>
      <c r="D34" s="99" t="s">
        <v>617</v>
      </c>
      <c r="E34" s="99" t="s">
        <v>617</v>
      </c>
      <c r="F34" s="99" t="s">
        <v>77</v>
      </c>
      <c r="G34" s="99" t="s">
        <v>77</v>
      </c>
      <c r="H34" s="148" t="s">
        <v>41</v>
      </c>
      <c r="I34" s="99" t="s">
        <v>131</v>
      </c>
      <c r="J34" s="99" t="s">
        <v>131</v>
      </c>
      <c r="K34" s="6"/>
      <c r="L34" s="6"/>
      <c r="M34" s="6"/>
      <c r="N34" s="6"/>
      <c r="O34" s="6"/>
    </row>
    <row r="35" spans="1:15">
      <c r="A35" s="43" t="s">
        <v>71</v>
      </c>
      <c r="B35" s="320" t="s">
        <v>70</v>
      </c>
      <c r="C35" s="321"/>
      <c r="D35" s="260" t="s">
        <v>617</v>
      </c>
      <c r="E35" s="260" t="s">
        <v>617</v>
      </c>
      <c r="F35" s="98" t="s">
        <v>77</v>
      </c>
      <c r="G35" s="98" t="s">
        <v>77</v>
      </c>
      <c r="H35" s="137" t="s">
        <v>41</v>
      </c>
      <c r="I35" s="260" t="s">
        <v>131</v>
      </c>
      <c r="J35" s="260" t="s">
        <v>131</v>
      </c>
    </row>
    <row r="36" spans="1:15" ht="42" customHeight="1">
      <c r="A36" s="43" t="s">
        <v>72</v>
      </c>
      <c r="B36" s="320" t="s">
        <v>76</v>
      </c>
      <c r="C36" s="321"/>
      <c r="D36" s="259" t="s">
        <v>618</v>
      </c>
      <c r="E36" s="259" t="s">
        <v>618</v>
      </c>
      <c r="F36" s="97" t="s">
        <v>76</v>
      </c>
      <c r="G36" s="97" t="s">
        <v>76</v>
      </c>
      <c r="H36" s="136" t="s">
        <v>194</v>
      </c>
      <c r="I36" s="310" t="s">
        <v>271</v>
      </c>
      <c r="J36" s="310" t="s">
        <v>271</v>
      </c>
    </row>
    <row r="37" spans="1:15" ht="41.25" customHeight="1">
      <c r="A37" s="43" t="s">
        <v>73</v>
      </c>
      <c r="B37" s="320" t="s">
        <v>76</v>
      </c>
      <c r="C37" s="321"/>
      <c r="D37" s="259" t="s">
        <v>618</v>
      </c>
      <c r="E37" s="259" t="s">
        <v>618</v>
      </c>
      <c r="F37" s="97" t="s">
        <v>76</v>
      </c>
      <c r="G37" s="97" t="s">
        <v>76</v>
      </c>
      <c r="H37" s="136" t="s">
        <v>194</v>
      </c>
      <c r="I37" s="310" t="s">
        <v>271</v>
      </c>
      <c r="J37" s="310" t="s">
        <v>271</v>
      </c>
    </row>
    <row r="38" spans="1:15" ht="35.25" customHeight="1">
      <c r="A38" s="43" t="s">
        <v>9</v>
      </c>
      <c r="B38" s="320" t="s">
        <v>127</v>
      </c>
      <c r="C38" s="321"/>
      <c r="D38" s="260" t="s">
        <v>619</v>
      </c>
      <c r="E38" s="260" t="s">
        <v>619</v>
      </c>
      <c r="F38" s="98" t="s">
        <v>77</v>
      </c>
      <c r="G38" s="98" t="s">
        <v>77</v>
      </c>
      <c r="H38" s="137" t="s">
        <v>41</v>
      </c>
      <c r="I38" s="260" t="s">
        <v>131</v>
      </c>
      <c r="J38" s="260" t="s">
        <v>131</v>
      </c>
    </row>
    <row r="39" spans="1:15" ht="36.75" customHeight="1">
      <c r="A39" s="43" t="s">
        <v>10</v>
      </c>
      <c r="B39" s="320" t="s">
        <v>76</v>
      </c>
      <c r="C39" s="321"/>
      <c r="D39" s="259" t="s">
        <v>618</v>
      </c>
      <c r="E39" s="259" t="s">
        <v>618</v>
      </c>
      <c r="F39" s="97" t="s">
        <v>76</v>
      </c>
      <c r="G39" s="97" t="s">
        <v>76</v>
      </c>
      <c r="H39" s="136" t="s">
        <v>194</v>
      </c>
      <c r="I39" s="310" t="s">
        <v>271</v>
      </c>
      <c r="J39" s="310" t="s">
        <v>271</v>
      </c>
    </row>
    <row r="40" spans="1:15" ht="24">
      <c r="A40" s="43" t="s">
        <v>74</v>
      </c>
      <c r="B40" s="320" t="s">
        <v>76</v>
      </c>
      <c r="C40" s="321"/>
      <c r="D40" s="259" t="s">
        <v>618</v>
      </c>
      <c r="E40" s="259" t="s">
        <v>618</v>
      </c>
      <c r="F40" s="97" t="s">
        <v>76</v>
      </c>
      <c r="G40" s="97" t="s">
        <v>76</v>
      </c>
      <c r="H40" s="136" t="s">
        <v>194</v>
      </c>
      <c r="I40" s="310" t="s">
        <v>271</v>
      </c>
      <c r="J40" s="310" t="s">
        <v>271</v>
      </c>
    </row>
    <row r="41" spans="1:15">
      <c r="A41" s="47" t="s">
        <v>126</v>
      </c>
    </row>
  </sheetData>
  <mergeCells count="38">
    <mergeCell ref="I2:J2"/>
    <mergeCell ref="F2:G2"/>
    <mergeCell ref="D2:E2"/>
    <mergeCell ref="B23:C23"/>
    <mergeCell ref="B24:C24"/>
    <mergeCell ref="B6:C6"/>
    <mergeCell ref="B2:C2"/>
    <mergeCell ref="B4:C4"/>
    <mergeCell ref="B5:C5"/>
    <mergeCell ref="B7:C7"/>
    <mergeCell ref="B20:C20"/>
    <mergeCell ref="B8:C8"/>
    <mergeCell ref="B17:C17"/>
    <mergeCell ref="B15:C15"/>
    <mergeCell ref="B16:C16"/>
    <mergeCell ref="B18:C18"/>
    <mergeCell ref="B19:C19"/>
    <mergeCell ref="B10:C10"/>
    <mergeCell ref="B11:C11"/>
    <mergeCell ref="B12:C12"/>
    <mergeCell ref="B13:C13"/>
    <mergeCell ref="B14:C14"/>
    <mergeCell ref="B9:C9"/>
    <mergeCell ref="B37:C37"/>
    <mergeCell ref="B38:C38"/>
    <mergeCell ref="B39:C39"/>
    <mergeCell ref="B40:C40"/>
    <mergeCell ref="B21:C21"/>
    <mergeCell ref="B22:C22"/>
    <mergeCell ref="B29:C29"/>
    <mergeCell ref="B28:C28"/>
    <mergeCell ref="B27:C27"/>
    <mergeCell ref="B33:C33"/>
    <mergeCell ref="B34:C34"/>
    <mergeCell ref="B35:C35"/>
    <mergeCell ref="B36:C36"/>
    <mergeCell ref="B26:C26"/>
    <mergeCell ref="B25:C25"/>
  </mergeCells>
  <phoneticPr fontId="32" type="noConversion"/>
  <conditionalFormatting sqref="A6">
    <cfRule type="duplicateValues" dxfId="0" priority="1"/>
  </conditionalFormatting>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zoomScaleNormal="100" workbookViewId="0">
      <selection activeCell="B11" sqref="A11:XFD19"/>
    </sheetView>
  </sheetViews>
  <sheetFormatPr defaultColWidth="9.42578125" defaultRowHeight="14.25"/>
  <cols>
    <col min="1" max="1" width="10.42578125" style="3" customWidth="1"/>
    <col min="2" max="2" width="29.42578125" style="3" customWidth="1"/>
    <col min="3" max="3" width="26.140625" style="3" customWidth="1"/>
    <col min="4" max="4" width="29.140625" style="78" customWidth="1"/>
    <col min="5" max="5" width="28.140625" style="78" customWidth="1"/>
    <col min="6" max="6" width="29.140625" style="78" customWidth="1"/>
    <col min="7" max="7" width="28.140625" style="78" customWidth="1"/>
    <col min="8" max="8" width="29.28515625" style="78" customWidth="1"/>
    <col min="9" max="9" width="28.28515625" style="78" customWidth="1"/>
    <col min="10" max="11" width="31.42578125" style="5" customWidth="1"/>
    <col min="12" max="12" width="31.42578125" style="78" customWidth="1"/>
    <col min="13" max="14" width="31.42578125" style="149" customWidth="1"/>
    <col min="15" max="15" width="31.42578125" style="78" customWidth="1"/>
    <col min="16" max="16384" width="9.42578125" style="3"/>
  </cols>
  <sheetData>
    <row r="1" spans="1:15" ht="75">
      <c r="A1" s="347" t="s">
        <v>83</v>
      </c>
      <c r="B1" s="348"/>
      <c r="C1" s="60" t="s">
        <v>168</v>
      </c>
      <c r="O1" s="76"/>
    </row>
    <row r="2" spans="1:15" ht="14.25" customHeight="1">
      <c r="A2" s="347" t="s">
        <v>65</v>
      </c>
      <c r="B2" s="348"/>
      <c r="C2" s="357" t="s">
        <v>37</v>
      </c>
      <c r="D2" s="359" t="s">
        <v>386</v>
      </c>
      <c r="E2" s="360"/>
      <c r="F2" s="359" t="s">
        <v>228</v>
      </c>
      <c r="G2" s="360"/>
      <c r="H2" s="359" t="s">
        <v>283</v>
      </c>
      <c r="I2" s="360"/>
      <c r="J2" s="359" t="s">
        <v>308</v>
      </c>
      <c r="K2" s="360"/>
      <c r="L2" s="81" t="s">
        <v>319</v>
      </c>
      <c r="M2" s="336" t="s">
        <v>337</v>
      </c>
      <c r="N2" s="337"/>
      <c r="O2" s="81" t="s">
        <v>368</v>
      </c>
    </row>
    <row r="3" spans="1:15">
      <c r="A3" s="355"/>
      <c r="B3" s="356"/>
      <c r="C3" s="358"/>
      <c r="D3" s="81" t="s">
        <v>387</v>
      </c>
      <c r="E3" s="81" t="s">
        <v>388</v>
      </c>
      <c r="F3" s="81" t="s">
        <v>39</v>
      </c>
      <c r="G3" s="81" t="s">
        <v>200</v>
      </c>
      <c r="H3" s="81" t="s">
        <v>284</v>
      </c>
      <c r="I3" s="81" t="s">
        <v>285</v>
      </c>
      <c r="J3" s="81" t="s">
        <v>39</v>
      </c>
      <c r="K3" s="81" t="s">
        <v>57</v>
      </c>
      <c r="L3" s="135" t="s">
        <v>89</v>
      </c>
      <c r="M3" s="140" t="s">
        <v>212</v>
      </c>
      <c r="N3" s="140" t="s">
        <v>89</v>
      </c>
      <c r="O3" s="81" t="s">
        <v>89</v>
      </c>
    </row>
    <row r="4" spans="1:15">
      <c r="A4" s="352" t="s">
        <v>58</v>
      </c>
      <c r="B4" s="22" t="s">
        <v>59</v>
      </c>
      <c r="C4" s="28"/>
      <c r="D4" s="82" t="s">
        <v>389</v>
      </c>
      <c r="E4" s="82" t="s">
        <v>389</v>
      </c>
      <c r="F4" s="82" t="s">
        <v>419</v>
      </c>
      <c r="G4" s="82" t="s">
        <v>202</v>
      </c>
      <c r="H4" s="82" t="s">
        <v>286</v>
      </c>
      <c r="I4" s="82" t="s">
        <v>286</v>
      </c>
      <c r="J4" s="82" t="s">
        <v>202</v>
      </c>
      <c r="K4" s="82" t="s">
        <v>202</v>
      </c>
      <c r="L4" s="82" t="s">
        <v>202</v>
      </c>
      <c r="M4" s="143" t="s">
        <v>85</v>
      </c>
      <c r="N4" s="143" t="s">
        <v>85</v>
      </c>
      <c r="O4" s="82" t="s">
        <v>85</v>
      </c>
    </row>
    <row r="5" spans="1:15">
      <c r="A5" s="353"/>
      <c r="B5" s="22" t="s">
        <v>60</v>
      </c>
      <c r="C5" s="28"/>
      <c r="D5" s="102" t="s">
        <v>390</v>
      </c>
      <c r="E5" s="102" t="s">
        <v>390</v>
      </c>
      <c r="F5" s="102" t="s">
        <v>203</v>
      </c>
      <c r="G5" s="102" t="s">
        <v>203</v>
      </c>
      <c r="H5" s="102" t="s">
        <v>287</v>
      </c>
      <c r="I5" s="102" t="s">
        <v>287</v>
      </c>
      <c r="J5" s="102" t="s">
        <v>203</v>
      </c>
      <c r="K5" s="102" t="s">
        <v>203</v>
      </c>
      <c r="L5" s="92" t="s">
        <v>325</v>
      </c>
      <c r="M5" s="153" t="s">
        <v>352</v>
      </c>
      <c r="N5" s="153" t="s">
        <v>352</v>
      </c>
      <c r="O5" s="102" t="s">
        <v>373</v>
      </c>
    </row>
    <row r="6" spans="1:15" ht="72">
      <c r="A6" s="353"/>
      <c r="B6" s="23" t="s">
        <v>64</v>
      </c>
      <c r="C6" s="15"/>
      <c r="D6" s="92" t="s">
        <v>391</v>
      </c>
      <c r="E6" s="92" t="s">
        <v>391</v>
      </c>
      <c r="F6" s="92" t="s">
        <v>239</v>
      </c>
      <c r="G6" s="103" t="s">
        <v>241</v>
      </c>
      <c r="H6" s="92" t="s">
        <v>288</v>
      </c>
      <c r="I6" s="103" t="s">
        <v>289</v>
      </c>
      <c r="J6" s="92" t="s">
        <v>310</v>
      </c>
      <c r="K6" s="92" t="s">
        <v>311</v>
      </c>
      <c r="L6" s="92" t="s">
        <v>335</v>
      </c>
      <c r="M6" s="147" t="s">
        <v>353</v>
      </c>
      <c r="N6" s="153" t="s">
        <v>354</v>
      </c>
      <c r="O6" s="103" t="s">
        <v>374</v>
      </c>
    </row>
    <row r="7" spans="1:15" ht="24">
      <c r="A7" s="353"/>
      <c r="B7" s="23" t="s">
        <v>63</v>
      </c>
      <c r="C7" s="15"/>
      <c r="D7" s="92" t="s">
        <v>392</v>
      </c>
      <c r="E7" s="92" t="s">
        <v>392</v>
      </c>
      <c r="F7" s="92" t="s">
        <v>240</v>
      </c>
      <c r="G7" s="92" t="s">
        <v>240</v>
      </c>
      <c r="H7" s="92" t="s">
        <v>290</v>
      </c>
      <c r="I7" s="92" t="s">
        <v>290</v>
      </c>
      <c r="J7" s="82" t="s">
        <v>312</v>
      </c>
      <c r="K7" s="82" t="s">
        <v>312</v>
      </c>
      <c r="L7" s="92" t="s">
        <v>332</v>
      </c>
      <c r="M7" s="147" t="s">
        <v>331</v>
      </c>
      <c r="N7" s="153" t="s">
        <v>193</v>
      </c>
      <c r="O7" s="92" t="s">
        <v>331</v>
      </c>
    </row>
    <row r="8" spans="1:15">
      <c r="A8" s="353"/>
      <c r="B8" s="23" t="s">
        <v>61</v>
      </c>
      <c r="C8" s="15"/>
      <c r="D8" s="93" t="s">
        <v>393</v>
      </c>
      <c r="E8" s="93" t="s">
        <v>393</v>
      </c>
      <c r="F8" s="93" t="s">
        <v>242</v>
      </c>
      <c r="G8" s="93" t="s">
        <v>242</v>
      </c>
      <c r="H8" s="93" t="s">
        <v>204</v>
      </c>
      <c r="I8" s="93" t="s">
        <v>204</v>
      </c>
      <c r="J8" s="93" t="s">
        <v>204</v>
      </c>
      <c r="K8" s="93" t="s">
        <v>204</v>
      </c>
      <c r="L8" s="93" t="s">
        <v>204</v>
      </c>
      <c r="M8" s="146" t="s">
        <v>355</v>
      </c>
      <c r="N8" s="146" t="s">
        <v>355</v>
      </c>
      <c r="O8" s="93" t="s">
        <v>355</v>
      </c>
    </row>
    <row r="9" spans="1:15" ht="51">
      <c r="A9" s="353"/>
      <c r="B9" s="23" t="s">
        <v>62</v>
      </c>
      <c r="C9" s="15"/>
      <c r="D9" s="92" t="s">
        <v>394</v>
      </c>
      <c r="E9" s="92" t="s">
        <v>394</v>
      </c>
      <c r="F9" s="114" t="s">
        <v>262</v>
      </c>
      <c r="G9" s="114" t="s">
        <v>262</v>
      </c>
      <c r="H9" s="92" t="s">
        <v>291</v>
      </c>
      <c r="I9" s="92" t="s">
        <v>292</v>
      </c>
      <c r="J9" s="126" t="s">
        <v>313</v>
      </c>
      <c r="K9" s="126" t="s">
        <v>315</v>
      </c>
      <c r="L9" s="92" t="s">
        <v>333</v>
      </c>
      <c r="M9" s="147" t="s">
        <v>356</v>
      </c>
      <c r="N9" s="147" t="s">
        <v>356</v>
      </c>
      <c r="O9" s="92" t="s">
        <v>333</v>
      </c>
    </row>
    <row r="10" spans="1:15">
      <c r="A10" s="353"/>
      <c r="B10" s="23" t="s">
        <v>78</v>
      </c>
      <c r="C10" s="15"/>
      <c r="D10" s="93" t="s">
        <v>395</v>
      </c>
      <c r="E10" s="93" t="s">
        <v>396</v>
      </c>
      <c r="F10" s="93" t="s">
        <v>151</v>
      </c>
      <c r="G10" s="93" t="s">
        <v>80</v>
      </c>
      <c r="H10" s="93" t="s">
        <v>293</v>
      </c>
      <c r="I10" s="93" t="s">
        <v>286</v>
      </c>
      <c r="J10" s="93" t="s">
        <v>80</v>
      </c>
      <c r="K10" s="93" t="s">
        <v>314</v>
      </c>
      <c r="L10" s="92" t="s">
        <v>326</v>
      </c>
      <c r="M10" s="146" t="s">
        <v>193</v>
      </c>
      <c r="N10" s="146" t="s">
        <v>85</v>
      </c>
      <c r="O10" s="93" t="s">
        <v>85</v>
      </c>
    </row>
    <row r="11" spans="1:15" ht="16.5" customHeight="1">
      <c r="A11" s="352"/>
      <c r="B11" s="22"/>
      <c r="C11" s="15"/>
      <c r="D11" s="82"/>
      <c r="E11" s="82"/>
      <c r="F11" s="82"/>
      <c r="G11" s="82"/>
      <c r="H11" s="82"/>
      <c r="I11" s="82"/>
      <c r="J11" s="93"/>
      <c r="K11" s="93"/>
      <c r="L11" s="93"/>
      <c r="M11" s="143"/>
      <c r="N11" s="143"/>
      <c r="O11" s="93"/>
    </row>
    <row r="12" spans="1:15">
      <c r="A12" s="353"/>
      <c r="B12" s="22"/>
      <c r="C12" s="15"/>
      <c r="D12" s="93"/>
      <c r="E12" s="82"/>
      <c r="F12" s="93"/>
      <c r="G12" s="82"/>
      <c r="H12" s="93"/>
      <c r="I12" s="82"/>
      <c r="J12" s="93"/>
      <c r="K12" s="93"/>
      <c r="L12" s="93"/>
      <c r="M12" s="146"/>
      <c r="N12" s="147"/>
      <c r="O12" s="93"/>
    </row>
    <row r="13" spans="1:15">
      <c r="A13" s="353"/>
      <c r="B13" s="23"/>
      <c r="C13" s="15"/>
      <c r="D13" s="93"/>
      <c r="E13" s="92"/>
      <c r="F13" s="93"/>
      <c r="G13" s="92"/>
      <c r="H13" s="93"/>
      <c r="I13" s="92"/>
      <c r="J13" s="93"/>
      <c r="K13" s="93"/>
      <c r="L13" s="93"/>
      <c r="M13" s="146"/>
      <c r="N13" s="147"/>
      <c r="O13" s="93"/>
    </row>
    <row r="14" spans="1:15">
      <c r="A14" s="353"/>
      <c r="B14" s="23"/>
      <c r="C14" s="15"/>
      <c r="D14" s="93"/>
      <c r="E14" s="92"/>
      <c r="F14" s="93"/>
      <c r="G14" s="92"/>
      <c r="H14" s="93"/>
      <c r="I14" s="92"/>
      <c r="J14" s="93"/>
      <c r="K14" s="93"/>
      <c r="L14" s="93"/>
      <c r="M14" s="146"/>
      <c r="N14" s="147"/>
      <c r="O14" s="93"/>
    </row>
    <row r="15" spans="1:15">
      <c r="A15" s="353"/>
      <c r="B15" s="23"/>
      <c r="C15" s="15"/>
      <c r="D15" s="93"/>
      <c r="E15" s="92"/>
      <c r="F15" s="93"/>
      <c r="G15" s="92"/>
      <c r="H15" s="93"/>
      <c r="I15" s="92"/>
      <c r="J15" s="93"/>
      <c r="K15" s="93"/>
      <c r="L15" s="93"/>
      <c r="M15" s="146"/>
      <c r="N15" s="147"/>
      <c r="O15" s="93"/>
    </row>
    <row r="16" spans="1:15">
      <c r="A16" s="353"/>
      <c r="B16" s="23"/>
      <c r="C16" s="15"/>
      <c r="D16" s="93"/>
      <c r="E16" s="92"/>
      <c r="F16" s="93"/>
      <c r="G16" s="92"/>
      <c r="H16" s="93"/>
      <c r="I16" s="92"/>
      <c r="J16" s="93"/>
      <c r="K16" s="93"/>
      <c r="L16" s="93"/>
      <c r="M16" s="146"/>
      <c r="N16" s="147"/>
      <c r="O16" s="93"/>
    </row>
    <row r="17" spans="1:15">
      <c r="A17" s="353"/>
      <c r="B17" s="23"/>
      <c r="C17" s="10"/>
      <c r="D17" s="93"/>
      <c r="E17" s="92"/>
      <c r="F17" s="93"/>
      <c r="G17" s="114"/>
      <c r="H17" s="93"/>
      <c r="I17" s="92"/>
      <c r="J17" s="93"/>
      <c r="K17" s="93"/>
      <c r="L17" s="93"/>
      <c r="M17" s="146"/>
      <c r="N17" s="147"/>
      <c r="O17" s="93"/>
    </row>
    <row r="18" spans="1:15" ht="43.5" customHeight="1">
      <c r="A18" s="353"/>
      <c r="B18" s="24"/>
      <c r="C18" s="10"/>
      <c r="D18" s="93"/>
      <c r="E18" s="92"/>
      <c r="F18" s="93"/>
      <c r="G18" s="92"/>
      <c r="H18" s="93"/>
      <c r="I18" s="92"/>
      <c r="J18" s="93"/>
      <c r="K18" s="93"/>
      <c r="L18" s="93"/>
      <c r="M18" s="146"/>
      <c r="N18" s="147"/>
      <c r="O18" s="93"/>
    </row>
    <row r="19" spans="1:15" ht="14.25" customHeight="1">
      <c r="A19" s="354"/>
      <c r="B19" s="24"/>
      <c r="C19" s="12"/>
      <c r="D19" s="93"/>
      <c r="E19" s="93"/>
      <c r="F19" s="93"/>
      <c r="G19" s="93"/>
      <c r="H19" s="93"/>
      <c r="I19" s="93"/>
      <c r="J19" s="93"/>
      <c r="K19" s="93"/>
      <c r="L19" s="93"/>
      <c r="M19" s="146"/>
      <c r="N19" s="146"/>
      <c r="O19" s="93"/>
    </row>
    <row r="20" spans="1:15">
      <c r="A20" s="28"/>
      <c r="B20" s="23"/>
      <c r="C20" s="15"/>
      <c r="D20" s="93"/>
      <c r="E20" s="79"/>
      <c r="F20" s="93"/>
      <c r="G20" s="79"/>
      <c r="H20" s="93"/>
      <c r="I20" s="79"/>
      <c r="J20" s="6"/>
      <c r="K20" s="6"/>
      <c r="L20" s="79"/>
      <c r="M20" s="144"/>
      <c r="N20" s="144"/>
      <c r="O20" s="79"/>
    </row>
    <row r="21" spans="1:15">
      <c r="A21" s="28"/>
      <c r="B21" s="23"/>
      <c r="C21" s="15"/>
      <c r="D21" s="93"/>
      <c r="E21" s="79"/>
      <c r="F21" s="93"/>
      <c r="G21" s="79"/>
      <c r="H21" s="93"/>
      <c r="I21" s="79"/>
      <c r="J21" s="6"/>
      <c r="K21" s="6"/>
      <c r="L21" s="79"/>
      <c r="M21" s="144"/>
      <c r="N21" s="144"/>
      <c r="O21" s="79"/>
    </row>
    <row r="22" spans="1:15">
      <c r="A22" s="28"/>
      <c r="B22" s="23"/>
      <c r="C22" s="15"/>
      <c r="D22" s="93"/>
      <c r="E22" s="79"/>
      <c r="F22" s="93"/>
      <c r="G22" s="79"/>
      <c r="H22" s="93"/>
      <c r="I22" s="79"/>
      <c r="J22" s="6"/>
      <c r="K22" s="6"/>
      <c r="L22" s="79"/>
      <c r="M22" s="144"/>
      <c r="N22" s="144"/>
      <c r="O22" s="79"/>
    </row>
    <row r="23" spans="1:15" ht="24.75" customHeight="1">
      <c r="A23" s="28"/>
      <c r="B23" s="25"/>
      <c r="C23" s="15"/>
      <c r="D23" s="93"/>
      <c r="E23" s="79"/>
      <c r="F23" s="93"/>
      <c r="G23" s="79"/>
      <c r="H23" s="93"/>
      <c r="I23" s="79"/>
      <c r="J23" s="6"/>
      <c r="K23" s="6"/>
      <c r="L23" s="79"/>
      <c r="M23" s="144"/>
      <c r="N23" s="144"/>
      <c r="O23" s="79"/>
    </row>
    <row r="24" spans="1:15">
      <c r="A24" s="28"/>
      <c r="B24" s="17"/>
      <c r="C24" s="17"/>
      <c r="D24" s="93"/>
      <c r="E24" s="79"/>
      <c r="F24" s="93"/>
      <c r="G24" s="79"/>
      <c r="H24" s="93"/>
      <c r="I24" s="79"/>
      <c r="J24" s="6"/>
      <c r="K24" s="6"/>
      <c r="L24" s="79"/>
      <c r="M24" s="144"/>
      <c r="N24" s="144"/>
      <c r="O24" s="79"/>
    </row>
    <row r="25" spans="1:15">
      <c r="A25" s="28"/>
      <c r="B25" s="26"/>
      <c r="C25" s="11"/>
      <c r="D25" s="93"/>
      <c r="E25" s="79"/>
      <c r="F25" s="93"/>
      <c r="G25" s="79"/>
      <c r="H25" s="93"/>
      <c r="I25" s="79"/>
      <c r="J25" s="6"/>
      <c r="K25" s="6"/>
      <c r="L25" s="79"/>
      <c r="M25" s="144"/>
      <c r="N25" s="144"/>
      <c r="O25" s="79"/>
    </row>
    <row r="26" spans="1:15">
      <c r="A26" s="28"/>
      <c r="B26" s="27"/>
      <c r="C26" s="11"/>
      <c r="D26" s="93"/>
      <c r="E26" s="79"/>
      <c r="F26" s="93"/>
      <c r="G26" s="79"/>
      <c r="H26" s="93"/>
      <c r="I26" s="79"/>
      <c r="J26" s="6"/>
      <c r="K26" s="6"/>
      <c r="L26" s="79"/>
      <c r="M26" s="144"/>
      <c r="N26" s="144"/>
      <c r="O26" s="79"/>
    </row>
    <row r="27" spans="1:15">
      <c r="A27" s="28"/>
      <c r="B27" s="27"/>
      <c r="C27" s="11"/>
      <c r="D27" s="93"/>
      <c r="E27" s="79"/>
      <c r="F27" s="93"/>
      <c r="G27" s="79"/>
      <c r="H27" s="93"/>
      <c r="I27" s="79"/>
      <c r="J27" s="6"/>
      <c r="K27" s="6"/>
      <c r="L27" s="79"/>
      <c r="M27" s="144"/>
      <c r="N27" s="144"/>
      <c r="O27" s="79"/>
    </row>
    <row r="28" spans="1:15">
      <c r="A28" s="28"/>
      <c r="B28" s="27"/>
      <c r="C28" s="11"/>
      <c r="D28" s="93"/>
      <c r="E28" s="79"/>
      <c r="F28" s="93"/>
      <c r="G28" s="79"/>
      <c r="H28" s="93"/>
      <c r="I28" s="79"/>
      <c r="J28" s="6"/>
      <c r="K28" s="6"/>
      <c r="L28" s="79"/>
      <c r="M28" s="144"/>
      <c r="N28" s="144"/>
      <c r="O28" s="79"/>
    </row>
    <row r="29" spans="1:15">
      <c r="A29" s="28"/>
      <c r="B29" s="27"/>
      <c r="C29" s="11"/>
      <c r="D29" s="93"/>
      <c r="E29" s="79"/>
      <c r="F29" s="93"/>
      <c r="G29" s="79"/>
      <c r="H29" s="93"/>
      <c r="I29" s="79"/>
      <c r="J29" s="6"/>
      <c r="K29" s="6"/>
      <c r="L29" s="79"/>
      <c r="M29" s="144"/>
      <c r="N29" s="144"/>
      <c r="O29" s="79"/>
    </row>
    <row r="30" spans="1:15">
      <c r="A30" s="28"/>
      <c r="B30" s="27"/>
      <c r="C30" s="19"/>
      <c r="D30" s="93"/>
      <c r="E30" s="79"/>
      <c r="F30" s="93"/>
      <c r="G30" s="79"/>
      <c r="H30" s="93"/>
      <c r="I30" s="79"/>
      <c r="J30" s="6"/>
      <c r="K30" s="6"/>
      <c r="L30" s="79"/>
      <c r="M30" s="144"/>
      <c r="N30" s="144"/>
      <c r="O30" s="79"/>
    </row>
    <row r="31" spans="1:15">
      <c r="A31" s="28"/>
      <c r="B31" s="24"/>
      <c r="C31" s="11"/>
      <c r="D31" s="93"/>
      <c r="E31" s="79"/>
      <c r="F31" s="93"/>
      <c r="G31" s="79"/>
      <c r="H31" s="93"/>
      <c r="I31" s="79"/>
      <c r="J31" s="6"/>
      <c r="K31" s="6"/>
      <c r="L31" s="79"/>
      <c r="M31" s="144"/>
      <c r="N31" s="144"/>
      <c r="O31" s="79"/>
    </row>
    <row r="32" spans="1:15">
      <c r="A32" s="28"/>
      <c r="B32" s="349"/>
      <c r="C32" s="11"/>
      <c r="D32" s="93"/>
      <c r="E32" s="79"/>
      <c r="F32" s="93"/>
      <c r="G32" s="79"/>
      <c r="H32" s="93"/>
      <c r="I32" s="79"/>
      <c r="J32" s="6"/>
      <c r="K32" s="6"/>
      <c r="L32" s="79"/>
      <c r="M32" s="144"/>
      <c r="N32" s="144"/>
      <c r="O32" s="79"/>
    </row>
    <row r="33" spans="1:15">
      <c r="A33" s="28"/>
      <c r="B33" s="349"/>
      <c r="C33" s="11"/>
      <c r="D33" s="93"/>
      <c r="E33" s="79"/>
      <c r="F33" s="93"/>
      <c r="G33" s="79"/>
      <c r="H33" s="93"/>
      <c r="I33" s="79"/>
      <c r="J33" s="6"/>
      <c r="K33" s="6"/>
      <c r="L33" s="79"/>
      <c r="M33" s="144"/>
      <c r="N33" s="144"/>
      <c r="O33" s="79"/>
    </row>
    <row r="34" spans="1:15">
      <c r="A34" s="28"/>
      <c r="B34" s="27"/>
      <c r="C34" s="11"/>
      <c r="D34" s="93"/>
      <c r="E34" s="79"/>
      <c r="F34" s="93"/>
      <c r="G34" s="79"/>
      <c r="H34" s="93"/>
      <c r="I34" s="79"/>
      <c r="J34" s="6"/>
      <c r="K34" s="6"/>
      <c r="L34" s="79"/>
      <c r="M34" s="144"/>
      <c r="N34" s="144"/>
      <c r="O34" s="79"/>
    </row>
    <row r="35" spans="1:15">
      <c r="B35" s="18"/>
      <c r="C35" s="14"/>
      <c r="D35" s="93"/>
      <c r="E35" s="79"/>
      <c r="F35" s="93"/>
      <c r="G35" s="79"/>
      <c r="H35" s="93"/>
      <c r="I35" s="79"/>
      <c r="J35" s="6"/>
      <c r="K35" s="6"/>
      <c r="L35" s="79"/>
      <c r="M35" s="144"/>
      <c r="N35" s="144"/>
      <c r="O35" s="79"/>
    </row>
    <row r="36" spans="1:15">
      <c r="B36" s="18"/>
      <c r="C36" s="11"/>
      <c r="D36" s="93"/>
      <c r="E36" s="79"/>
      <c r="F36" s="93"/>
      <c r="G36" s="79"/>
      <c r="H36" s="93"/>
      <c r="I36" s="79"/>
      <c r="J36" s="6"/>
      <c r="K36" s="6"/>
      <c r="L36" s="79"/>
      <c r="M36" s="144"/>
      <c r="N36" s="144"/>
      <c r="O36" s="79"/>
    </row>
    <row r="37" spans="1:15">
      <c r="B37" s="18"/>
      <c r="C37" s="11"/>
      <c r="D37" s="93"/>
      <c r="E37" s="79"/>
      <c r="F37" s="93"/>
      <c r="G37" s="79"/>
      <c r="H37" s="93"/>
      <c r="I37" s="79"/>
      <c r="J37" s="6"/>
      <c r="K37" s="6"/>
      <c r="L37" s="79"/>
      <c r="M37" s="144"/>
      <c r="N37" s="144"/>
      <c r="O37" s="79"/>
    </row>
    <row r="38" spans="1:15">
      <c r="B38" s="350"/>
      <c r="C38" s="351"/>
      <c r="D38" s="93"/>
      <c r="E38" s="79"/>
      <c r="F38" s="93"/>
      <c r="G38" s="79"/>
      <c r="H38" s="93"/>
      <c r="I38" s="79"/>
      <c r="J38" s="6"/>
      <c r="K38" s="6"/>
      <c r="L38" s="79"/>
      <c r="M38" s="144"/>
      <c r="N38" s="144"/>
      <c r="O38" s="79"/>
    </row>
    <row r="39" spans="1:15">
      <c r="B39" s="350"/>
      <c r="C39" s="351"/>
      <c r="D39" s="93"/>
      <c r="E39" s="79"/>
      <c r="F39" s="93"/>
      <c r="G39" s="79"/>
      <c r="H39" s="93"/>
      <c r="I39" s="79"/>
      <c r="J39" s="6"/>
      <c r="K39" s="6"/>
      <c r="L39" s="79"/>
      <c r="M39" s="144"/>
      <c r="N39" s="144"/>
      <c r="O39" s="79"/>
    </row>
    <row r="40" spans="1:15">
      <c r="B40" s="18"/>
      <c r="C40" s="11"/>
      <c r="D40" s="93"/>
      <c r="E40" s="79"/>
      <c r="F40" s="93"/>
      <c r="G40" s="79"/>
      <c r="H40" s="93"/>
      <c r="I40" s="79"/>
      <c r="J40" s="6"/>
      <c r="K40" s="6"/>
      <c r="L40" s="79"/>
      <c r="M40" s="144"/>
      <c r="N40" s="144"/>
      <c r="O40" s="79"/>
    </row>
    <row r="41" spans="1:15">
      <c r="B41" s="18"/>
      <c r="C41" s="11"/>
      <c r="D41" s="93"/>
      <c r="E41" s="79"/>
      <c r="F41" s="93"/>
      <c r="G41" s="79"/>
      <c r="H41" s="93"/>
      <c r="I41" s="79"/>
      <c r="J41" s="6"/>
      <c r="K41" s="6"/>
      <c r="L41" s="79"/>
      <c r="M41" s="144"/>
      <c r="N41" s="144"/>
      <c r="O41" s="79"/>
    </row>
    <row r="42" spans="1:15">
      <c r="B42" s="18"/>
      <c r="C42" s="11"/>
      <c r="D42" s="93"/>
      <c r="E42" s="79"/>
      <c r="F42" s="93"/>
      <c r="G42" s="79"/>
      <c r="H42" s="93"/>
      <c r="I42" s="79"/>
      <c r="J42" s="6"/>
      <c r="K42" s="6"/>
      <c r="L42" s="79"/>
      <c r="M42" s="144"/>
      <c r="N42" s="144"/>
      <c r="O42" s="79"/>
    </row>
    <row r="43" spans="1:15">
      <c r="B43" s="18"/>
      <c r="C43" s="20"/>
      <c r="D43" s="93"/>
      <c r="E43" s="79"/>
      <c r="F43" s="93"/>
      <c r="G43" s="79"/>
      <c r="H43" s="93"/>
      <c r="I43" s="79"/>
      <c r="J43" s="6"/>
      <c r="K43" s="6"/>
      <c r="L43" s="79"/>
      <c r="M43" s="144"/>
      <c r="N43" s="144"/>
      <c r="O43" s="79"/>
    </row>
    <row r="44" spans="1:15">
      <c r="B44" s="18"/>
      <c r="C44" s="19"/>
      <c r="D44" s="93"/>
      <c r="E44" s="79"/>
      <c r="F44" s="93"/>
      <c r="G44" s="79"/>
      <c r="H44" s="93"/>
      <c r="I44" s="79"/>
      <c r="J44" s="6"/>
      <c r="K44" s="6"/>
      <c r="L44" s="79"/>
      <c r="M44" s="144"/>
      <c r="N44" s="144"/>
      <c r="O44" s="79"/>
    </row>
    <row r="45" spans="1:15">
      <c r="B45" s="18"/>
      <c r="C45" s="21"/>
      <c r="D45" s="93"/>
      <c r="E45" s="79"/>
      <c r="F45" s="93"/>
      <c r="G45" s="79"/>
      <c r="H45" s="93"/>
      <c r="I45" s="79"/>
      <c r="J45" s="6"/>
      <c r="K45" s="6"/>
      <c r="L45" s="79"/>
      <c r="M45" s="144"/>
      <c r="N45" s="144"/>
      <c r="O45" s="79"/>
    </row>
    <row r="46" spans="1:15">
      <c r="B46" s="18"/>
      <c r="C46" s="14"/>
      <c r="D46" s="93"/>
      <c r="E46" s="79"/>
      <c r="F46" s="93"/>
      <c r="G46" s="79"/>
      <c r="H46" s="93"/>
      <c r="I46" s="79"/>
      <c r="J46" s="6"/>
      <c r="K46" s="6"/>
      <c r="L46" s="79"/>
      <c r="M46" s="144"/>
      <c r="N46" s="144"/>
      <c r="O46" s="79"/>
    </row>
    <row r="47" spans="1:15">
      <c r="B47" s="18"/>
      <c r="C47" s="11"/>
      <c r="D47" s="93"/>
      <c r="E47" s="79"/>
      <c r="F47" s="93"/>
      <c r="G47" s="79"/>
      <c r="H47" s="93"/>
      <c r="I47" s="79"/>
      <c r="J47" s="6"/>
      <c r="K47" s="6"/>
      <c r="L47" s="79"/>
      <c r="M47" s="144"/>
      <c r="N47" s="144"/>
      <c r="O47" s="79"/>
    </row>
    <row r="48" spans="1:15">
      <c r="B48" s="350"/>
      <c r="C48" s="11"/>
      <c r="D48" s="93"/>
      <c r="E48" s="79"/>
      <c r="F48" s="93"/>
      <c r="G48" s="79"/>
      <c r="H48" s="93"/>
      <c r="I48" s="79"/>
      <c r="J48" s="6"/>
      <c r="K48" s="6"/>
      <c r="L48" s="79"/>
      <c r="M48" s="144"/>
      <c r="N48" s="144"/>
      <c r="O48" s="79"/>
    </row>
    <row r="49" spans="2:15">
      <c r="B49" s="350"/>
      <c r="C49" s="11"/>
      <c r="D49" s="93"/>
      <c r="E49" s="79"/>
      <c r="F49" s="93"/>
      <c r="G49" s="79"/>
      <c r="H49" s="93"/>
      <c r="I49" s="79"/>
      <c r="J49" s="6"/>
      <c r="K49" s="6"/>
      <c r="L49" s="79"/>
      <c r="M49" s="144"/>
      <c r="N49" s="144"/>
      <c r="O49" s="79"/>
    </row>
    <row r="50" spans="2:15">
      <c r="B50" s="350"/>
      <c r="C50" s="11"/>
      <c r="D50" s="93"/>
      <c r="E50" s="79"/>
      <c r="F50" s="93"/>
      <c r="G50" s="79"/>
      <c r="H50" s="93"/>
      <c r="I50" s="79"/>
      <c r="J50" s="6"/>
      <c r="K50" s="6"/>
      <c r="L50" s="79"/>
      <c r="M50" s="144"/>
      <c r="N50" s="144"/>
      <c r="O50" s="79"/>
    </row>
    <row r="51" spans="2:15">
      <c r="B51" s="350"/>
      <c r="C51" s="11"/>
      <c r="D51" s="93"/>
      <c r="E51" s="79"/>
      <c r="F51" s="93"/>
      <c r="G51" s="79"/>
      <c r="H51" s="93"/>
      <c r="I51" s="79"/>
      <c r="J51" s="6"/>
      <c r="K51" s="6"/>
      <c r="L51" s="79"/>
      <c r="M51" s="144"/>
      <c r="N51" s="144"/>
      <c r="O51" s="79"/>
    </row>
    <row r="52" spans="2:15">
      <c r="B52" s="362"/>
      <c r="C52" s="351"/>
      <c r="D52" s="93"/>
      <c r="E52" s="79"/>
      <c r="F52" s="93"/>
      <c r="G52" s="79"/>
      <c r="H52" s="93"/>
      <c r="I52" s="79"/>
      <c r="J52" s="6"/>
      <c r="K52" s="6"/>
      <c r="L52" s="79"/>
      <c r="M52" s="144"/>
      <c r="N52" s="144"/>
      <c r="O52" s="79"/>
    </row>
    <row r="53" spans="2:15">
      <c r="B53" s="362"/>
      <c r="C53" s="351"/>
      <c r="D53" s="93"/>
      <c r="E53" s="79"/>
      <c r="F53" s="93"/>
      <c r="G53" s="79"/>
      <c r="H53" s="93"/>
      <c r="I53" s="79"/>
      <c r="J53" s="6"/>
      <c r="K53" s="6"/>
      <c r="L53" s="79"/>
      <c r="M53" s="144"/>
      <c r="N53" s="144"/>
      <c r="O53" s="79"/>
    </row>
    <row r="54" spans="2:15">
      <c r="B54" s="10"/>
      <c r="C54" s="11"/>
      <c r="D54" s="93"/>
      <c r="E54" s="79"/>
      <c r="F54" s="93"/>
      <c r="G54" s="79"/>
      <c r="H54" s="93"/>
      <c r="I54" s="79"/>
      <c r="J54" s="6"/>
      <c r="K54" s="6"/>
      <c r="L54" s="79"/>
      <c r="M54" s="144"/>
      <c r="N54" s="144"/>
      <c r="O54" s="79"/>
    </row>
    <row r="55" spans="2:15">
      <c r="B55" s="10"/>
      <c r="C55" s="11"/>
      <c r="D55" s="93"/>
      <c r="E55" s="79"/>
      <c r="F55" s="93"/>
      <c r="G55" s="79"/>
      <c r="H55" s="93"/>
      <c r="I55" s="79"/>
      <c r="J55" s="6"/>
      <c r="K55" s="6"/>
      <c r="L55" s="79"/>
      <c r="M55" s="144"/>
      <c r="N55" s="144"/>
      <c r="O55" s="79"/>
    </row>
    <row r="56" spans="2:15">
      <c r="B56" s="10"/>
      <c r="C56" s="11"/>
      <c r="D56" s="93"/>
      <c r="E56" s="79"/>
      <c r="F56" s="93"/>
      <c r="G56" s="79"/>
      <c r="H56" s="93"/>
      <c r="I56" s="79"/>
      <c r="J56" s="6"/>
      <c r="K56" s="6"/>
      <c r="L56" s="79"/>
      <c r="M56" s="144"/>
      <c r="N56" s="144"/>
      <c r="O56" s="79"/>
    </row>
    <row r="57" spans="2:15">
      <c r="B57" s="10"/>
      <c r="C57" s="14"/>
      <c r="D57" s="93"/>
      <c r="E57" s="79"/>
      <c r="F57" s="93"/>
      <c r="G57" s="79"/>
      <c r="H57" s="93"/>
      <c r="I57" s="79"/>
      <c r="J57" s="6"/>
      <c r="K57" s="6"/>
      <c r="L57" s="79"/>
      <c r="M57" s="144"/>
      <c r="N57" s="144"/>
      <c r="O57" s="79"/>
    </row>
    <row r="58" spans="2:15" ht="14.25" customHeight="1">
      <c r="B58" s="361"/>
      <c r="C58" s="351"/>
      <c r="D58" s="93"/>
      <c r="E58" s="79"/>
      <c r="F58" s="93"/>
      <c r="G58" s="79"/>
      <c r="H58" s="93"/>
      <c r="I58" s="79"/>
      <c r="J58" s="6"/>
      <c r="K58" s="6"/>
      <c r="L58" s="79"/>
      <c r="M58" s="144"/>
      <c r="N58" s="144"/>
      <c r="O58" s="79"/>
    </row>
    <row r="59" spans="2:15">
      <c r="B59" s="361"/>
      <c r="C59" s="351"/>
      <c r="D59" s="93"/>
      <c r="E59" s="79"/>
      <c r="F59" s="93"/>
      <c r="G59" s="79"/>
      <c r="H59" s="93"/>
      <c r="I59" s="79"/>
      <c r="J59" s="6"/>
      <c r="K59" s="6"/>
      <c r="L59" s="79"/>
      <c r="M59" s="144"/>
      <c r="N59" s="144"/>
      <c r="O59" s="79"/>
    </row>
    <row r="60" spans="2:15">
      <c r="B60" s="10"/>
      <c r="C60" s="11"/>
      <c r="D60" s="93"/>
      <c r="E60" s="79"/>
      <c r="F60" s="93"/>
      <c r="G60" s="79"/>
      <c r="H60" s="93"/>
      <c r="I60" s="79"/>
      <c r="J60" s="6"/>
      <c r="K60" s="6"/>
      <c r="L60" s="79"/>
      <c r="M60" s="144"/>
      <c r="N60" s="144"/>
      <c r="O60" s="79"/>
    </row>
    <row r="61" spans="2:15">
      <c r="B61" s="10"/>
      <c r="C61" s="11"/>
      <c r="D61" s="93"/>
      <c r="E61" s="79"/>
      <c r="F61" s="93"/>
      <c r="G61" s="79"/>
      <c r="H61" s="93"/>
      <c r="I61" s="79"/>
      <c r="J61" s="6"/>
      <c r="K61" s="6"/>
      <c r="L61" s="79"/>
      <c r="M61" s="144"/>
      <c r="N61" s="144"/>
      <c r="O61" s="79"/>
    </row>
    <row r="62" spans="2:15">
      <c r="B62" s="10"/>
      <c r="C62" s="11"/>
      <c r="D62" s="93"/>
      <c r="E62" s="79"/>
      <c r="F62" s="93"/>
      <c r="G62" s="79"/>
      <c r="H62" s="93"/>
      <c r="I62" s="79"/>
      <c r="J62" s="6"/>
      <c r="K62" s="6"/>
      <c r="L62" s="79"/>
      <c r="M62" s="144"/>
      <c r="N62" s="144"/>
      <c r="O62" s="79"/>
    </row>
    <row r="63" spans="2:15">
      <c r="B63" s="10"/>
      <c r="C63" s="11"/>
      <c r="D63" s="93"/>
      <c r="E63" s="79"/>
      <c r="F63" s="93"/>
      <c r="G63" s="79"/>
      <c r="H63" s="93"/>
      <c r="I63" s="79"/>
      <c r="J63" s="6"/>
      <c r="K63" s="6"/>
      <c r="L63" s="79"/>
      <c r="M63" s="144"/>
      <c r="N63" s="144"/>
      <c r="O63" s="79"/>
    </row>
    <row r="64" spans="2:15">
      <c r="B64" s="10"/>
      <c r="C64" s="11"/>
      <c r="D64" s="93"/>
      <c r="E64" s="79"/>
      <c r="F64" s="93"/>
      <c r="G64" s="79"/>
      <c r="H64" s="93"/>
      <c r="I64" s="79"/>
      <c r="J64" s="6"/>
      <c r="K64" s="6"/>
      <c r="L64" s="79"/>
      <c r="M64" s="144"/>
      <c r="N64" s="144"/>
      <c r="O64" s="79"/>
    </row>
    <row r="65" spans="2:15">
      <c r="B65" s="10"/>
      <c r="C65" s="11"/>
      <c r="D65" s="93"/>
      <c r="E65" s="79"/>
      <c r="F65" s="93"/>
      <c r="G65" s="79"/>
      <c r="H65" s="93"/>
      <c r="I65" s="79"/>
      <c r="J65" s="6"/>
      <c r="K65" s="6"/>
      <c r="L65" s="79"/>
      <c r="M65" s="144"/>
      <c r="N65" s="144"/>
      <c r="O65" s="79"/>
    </row>
    <row r="66" spans="2:15">
      <c r="B66" s="10"/>
      <c r="C66" s="11"/>
      <c r="D66" s="93"/>
      <c r="E66" s="79"/>
      <c r="F66" s="93"/>
      <c r="G66" s="79"/>
      <c r="H66" s="93"/>
      <c r="I66" s="79"/>
      <c r="J66" s="6"/>
      <c r="K66" s="6"/>
      <c r="L66" s="79"/>
      <c r="M66" s="144"/>
      <c r="N66" s="144"/>
      <c r="O66" s="79"/>
    </row>
    <row r="67" spans="2:15">
      <c r="B67" s="10"/>
      <c r="C67" s="11"/>
      <c r="D67" s="93"/>
      <c r="E67" s="79"/>
      <c r="F67" s="93"/>
      <c r="G67" s="79"/>
      <c r="H67" s="93"/>
      <c r="I67" s="79"/>
      <c r="J67" s="6"/>
      <c r="K67" s="6"/>
      <c r="L67" s="79"/>
      <c r="M67" s="144"/>
      <c r="N67" s="144"/>
      <c r="O67" s="79"/>
    </row>
    <row r="68" spans="2:15">
      <c r="B68" s="10"/>
      <c r="C68" s="14"/>
      <c r="D68" s="94"/>
      <c r="F68" s="94"/>
      <c r="H68" s="94"/>
      <c r="L68" s="79"/>
      <c r="O68" s="76"/>
    </row>
  </sheetData>
  <mergeCells count="18">
    <mergeCell ref="B58:B59"/>
    <mergeCell ref="C58:C59"/>
    <mergeCell ref="B52:B53"/>
    <mergeCell ref="C52:C53"/>
    <mergeCell ref="B48:B51"/>
    <mergeCell ref="M2:N2"/>
    <mergeCell ref="A1:B1"/>
    <mergeCell ref="B32:B33"/>
    <mergeCell ref="B38:B39"/>
    <mergeCell ref="C38:C39"/>
    <mergeCell ref="A11:A19"/>
    <mergeCell ref="A2:B3"/>
    <mergeCell ref="C2:C3"/>
    <mergeCell ref="A4:A10"/>
    <mergeCell ref="J2:K2"/>
    <mergeCell ref="H2:I2"/>
    <mergeCell ref="F2:G2"/>
    <mergeCell ref="D2:E2"/>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topLeftCell="F1" zoomScaleNormal="100" workbookViewId="0">
      <selection activeCell="J10" sqref="J10"/>
    </sheetView>
  </sheetViews>
  <sheetFormatPr defaultColWidth="9.42578125" defaultRowHeight="14.25"/>
  <cols>
    <col min="1" max="1" width="10.42578125" style="3" customWidth="1"/>
    <col min="2" max="2" width="29.42578125" style="3" customWidth="1"/>
    <col min="3" max="3" width="43" style="3" customWidth="1"/>
    <col min="4" max="7" width="31.42578125" style="78" customWidth="1"/>
    <col min="8" max="8" width="31.5703125" style="78" customWidth="1"/>
    <col min="9" max="16" width="31.42578125" style="5" customWidth="1"/>
    <col min="17" max="16384" width="9.42578125" style="3"/>
  </cols>
  <sheetData>
    <row r="1" spans="1:16" ht="45">
      <c r="A1" s="347" t="s">
        <v>83</v>
      </c>
      <c r="B1" s="348"/>
      <c r="C1" s="60" t="s">
        <v>168</v>
      </c>
    </row>
    <row r="2" spans="1:16">
      <c r="A2" s="347" t="s">
        <v>36</v>
      </c>
      <c r="B2" s="348"/>
      <c r="C2" s="9" t="s">
        <v>37</v>
      </c>
      <c r="D2" s="359" t="s">
        <v>38</v>
      </c>
      <c r="E2" s="360"/>
      <c r="F2" s="359" t="s">
        <v>228</v>
      </c>
      <c r="G2" s="360"/>
      <c r="H2" s="154" t="s">
        <v>337</v>
      </c>
      <c r="I2" s="363" t="s">
        <v>283</v>
      </c>
      <c r="J2" s="364"/>
      <c r="K2" s="8"/>
      <c r="L2" s="8"/>
      <c r="M2" s="8"/>
      <c r="N2" s="8"/>
      <c r="O2" s="8"/>
      <c r="P2" s="8"/>
    </row>
    <row r="3" spans="1:16">
      <c r="A3" s="38"/>
      <c r="B3" s="39"/>
      <c r="C3" s="45"/>
      <c r="D3" s="81" t="s">
        <v>205</v>
      </c>
      <c r="E3" s="81" t="s">
        <v>133</v>
      </c>
      <c r="F3" s="81" t="s">
        <v>39</v>
      </c>
      <c r="G3" s="81" t="s">
        <v>90</v>
      </c>
      <c r="H3" s="154" t="s">
        <v>89</v>
      </c>
      <c r="I3" s="311" t="s">
        <v>161</v>
      </c>
      <c r="J3" s="311" t="s">
        <v>640</v>
      </c>
      <c r="K3" s="8"/>
      <c r="L3" s="8"/>
      <c r="M3" s="8"/>
      <c r="N3" s="8"/>
      <c r="O3" s="8"/>
      <c r="P3" s="8"/>
    </row>
    <row r="4" spans="1:16" ht="48">
      <c r="A4" s="352" t="s">
        <v>58</v>
      </c>
      <c r="B4" s="23" t="s">
        <v>66</v>
      </c>
      <c r="D4" s="95" t="s">
        <v>140</v>
      </c>
      <c r="E4" s="82" t="s">
        <v>397</v>
      </c>
      <c r="F4" s="95" t="s">
        <v>260</v>
      </c>
      <c r="G4" s="95" t="s">
        <v>261</v>
      </c>
      <c r="H4" s="79" t="s">
        <v>357</v>
      </c>
      <c r="I4" s="155" t="s">
        <v>637</v>
      </c>
      <c r="J4" s="155" t="s">
        <v>638</v>
      </c>
      <c r="K4" s="6"/>
      <c r="L4" s="6"/>
      <c r="M4" s="6"/>
      <c r="N4" s="6"/>
      <c r="O4" s="6"/>
      <c r="P4" s="6"/>
    </row>
    <row r="5" spans="1:16" ht="36">
      <c r="A5" s="353"/>
      <c r="B5" s="23" t="s">
        <v>61</v>
      </c>
      <c r="C5" s="15"/>
      <c r="D5" s="82" t="s">
        <v>206</v>
      </c>
      <c r="E5" s="82" t="s">
        <v>206</v>
      </c>
      <c r="F5" s="82" t="s">
        <v>243</v>
      </c>
      <c r="G5" s="82" t="s">
        <v>243</v>
      </c>
      <c r="H5" s="79" t="s">
        <v>358</v>
      </c>
      <c r="I5" s="155" t="s">
        <v>639</v>
      </c>
      <c r="J5" s="155" t="s">
        <v>243</v>
      </c>
      <c r="K5" s="6"/>
      <c r="L5" s="6"/>
      <c r="M5" s="6"/>
      <c r="N5" s="6"/>
      <c r="O5" s="6"/>
      <c r="P5" s="6"/>
    </row>
    <row r="6" spans="1:16">
      <c r="A6" s="354"/>
      <c r="B6" s="23" t="s">
        <v>67</v>
      </c>
      <c r="C6" s="15"/>
      <c r="D6" s="95" t="s">
        <v>207</v>
      </c>
      <c r="E6" s="95" t="s">
        <v>207</v>
      </c>
      <c r="F6" s="95" t="s">
        <v>244</v>
      </c>
      <c r="G6" s="95" t="s">
        <v>244</v>
      </c>
      <c r="H6" s="155" t="s">
        <v>359</v>
      </c>
      <c r="I6" s="155" t="s">
        <v>629</v>
      </c>
      <c r="J6" s="155" t="s">
        <v>630</v>
      </c>
      <c r="K6" s="6"/>
      <c r="L6" s="6"/>
      <c r="M6" s="6"/>
      <c r="N6" s="6"/>
      <c r="O6" s="6"/>
      <c r="P6" s="6"/>
    </row>
    <row r="7" spans="1:16">
      <c r="A7" s="352"/>
      <c r="B7" s="23"/>
      <c r="C7" s="15"/>
      <c r="D7" s="79"/>
      <c r="E7" s="82"/>
      <c r="F7" s="79"/>
      <c r="G7" s="95"/>
      <c r="H7" s="79"/>
      <c r="I7" s="6"/>
      <c r="J7" s="6"/>
      <c r="K7" s="6"/>
      <c r="L7" s="6"/>
      <c r="M7" s="6"/>
      <c r="N7" s="6"/>
      <c r="O7" s="6"/>
      <c r="P7" s="6"/>
    </row>
    <row r="8" spans="1:16">
      <c r="A8" s="353"/>
      <c r="B8" s="23"/>
      <c r="C8" s="15"/>
      <c r="D8" s="79"/>
      <c r="E8" s="82"/>
      <c r="F8" s="79"/>
      <c r="G8" s="82"/>
      <c r="H8" s="79"/>
      <c r="I8" s="6"/>
      <c r="J8" s="6"/>
      <c r="K8" s="6"/>
      <c r="L8" s="6"/>
      <c r="M8" s="6"/>
      <c r="N8" s="6"/>
      <c r="O8" s="6"/>
      <c r="P8" s="6"/>
    </row>
    <row r="9" spans="1:16" ht="33" customHeight="1">
      <c r="A9" s="353"/>
      <c r="B9" s="23"/>
      <c r="C9" s="15"/>
      <c r="D9" s="79"/>
      <c r="E9" s="82"/>
      <c r="F9" s="79"/>
      <c r="G9" s="82"/>
      <c r="H9" s="79"/>
      <c r="I9" s="6"/>
      <c r="J9" s="6"/>
      <c r="K9" s="6"/>
      <c r="L9" s="6"/>
      <c r="M9" s="6"/>
      <c r="N9" s="6"/>
      <c r="O9" s="6"/>
      <c r="P9" s="6"/>
    </row>
    <row r="10" spans="1:16">
      <c r="A10" s="354"/>
      <c r="B10" s="23"/>
      <c r="C10" s="15"/>
      <c r="D10" s="79"/>
      <c r="E10" s="82"/>
      <c r="F10" s="79"/>
      <c r="G10" s="82"/>
      <c r="H10" s="79"/>
      <c r="I10" s="6"/>
      <c r="J10" s="6"/>
      <c r="K10" s="6"/>
      <c r="L10" s="6"/>
      <c r="M10" s="6"/>
      <c r="N10" s="6"/>
      <c r="O10" s="6"/>
      <c r="P10" s="6"/>
    </row>
    <row r="11" spans="1:16">
      <c r="A11" s="28"/>
      <c r="B11" s="23"/>
      <c r="C11" s="15"/>
      <c r="D11" s="79"/>
      <c r="E11" s="79"/>
      <c r="F11" s="79"/>
      <c r="G11" s="79"/>
      <c r="H11" s="79"/>
      <c r="I11" s="6"/>
      <c r="J11" s="6"/>
      <c r="K11" s="6"/>
      <c r="L11" s="6"/>
      <c r="M11" s="6"/>
      <c r="N11" s="6"/>
      <c r="O11" s="6"/>
      <c r="P11" s="6"/>
    </row>
    <row r="12" spans="1:16">
      <c r="A12" s="28"/>
      <c r="B12" s="23"/>
      <c r="C12" s="15"/>
      <c r="D12" s="79"/>
      <c r="E12" s="79"/>
      <c r="F12" s="79"/>
      <c r="G12" s="79"/>
      <c r="H12" s="79"/>
      <c r="I12" s="6"/>
      <c r="J12" s="6"/>
      <c r="K12" s="6"/>
      <c r="L12" s="6"/>
      <c r="M12" s="6"/>
      <c r="N12" s="6"/>
      <c r="O12" s="6"/>
      <c r="P12" s="6"/>
    </row>
    <row r="13" spans="1:16">
      <c r="A13" s="28"/>
      <c r="B13" s="23"/>
      <c r="C13" s="15"/>
      <c r="D13" s="79"/>
      <c r="E13" s="79"/>
      <c r="F13" s="79"/>
      <c r="G13" s="79"/>
      <c r="H13" s="79"/>
      <c r="I13" s="6"/>
      <c r="J13" s="6"/>
      <c r="K13" s="6"/>
      <c r="L13" s="6"/>
      <c r="M13" s="6"/>
      <c r="N13" s="6"/>
      <c r="O13" s="6"/>
      <c r="P13" s="6"/>
    </row>
    <row r="14" spans="1:16" ht="60" customHeight="1">
      <c r="A14" s="28"/>
      <c r="B14" s="24"/>
      <c r="C14" s="10"/>
      <c r="D14" s="79"/>
      <c r="E14" s="79"/>
      <c r="F14" s="79"/>
      <c r="G14" s="79"/>
      <c r="H14" s="79"/>
      <c r="I14" s="6"/>
      <c r="J14" s="6"/>
      <c r="K14" s="6"/>
      <c r="L14" s="6"/>
      <c r="M14" s="6"/>
      <c r="N14" s="6"/>
      <c r="O14" s="6"/>
      <c r="P14" s="6"/>
    </row>
    <row r="15" spans="1:16" ht="58.5" customHeight="1">
      <c r="A15" s="28"/>
      <c r="B15" s="24"/>
      <c r="C15" s="37"/>
      <c r="D15" s="79"/>
      <c r="E15" s="79"/>
      <c r="F15" s="79"/>
      <c r="G15" s="79"/>
      <c r="H15" s="79"/>
      <c r="I15" s="6"/>
      <c r="J15" s="6"/>
      <c r="K15" s="6"/>
      <c r="L15" s="6"/>
      <c r="M15" s="6"/>
      <c r="N15" s="6"/>
      <c r="O15" s="6"/>
      <c r="P15" s="6"/>
    </row>
    <row r="16" spans="1:16">
      <c r="A16" s="28"/>
      <c r="B16" s="23"/>
      <c r="C16" s="6"/>
      <c r="D16" s="79"/>
      <c r="E16" s="79"/>
      <c r="F16" s="79"/>
      <c r="G16" s="79"/>
      <c r="H16" s="79"/>
      <c r="I16" s="6"/>
      <c r="J16" s="6"/>
      <c r="K16" s="6"/>
      <c r="L16" s="6"/>
      <c r="M16" s="6"/>
      <c r="N16" s="6"/>
      <c r="O16" s="6"/>
      <c r="P16" s="6"/>
    </row>
    <row r="17" spans="1:16">
      <c r="A17" s="28"/>
      <c r="B17" s="23"/>
      <c r="C17" s="15"/>
      <c r="D17" s="79"/>
      <c r="E17" s="79"/>
      <c r="F17" s="79"/>
      <c r="G17" s="79"/>
      <c r="H17" s="79"/>
      <c r="I17" s="6"/>
      <c r="J17" s="6"/>
      <c r="K17" s="6"/>
      <c r="L17" s="6"/>
      <c r="M17" s="6"/>
      <c r="N17" s="6"/>
      <c r="O17" s="6"/>
      <c r="P17" s="6"/>
    </row>
    <row r="18" spans="1:16">
      <c r="A18" s="28"/>
      <c r="B18" s="23"/>
      <c r="C18" s="15"/>
      <c r="D18" s="79"/>
      <c r="E18" s="79"/>
      <c r="F18" s="79"/>
      <c r="G18" s="79"/>
      <c r="H18" s="79"/>
      <c r="I18" s="6"/>
      <c r="J18" s="6"/>
      <c r="K18" s="6"/>
      <c r="L18" s="6"/>
      <c r="M18" s="6"/>
      <c r="N18" s="6"/>
      <c r="O18" s="6"/>
      <c r="P18" s="6"/>
    </row>
    <row r="19" spans="1:16" ht="24.75" customHeight="1">
      <c r="A19" s="28"/>
      <c r="B19" s="25"/>
      <c r="C19" s="15"/>
      <c r="D19" s="79"/>
      <c r="E19" s="79"/>
      <c r="F19" s="79"/>
      <c r="G19" s="79"/>
      <c r="H19" s="79"/>
      <c r="I19" s="6"/>
      <c r="J19" s="6"/>
      <c r="K19" s="6"/>
      <c r="L19" s="6"/>
      <c r="M19" s="6"/>
      <c r="N19" s="6"/>
      <c r="O19" s="6"/>
      <c r="P19" s="6"/>
    </row>
    <row r="20" spans="1:16">
      <c r="A20" s="28"/>
      <c r="B20" s="17"/>
      <c r="C20" s="17"/>
      <c r="D20" s="79"/>
      <c r="E20" s="79"/>
      <c r="F20" s="79"/>
      <c r="G20" s="79"/>
      <c r="H20" s="79"/>
      <c r="I20" s="6"/>
      <c r="J20" s="6"/>
      <c r="K20" s="6"/>
      <c r="L20" s="6"/>
      <c r="M20" s="6"/>
      <c r="N20" s="6"/>
      <c r="O20" s="6"/>
      <c r="P20" s="6"/>
    </row>
    <row r="21" spans="1:16">
      <c r="A21" s="28"/>
      <c r="B21" s="26"/>
      <c r="C21" s="11"/>
      <c r="D21" s="79"/>
      <c r="E21" s="79"/>
      <c r="F21" s="79"/>
      <c r="G21" s="79"/>
      <c r="H21" s="79"/>
      <c r="I21" s="6"/>
      <c r="J21" s="6"/>
      <c r="K21" s="6"/>
      <c r="L21" s="6"/>
      <c r="M21" s="6"/>
      <c r="N21" s="6"/>
      <c r="O21" s="6"/>
      <c r="P21" s="6"/>
    </row>
    <row r="22" spans="1:16">
      <c r="A22" s="28"/>
      <c r="B22" s="27"/>
      <c r="C22" s="11"/>
      <c r="D22" s="79"/>
      <c r="E22" s="79"/>
      <c r="F22" s="79"/>
      <c r="G22" s="79"/>
      <c r="H22" s="79"/>
      <c r="I22" s="6"/>
      <c r="J22" s="6"/>
      <c r="K22" s="6"/>
      <c r="L22" s="6"/>
      <c r="M22" s="6"/>
      <c r="N22" s="6"/>
      <c r="O22" s="6"/>
      <c r="P22" s="6"/>
    </row>
    <row r="23" spans="1:16">
      <c r="A23" s="28"/>
      <c r="B23" s="27"/>
      <c r="C23" s="11"/>
      <c r="D23" s="79"/>
      <c r="E23" s="79"/>
      <c r="F23" s="79"/>
      <c r="G23" s="79"/>
      <c r="H23" s="79"/>
      <c r="I23" s="6"/>
      <c r="J23" s="6"/>
      <c r="K23" s="6"/>
      <c r="L23" s="6"/>
      <c r="M23" s="6"/>
      <c r="N23" s="6"/>
      <c r="O23" s="6"/>
      <c r="P23" s="6"/>
    </row>
    <row r="24" spans="1:16">
      <c r="A24" s="28"/>
      <c r="B24" s="27"/>
      <c r="C24" s="11"/>
      <c r="D24" s="79"/>
      <c r="E24" s="79"/>
      <c r="F24" s="79"/>
      <c r="G24" s="79"/>
      <c r="H24" s="79"/>
      <c r="I24" s="6"/>
      <c r="J24" s="6"/>
      <c r="K24" s="6"/>
      <c r="L24" s="6"/>
      <c r="M24" s="6"/>
      <c r="N24" s="6"/>
      <c r="O24" s="6"/>
      <c r="P24" s="6"/>
    </row>
    <row r="25" spans="1:16">
      <c r="B25" s="18"/>
      <c r="C25" s="11"/>
      <c r="D25" s="79"/>
      <c r="E25" s="79"/>
      <c r="F25" s="79"/>
      <c r="G25" s="79"/>
      <c r="H25" s="79"/>
      <c r="I25" s="6"/>
      <c r="J25" s="6"/>
      <c r="K25" s="6"/>
      <c r="L25" s="6"/>
      <c r="M25" s="6"/>
      <c r="N25" s="6"/>
      <c r="O25" s="6"/>
      <c r="P25" s="6"/>
    </row>
    <row r="26" spans="1:16">
      <c r="B26" s="18"/>
      <c r="C26" s="19"/>
      <c r="D26" s="79"/>
      <c r="E26" s="79"/>
      <c r="F26" s="79"/>
      <c r="G26" s="79"/>
      <c r="H26" s="79"/>
      <c r="I26" s="6"/>
      <c r="J26" s="6"/>
      <c r="K26" s="6"/>
      <c r="L26" s="6"/>
      <c r="M26" s="6"/>
      <c r="N26" s="6"/>
      <c r="O26" s="6"/>
      <c r="P26" s="6"/>
    </row>
    <row r="27" spans="1:16">
      <c r="B27" s="10"/>
      <c r="C27" s="11"/>
      <c r="D27" s="79"/>
      <c r="E27" s="79"/>
      <c r="F27" s="79"/>
      <c r="G27" s="79"/>
      <c r="H27" s="79"/>
      <c r="I27" s="6"/>
      <c r="J27" s="6"/>
      <c r="K27" s="6"/>
      <c r="L27" s="6"/>
      <c r="M27" s="6"/>
      <c r="N27" s="6"/>
      <c r="O27" s="6"/>
      <c r="P27" s="6"/>
    </row>
    <row r="28" spans="1:16">
      <c r="B28" s="350"/>
      <c r="C28" s="11"/>
      <c r="D28" s="79"/>
      <c r="E28" s="79"/>
      <c r="F28" s="79"/>
      <c r="G28" s="79"/>
      <c r="H28" s="79"/>
      <c r="I28" s="6"/>
      <c r="J28" s="6"/>
      <c r="K28" s="6"/>
      <c r="L28" s="6"/>
      <c r="M28" s="6"/>
      <c r="N28" s="6"/>
      <c r="O28" s="6"/>
      <c r="P28" s="6"/>
    </row>
    <row r="29" spans="1:16">
      <c r="B29" s="350"/>
      <c r="C29" s="11"/>
      <c r="D29" s="79"/>
      <c r="E29" s="79"/>
      <c r="F29" s="79"/>
      <c r="G29" s="79"/>
      <c r="H29" s="79"/>
      <c r="I29" s="6"/>
      <c r="J29" s="6"/>
      <c r="K29" s="6"/>
      <c r="L29" s="6"/>
      <c r="M29" s="6"/>
      <c r="N29" s="6"/>
      <c r="O29" s="6"/>
      <c r="P29" s="6"/>
    </row>
    <row r="30" spans="1:16">
      <c r="B30" s="18"/>
      <c r="C30" s="11"/>
      <c r="D30" s="79"/>
      <c r="E30" s="79"/>
      <c r="F30" s="79"/>
      <c r="G30" s="79"/>
      <c r="H30" s="79"/>
      <c r="I30" s="6"/>
      <c r="J30" s="6"/>
      <c r="K30" s="6"/>
      <c r="L30" s="6"/>
      <c r="M30" s="6"/>
      <c r="N30" s="6"/>
      <c r="O30" s="6"/>
      <c r="P30" s="6"/>
    </row>
    <row r="31" spans="1:16">
      <c r="B31" s="18"/>
      <c r="C31" s="14"/>
      <c r="D31" s="79"/>
      <c r="E31" s="79"/>
      <c r="F31" s="79"/>
      <c r="G31" s="79"/>
      <c r="H31" s="79"/>
      <c r="I31" s="6"/>
      <c r="J31" s="6"/>
      <c r="K31" s="6"/>
      <c r="L31" s="6"/>
      <c r="M31" s="6"/>
      <c r="N31" s="6"/>
      <c r="O31" s="6"/>
      <c r="P31" s="6"/>
    </row>
    <row r="32" spans="1:16">
      <c r="B32" s="18"/>
      <c r="C32" s="11"/>
      <c r="D32" s="79"/>
      <c r="E32" s="79"/>
      <c r="F32" s="79"/>
      <c r="G32" s="79"/>
      <c r="H32" s="79"/>
      <c r="I32" s="6"/>
      <c r="J32" s="6"/>
      <c r="K32" s="6"/>
      <c r="L32" s="6"/>
      <c r="M32" s="6"/>
      <c r="N32" s="6"/>
      <c r="O32" s="6"/>
      <c r="P32" s="6"/>
    </row>
    <row r="33" spans="2:16">
      <c r="B33" s="18"/>
      <c r="C33" s="11"/>
      <c r="D33" s="79"/>
      <c r="E33" s="79"/>
      <c r="F33" s="79"/>
      <c r="G33" s="79"/>
      <c r="H33" s="79"/>
      <c r="I33" s="6"/>
      <c r="J33" s="6"/>
      <c r="K33" s="6"/>
      <c r="L33" s="6"/>
      <c r="M33" s="6"/>
      <c r="N33" s="6"/>
      <c r="O33" s="6"/>
      <c r="P33" s="6"/>
    </row>
    <row r="34" spans="2:16">
      <c r="B34" s="350"/>
      <c r="C34" s="351"/>
      <c r="D34" s="79"/>
      <c r="E34" s="79"/>
      <c r="F34" s="79"/>
      <c r="G34" s="79"/>
      <c r="H34" s="79"/>
      <c r="I34" s="6"/>
      <c r="J34" s="6"/>
      <c r="K34" s="6"/>
      <c r="L34" s="6"/>
      <c r="M34" s="6"/>
      <c r="N34" s="6"/>
      <c r="O34" s="6"/>
      <c r="P34" s="6"/>
    </row>
    <row r="35" spans="2:16">
      <c r="B35" s="350"/>
      <c r="C35" s="351"/>
      <c r="D35" s="79"/>
      <c r="E35" s="79"/>
      <c r="F35" s="79"/>
      <c r="G35" s="79"/>
      <c r="H35" s="79"/>
      <c r="I35" s="6"/>
      <c r="J35" s="6"/>
      <c r="K35" s="6"/>
      <c r="L35" s="6"/>
      <c r="M35" s="6"/>
      <c r="N35" s="6"/>
      <c r="O35" s="6"/>
      <c r="P35" s="6"/>
    </row>
    <row r="36" spans="2:16">
      <c r="B36" s="18"/>
      <c r="C36" s="11"/>
      <c r="D36" s="79"/>
      <c r="E36" s="79"/>
      <c r="F36" s="79"/>
      <c r="G36" s="79"/>
      <c r="H36" s="79"/>
      <c r="I36" s="6"/>
      <c r="J36" s="6"/>
      <c r="K36" s="6"/>
      <c r="L36" s="6"/>
      <c r="M36" s="6"/>
      <c r="N36" s="6"/>
      <c r="O36" s="6"/>
      <c r="P36" s="6"/>
    </row>
    <row r="37" spans="2:16">
      <c r="B37" s="18"/>
      <c r="C37" s="11"/>
      <c r="D37" s="79"/>
      <c r="E37" s="79"/>
      <c r="F37" s="79"/>
      <c r="G37" s="79"/>
      <c r="H37" s="79"/>
      <c r="I37" s="6"/>
      <c r="J37" s="6"/>
      <c r="K37" s="6"/>
      <c r="L37" s="6"/>
      <c r="M37" s="6"/>
      <c r="N37" s="6"/>
      <c r="O37" s="6"/>
      <c r="P37" s="6"/>
    </row>
    <row r="38" spans="2:16">
      <c r="B38" s="18"/>
      <c r="C38" s="11"/>
      <c r="D38" s="79"/>
      <c r="E38" s="79"/>
      <c r="F38" s="79"/>
      <c r="G38" s="79"/>
      <c r="H38" s="79"/>
      <c r="I38" s="6"/>
      <c r="J38" s="6"/>
      <c r="K38" s="6"/>
      <c r="L38" s="6"/>
      <c r="M38" s="6"/>
      <c r="N38" s="6"/>
      <c r="O38" s="6"/>
      <c r="P38" s="6"/>
    </row>
    <row r="39" spans="2:16">
      <c r="B39" s="18"/>
      <c r="C39" s="20"/>
      <c r="D39" s="79"/>
      <c r="E39" s="79"/>
      <c r="F39" s="79"/>
      <c r="G39" s="79"/>
      <c r="H39" s="79"/>
      <c r="I39" s="6"/>
      <c r="J39" s="6"/>
      <c r="K39" s="6"/>
      <c r="L39" s="6"/>
      <c r="M39" s="6"/>
      <c r="N39" s="6"/>
      <c r="O39" s="6"/>
      <c r="P39" s="6"/>
    </row>
    <row r="40" spans="2:16">
      <c r="B40" s="18"/>
      <c r="C40" s="19"/>
      <c r="D40" s="79"/>
      <c r="E40" s="79"/>
      <c r="F40" s="79"/>
      <c r="G40" s="79"/>
      <c r="H40" s="79"/>
      <c r="I40" s="6"/>
      <c r="J40" s="6"/>
      <c r="K40" s="6"/>
      <c r="L40" s="6"/>
      <c r="M40" s="6"/>
      <c r="N40" s="6"/>
      <c r="O40" s="6"/>
      <c r="P40" s="6"/>
    </row>
    <row r="41" spans="2:16">
      <c r="B41" s="18"/>
      <c r="C41" s="21"/>
      <c r="D41" s="79"/>
      <c r="E41" s="79"/>
      <c r="F41" s="79"/>
      <c r="G41" s="79"/>
      <c r="H41" s="79"/>
      <c r="I41" s="6"/>
      <c r="J41" s="6"/>
      <c r="K41" s="6"/>
      <c r="L41" s="6"/>
      <c r="M41" s="6"/>
      <c r="N41" s="6"/>
      <c r="O41" s="6"/>
      <c r="P41" s="6"/>
    </row>
    <row r="42" spans="2:16">
      <c r="B42" s="18"/>
      <c r="C42" s="14"/>
      <c r="D42" s="79"/>
      <c r="E42" s="79"/>
      <c r="F42" s="79"/>
      <c r="G42" s="79"/>
      <c r="H42" s="79"/>
      <c r="I42" s="6"/>
      <c r="J42" s="6"/>
      <c r="K42" s="6"/>
      <c r="L42" s="6"/>
      <c r="M42" s="6"/>
      <c r="N42" s="6"/>
      <c r="O42" s="6"/>
      <c r="P42" s="6"/>
    </row>
    <row r="43" spans="2:16">
      <c r="B43" s="18"/>
      <c r="C43" s="11"/>
      <c r="D43" s="79"/>
      <c r="E43" s="79"/>
      <c r="F43" s="79"/>
      <c r="G43" s="79"/>
      <c r="H43" s="79"/>
      <c r="I43" s="6"/>
      <c r="J43" s="6"/>
      <c r="K43" s="6"/>
      <c r="L43" s="6"/>
      <c r="M43" s="6"/>
      <c r="N43" s="6"/>
      <c r="O43" s="6"/>
      <c r="P43" s="6"/>
    </row>
    <row r="44" spans="2:16">
      <c r="B44" s="350"/>
      <c r="C44" s="11"/>
      <c r="D44" s="79"/>
      <c r="E44" s="79"/>
      <c r="F44" s="79"/>
      <c r="G44" s="79"/>
      <c r="H44" s="79"/>
      <c r="I44" s="6"/>
      <c r="J44" s="6"/>
      <c r="K44" s="6"/>
      <c r="L44" s="6"/>
      <c r="M44" s="6"/>
      <c r="N44" s="6"/>
      <c r="O44" s="6"/>
      <c r="P44" s="6"/>
    </row>
    <row r="45" spans="2:16">
      <c r="B45" s="350"/>
      <c r="C45" s="11"/>
      <c r="D45" s="79"/>
      <c r="E45" s="79"/>
      <c r="F45" s="79"/>
      <c r="G45" s="79"/>
      <c r="H45" s="79"/>
      <c r="I45" s="6"/>
      <c r="J45" s="6"/>
      <c r="K45" s="6"/>
      <c r="L45" s="6"/>
      <c r="M45" s="6"/>
      <c r="N45" s="6"/>
      <c r="O45" s="6"/>
      <c r="P45" s="6"/>
    </row>
    <row r="46" spans="2:16">
      <c r="B46" s="350"/>
      <c r="C46" s="11"/>
      <c r="D46" s="79"/>
      <c r="E46" s="79"/>
      <c r="F46" s="79"/>
      <c r="G46" s="79"/>
      <c r="H46" s="79"/>
      <c r="I46" s="6"/>
      <c r="J46" s="6"/>
      <c r="K46" s="6"/>
      <c r="L46" s="6"/>
      <c r="M46" s="6"/>
      <c r="N46" s="6"/>
      <c r="O46" s="6"/>
      <c r="P46" s="6"/>
    </row>
    <row r="47" spans="2:16">
      <c r="B47" s="350"/>
      <c r="C47" s="11"/>
      <c r="D47" s="79"/>
      <c r="E47" s="79"/>
      <c r="F47" s="79"/>
      <c r="G47" s="79"/>
      <c r="H47" s="79"/>
      <c r="I47" s="6"/>
      <c r="J47" s="6"/>
      <c r="K47" s="6"/>
      <c r="L47" s="6"/>
      <c r="M47" s="6"/>
      <c r="N47" s="6"/>
      <c r="O47" s="6"/>
      <c r="P47" s="6"/>
    </row>
    <row r="48" spans="2:16">
      <c r="B48" s="362"/>
      <c r="C48" s="351"/>
      <c r="D48" s="79"/>
      <c r="E48" s="79"/>
      <c r="F48" s="79"/>
      <c r="G48" s="79"/>
      <c r="H48" s="79"/>
      <c r="I48" s="6"/>
      <c r="J48" s="6"/>
      <c r="K48" s="6"/>
      <c r="L48" s="6"/>
      <c r="M48" s="6"/>
      <c r="N48" s="6"/>
      <c r="O48" s="6"/>
      <c r="P48" s="6"/>
    </row>
    <row r="49" spans="2:16">
      <c r="B49" s="362"/>
      <c r="C49" s="351"/>
      <c r="D49" s="79"/>
      <c r="E49" s="79"/>
      <c r="F49" s="79"/>
      <c r="G49" s="79"/>
      <c r="H49" s="79"/>
      <c r="I49" s="6"/>
      <c r="J49" s="6"/>
      <c r="K49" s="6"/>
      <c r="L49" s="6"/>
      <c r="M49" s="6"/>
      <c r="N49" s="6"/>
      <c r="O49" s="6"/>
      <c r="P49" s="6"/>
    </row>
    <row r="50" spans="2:16">
      <c r="B50" s="10"/>
      <c r="C50" s="11"/>
      <c r="D50" s="79"/>
      <c r="E50" s="79"/>
      <c r="F50" s="79"/>
      <c r="G50" s="79"/>
      <c r="H50" s="79"/>
      <c r="I50" s="6"/>
      <c r="J50" s="6"/>
      <c r="K50" s="6"/>
      <c r="L50" s="6"/>
      <c r="M50" s="6"/>
      <c r="N50" s="6"/>
      <c r="O50" s="6"/>
      <c r="P50" s="6"/>
    </row>
    <row r="51" spans="2:16">
      <c r="B51" s="10"/>
      <c r="C51" s="11"/>
      <c r="D51" s="79"/>
      <c r="E51" s="79"/>
      <c r="F51" s="79"/>
      <c r="G51" s="79"/>
      <c r="H51" s="79"/>
      <c r="I51" s="6"/>
      <c r="J51" s="6"/>
      <c r="K51" s="6"/>
      <c r="L51" s="6"/>
      <c r="M51" s="6"/>
      <c r="N51" s="6"/>
      <c r="O51" s="6"/>
      <c r="P51" s="6"/>
    </row>
    <row r="52" spans="2:16">
      <c r="B52" s="10"/>
      <c r="C52" s="11"/>
      <c r="D52" s="79"/>
      <c r="E52" s="79"/>
      <c r="F52" s="79"/>
      <c r="G52" s="79"/>
      <c r="H52" s="79"/>
      <c r="I52" s="6"/>
      <c r="J52" s="6"/>
      <c r="K52" s="6"/>
      <c r="L52" s="6"/>
      <c r="M52" s="6"/>
      <c r="N52" s="6"/>
      <c r="O52" s="6"/>
      <c r="P52" s="6"/>
    </row>
    <row r="53" spans="2:16">
      <c r="B53" s="10"/>
      <c r="C53" s="14"/>
      <c r="D53" s="79"/>
      <c r="E53" s="79"/>
      <c r="F53" s="79"/>
      <c r="G53" s="79"/>
      <c r="H53" s="79"/>
      <c r="I53" s="6"/>
      <c r="J53" s="6"/>
      <c r="K53" s="6"/>
      <c r="L53" s="6"/>
      <c r="M53" s="6"/>
      <c r="N53" s="6"/>
      <c r="O53" s="6"/>
      <c r="P53" s="6"/>
    </row>
    <row r="54" spans="2:16" ht="14.25" customHeight="1">
      <c r="B54" s="361"/>
      <c r="C54" s="351"/>
      <c r="D54" s="79"/>
      <c r="E54" s="79"/>
      <c r="F54" s="79"/>
      <c r="G54" s="79"/>
      <c r="H54" s="79"/>
      <c r="I54" s="6"/>
      <c r="J54" s="6"/>
      <c r="K54" s="6"/>
      <c r="L54" s="6"/>
      <c r="M54" s="6"/>
      <c r="N54" s="6"/>
      <c r="O54" s="6"/>
      <c r="P54" s="6"/>
    </row>
    <row r="55" spans="2:16">
      <c r="B55" s="361"/>
      <c r="C55" s="351"/>
      <c r="D55" s="79"/>
      <c r="E55" s="79"/>
      <c r="F55" s="79"/>
      <c r="G55" s="79"/>
      <c r="H55" s="79"/>
      <c r="I55" s="6"/>
      <c r="J55" s="6"/>
      <c r="K55" s="6"/>
      <c r="L55" s="6"/>
      <c r="M55" s="6"/>
      <c r="N55" s="6"/>
      <c r="O55" s="6"/>
      <c r="P55" s="6"/>
    </row>
    <row r="56" spans="2:16">
      <c r="B56" s="10"/>
      <c r="C56" s="11"/>
      <c r="D56" s="79"/>
      <c r="E56" s="79"/>
      <c r="F56" s="79"/>
      <c r="G56" s="79"/>
      <c r="H56" s="79"/>
      <c r="I56" s="6"/>
      <c r="J56" s="6"/>
      <c r="K56" s="6"/>
      <c r="L56" s="6"/>
      <c r="M56" s="6"/>
      <c r="N56" s="6"/>
      <c r="O56" s="6"/>
      <c r="P56" s="6"/>
    </row>
    <row r="57" spans="2:16">
      <c r="B57" s="10"/>
      <c r="C57" s="11"/>
      <c r="D57" s="79"/>
      <c r="E57" s="79"/>
      <c r="F57" s="79"/>
      <c r="G57" s="79"/>
      <c r="H57" s="79"/>
      <c r="I57" s="6"/>
      <c r="J57" s="6"/>
      <c r="K57" s="6"/>
      <c r="L57" s="6"/>
      <c r="M57" s="6"/>
      <c r="N57" s="6"/>
      <c r="O57" s="6"/>
      <c r="P57" s="6"/>
    </row>
    <row r="58" spans="2:16">
      <c r="B58" s="10"/>
      <c r="C58" s="11"/>
      <c r="D58" s="79"/>
      <c r="E58" s="79"/>
      <c r="F58" s="79"/>
      <c r="G58" s="79"/>
      <c r="H58" s="79"/>
      <c r="I58" s="6"/>
      <c r="J58" s="6"/>
      <c r="K58" s="6"/>
      <c r="L58" s="6"/>
      <c r="M58" s="6"/>
      <c r="N58" s="6"/>
      <c r="O58" s="6"/>
      <c r="P58" s="6"/>
    </row>
    <row r="59" spans="2:16">
      <c r="B59" s="10"/>
      <c r="C59" s="11"/>
      <c r="D59" s="79"/>
      <c r="E59" s="79"/>
      <c r="F59" s="79"/>
      <c r="G59" s="79"/>
      <c r="H59" s="79"/>
      <c r="I59" s="6"/>
      <c r="J59" s="6"/>
      <c r="K59" s="6"/>
      <c r="L59" s="6"/>
      <c r="M59" s="6"/>
      <c r="N59" s="6"/>
      <c r="O59" s="6"/>
      <c r="P59" s="6"/>
    </row>
    <row r="60" spans="2:16">
      <c r="B60" s="10"/>
      <c r="C60" s="11"/>
      <c r="D60" s="79"/>
      <c r="E60" s="79"/>
      <c r="F60" s="79"/>
      <c r="G60" s="79"/>
      <c r="H60" s="79"/>
      <c r="I60" s="6"/>
      <c r="J60" s="6"/>
      <c r="K60" s="6"/>
      <c r="L60" s="6"/>
      <c r="M60" s="6"/>
      <c r="N60" s="6"/>
      <c r="O60" s="6"/>
      <c r="P60" s="6"/>
    </row>
    <row r="61" spans="2:16">
      <c r="B61" s="10"/>
      <c r="C61" s="11"/>
      <c r="D61" s="79"/>
      <c r="E61" s="79"/>
      <c r="F61" s="79"/>
      <c r="G61" s="79"/>
      <c r="H61" s="79"/>
      <c r="I61" s="6"/>
      <c r="J61" s="6"/>
      <c r="K61" s="6"/>
      <c r="L61" s="6"/>
      <c r="M61" s="6"/>
      <c r="N61" s="6"/>
      <c r="O61" s="6"/>
      <c r="P61" s="6"/>
    </row>
    <row r="62" spans="2:16">
      <c r="B62" s="10"/>
      <c r="C62" s="11"/>
      <c r="D62" s="79"/>
      <c r="E62" s="79"/>
      <c r="F62" s="79"/>
      <c r="G62" s="79"/>
      <c r="H62" s="79"/>
      <c r="I62" s="6"/>
      <c r="J62" s="6"/>
      <c r="K62" s="6"/>
      <c r="L62" s="6"/>
      <c r="M62" s="6"/>
      <c r="N62" s="6"/>
      <c r="O62" s="6"/>
      <c r="P62" s="6"/>
    </row>
    <row r="63" spans="2:16">
      <c r="B63" s="10"/>
      <c r="C63" s="11"/>
      <c r="D63" s="79"/>
      <c r="E63" s="79"/>
      <c r="F63" s="79"/>
      <c r="G63" s="79"/>
      <c r="H63" s="79"/>
      <c r="I63" s="6"/>
      <c r="J63" s="6"/>
      <c r="K63" s="6"/>
      <c r="L63" s="6"/>
      <c r="M63" s="6"/>
      <c r="N63" s="6"/>
      <c r="O63" s="6"/>
      <c r="P63" s="6"/>
    </row>
    <row r="64" spans="2:16">
      <c r="B64" s="10"/>
      <c r="C64" s="14"/>
    </row>
  </sheetData>
  <mergeCells count="15">
    <mergeCell ref="B34:B35"/>
    <mergeCell ref="F2:G2"/>
    <mergeCell ref="D2:E2"/>
    <mergeCell ref="B54:B55"/>
    <mergeCell ref="C54:C55"/>
    <mergeCell ref="A2:B2"/>
    <mergeCell ref="C34:C35"/>
    <mergeCell ref="B44:B47"/>
    <mergeCell ref="B48:B49"/>
    <mergeCell ref="C48:C49"/>
    <mergeCell ref="I2:J2"/>
    <mergeCell ref="A1:B1"/>
    <mergeCell ref="A4:A6"/>
    <mergeCell ref="A7:A10"/>
    <mergeCell ref="B28:B29"/>
  </mergeCells>
  <phoneticPr fontId="32"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7"/>
  <sheetViews>
    <sheetView topLeftCell="A25" zoomScale="70" zoomScaleNormal="70" workbookViewId="0">
      <selection activeCell="C53" sqref="C53"/>
    </sheetView>
  </sheetViews>
  <sheetFormatPr defaultColWidth="8.85546875" defaultRowHeight="12.75"/>
  <cols>
    <col min="1" max="1" width="10.28515625" style="76" customWidth="1"/>
    <col min="2" max="2" width="39" style="76" customWidth="1"/>
    <col min="3" max="3" width="22.42578125" style="76" customWidth="1"/>
    <col min="4" max="4" width="20.42578125" style="167" customWidth="1"/>
    <col min="5" max="5" width="14.7109375" style="167" customWidth="1"/>
    <col min="6" max="6" width="15.5703125" style="167" customWidth="1"/>
    <col min="7" max="10" width="8.85546875" style="167"/>
    <col min="11" max="11" width="11.140625" style="167" bestFit="1" customWidth="1"/>
    <col min="12" max="12" width="10.5703125" style="76" bestFit="1" customWidth="1"/>
    <col min="13" max="13" width="11.140625" style="167" customWidth="1"/>
    <col min="14" max="14" width="11.85546875" style="167" customWidth="1"/>
    <col min="15" max="15" width="12.5703125" style="168" customWidth="1"/>
    <col min="16" max="16" width="10.140625" style="167" customWidth="1"/>
    <col min="17" max="17" width="13.5703125" style="167" customWidth="1"/>
    <col min="18" max="18" width="11.140625" style="168" customWidth="1"/>
    <col min="19" max="19" width="16.85546875" style="76" customWidth="1"/>
    <col min="20" max="20" width="11.28515625" style="76" customWidth="1"/>
    <col min="21" max="21" width="15.85546875" style="76" customWidth="1"/>
    <col min="22" max="22" width="12.85546875" style="76" customWidth="1"/>
    <col min="23" max="23" width="14" style="76" customWidth="1"/>
    <col min="24" max="24" width="14.42578125" style="76" customWidth="1"/>
    <col min="25" max="25" width="13.85546875" style="76" customWidth="1"/>
    <col min="26" max="26" width="14.85546875" style="76" customWidth="1"/>
    <col min="27" max="27" width="14" style="76" customWidth="1"/>
    <col min="28" max="28" width="13.5703125" style="76" customWidth="1"/>
    <col min="29" max="29" width="11.5703125" style="76" customWidth="1"/>
    <col min="30" max="16384" width="8.85546875" style="76"/>
  </cols>
  <sheetData>
    <row r="1" spans="1:27" ht="36" customHeight="1">
      <c r="B1" s="365" t="s">
        <v>554</v>
      </c>
      <c r="C1" s="365"/>
      <c r="D1" s="365"/>
      <c r="E1" s="365"/>
      <c r="F1" s="365"/>
      <c r="G1" s="365"/>
      <c r="H1" s="365"/>
      <c r="I1" s="365"/>
      <c r="J1" s="365"/>
      <c r="K1" s="365"/>
    </row>
    <row r="2" spans="1:27" ht="15">
      <c r="B2" s="166" t="s">
        <v>438</v>
      </c>
      <c r="C2" s="166"/>
    </row>
    <row r="3" spans="1:27" ht="15">
      <c r="B3" s="166" t="s">
        <v>439</v>
      </c>
      <c r="C3" s="166"/>
      <c r="D3" s="167" t="s">
        <v>555</v>
      </c>
      <c r="E3" s="167" t="s">
        <v>556</v>
      </c>
      <c r="F3" s="167" t="s">
        <v>557</v>
      </c>
    </row>
    <row r="4" spans="1:27" ht="15">
      <c r="B4" s="166" t="s">
        <v>559</v>
      </c>
      <c r="D4" s="167">
        <v>10</v>
      </c>
      <c r="E4" s="167">
        <v>20</v>
      </c>
      <c r="F4" s="167">
        <v>40</v>
      </c>
    </row>
    <row r="5" spans="1:27" ht="15">
      <c r="B5" s="166" t="s">
        <v>440</v>
      </c>
      <c r="C5" s="166"/>
      <c r="D5" s="167">
        <f>52</f>
        <v>52</v>
      </c>
      <c r="E5" s="167">
        <v>106</v>
      </c>
      <c r="F5" s="167">
        <v>216</v>
      </c>
    </row>
    <row r="6" spans="1:27" ht="15">
      <c r="B6" s="166" t="s">
        <v>560</v>
      </c>
      <c r="D6" s="247">
        <v>6.4000000000000001E-2</v>
      </c>
      <c r="E6" s="247">
        <v>4.5999999999999999E-2</v>
      </c>
      <c r="F6" s="247">
        <v>2.8000000000000001E-2</v>
      </c>
    </row>
    <row r="7" spans="1:27" ht="51.75" customHeight="1" thickBot="1">
      <c r="B7" s="169"/>
      <c r="C7" s="169" t="s">
        <v>510</v>
      </c>
      <c r="D7" s="169"/>
      <c r="E7" s="169" t="s">
        <v>441</v>
      </c>
      <c r="F7" s="169" t="s">
        <v>442</v>
      </c>
      <c r="G7" s="169" t="s">
        <v>443</v>
      </c>
      <c r="H7" s="169" t="s">
        <v>444</v>
      </c>
      <c r="I7" s="169" t="s">
        <v>445</v>
      </c>
      <c r="J7" s="169" t="s">
        <v>446</v>
      </c>
      <c r="K7" s="169" t="s">
        <v>511</v>
      </c>
      <c r="L7" s="169"/>
      <c r="M7" s="170" t="s">
        <v>512</v>
      </c>
      <c r="N7" s="170" t="s">
        <v>513</v>
      </c>
      <c r="O7" s="170" t="s">
        <v>514</v>
      </c>
      <c r="P7" s="177" t="s">
        <v>515</v>
      </c>
      <c r="Q7" s="177" t="s">
        <v>516</v>
      </c>
      <c r="R7" s="214" t="s">
        <v>517</v>
      </c>
      <c r="S7" s="194" t="s">
        <v>518</v>
      </c>
      <c r="T7" s="177" t="s">
        <v>561</v>
      </c>
      <c r="U7" s="177" t="s">
        <v>562</v>
      </c>
      <c r="V7" s="214" t="s">
        <v>563</v>
      </c>
      <c r="W7" s="194" t="s">
        <v>564</v>
      </c>
      <c r="X7" s="177" t="s">
        <v>565</v>
      </c>
      <c r="Y7" s="177" t="s">
        <v>566</v>
      </c>
      <c r="Z7" s="214" t="s">
        <v>567</v>
      </c>
      <c r="AA7" s="194" t="s">
        <v>568</v>
      </c>
    </row>
    <row r="8" spans="1:27" ht="13.5" thickTop="1">
      <c r="A8" s="76">
        <v>1</v>
      </c>
      <c r="B8" s="172" t="s">
        <v>337</v>
      </c>
      <c r="C8" s="171" t="s">
        <v>520</v>
      </c>
      <c r="D8" s="172"/>
      <c r="E8" s="172">
        <f>2*10*D5*10</f>
        <v>10400</v>
      </c>
      <c r="F8" s="172">
        <f>32*D5</f>
        <v>1664</v>
      </c>
      <c r="G8" s="172">
        <f>4*D5</f>
        <v>208</v>
      </c>
      <c r="H8" s="172">
        <f>3*4*D5*1/2</f>
        <v>312</v>
      </c>
      <c r="I8" s="172">
        <f>1*4*240/2</f>
        <v>480</v>
      </c>
      <c r="J8" s="172">
        <f>12*2*10*52</f>
        <v>12480</v>
      </c>
      <c r="K8" s="172"/>
      <c r="L8" s="172"/>
      <c r="M8" s="172">
        <f>D5*12*10*14</f>
        <v>87360</v>
      </c>
      <c r="N8" s="172">
        <f>SUM(E8:J8)</f>
        <v>25544</v>
      </c>
      <c r="O8" s="173">
        <f>100*N8/M8</f>
        <v>29.239926739926741</v>
      </c>
      <c r="P8" s="167">
        <f t="shared" ref="P8:Q12" si="0">M8</f>
        <v>87360</v>
      </c>
      <c r="Q8" s="167">
        <f t="shared" si="0"/>
        <v>25544</v>
      </c>
      <c r="R8" s="168">
        <f t="shared" ref="R8:R12" si="1">100*Q8/P8</f>
        <v>29.239926739926741</v>
      </c>
      <c r="S8" s="168">
        <f t="shared" ref="S8:S12" si="2">(1-R8/100)/(1-O8/100)</f>
        <v>1</v>
      </c>
      <c r="T8" s="167">
        <f t="shared" ref="T8:T12" si="3">P8*$E$5/$D$5</f>
        <v>178080</v>
      </c>
      <c r="U8" s="248">
        <f t="shared" ref="U8:U12" si="4">SUM(E8:G8)*$E$5/$D$5+H8+I8+12*CEILING($E$5*2*$D$4/$E$4,1)*10</f>
        <v>38528</v>
      </c>
      <c r="V8" s="212">
        <f t="shared" ref="V8:V12" si="5">100*U8/T8</f>
        <v>21.635220125786162</v>
      </c>
      <c r="W8" s="168">
        <f t="shared" ref="W8:W12" si="6">(1-V8/100)/(1-R8/100)*(1-$E$6)/(1-$D$6)</f>
        <v>1.128769250679436</v>
      </c>
      <c r="X8" s="167">
        <f t="shared" ref="X8:X12" si="7">P8*$F$5/$D$5</f>
        <v>362880</v>
      </c>
      <c r="Y8" s="248">
        <f t="shared" ref="Y8:Y12" si="8">SUM(E8:G8)*$F$5/$D$5+H8+I8+12*CEILING($F$5*2*$D$4/$F$4,1)*10</f>
        <v>64728</v>
      </c>
      <c r="Z8" s="212">
        <f t="shared" ref="Z8:Z12" si="9">100*Y8/X8</f>
        <v>17.837301587301589</v>
      </c>
      <c r="AA8" s="168">
        <f t="shared" ref="AA8:AA12" si="10">(1-Z8/100)/(1-R8/100)*(1-$F$6)/(1-$D$6)</f>
        <v>1.2058043225055004</v>
      </c>
    </row>
    <row r="9" spans="1:27">
      <c r="A9" s="76">
        <v>2</v>
      </c>
      <c r="B9" s="172" t="s">
        <v>521</v>
      </c>
      <c r="C9" s="171" t="s">
        <v>520</v>
      </c>
      <c r="D9" s="172"/>
      <c r="E9" s="172">
        <f>2*12*D5*10</f>
        <v>12480</v>
      </c>
      <c r="F9" s="172">
        <f>32*D5</f>
        <v>1664</v>
      </c>
      <c r="G9" s="172">
        <f>4*D5</f>
        <v>208</v>
      </c>
      <c r="H9" s="172">
        <f>4*3*D5*10/80</f>
        <v>78</v>
      </c>
      <c r="I9" s="172">
        <f>4*240*1/2</f>
        <v>480</v>
      </c>
      <c r="J9" s="172">
        <f>2*12*D5*10</f>
        <v>12480</v>
      </c>
      <c r="K9" s="172"/>
      <c r="L9" s="174"/>
      <c r="M9" s="172">
        <f>12*14*D5*10</f>
        <v>87360</v>
      </c>
      <c r="N9" s="172">
        <f>SUM(E9:J9)</f>
        <v>27390</v>
      </c>
      <c r="O9" s="173">
        <f>100*N9/M9</f>
        <v>31.353021978021978</v>
      </c>
      <c r="P9" s="167">
        <f t="shared" si="0"/>
        <v>87360</v>
      </c>
      <c r="Q9" s="167">
        <f t="shared" si="0"/>
        <v>27390</v>
      </c>
      <c r="R9" s="168">
        <f t="shared" si="1"/>
        <v>31.353021978021978</v>
      </c>
      <c r="S9" s="168">
        <f t="shared" si="2"/>
        <v>1</v>
      </c>
      <c r="T9" s="167">
        <f t="shared" si="3"/>
        <v>178080</v>
      </c>
      <c r="U9" s="248">
        <f t="shared" si="4"/>
        <v>42534</v>
      </c>
      <c r="V9" s="212">
        <f t="shared" si="5"/>
        <v>23.884770889487871</v>
      </c>
      <c r="W9" s="168">
        <f t="shared" si="6"/>
        <v>1.1301150575287642</v>
      </c>
      <c r="X9" s="167">
        <f t="shared" si="7"/>
        <v>362880</v>
      </c>
      <c r="Y9" s="248">
        <f t="shared" si="8"/>
        <v>73134</v>
      </c>
      <c r="Z9" s="212">
        <f t="shared" si="9"/>
        <v>20.153769841269842</v>
      </c>
      <c r="AA9" s="168">
        <f t="shared" si="10"/>
        <v>1.2078789394697349</v>
      </c>
    </row>
    <row r="10" spans="1:27">
      <c r="A10" s="76">
        <v>3</v>
      </c>
      <c r="B10" s="172" t="s">
        <v>522</v>
      </c>
      <c r="C10" s="171" t="s">
        <v>520</v>
      </c>
      <c r="D10" s="172"/>
      <c r="E10" s="172">
        <v>11630</v>
      </c>
      <c r="F10" s="172">
        <f>32*D5*2</f>
        <v>3328</v>
      </c>
      <c r="G10" s="172">
        <f>4*D5*2</f>
        <v>416</v>
      </c>
      <c r="H10" s="172">
        <f>4*3*D5*10/20</f>
        <v>312</v>
      </c>
      <c r="I10" s="172">
        <f>1*4*240*10/20</f>
        <v>480</v>
      </c>
      <c r="J10" s="172">
        <f>2*12*D5*10</f>
        <v>12480</v>
      </c>
      <c r="K10" s="172"/>
      <c r="L10" s="174"/>
      <c r="M10" s="172">
        <f>12*14*D5*10</f>
        <v>87360</v>
      </c>
      <c r="N10" s="172">
        <f t="shared" ref="N10" si="11">SUM(E10:J10)</f>
        <v>28646</v>
      </c>
      <c r="O10" s="173">
        <f t="shared" ref="O10" si="12">100*N10/M10</f>
        <v>32.790750915750912</v>
      </c>
      <c r="P10" s="167">
        <f t="shared" si="0"/>
        <v>87360</v>
      </c>
      <c r="Q10" s="167">
        <f t="shared" si="0"/>
        <v>28646</v>
      </c>
      <c r="R10" s="168">
        <f t="shared" si="1"/>
        <v>32.790750915750912</v>
      </c>
      <c r="S10" s="168">
        <f t="shared" si="2"/>
        <v>1</v>
      </c>
      <c r="T10" s="167">
        <f t="shared" si="3"/>
        <v>178080</v>
      </c>
      <c r="U10" s="248">
        <f t="shared" si="4"/>
        <v>44851.307692307688</v>
      </c>
      <c r="V10" s="212">
        <f t="shared" si="5"/>
        <v>25.186044301610337</v>
      </c>
      <c r="W10" s="168">
        <f t="shared" si="6"/>
        <v>1.1345564286855971</v>
      </c>
      <c r="X10" s="167">
        <f t="shared" si="7"/>
        <v>362880</v>
      </c>
      <c r="Y10" s="248">
        <f t="shared" si="8"/>
        <v>77613.230769230766</v>
      </c>
      <c r="Z10" s="212">
        <f t="shared" si="9"/>
        <v>21.388125763125764</v>
      </c>
      <c r="AA10" s="168">
        <f t="shared" si="10"/>
        <v>1.2146454390382586</v>
      </c>
    </row>
    <row r="11" spans="1:27">
      <c r="A11" s="76">
        <v>4</v>
      </c>
      <c r="B11" s="172" t="s">
        <v>523</v>
      </c>
      <c r="C11" s="171" t="s">
        <v>519</v>
      </c>
      <c r="D11" s="172"/>
      <c r="E11" s="172">
        <f>12*D5*10</f>
        <v>6240</v>
      </c>
      <c r="F11" s="172">
        <f>32*D5*2</f>
        <v>3328</v>
      </c>
      <c r="G11" s="172">
        <f>4*D5*2</f>
        <v>416</v>
      </c>
      <c r="H11" s="172">
        <f>12*D5*10/20</f>
        <v>312</v>
      </c>
      <c r="I11" s="172">
        <f>1*4*240*10/20</f>
        <v>480</v>
      </c>
      <c r="J11" s="172">
        <f>12*2*D5*10</f>
        <v>12480</v>
      </c>
      <c r="K11" s="172"/>
      <c r="L11" s="174"/>
      <c r="M11" s="172">
        <f>12*14*D5*10</f>
        <v>87360</v>
      </c>
      <c r="N11" s="172">
        <f t="shared" ref="N11" si="13">SUM(E11:J11)</f>
        <v>23256</v>
      </c>
      <c r="O11" s="173">
        <f t="shared" ref="O11" si="14">100*N11/M11</f>
        <v>26.62087912087912</v>
      </c>
      <c r="P11" s="167">
        <f t="shared" si="0"/>
        <v>87360</v>
      </c>
      <c r="Q11" s="167">
        <f t="shared" si="0"/>
        <v>23256</v>
      </c>
      <c r="R11" s="168">
        <f t="shared" si="1"/>
        <v>26.62087912087912</v>
      </c>
      <c r="S11" s="168">
        <f t="shared" si="2"/>
        <v>1</v>
      </c>
      <c r="T11" s="167">
        <f t="shared" si="3"/>
        <v>178080</v>
      </c>
      <c r="U11" s="248">
        <f t="shared" si="4"/>
        <v>33864</v>
      </c>
      <c r="V11" s="212">
        <f t="shared" si="5"/>
        <v>19.016172506738545</v>
      </c>
      <c r="W11" s="168">
        <f t="shared" si="6"/>
        <v>1.1248596031448894</v>
      </c>
      <c r="X11" s="167">
        <f t="shared" si="7"/>
        <v>362880</v>
      </c>
      <c r="Y11" s="248">
        <f t="shared" si="8"/>
        <v>55224</v>
      </c>
      <c r="Z11" s="212">
        <f t="shared" si="9"/>
        <v>15.218253968253968</v>
      </c>
      <c r="AA11" s="168">
        <f t="shared" si="10"/>
        <v>1.1998315237738675</v>
      </c>
    </row>
    <row r="12" spans="1:27">
      <c r="A12" s="76">
        <v>5</v>
      </c>
      <c r="B12" s="167" t="s">
        <v>524</v>
      </c>
      <c r="C12" s="171" t="s">
        <v>520</v>
      </c>
      <c r="E12" s="172">
        <f>8*D5*10</f>
        <v>4160</v>
      </c>
      <c r="F12" s="172">
        <f>32*D5*2</f>
        <v>3328</v>
      </c>
      <c r="G12" s="172">
        <f>4*D5*2</f>
        <v>416</v>
      </c>
      <c r="H12" s="172">
        <f>12*52*10/20</f>
        <v>312</v>
      </c>
      <c r="I12" s="172">
        <f>4*240*1/2</f>
        <v>480</v>
      </c>
      <c r="J12" s="172">
        <f>2*12*D5*10</f>
        <v>12480</v>
      </c>
      <c r="M12" s="175">
        <f>D5*12*10*14</f>
        <v>87360</v>
      </c>
      <c r="N12" s="172">
        <f>SUM(E12:J12)</f>
        <v>21176</v>
      </c>
      <c r="O12" s="173">
        <f>100*N12/M12</f>
        <v>24.239926739926741</v>
      </c>
      <c r="P12" s="167">
        <f t="shared" si="0"/>
        <v>87360</v>
      </c>
      <c r="Q12" s="167">
        <f t="shared" si="0"/>
        <v>21176</v>
      </c>
      <c r="R12" s="168">
        <f t="shared" si="1"/>
        <v>24.239926739926741</v>
      </c>
      <c r="S12" s="168">
        <f t="shared" si="2"/>
        <v>1</v>
      </c>
      <c r="T12" s="167">
        <f t="shared" si="3"/>
        <v>178080</v>
      </c>
      <c r="U12" s="248">
        <f t="shared" si="4"/>
        <v>29624</v>
      </c>
      <c r="V12" s="212">
        <f t="shared" si="5"/>
        <v>16.635220125786162</v>
      </c>
      <c r="W12" s="168">
        <f t="shared" si="6"/>
        <v>1.1215399492324429</v>
      </c>
      <c r="X12" s="167">
        <f t="shared" si="7"/>
        <v>362880</v>
      </c>
      <c r="Y12" s="248">
        <f t="shared" si="8"/>
        <v>46584</v>
      </c>
      <c r="Z12" s="212">
        <f t="shared" si="9"/>
        <v>12.837301587301587</v>
      </c>
      <c r="AA12" s="168">
        <f t="shared" si="10"/>
        <v>1.1947600628550707</v>
      </c>
    </row>
    <row r="13" spans="1:27">
      <c r="B13" s="176"/>
      <c r="C13" s="171"/>
      <c r="D13" s="176"/>
      <c r="E13" s="176"/>
      <c r="F13" s="176"/>
      <c r="G13" s="176"/>
      <c r="H13" s="176"/>
      <c r="I13" s="176"/>
      <c r="J13" s="176"/>
      <c r="K13" s="176"/>
      <c r="L13" s="130"/>
      <c r="M13" s="176"/>
      <c r="N13" s="172"/>
      <c r="O13" s="173"/>
      <c r="S13" s="168"/>
    </row>
    <row r="15" spans="1:27" ht="15">
      <c r="B15" s="166" t="s">
        <v>447</v>
      </c>
      <c r="C15" s="166"/>
    </row>
    <row r="16" spans="1:27" ht="15">
      <c r="B16" s="166" t="s">
        <v>448</v>
      </c>
      <c r="C16" s="166"/>
      <c r="D16" s="167" t="s">
        <v>555</v>
      </c>
      <c r="E16" s="167" t="s">
        <v>556</v>
      </c>
      <c r="F16" s="167" t="s">
        <v>557</v>
      </c>
    </row>
    <row r="17" spans="1:23" ht="15">
      <c r="B17" s="166" t="s">
        <v>558</v>
      </c>
      <c r="D17" s="167">
        <v>20</v>
      </c>
      <c r="E17" s="167">
        <v>40</v>
      </c>
      <c r="F17" s="167">
        <v>100</v>
      </c>
    </row>
    <row r="18" spans="1:23" ht="15">
      <c r="B18" s="166" t="s">
        <v>449</v>
      </c>
      <c r="C18" s="166"/>
      <c r="D18" s="167">
        <v>106</v>
      </c>
      <c r="E18" s="167">
        <v>216</v>
      </c>
      <c r="F18" s="167" t="s">
        <v>569</v>
      </c>
    </row>
    <row r="19" spans="1:23" ht="15">
      <c r="B19" s="166" t="s">
        <v>570</v>
      </c>
      <c r="D19" s="247">
        <v>4.5999999999999999E-2</v>
      </c>
      <c r="E19" s="247">
        <v>2.8000000000000001E-2</v>
      </c>
      <c r="F19" s="167" t="s">
        <v>569</v>
      </c>
    </row>
    <row r="20" spans="1:23" ht="54" customHeight="1" thickBot="1">
      <c r="B20" s="169"/>
      <c r="C20" s="169" t="s">
        <v>525</v>
      </c>
      <c r="D20" s="169" t="s">
        <v>450</v>
      </c>
      <c r="E20" s="169" t="s">
        <v>441</v>
      </c>
      <c r="F20" s="169" t="s">
        <v>442</v>
      </c>
      <c r="G20" s="169" t="s">
        <v>443</v>
      </c>
      <c r="H20" s="169" t="s">
        <v>444</v>
      </c>
      <c r="I20" s="169" t="s">
        <v>445</v>
      </c>
      <c r="J20" s="169" t="s">
        <v>446</v>
      </c>
      <c r="K20" s="169" t="s">
        <v>526</v>
      </c>
      <c r="L20" s="170"/>
      <c r="M20" s="170" t="s">
        <v>503</v>
      </c>
      <c r="N20" s="170" t="s">
        <v>504</v>
      </c>
      <c r="O20" s="170" t="s">
        <v>505</v>
      </c>
      <c r="P20" s="177" t="s">
        <v>506</v>
      </c>
      <c r="Q20" s="177" t="s">
        <v>507</v>
      </c>
      <c r="R20" s="214" t="s">
        <v>508</v>
      </c>
      <c r="S20" s="194" t="s">
        <v>509</v>
      </c>
      <c r="T20" s="177" t="s">
        <v>571</v>
      </c>
      <c r="U20" s="177" t="s">
        <v>572</v>
      </c>
      <c r="V20" s="214" t="s">
        <v>573</v>
      </c>
      <c r="W20" s="194" t="s">
        <v>574</v>
      </c>
    </row>
    <row r="21" spans="1:23" ht="13.5" thickTop="1">
      <c r="A21" s="76">
        <v>1</v>
      </c>
      <c r="B21" s="178" t="s">
        <v>337</v>
      </c>
      <c r="C21" s="178" t="s">
        <v>527</v>
      </c>
      <c r="D21" s="172" t="s">
        <v>451</v>
      </c>
      <c r="E21" s="178">
        <f>12*D18*6</f>
        <v>7632</v>
      </c>
      <c r="F21" s="178">
        <f>40*D18</f>
        <v>4240</v>
      </c>
      <c r="G21" s="178">
        <f>4*D18</f>
        <v>424</v>
      </c>
      <c r="H21" s="178">
        <f>3*4*D18*1/8</f>
        <v>159</v>
      </c>
      <c r="I21" s="178">
        <f>1*4*240/2</f>
        <v>480</v>
      </c>
      <c r="J21" s="178">
        <f>12*2*6*106</f>
        <v>15264</v>
      </c>
      <c r="K21" s="180">
        <f>12*D18*1*2</f>
        <v>2544</v>
      </c>
      <c r="L21" s="178"/>
      <c r="M21" s="178">
        <f>D18*(12*14*4+12*6*2)</f>
        <v>86496</v>
      </c>
      <c r="N21" s="178">
        <f t="shared" ref="N21" si="15">SUM(E21:J21)</f>
        <v>28199</v>
      </c>
      <c r="O21" s="179">
        <f t="shared" ref="O21:O23" si="16">100*N21/M21</f>
        <v>32.601507584165745</v>
      </c>
      <c r="P21" s="215">
        <f>D18*(12*14*4 + 12*6*2+12*1*2)</f>
        <v>89040</v>
      </c>
      <c r="Q21" s="215">
        <f t="shared" ref="Q21:Q27" si="17">SUM(E21:K21)</f>
        <v>30743</v>
      </c>
      <c r="R21" s="216">
        <f t="shared" ref="R21:R24" si="18">100*Q21/P21</f>
        <v>34.527178796046719</v>
      </c>
      <c r="S21" s="168">
        <f t="shared" ref="S21:S27" si="19">(1-R21/100)/(1-O21/100)</f>
        <v>0.97142857142857153</v>
      </c>
      <c r="T21" s="167">
        <f t="shared" ref="T21:T27" si="20">P21*$E$18/$D$18</f>
        <v>181440</v>
      </c>
      <c r="U21" s="248">
        <f>SUM(E21:G21,K21)*$E$18/$D$18+H21+I21+12*CEILING($E$18*2*$D$17/$E$17,1)*6</f>
        <v>46431</v>
      </c>
      <c r="V21" s="212">
        <f t="shared" ref="V21:V27" si="21">100*U21/T21</f>
        <v>25.590277777777779</v>
      </c>
      <c r="W21" s="168">
        <f t="shared" ref="W21:W27" si="22">(1-V21/100)/(1-R21/100)*(1-$E$19)/(1-$D$19)</f>
        <v>1.1579412319673397</v>
      </c>
    </row>
    <row r="22" spans="1:23">
      <c r="A22" s="76">
        <v>2</v>
      </c>
      <c r="B22" s="172" t="s">
        <v>453</v>
      </c>
      <c r="C22" s="172" t="s">
        <v>528</v>
      </c>
      <c r="D22" s="172" t="s">
        <v>529</v>
      </c>
      <c r="E22" s="172">
        <f>2*12*D18*6</f>
        <v>15264</v>
      </c>
      <c r="F22" s="172">
        <f>32*D18</f>
        <v>3392</v>
      </c>
      <c r="G22" s="172">
        <f>4*D18</f>
        <v>424</v>
      </c>
      <c r="H22" s="172">
        <f t="shared" ref="H22:H23" si="23">4*3*52*10/80</f>
        <v>78</v>
      </c>
      <c r="I22" s="172">
        <f t="shared" ref="I22:I23" si="24">4*240*1/2</f>
        <v>480</v>
      </c>
      <c r="J22" s="172">
        <f>2*12*D18*6</f>
        <v>15264</v>
      </c>
      <c r="K22" s="180">
        <f>12*D18</f>
        <v>1272</v>
      </c>
      <c r="L22" s="172"/>
      <c r="M22" s="172">
        <f>12*D18*14*4+12*D18*11*2+12*D18*1</f>
        <v>100488</v>
      </c>
      <c r="N22" s="172">
        <f>SUM(E22:K22)</f>
        <v>36174</v>
      </c>
      <c r="O22" s="173">
        <f t="shared" si="16"/>
        <v>35.998328158586098</v>
      </c>
      <c r="P22" s="172">
        <f>12*D18*14*4+12*D18*11*2+12*D18</f>
        <v>100488</v>
      </c>
      <c r="Q22" s="172">
        <f t="shared" si="17"/>
        <v>36174</v>
      </c>
      <c r="R22" s="173">
        <f t="shared" si="18"/>
        <v>35.998328158586098</v>
      </c>
      <c r="S22" s="168">
        <f t="shared" si="19"/>
        <v>1</v>
      </c>
      <c r="T22" s="167">
        <f t="shared" si="20"/>
        <v>204768</v>
      </c>
      <c r="U22" s="248">
        <f>SUM(E22:G22,K22)*$E$18/$D$18+H22+I22+12*CEILING($E$18*2*$D$17/$E$17,1)*6</f>
        <v>57582</v>
      </c>
      <c r="V22" s="212">
        <f t="shared" si="21"/>
        <v>28.120604781997187</v>
      </c>
      <c r="W22" s="168">
        <f t="shared" si="22"/>
        <v>1.1442765183319343</v>
      </c>
    </row>
    <row r="23" spans="1:23">
      <c r="A23" s="76">
        <v>3</v>
      </c>
      <c r="B23" s="172" t="s">
        <v>530</v>
      </c>
      <c r="C23" s="172" t="s">
        <v>531</v>
      </c>
      <c r="D23" s="172" t="s">
        <v>532</v>
      </c>
      <c r="E23" s="172">
        <f>2*12*D18*6</f>
        <v>15264</v>
      </c>
      <c r="F23" s="172">
        <f>40*D18</f>
        <v>4240</v>
      </c>
      <c r="G23" s="172">
        <f>4*D18</f>
        <v>424</v>
      </c>
      <c r="H23" s="172">
        <f t="shared" si="23"/>
        <v>78</v>
      </c>
      <c r="I23" s="172">
        <f t="shared" si="24"/>
        <v>480</v>
      </c>
      <c r="J23" s="172">
        <f>2*12*D18*6</f>
        <v>15264</v>
      </c>
      <c r="K23" s="180">
        <f>12*D18</f>
        <v>1272</v>
      </c>
      <c r="L23" s="172"/>
      <c r="M23" s="172">
        <f>12*D18*14*4+12*D18*11*2+12*D18*1</f>
        <v>100488</v>
      </c>
      <c r="N23" s="172">
        <f>SUM(E23:K23)</f>
        <v>37022</v>
      </c>
      <c r="O23" s="173">
        <f t="shared" si="16"/>
        <v>36.842210015126184</v>
      </c>
      <c r="P23" s="172">
        <f>12*D18*14*4+12*D18*11*2+12*D18</f>
        <v>100488</v>
      </c>
      <c r="Q23" s="172">
        <f t="shared" si="17"/>
        <v>37022</v>
      </c>
      <c r="R23" s="173">
        <f t="shared" si="18"/>
        <v>36.842210015126184</v>
      </c>
      <c r="S23" s="168">
        <f t="shared" si="19"/>
        <v>1</v>
      </c>
      <c r="T23" s="167">
        <f t="shared" si="20"/>
        <v>204768</v>
      </c>
      <c r="U23" s="248">
        <f>SUM(E23:G23,K23)*$E$18/$D$18+H23+I23+12*CEILING($E$18*2*$D$17/$E$17,1)*6</f>
        <v>59310</v>
      </c>
      <c r="V23" s="212">
        <f t="shared" si="21"/>
        <v>28.96448663853727</v>
      </c>
      <c r="W23" s="168">
        <f t="shared" si="22"/>
        <v>1.1459521633630607</v>
      </c>
    </row>
    <row r="24" spans="1:23" s="181" customFormat="1">
      <c r="A24" s="181">
        <v>4</v>
      </c>
      <c r="B24" s="172" t="s">
        <v>337</v>
      </c>
      <c r="C24" s="171" t="s">
        <v>533</v>
      </c>
      <c r="D24" s="182" t="s">
        <v>452</v>
      </c>
      <c r="E24" s="178">
        <f>12*D18*8</f>
        <v>10176</v>
      </c>
      <c r="F24" s="178">
        <f>32*D18</f>
        <v>3392</v>
      </c>
      <c r="G24" s="178">
        <f>4*D18</f>
        <v>424</v>
      </c>
      <c r="H24" s="178">
        <f>3*4*52*1/8</f>
        <v>78</v>
      </c>
      <c r="I24" s="178">
        <f>1*4*240/2</f>
        <v>480</v>
      </c>
      <c r="J24" s="178">
        <f>12*2*8*D18</f>
        <v>20352</v>
      </c>
      <c r="K24" s="217">
        <f>12*2*D18</f>
        <v>2544</v>
      </c>
      <c r="M24" s="217">
        <f>D18*(12*14*6+12*10*2)</f>
        <v>132288</v>
      </c>
      <c r="N24" s="172">
        <f>SUM(E24:J24)</f>
        <v>34902</v>
      </c>
      <c r="O24" s="173">
        <v>26.383345428156748</v>
      </c>
      <c r="P24" s="172">
        <f>D18*(12*14*6 + 12*10*2+12*1*2)</f>
        <v>134832</v>
      </c>
      <c r="Q24" s="172">
        <f t="shared" si="17"/>
        <v>37446</v>
      </c>
      <c r="R24" s="173">
        <f t="shared" si="18"/>
        <v>27.772338910644358</v>
      </c>
      <c r="S24" s="168">
        <f t="shared" si="19"/>
        <v>0.98113207547169812</v>
      </c>
      <c r="T24" s="167">
        <f t="shared" si="20"/>
        <v>274752</v>
      </c>
      <c r="U24" s="248">
        <f>SUM(E24:G24,K24)*$E$18/$D$18+H24+I24+12*CEILING($E$18*2*$D$17/$E$17,1)*8</f>
        <v>54990</v>
      </c>
      <c r="V24" s="212">
        <f t="shared" si="21"/>
        <v>20.014412997903563</v>
      </c>
      <c r="W24" s="168">
        <f t="shared" si="22"/>
        <v>1.1283038629782516</v>
      </c>
    </row>
    <row r="25" spans="1:23" s="181" customFormat="1">
      <c r="A25" s="181">
        <v>5</v>
      </c>
      <c r="B25" s="171" t="s">
        <v>534</v>
      </c>
      <c r="C25" s="171" t="s">
        <v>535</v>
      </c>
      <c r="D25" s="172" t="s">
        <v>536</v>
      </c>
      <c r="E25" s="178">
        <v>19278</v>
      </c>
      <c r="F25" s="178">
        <f>32*D18*2</f>
        <v>6784</v>
      </c>
      <c r="G25" s="178">
        <f>4*D18*2</f>
        <v>848</v>
      </c>
      <c r="H25" s="172">
        <f>4*3*52*10/20</f>
        <v>312</v>
      </c>
      <c r="I25" s="172">
        <f>4*240*1/2</f>
        <v>480</v>
      </c>
      <c r="J25" s="175">
        <f>12*2*8*D18</f>
        <v>20352</v>
      </c>
      <c r="K25" s="217">
        <f>12*2*D18</f>
        <v>2544</v>
      </c>
      <c r="M25" s="217">
        <f>D18*(12*14*6+12*10*2+12*2*2)</f>
        <v>137376</v>
      </c>
      <c r="N25" s="172">
        <f>SUM(E25:J25)+K25*2</f>
        <v>53142</v>
      </c>
      <c r="O25" s="173">
        <f>100*N25/M25</f>
        <v>38.68361285814116</v>
      </c>
      <c r="P25" s="217">
        <f>D18*(12*14*6+12*10*2+12*1*2)</f>
        <v>134832</v>
      </c>
      <c r="Q25" s="172">
        <f t="shared" si="17"/>
        <v>50598</v>
      </c>
      <c r="R25" s="173">
        <f>100*Q25/P25</f>
        <v>37.52669989320043</v>
      </c>
      <c r="S25" s="168">
        <f t="shared" si="19"/>
        <v>1.0188679245283019</v>
      </c>
      <c r="T25" s="167">
        <f t="shared" si="20"/>
        <v>274752</v>
      </c>
      <c r="U25" s="248">
        <f t="shared" ref="U25:U26" si="25">SUM(E25:G25,K25)*$E$18/$D$18+H25+I25+12*CEILING($E$18*2*$D$17/$E$17,1)*8</f>
        <v>81547.471698113208</v>
      </c>
      <c r="V25" s="212">
        <f t="shared" si="21"/>
        <v>29.680392389541552</v>
      </c>
      <c r="W25" s="168">
        <f t="shared" si="22"/>
        <v>1.146832207314664</v>
      </c>
    </row>
    <row r="26" spans="1:23" s="181" customFormat="1">
      <c r="A26" s="181">
        <v>6</v>
      </c>
      <c r="B26" s="171" t="s">
        <v>537</v>
      </c>
      <c r="C26" s="171" t="s">
        <v>538</v>
      </c>
      <c r="D26" s="172" t="s">
        <v>539</v>
      </c>
      <c r="E26" s="178">
        <v>19686</v>
      </c>
      <c r="F26" s="178">
        <f>32*D18*2</f>
        <v>6784</v>
      </c>
      <c r="G26" s="178">
        <f>4*D18*2</f>
        <v>848</v>
      </c>
      <c r="H26" s="172">
        <f>4*3*52*10/20</f>
        <v>312</v>
      </c>
      <c r="I26" s="172">
        <f>4*240*1/2</f>
        <v>480</v>
      </c>
      <c r="J26" s="175">
        <f>12*2*8*D18</f>
        <v>20352</v>
      </c>
      <c r="K26" s="217">
        <f>12*2*D18</f>
        <v>2544</v>
      </c>
      <c r="M26" s="217">
        <f>D18*(12*14*6+12*10*2+12*2*2)</f>
        <v>137376</v>
      </c>
      <c r="N26" s="172">
        <f>SUM(E26:J26)+K26*2</f>
        <v>53550</v>
      </c>
      <c r="O26" s="173">
        <f>100*N26/M26</f>
        <v>38.980607966457022</v>
      </c>
      <c r="P26" s="217">
        <f>D18*(12*14*6+12*10*2+12*1*2)</f>
        <v>134832</v>
      </c>
      <c r="Q26" s="172">
        <f t="shared" si="17"/>
        <v>51006</v>
      </c>
      <c r="R26" s="173">
        <f>100*Q26/P26</f>
        <v>37.829298682805266</v>
      </c>
      <c r="S26" s="168">
        <f t="shared" si="19"/>
        <v>1.0188679245283017</v>
      </c>
      <c r="T26" s="167">
        <f t="shared" si="20"/>
        <v>274752</v>
      </c>
      <c r="U26" s="248">
        <f t="shared" si="25"/>
        <v>82378.867924528298</v>
      </c>
      <c r="V26" s="212">
        <f t="shared" si="21"/>
        <v>29.982991179146392</v>
      </c>
      <c r="W26" s="168">
        <f t="shared" si="22"/>
        <v>1.147455038266598</v>
      </c>
    </row>
    <row r="27" spans="1:23" s="181" customFormat="1">
      <c r="A27" s="76">
        <v>7</v>
      </c>
      <c r="B27" s="167" t="s">
        <v>540</v>
      </c>
      <c r="C27" s="171" t="s">
        <v>519</v>
      </c>
      <c r="D27" s="172" t="s">
        <v>541</v>
      </c>
      <c r="E27" s="172">
        <f>8*D18*6</f>
        <v>5088</v>
      </c>
      <c r="F27" s="172">
        <f>40*D18*2</f>
        <v>8480</v>
      </c>
      <c r="G27" s="172">
        <f>4*D18*2</f>
        <v>848</v>
      </c>
      <c r="H27" s="172">
        <f>12*52*10/20</f>
        <v>312</v>
      </c>
      <c r="I27" s="172">
        <f>4*240*1/2</f>
        <v>480</v>
      </c>
      <c r="J27" s="175">
        <f>12*2*6*D18</f>
        <v>15264</v>
      </c>
      <c r="K27" s="217">
        <f>12*1*D18</f>
        <v>1272</v>
      </c>
      <c r="L27" s="217"/>
      <c r="M27" s="217">
        <f>D18*(12*14*4+12*12*2)</f>
        <v>101760</v>
      </c>
      <c r="N27" s="172">
        <f>SUM(E27:J27)+K27*2</f>
        <v>33016</v>
      </c>
      <c r="O27" s="173">
        <f t="shared" ref="O27" si="26">100*N27/M27</f>
        <v>32.44496855345912</v>
      </c>
      <c r="P27" s="172">
        <f>D18*(12*14*4 + 12*11*2+12*0.5*2)</f>
        <v>100488</v>
      </c>
      <c r="Q27" s="172">
        <f t="shared" si="17"/>
        <v>31744</v>
      </c>
      <c r="R27" s="173">
        <f t="shared" ref="R27" si="27">100*Q27/P27</f>
        <v>31.589841573123159</v>
      </c>
      <c r="S27" s="168">
        <f t="shared" si="19"/>
        <v>1.0126582278481011</v>
      </c>
      <c r="T27" s="167">
        <f t="shared" si="20"/>
        <v>204768</v>
      </c>
      <c r="U27" s="248">
        <f>SUM(E27:G27,K27)*$E$18/$D$18+H27+I27+12*CEILING($E$18*2*$D$17/$E$17,1)*6</f>
        <v>48312</v>
      </c>
      <c r="V27" s="212">
        <f t="shared" si="21"/>
        <v>23.593530239099859</v>
      </c>
      <c r="W27" s="168">
        <f t="shared" si="22"/>
        <v>1.1379611311532645</v>
      </c>
    </row>
    <row r="28" spans="1:23" s="181" customFormat="1">
      <c r="A28" s="76"/>
      <c r="B28" s="167"/>
      <c r="C28" s="171"/>
      <c r="D28" s="171"/>
      <c r="E28" s="167"/>
      <c r="F28" s="172"/>
      <c r="G28" s="172"/>
      <c r="H28" s="172"/>
      <c r="I28" s="172"/>
      <c r="J28" s="211"/>
      <c r="K28" s="217"/>
      <c r="M28" s="172"/>
      <c r="N28" s="172"/>
      <c r="O28" s="173"/>
      <c r="P28" s="215"/>
      <c r="Q28" s="215"/>
      <c r="R28" s="216"/>
      <c r="S28" s="168"/>
      <c r="T28" s="167"/>
      <c r="U28" s="248"/>
      <c r="V28" s="212"/>
      <c r="W28" s="76"/>
    </row>
    <row r="29" spans="1:23" s="181" customFormat="1">
      <c r="B29" s="172"/>
      <c r="C29" s="172"/>
      <c r="D29" s="182"/>
      <c r="E29" s="178"/>
      <c r="F29" s="178"/>
      <c r="G29" s="178"/>
      <c r="H29" s="178"/>
      <c r="I29" s="178"/>
      <c r="J29" s="178"/>
      <c r="K29" s="178"/>
      <c r="L29" s="178"/>
      <c r="M29" s="178"/>
      <c r="N29" s="178"/>
      <c r="O29" s="178"/>
      <c r="P29" s="172"/>
      <c r="Q29" s="172"/>
      <c r="R29" s="173"/>
    </row>
    <row r="30" spans="1:23" ht="15">
      <c r="B30" s="166" t="s">
        <v>447</v>
      </c>
      <c r="C30" s="166"/>
    </row>
    <row r="31" spans="1:23" ht="15">
      <c r="B31" s="166" t="s">
        <v>575</v>
      </c>
      <c r="C31" s="166"/>
      <c r="D31" s="167" t="s">
        <v>576</v>
      </c>
      <c r="E31" s="167" t="s">
        <v>577</v>
      </c>
      <c r="F31" s="167" t="s">
        <v>578</v>
      </c>
    </row>
    <row r="32" spans="1:23" ht="15">
      <c r="B32" s="166" t="s">
        <v>579</v>
      </c>
      <c r="D32" s="167">
        <v>20</v>
      </c>
      <c r="E32" s="167">
        <v>40</v>
      </c>
      <c r="F32" s="167">
        <v>100</v>
      </c>
    </row>
    <row r="33" spans="1:27" ht="15">
      <c r="B33" s="166" t="s">
        <v>449</v>
      </c>
      <c r="C33" s="166"/>
      <c r="D33" s="167">
        <v>51</v>
      </c>
      <c r="E33" s="167">
        <v>106</v>
      </c>
      <c r="F33" s="167">
        <v>273</v>
      </c>
    </row>
    <row r="34" spans="1:27" ht="15">
      <c r="B34" s="166" t="s">
        <v>580</v>
      </c>
      <c r="D34" s="247">
        <v>8.2000000000000003E-2</v>
      </c>
      <c r="E34" s="247">
        <v>4.5999999999999999E-2</v>
      </c>
      <c r="F34" s="247">
        <v>1.72E-2</v>
      </c>
    </row>
    <row r="35" spans="1:27" ht="45.75" thickBot="1">
      <c r="B35" s="169"/>
      <c r="C35" s="169" t="s">
        <v>525</v>
      </c>
      <c r="D35" s="169" t="s">
        <v>450</v>
      </c>
      <c r="E35" s="169" t="s">
        <v>441</v>
      </c>
      <c r="F35" s="169" t="s">
        <v>442</v>
      </c>
      <c r="G35" s="169" t="s">
        <v>443</v>
      </c>
      <c r="H35" s="169" t="s">
        <v>444</v>
      </c>
      <c r="I35" s="169" t="s">
        <v>445</v>
      </c>
      <c r="J35" s="169" t="s">
        <v>446</v>
      </c>
      <c r="K35" s="169" t="s">
        <v>542</v>
      </c>
      <c r="L35" s="169"/>
      <c r="M35" s="170" t="s">
        <v>503</v>
      </c>
      <c r="N35" s="170" t="s">
        <v>504</v>
      </c>
      <c r="O35" s="170" t="s">
        <v>505</v>
      </c>
      <c r="P35" s="177" t="s">
        <v>506</v>
      </c>
      <c r="Q35" s="177" t="s">
        <v>507</v>
      </c>
      <c r="R35" s="214" t="s">
        <v>508</v>
      </c>
      <c r="S35" s="194" t="s">
        <v>509</v>
      </c>
      <c r="T35" s="177" t="s">
        <v>581</v>
      </c>
      <c r="U35" s="177" t="s">
        <v>582</v>
      </c>
      <c r="V35" s="214" t="s">
        <v>573</v>
      </c>
      <c r="W35" s="194" t="s">
        <v>583</v>
      </c>
      <c r="X35" s="177" t="s">
        <v>584</v>
      </c>
      <c r="Y35" s="177" t="s">
        <v>585</v>
      </c>
      <c r="Z35" s="214" t="s">
        <v>586</v>
      </c>
      <c r="AA35" s="194" t="s">
        <v>587</v>
      </c>
    </row>
    <row r="36" spans="1:27" ht="15.75" thickTop="1">
      <c r="A36" s="76">
        <v>1</v>
      </c>
      <c r="B36" s="183" t="s">
        <v>337</v>
      </c>
      <c r="C36" s="171" t="s">
        <v>520</v>
      </c>
      <c r="D36" s="207" t="s">
        <v>451</v>
      </c>
      <c r="E36" s="207">
        <f>2*8*D33*6*2</f>
        <v>9792</v>
      </c>
      <c r="F36" s="213">
        <f>40*D33*2</f>
        <v>4080</v>
      </c>
      <c r="G36" s="213">
        <f>4*D33*2</f>
        <v>408</v>
      </c>
      <c r="H36" s="213">
        <f>3*4*D33*2*1/8</f>
        <v>153</v>
      </c>
      <c r="I36" s="213">
        <f>1*4*240/2</f>
        <v>480</v>
      </c>
      <c r="J36" s="213">
        <f>12*2*6*51*2</f>
        <v>14688</v>
      </c>
      <c r="K36" s="180">
        <f>12*D33*1*4</f>
        <v>2448</v>
      </c>
      <c r="L36" s="178"/>
      <c r="M36" s="178">
        <f>D33*(12*14*4+12*6*2)*2</f>
        <v>83232</v>
      </c>
      <c r="N36" s="178">
        <f t="shared" ref="N36" si="28">SUM(E36:J36)</f>
        <v>29601</v>
      </c>
      <c r="O36" s="179">
        <f t="shared" ref="O36" si="29">100*N36/M36</f>
        <v>35.564446366782008</v>
      </c>
      <c r="P36" s="218">
        <f>D33*(12*14*4 + 12*6*2+12*1*2)*2</f>
        <v>85680</v>
      </c>
      <c r="Q36" s="218">
        <f>SUM(E36:K36)</f>
        <v>32049</v>
      </c>
      <c r="R36" s="219">
        <f t="shared" ref="R36:R44" si="30">100*Q36/P36</f>
        <v>37.405462184873947</v>
      </c>
      <c r="S36" s="168">
        <f>(1-R36/100)/(1-O36/100)</f>
        <v>0.97142857142857142</v>
      </c>
      <c r="T36" s="167">
        <f>P36*$E$33/$D$33</f>
        <v>178080</v>
      </c>
      <c r="U36" s="248">
        <f>SUM(E36:G36,K36)*$E$33/$D$33+H36+I36+12*CEILING($E$33*2*$D$32/$E$32,1)*6*2</f>
        <v>50665</v>
      </c>
      <c r="V36" s="212">
        <f>100*U36/T36</f>
        <v>28.450696316262356</v>
      </c>
      <c r="W36" s="168">
        <f>(1-V36/100)/(1-R36/100)*(1-$E$34)/(1-$D$34)</f>
        <v>1.1878857377263148</v>
      </c>
      <c r="X36" s="167">
        <f>P36*$F$33/$D$33</f>
        <v>458640</v>
      </c>
      <c r="Y36" s="248">
        <f>SUM(E36:G36,K36)*$F$33/$D$33+H36+I36+12*CEILING($F$33*2*$D$32/$F$32,1)*6*2</f>
        <v>106017</v>
      </c>
      <c r="Z36" s="212">
        <f>100*Y36/X36</f>
        <v>23.115515436944008</v>
      </c>
      <c r="AA36" s="168">
        <f>(1-Z36/100)/(1-R36/100)*(1-$F$34)/(1-$D$34)</f>
        <v>1.3149969234211558</v>
      </c>
    </row>
    <row r="37" spans="1:27">
      <c r="A37" s="76">
        <v>2</v>
      </c>
      <c r="B37" s="172" t="s">
        <v>543</v>
      </c>
      <c r="C37" s="171" t="s">
        <v>544</v>
      </c>
      <c r="D37" s="184" t="s">
        <v>541</v>
      </c>
      <c r="E37" s="172">
        <f>2*12*D33*6*2</f>
        <v>14688</v>
      </c>
      <c r="F37" s="172">
        <f>32*D33*2</f>
        <v>3264</v>
      </c>
      <c r="G37" s="172">
        <f>4*D33*2</f>
        <v>408</v>
      </c>
      <c r="H37" s="172">
        <f>4*3*D33*10/80</f>
        <v>76.5</v>
      </c>
      <c r="I37" s="172">
        <f>4*240*1/2</f>
        <v>480</v>
      </c>
      <c r="J37" s="172">
        <f>2*12*D33*6*2</f>
        <v>14688</v>
      </c>
      <c r="K37" s="172">
        <f>12*D33*2</f>
        <v>1224</v>
      </c>
      <c r="L37" s="172"/>
      <c r="M37" s="172">
        <v>96696</v>
      </c>
      <c r="N37" s="172">
        <v>34828.5</v>
      </c>
      <c r="O37" s="173">
        <v>36.01855299081658</v>
      </c>
      <c r="P37" s="172">
        <f>12*D33*14*4*2+12*D33*11*2*2+12*D33*2</f>
        <v>96696</v>
      </c>
      <c r="Q37" s="172">
        <f t="shared" ref="Q37:Q39" si="31">SUM(E37:K37)</f>
        <v>34828.5</v>
      </c>
      <c r="R37" s="173">
        <f t="shared" si="30"/>
        <v>36.01855299081658</v>
      </c>
      <c r="S37" s="168">
        <f t="shared" ref="S37:S44" si="32">(1-R37/100)/(1-O37/100)</f>
        <v>1</v>
      </c>
      <c r="T37" s="167">
        <f t="shared" ref="T37:T44" si="33">P37*$E$33/$D$33</f>
        <v>200976</v>
      </c>
      <c r="U37" s="248">
        <f t="shared" ref="U37:U38" si="34">SUM(E37:G37,K37)*$E$33/$D$33+H37+I37+12*CEILING($E$33*2*$D$32/$E$32,1)*6*2</f>
        <v>56524.5</v>
      </c>
      <c r="V37" s="212">
        <f t="shared" ref="V37:V44" si="35">100*U37/T37</f>
        <v>28.125</v>
      </c>
      <c r="W37" s="168">
        <f t="shared" ref="W37:W44" si="36">(1-V37/100)/(1-R37/100)*(1-$E$34)/(1-$D$34)</f>
        <v>1.1674263547096617</v>
      </c>
      <c r="X37" s="167">
        <f t="shared" ref="X37:X44" si="37">P37*$F$33/$D$33</f>
        <v>517608</v>
      </c>
      <c r="Y37" s="248">
        <f t="shared" ref="Y37:Y38" si="38">SUM(E37:G37,K37)*$F$33/$D$33+H37+I37+12*CEILING($F$33*2*$D$32/$F$32,1)*6*2</f>
        <v>121228.5</v>
      </c>
      <c r="Z37" s="212">
        <f t="shared" ref="Z37:Z44" si="39">100*Y37/X37</f>
        <v>23.420909259516854</v>
      </c>
      <c r="AA37" s="168">
        <f t="shared" ref="AA37:AA44" si="40">(1-Z37/100)/(1-R37/100)*(1-$F$34)/(1-$D$34)</f>
        <v>1.2813819856952358</v>
      </c>
    </row>
    <row r="38" spans="1:27">
      <c r="A38" s="76">
        <v>3</v>
      </c>
      <c r="B38" s="172" t="s">
        <v>545</v>
      </c>
      <c r="C38" s="171" t="s">
        <v>544</v>
      </c>
      <c r="D38" s="184" t="s">
        <v>541</v>
      </c>
      <c r="E38" s="172">
        <f>2*12*D33*6*2</f>
        <v>14688</v>
      </c>
      <c r="F38" s="172">
        <f>40*D33*2</f>
        <v>4080</v>
      </c>
      <c r="G38" s="172">
        <f>4*D33*2</f>
        <v>408</v>
      </c>
      <c r="H38" s="172">
        <f>4*3*D33*10/80</f>
        <v>76.5</v>
      </c>
      <c r="I38" s="172">
        <f>4*240*1/2</f>
        <v>480</v>
      </c>
      <c r="J38" s="172">
        <f>2*12*D33*6*2</f>
        <v>14688</v>
      </c>
      <c r="K38" s="172">
        <f>12*D33*2</f>
        <v>1224</v>
      </c>
      <c r="L38" s="172"/>
      <c r="M38" s="172">
        <v>96696</v>
      </c>
      <c r="N38" s="172">
        <v>35644.5</v>
      </c>
      <c r="O38" s="173">
        <v>36.862434847356667</v>
      </c>
      <c r="P38" s="172">
        <f>12*D33*14*4*2+12*D33*11*2*2+12*D33*2</f>
        <v>96696</v>
      </c>
      <c r="Q38" s="172">
        <f t="shared" si="31"/>
        <v>35644.5</v>
      </c>
      <c r="R38" s="173">
        <f t="shared" si="30"/>
        <v>36.862434847356667</v>
      </c>
      <c r="S38" s="168">
        <f t="shared" si="32"/>
        <v>1</v>
      </c>
      <c r="T38" s="167">
        <f t="shared" si="33"/>
        <v>200976</v>
      </c>
      <c r="U38" s="248">
        <f t="shared" si="34"/>
        <v>58220.5</v>
      </c>
      <c r="V38" s="212">
        <f t="shared" si="35"/>
        <v>28.968881856540083</v>
      </c>
      <c r="W38" s="168">
        <f t="shared" si="36"/>
        <v>1.1691399883704741</v>
      </c>
      <c r="X38" s="167">
        <f t="shared" si="37"/>
        <v>517608</v>
      </c>
      <c r="Y38" s="248">
        <f t="shared" si="38"/>
        <v>125596.5</v>
      </c>
      <c r="Z38" s="212">
        <f t="shared" si="39"/>
        <v>24.264791116056937</v>
      </c>
      <c r="AA38" s="168">
        <f t="shared" si="40"/>
        <v>1.2841994054200143</v>
      </c>
    </row>
    <row r="39" spans="1:27">
      <c r="A39" s="76">
        <v>4</v>
      </c>
      <c r="B39" s="172" t="s">
        <v>522</v>
      </c>
      <c r="C39" s="171" t="s">
        <v>535</v>
      </c>
      <c r="D39" s="172" t="s">
        <v>536</v>
      </c>
      <c r="E39" s="172">
        <v>18558</v>
      </c>
      <c r="F39" s="172">
        <f>40*D33*4</f>
        <v>8160</v>
      </c>
      <c r="G39" s="172">
        <f>4*D33*4</f>
        <v>816</v>
      </c>
      <c r="H39" s="172">
        <f>3*4*D33*10/20</f>
        <v>306</v>
      </c>
      <c r="I39" s="172">
        <f t="shared" ref="I39:I40" si="41">1*4*240*1/2</f>
        <v>480</v>
      </c>
      <c r="J39" s="172">
        <f>2*12*D33*8*2</f>
        <v>19584</v>
      </c>
      <c r="K39" s="211">
        <f>2*12*D33*2</f>
        <v>2448</v>
      </c>
      <c r="L39" s="181"/>
      <c r="M39" s="211">
        <f>D33*12*(14*6+10*2+2*2)*2</f>
        <v>132192</v>
      </c>
      <c r="N39" s="211">
        <f>SUM(E39:J39)+K39*2</f>
        <v>52800</v>
      </c>
      <c r="O39" s="212">
        <f t="shared" ref="O39:O41" si="42">100*N39/M39</f>
        <v>39.941902687000727</v>
      </c>
      <c r="P39" s="211">
        <f>D33*12*(14*6+10*2+1*2)*2</f>
        <v>129744</v>
      </c>
      <c r="Q39" s="211">
        <f t="shared" si="31"/>
        <v>50352</v>
      </c>
      <c r="R39" s="212">
        <f t="shared" si="30"/>
        <v>38.808731039585645</v>
      </c>
      <c r="S39" s="168">
        <f t="shared" si="32"/>
        <v>1.0188679245283021</v>
      </c>
      <c r="T39" s="167">
        <f t="shared" si="33"/>
        <v>269664</v>
      </c>
      <c r="U39" s="248">
        <f>SUM(E39:G39,K39)*$E$33/$D$33+H39+I39+12*CEILING($E$33*2*$D$32/$E$32,1)*8*2</f>
        <v>83453.529411764699</v>
      </c>
      <c r="V39" s="212">
        <f t="shared" si="35"/>
        <v>30.947226701289271</v>
      </c>
      <c r="W39" s="168">
        <f t="shared" si="36"/>
        <v>1.1727281753088175</v>
      </c>
      <c r="X39" s="167">
        <f t="shared" si="37"/>
        <v>694512</v>
      </c>
      <c r="Y39" s="248">
        <f>SUM(E39:G39,K39)*$F$33/$D$33+H39+I39+12*CEILING($F$33*2*$D$32/$F$32,1)*8*2</f>
        <v>182397.88235294117</v>
      </c>
      <c r="Z39" s="212">
        <f t="shared" si="39"/>
        <v>26.262740219454983</v>
      </c>
      <c r="AA39" s="168">
        <f t="shared" si="40"/>
        <v>1.2900899779500674</v>
      </c>
    </row>
    <row r="40" spans="1:27">
      <c r="A40" s="76">
        <v>5</v>
      </c>
      <c r="B40" s="172" t="s">
        <v>522</v>
      </c>
      <c r="C40" s="171" t="s">
        <v>546</v>
      </c>
      <c r="D40" s="172" t="s">
        <v>536</v>
      </c>
      <c r="E40" s="172">
        <v>18804</v>
      </c>
      <c r="F40" s="172">
        <f>40*D33*4</f>
        <v>8160</v>
      </c>
      <c r="G40" s="172">
        <f>4*D33*4</f>
        <v>816</v>
      </c>
      <c r="H40" s="172">
        <f>3*4*D33*10/20</f>
        <v>306</v>
      </c>
      <c r="I40" s="172">
        <f t="shared" si="41"/>
        <v>480</v>
      </c>
      <c r="J40" s="172">
        <f>2*12*D33*8*2</f>
        <v>19584</v>
      </c>
      <c r="K40" s="211">
        <f>2*12*D33*2</f>
        <v>2448</v>
      </c>
      <c r="L40" s="181"/>
      <c r="M40" s="211">
        <f>D33*12*(14*6+10*2+2*2)*2</f>
        <v>132192</v>
      </c>
      <c r="N40" s="211">
        <f>SUM(E40:J40)+K40*2</f>
        <v>53046</v>
      </c>
      <c r="O40" s="212">
        <f t="shared" si="42"/>
        <v>40.127995642701528</v>
      </c>
      <c r="P40" s="211">
        <f>D33*12*(14*6+10*2+1*2)*2</f>
        <v>129744</v>
      </c>
      <c r="Q40" s="211">
        <f t="shared" ref="Q40:Q44" si="43">SUM(E40:K40)</f>
        <v>50598</v>
      </c>
      <c r="R40" s="212">
        <f t="shared" si="30"/>
        <v>38.998335183129853</v>
      </c>
      <c r="S40" s="168">
        <f t="shared" si="32"/>
        <v>1.0188679245283021</v>
      </c>
      <c r="T40" s="167">
        <f t="shared" si="33"/>
        <v>269664</v>
      </c>
      <c r="U40" s="248">
        <f t="shared" ref="U40:U44" si="44">SUM(E40:G40,K40)*$E$33/$D$33+H40+I40+12*CEILING($E$33*2*$D$32/$E$32,1)*8*2</f>
        <v>83964.823529411762</v>
      </c>
      <c r="V40" s="212">
        <f t="shared" si="35"/>
        <v>31.136830844833483</v>
      </c>
      <c r="W40" s="168">
        <f t="shared" si="36"/>
        <v>1.1731431561328949</v>
      </c>
      <c r="X40" s="167">
        <f t="shared" si="37"/>
        <v>694512</v>
      </c>
      <c r="Y40" s="248">
        <f t="shared" ref="Y40:Y44" si="45">SUM(E40:G40,K40)*$F$33/$D$33+H40+I40+12*CEILING($F$33*2*$D$32/$F$32,1)*8*2</f>
        <v>183714.70588235295</v>
      </c>
      <c r="Z40" s="212">
        <f t="shared" si="39"/>
        <v>26.452344362999195</v>
      </c>
      <c r="AA40" s="168">
        <f t="shared" si="40"/>
        <v>1.2907722288369521</v>
      </c>
    </row>
    <row r="41" spans="1:27" ht="15">
      <c r="A41" s="76">
        <v>6</v>
      </c>
      <c r="B41" s="183" t="s">
        <v>337</v>
      </c>
      <c r="C41" s="171" t="s">
        <v>519</v>
      </c>
      <c r="D41" s="207" t="s">
        <v>452</v>
      </c>
      <c r="E41" s="207">
        <f>2*12*D33*8*2</f>
        <v>19584</v>
      </c>
      <c r="F41" s="213">
        <f>32*D33*2</f>
        <v>3264</v>
      </c>
      <c r="G41" s="213">
        <f>4*D33*2</f>
        <v>408</v>
      </c>
      <c r="H41" s="213">
        <f>3*4*D33*1/8</f>
        <v>76.5</v>
      </c>
      <c r="I41" s="213">
        <f>1*4*240/2</f>
        <v>480</v>
      </c>
      <c r="J41" s="213">
        <f>12*2*8*D33*2</f>
        <v>19584</v>
      </c>
      <c r="K41" s="220">
        <f>12*2*D33*2</f>
        <v>2448</v>
      </c>
      <c r="L41" s="207"/>
      <c r="M41" s="213">
        <f>12*D33*14*6*2+12*D33*10*2*2</f>
        <v>127296</v>
      </c>
      <c r="N41" s="213">
        <f t="shared" ref="N41:N43" si="46">SUM(E41:J41)</f>
        <v>43396.5</v>
      </c>
      <c r="O41" s="221">
        <f t="shared" si="42"/>
        <v>34.091016214177976</v>
      </c>
      <c r="P41" s="211">
        <f>D33*12*(14*6+10*2+1*2)*2</f>
        <v>129744</v>
      </c>
      <c r="Q41" s="211">
        <f t="shared" si="43"/>
        <v>45844.5</v>
      </c>
      <c r="R41" s="212">
        <f t="shared" si="30"/>
        <v>35.334581945985938</v>
      </c>
      <c r="S41" s="168">
        <f t="shared" si="32"/>
        <v>0.98113207547169834</v>
      </c>
      <c r="T41" s="167">
        <f t="shared" si="33"/>
        <v>269664</v>
      </c>
      <c r="U41" s="248">
        <f t="shared" si="44"/>
        <v>74332.5</v>
      </c>
      <c r="V41" s="212">
        <f t="shared" si="35"/>
        <v>27.564858490566039</v>
      </c>
      <c r="W41" s="168">
        <f t="shared" si="36"/>
        <v>1.1640802388572038</v>
      </c>
      <c r="X41" s="167">
        <f t="shared" si="37"/>
        <v>694512</v>
      </c>
      <c r="Y41" s="248">
        <f t="shared" si="45"/>
        <v>159268.5</v>
      </c>
      <c r="Z41" s="212">
        <f t="shared" si="39"/>
        <v>22.93243313290483</v>
      </c>
      <c r="AA41" s="168">
        <f t="shared" si="40"/>
        <v>1.2759158278654819</v>
      </c>
    </row>
    <row r="42" spans="1:27" ht="15">
      <c r="A42" s="76">
        <v>7</v>
      </c>
      <c r="B42" s="172" t="s">
        <v>547</v>
      </c>
      <c r="C42" s="185" t="s">
        <v>548</v>
      </c>
      <c r="D42" s="172" t="s">
        <v>536</v>
      </c>
      <c r="E42" s="172">
        <v>16054</v>
      </c>
      <c r="F42" s="172">
        <v>8160</v>
      </c>
      <c r="G42" s="172">
        <v>816</v>
      </c>
      <c r="H42" s="172">
        <v>306</v>
      </c>
      <c r="I42" s="172">
        <v>480</v>
      </c>
      <c r="J42" s="172">
        <v>19584</v>
      </c>
      <c r="K42" s="220">
        <f>12*2*D33*2</f>
        <v>2448</v>
      </c>
      <c r="L42" s="181"/>
      <c r="M42" s="222">
        <f>12*D33*14*6*2+12*D33*10*2*2</f>
        <v>127296</v>
      </c>
      <c r="N42" s="211">
        <f t="shared" si="46"/>
        <v>45400</v>
      </c>
      <c r="O42" s="212">
        <f>100*N42/M42</f>
        <v>35.6649069884364</v>
      </c>
      <c r="P42" s="211">
        <f>D33*12*(14*6+10*2+1*2)*2</f>
        <v>129744</v>
      </c>
      <c r="Q42" s="211">
        <f t="shared" si="43"/>
        <v>47848</v>
      </c>
      <c r="R42" s="212">
        <f t="shared" si="30"/>
        <v>36.878776667899864</v>
      </c>
      <c r="S42" s="168">
        <f t="shared" si="32"/>
        <v>0.98113207547169812</v>
      </c>
      <c r="T42" s="167">
        <f t="shared" si="33"/>
        <v>269664</v>
      </c>
      <c r="U42" s="248">
        <f t="shared" si="44"/>
        <v>78249.137254901958</v>
      </c>
      <c r="V42" s="212">
        <f t="shared" si="35"/>
        <v>29.01727232960349</v>
      </c>
      <c r="W42" s="168">
        <f t="shared" si="36"/>
        <v>1.1686459823745849</v>
      </c>
      <c r="X42" s="167">
        <f t="shared" si="37"/>
        <v>694512</v>
      </c>
      <c r="Y42" s="248">
        <f t="shared" si="45"/>
        <v>168994.11764705883</v>
      </c>
      <c r="Z42" s="212">
        <f t="shared" si="39"/>
        <v>24.332785847769198</v>
      </c>
      <c r="AA42" s="168">
        <f t="shared" si="40"/>
        <v>1.2833786322969161</v>
      </c>
    </row>
    <row r="43" spans="1:27" ht="15">
      <c r="A43" s="76">
        <v>8</v>
      </c>
      <c r="B43" s="172" t="s">
        <v>547</v>
      </c>
      <c r="C43" s="184" t="s">
        <v>549</v>
      </c>
      <c r="D43" s="172" t="s">
        <v>536</v>
      </c>
      <c r="E43" s="172">
        <v>10279</v>
      </c>
      <c r="F43" s="172">
        <v>8160</v>
      </c>
      <c r="G43" s="172">
        <v>816</v>
      </c>
      <c r="H43" s="172">
        <v>306</v>
      </c>
      <c r="I43" s="172">
        <v>480</v>
      </c>
      <c r="J43" s="172">
        <v>19584</v>
      </c>
      <c r="K43" s="220">
        <f>12*2*D33*2</f>
        <v>2448</v>
      </c>
      <c r="L43" s="181"/>
      <c r="M43" s="222">
        <f>12*D33*14*6*2+12*D33*10*2*2</f>
        <v>127296</v>
      </c>
      <c r="N43" s="211">
        <f t="shared" si="46"/>
        <v>39625</v>
      </c>
      <c r="O43" s="212">
        <f>100*N43/M43</f>
        <v>31.128236551030668</v>
      </c>
      <c r="P43" s="211">
        <f>D33*12*(14*6+10*2+1*2)*2</f>
        <v>129744</v>
      </c>
      <c r="Q43" s="211">
        <f t="shared" si="43"/>
        <v>42073</v>
      </c>
      <c r="R43" s="212">
        <f t="shared" si="30"/>
        <v>32.427703785916883</v>
      </c>
      <c r="S43" s="168">
        <f t="shared" si="32"/>
        <v>0.98113207547169823</v>
      </c>
      <c r="T43" s="167">
        <f t="shared" si="33"/>
        <v>269664</v>
      </c>
      <c r="U43" s="248">
        <f t="shared" si="44"/>
        <v>66246.196078431371</v>
      </c>
      <c r="V43" s="212">
        <f t="shared" si="35"/>
        <v>24.566199447620509</v>
      </c>
      <c r="W43" s="168">
        <f t="shared" si="36"/>
        <v>1.1601202445595957</v>
      </c>
      <c r="X43" s="167">
        <f t="shared" si="37"/>
        <v>694512</v>
      </c>
      <c r="Y43" s="248">
        <f t="shared" si="45"/>
        <v>138080.88235294117</v>
      </c>
      <c r="Z43" s="212">
        <f t="shared" si="39"/>
        <v>19.881712965786217</v>
      </c>
      <c r="AA43" s="168">
        <f t="shared" si="40"/>
        <v>1.2693618588747908</v>
      </c>
    </row>
    <row r="44" spans="1:27" ht="26.25">
      <c r="A44" s="76">
        <v>9</v>
      </c>
      <c r="B44" s="171" t="s">
        <v>550</v>
      </c>
      <c r="C44" s="171" t="s">
        <v>527</v>
      </c>
      <c r="D44" s="223" t="s">
        <v>551</v>
      </c>
      <c r="E44" s="211">
        <f>24*D33*8*2</f>
        <v>19584</v>
      </c>
      <c r="F44" s="211">
        <f>40*D33*10/5</f>
        <v>4080</v>
      </c>
      <c r="G44" s="211">
        <f>4*D33*10/5</f>
        <v>408</v>
      </c>
      <c r="H44" s="211">
        <f>3*4*D33*10/20</f>
        <v>306</v>
      </c>
      <c r="I44" s="211">
        <f>4*4*240*1/2</f>
        <v>1920</v>
      </c>
      <c r="J44" s="211">
        <f>2*12*D33*8*2</f>
        <v>19584</v>
      </c>
      <c r="K44" s="211">
        <f>2*12*D33*2</f>
        <v>2448</v>
      </c>
      <c r="L44" s="181"/>
      <c r="M44" s="222">
        <f>12*D33*14*7*2+12*D33*6*1*2</f>
        <v>127296</v>
      </c>
      <c r="N44" s="211">
        <f t="shared" ref="N44" si="47">SUM(E44:J44)</f>
        <v>45882</v>
      </c>
      <c r="O44" s="212">
        <f>100*N44/M44</f>
        <v>36.043552036199095</v>
      </c>
      <c r="P44" s="211">
        <f>D33*12*(14*7+6*1+2)*2</f>
        <v>129744</v>
      </c>
      <c r="Q44" s="211">
        <f t="shared" si="43"/>
        <v>48330</v>
      </c>
      <c r="R44" s="212">
        <f t="shared" si="30"/>
        <v>37.250277469478355</v>
      </c>
      <c r="S44" s="168">
        <f t="shared" si="32"/>
        <v>0.98113207547169812</v>
      </c>
      <c r="T44" s="167">
        <f t="shared" si="33"/>
        <v>269664</v>
      </c>
      <c r="U44" s="248">
        <f t="shared" si="44"/>
        <v>77698</v>
      </c>
      <c r="V44" s="212">
        <f t="shared" si="35"/>
        <v>28.812893081761008</v>
      </c>
      <c r="W44" s="168">
        <f t="shared" si="36"/>
        <v>1.1789495664136389</v>
      </c>
      <c r="X44" s="167">
        <f t="shared" si="37"/>
        <v>694512</v>
      </c>
      <c r="Y44" s="248">
        <f t="shared" si="45"/>
        <v>165306</v>
      </c>
      <c r="Z44" s="212">
        <f t="shared" si="39"/>
        <v>23.801748565899508</v>
      </c>
      <c r="AA44" s="168">
        <f t="shared" si="40"/>
        <v>1.3000368486992411</v>
      </c>
    </row>
    <row r="45" spans="1:27">
      <c r="B45" s="171"/>
      <c r="C45" s="171"/>
      <c r="S45" s="168"/>
    </row>
    <row r="46" spans="1:27">
      <c r="B46" s="171"/>
      <c r="C46" s="171"/>
      <c r="S46" s="168"/>
    </row>
    <row r="48" spans="1:27" s="276" customFormat="1" ht="15">
      <c r="B48" s="283"/>
      <c r="C48" s="283"/>
      <c r="D48" s="275"/>
      <c r="M48" s="274"/>
      <c r="P48" s="274"/>
      <c r="Q48" s="274"/>
      <c r="R48" s="265"/>
    </row>
    <row r="49" spans="2:29" s="276" customFormat="1" ht="15">
      <c r="B49" s="283"/>
      <c r="C49" s="283"/>
      <c r="D49" s="274"/>
      <c r="E49" s="274"/>
      <c r="F49" s="274"/>
      <c r="M49" s="274"/>
      <c r="P49" s="274"/>
      <c r="Q49" s="274"/>
      <c r="R49" s="265"/>
    </row>
    <row r="50" spans="2:29" s="276" customFormat="1" ht="15">
      <c r="B50" s="283"/>
      <c r="D50" s="274"/>
      <c r="E50" s="274"/>
      <c r="F50" s="274"/>
      <c r="M50" s="274"/>
      <c r="P50" s="274"/>
      <c r="Q50" s="274"/>
      <c r="R50" s="265"/>
    </row>
    <row r="51" spans="2:29" s="276" customFormat="1" ht="15">
      <c r="B51" s="283"/>
      <c r="C51" s="283"/>
      <c r="D51" s="274"/>
      <c r="E51" s="274"/>
      <c r="F51" s="274"/>
      <c r="M51" s="274"/>
      <c r="P51" s="274"/>
      <c r="Q51" s="274"/>
      <c r="R51" s="265"/>
    </row>
    <row r="52" spans="2:29" s="276" customFormat="1" ht="15">
      <c r="B52" s="283"/>
      <c r="D52" s="284"/>
      <c r="E52" s="284"/>
      <c r="F52" s="284"/>
      <c r="M52" s="274"/>
      <c r="P52" s="274"/>
      <c r="Q52" s="274"/>
      <c r="R52" s="265"/>
    </row>
    <row r="53" spans="2:29" s="276" customFormat="1" ht="15">
      <c r="B53" s="285"/>
      <c r="C53" s="285"/>
      <c r="D53" s="286"/>
      <c r="E53" s="285"/>
      <c r="F53" s="285"/>
      <c r="G53" s="285"/>
      <c r="H53" s="285"/>
      <c r="I53" s="285"/>
      <c r="J53" s="285"/>
      <c r="K53" s="285"/>
      <c r="L53" s="285"/>
      <c r="M53" s="285"/>
      <c r="N53" s="285"/>
      <c r="O53" s="287"/>
      <c r="P53" s="287"/>
      <c r="Q53" s="287"/>
      <c r="R53" s="288"/>
      <c r="S53" s="287"/>
      <c r="T53" s="288"/>
      <c r="U53" s="288"/>
      <c r="V53" s="287"/>
      <c r="W53" s="287"/>
      <c r="X53" s="288"/>
      <c r="Y53" s="288"/>
      <c r="Z53" s="287"/>
      <c r="AA53" s="287"/>
      <c r="AB53" s="288"/>
      <c r="AC53" s="288"/>
    </row>
    <row r="54" spans="2:29" s="276" customFormat="1">
      <c r="B54" s="180"/>
      <c r="C54" s="196"/>
      <c r="D54" s="261"/>
      <c r="E54" s="180"/>
      <c r="F54" s="180"/>
      <c r="G54" s="180"/>
      <c r="H54" s="180"/>
      <c r="I54" s="180"/>
      <c r="J54" s="180"/>
      <c r="K54" s="180"/>
      <c r="L54" s="180"/>
      <c r="M54" s="180"/>
      <c r="N54" s="180"/>
      <c r="O54" s="180"/>
      <c r="P54" s="180"/>
      <c r="Q54" s="262"/>
      <c r="R54" s="263"/>
      <c r="S54" s="180"/>
      <c r="T54" s="264"/>
      <c r="U54" s="265"/>
      <c r="V54" s="274"/>
      <c r="W54" s="289"/>
      <c r="X54" s="265"/>
      <c r="Y54" s="265"/>
      <c r="Z54" s="274"/>
      <c r="AA54" s="289"/>
      <c r="AB54" s="265"/>
      <c r="AC54" s="265"/>
    </row>
    <row r="55" spans="2:29" s="276" customFormat="1">
      <c r="B55" s="180"/>
      <c r="C55" s="266"/>
      <c r="D55" s="261"/>
      <c r="E55" s="180"/>
      <c r="F55" s="180"/>
      <c r="G55" s="180"/>
      <c r="H55" s="180"/>
      <c r="I55" s="180"/>
      <c r="J55" s="180"/>
      <c r="K55" s="180"/>
      <c r="L55" s="180"/>
      <c r="M55" s="180"/>
      <c r="N55" s="180"/>
      <c r="O55" s="180"/>
      <c r="P55" s="180"/>
      <c r="Q55" s="262"/>
      <c r="R55" s="263"/>
      <c r="S55" s="180"/>
      <c r="T55" s="264"/>
      <c r="U55" s="265"/>
      <c r="V55" s="274"/>
      <c r="W55" s="289"/>
      <c r="X55" s="265"/>
      <c r="Y55" s="265"/>
      <c r="Z55" s="274"/>
      <c r="AA55" s="289"/>
      <c r="AB55" s="265"/>
      <c r="AC55" s="265"/>
    </row>
    <row r="56" spans="2:29" s="276" customFormat="1">
      <c r="B56" s="267"/>
      <c r="C56" s="267"/>
      <c r="D56" s="268"/>
      <c r="E56" s="267"/>
      <c r="F56" s="267"/>
      <c r="G56" s="267"/>
      <c r="H56" s="267"/>
      <c r="I56" s="267"/>
      <c r="J56" s="267"/>
      <c r="K56" s="267"/>
      <c r="L56" s="269"/>
      <c r="M56" s="267"/>
      <c r="N56" s="269"/>
      <c r="O56" s="267"/>
      <c r="P56" s="267"/>
      <c r="Q56" s="270"/>
      <c r="R56" s="271"/>
      <c r="S56" s="267"/>
      <c r="T56" s="272"/>
    </row>
    <row r="57" spans="2:29" s="276" customFormat="1">
      <c r="D57" s="275"/>
      <c r="M57" s="274"/>
      <c r="P57" s="274"/>
      <c r="Q57" s="274"/>
      <c r="R57" s="278"/>
    </row>
    <row r="58" spans="2:29" s="276" customFormat="1">
      <c r="D58" s="275"/>
      <c r="M58" s="274"/>
      <c r="P58" s="274"/>
      <c r="Q58" s="274"/>
      <c r="R58" s="278"/>
    </row>
    <row r="59" spans="2:29" s="276" customFormat="1">
      <c r="D59" s="275"/>
      <c r="M59" s="274"/>
      <c r="P59" s="274"/>
      <c r="Q59" s="274"/>
      <c r="R59" s="278"/>
    </row>
    <row r="60" spans="2:29" s="276" customFormat="1">
      <c r="D60" s="275"/>
      <c r="M60" s="274"/>
      <c r="P60" s="274"/>
      <c r="Q60" s="274"/>
      <c r="R60" s="278"/>
    </row>
    <row r="61" spans="2:29" s="276" customFormat="1" ht="15">
      <c r="B61" s="283"/>
      <c r="C61" s="283"/>
      <c r="D61" s="275"/>
      <c r="M61" s="274"/>
      <c r="P61" s="274"/>
      <c r="Q61" s="274"/>
      <c r="R61" s="278"/>
    </row>
    <row r="62" spans="2:29" s="276" customFormat="1" ht="15">
      <c r="B62" s="283"/>
      <c r="C62" s="283"/>
      <c r="D62" s="274"/>
      <c r="E62" s="274"/>
      <c r="F62" s="274"/>
      <c r="M62" s="274"/>
      <c r="P62" s="274"/>
      <c r="Q62" s="274"/>
      <c r="R62" s="278"/>
    </row>
    <row r="63" spans="2:29" s="276" customFormat="1">
      <c r="B63" s="290"/>
      <c r="D63" s="274"/>
      <c r="E63" s="274"/>
      <c r="F63" s="274"/>
      <c r="M63" s="274"/>
      <c r="P63" s="274"/>
      <c r="Q63" s="274"/>
      <c r="R63" s="278"/>
    </row>
    <row r="64" spans="2:29" s="276" customFormat="1" ht="15">
      <c r="B64" s="283"/>
      <c r="C64" s="283"/>
      <c r="D64" s="274"/>
      <c r="E64" s="274"/>
      <c r="F64" s="274"/>
      <c r="M64" s="274"/>
      <c r="P64" s="274"/>
      <c r="Q64" s="274"/>
      <c r="R64" s="278"/>
    </row>
    <row r="65" spans="2:29" s="276" customFormat="1">
      <c r="D65" s="284"/>
      <c r="E65" s="284"/>
      <c r="F65" s="284"/>
      <c r="M65" s="274"/>
      <c r="P65" s="274"/>
      <c r="Q65" s="274"/>
      <c r="R65" s="278"/>
    </row>
    <row r="66" spans="2:29" s="276" customFormat="1" ht="56.25" customHeight="1">
      <c r="B66" s="285"/>
      <c r="C66" s="285"/>
      <c r="D66" s="286"/>
      <c r="E66" s="285"/>
      <c r="F66" s="285"/>
      <c r="G66" s="285"/>
      <c r="H66" s="285"/>
      <c r="I66" s="285"/>
      <c r="J66" s="285"/>
      <c r="K66" s="285"/>
      <c r="L66" s="285"/>
      <c r="M66" s="285"/>
      <c r="N66" s="285"/>
      <c r="O66" s="287"/>
      <c r="P66" s="287"/>
      <c r="Q66" s="287"/>
      <c r="R66" s="291"/>
      <c r="S66" s="287"/>
      <c r="T66" s="288"/>
      <c r="U66" s="288"/>
      <c r="V66" s="287"/>
      <c r="W66" s="287"/>
      <c r="X66" s="288"/>
      <c r="Y66" s="288"/>
      <c r="Z66" s="287"/>
      <c r="AA66" s="287"/>
      <c r="AB66" s="288"/>
      <c r="AC66" s="288"/>
    </row>
    <row r="67" spans="2:29" s="276" customFormat="1">
      <c r="B67" s="180"/>
      <c r="C67" s="196"/>
      <c r="D67" s="261"/>
      <c r="E67" s="180"/>
      <c r="F67" s="180"/>
      <c r="G67" s="180"/>
      <c r="H67" s="180"/>
      <c r="I67" s="180"/>
      <c r="J67" s="180"/>
      <c r="K67" s="180"/>
      <c r="L67" s="273"/>
      <c r="M67" s="180"/>
      <c r="N67" s="273"/>
      <c r="O67" s="180"/>
      <c r="P67" s="180"/>
      <c r="Q67" s="262"/>
      <c r="R67" s="263"/>
      <c r="S67" s="180"/>
      <c r="T67" s="264"/>
      <c r="U67" s="265"/>
      <c r="V67" s="274"/>
      <c r="W67" s="289"/>
      <c r="X67" s="265"/>
      <c r="Y67" s="265"/>
      <c r="Z67" s="274"/>
      <c r="AA67" s="289"/>
      <c r="AB67" s="265"/>
      <c r="AC67" s="265"/>
    </row>
    <row r="68" spans="2:29" s="276" customFormat="1">
      <c r="B68" s="180"/>
      <c r="C68" s="266"/>
      <c r="D68" s="261"/>
      <c r="E68" s="180"/>
      <c r="F68" s="180"/>
      <c r="G68" s="180"/>
      <c r="H68" s="180"/>
      <c r="I68" s="180"/>
      <c r="J68" s="180"/>
      <c r="K68" s="180"/>
      <c r="L68" s="273"/>
      <c r="M68" s="180"/>
      <c r="N68" s="273"/>
      <c r="O68" s="180"/>
      <c r="P68" s="180"/>
      <c r="Q68" s="262"/>
      <c r="R68" s="263"/>
      <c r="S68" s="180"/>
      <c r="T68" s="264"/>
      <c r="U68" s="265"/>
      <c r="V68" s="274"/>
      <c r="W68" s="289"/>
      <c r="X68" s="265"/>
      <c r="Y68" s="265"/>
      <c r="Z68" s="274"/>
      <c r="AA68" s="289"/>
      <c r="AB68" s="265"/>
      <c r="AC68" s="265"/>
    </row>
    <row r="69" spans="2:29" s="276" customFormat="1">
      <c r="B69" s="196"/>
      <c r="D69" s="275"/>
      <c r="M69" s="274"/>
      <c r="P69" s="274"/>
      <c r="Q69" s="274"/>
      <c r="R69" s="278"/>
    </row>
    <row r="70" spans="2:29" s="276" customFormat="1">
      <c r="D70" s="275"/>
      <c r="M70" s="274"/>
      <c r="P70" s="274"/>
      <c r="Q70" s="274"/>
      <c r="R70" s="278"/>
    </row>
    <row r="71" spans="2:29" s="276" customFormat="1">
      <c r="D71" s="275"/>
      <c r="M71" s="274"/>
      <c r="P71" s="274"/>
      <c r="Q71" s="274"/>
      <c r="R71" s="278"/>
    </row>
    <row r="72" spans="2:29" s="276" customFormat="1">
      <c r="D72" s="275"/>
      <c r="M72" s="274"/>
      <c r="P72" s="274"/>
      <c r="Q72" s="274"/>
      <c r="R72" s="278"/>
    </row>
    <row r="73" spans="2:29" s="276" customFormat="1">
      <c r="D73" s="275"/>
      <c r="M73" s="274"/>
      <c r="P73" s="274"/>
      <c r="Q73" s="274"/>
      <c r="R73" s="278"/>
    </row>
    <row r="74" spans="2:29" s="276" customFormat="1" ht="15">
      <c r="B74" s="283"/>
      <c r="C74" s="283"/>
      <c r="D74" s="275"/>
      <c r="M74" s="274"/>
      <c r="P74" s="274"/>
      <c r="Q74" s="274"/>
      <c r="R74" s="278"/>
    </row>
    <row r="75" spans="2:29" s="276" customFormat="1" ht="15">
      <c r="B75" s="283"/>
      <c r="C75" s="283"/>
      <c r="D75" s="274"/>
      <c r="E75" s="274"/>
      <c r="M75" s="274"/>
      <c r="P75" s="274"/>
      <c r="Q75" s="274"/>
      <c r="R75" s="278"/>
    </row>
    <row r="76" spans="2:29" s="276" customFormat="1" ht="15">
      <c r="B76" s="283"/>
      <c r="D76" s="274"/>
      <c r="E76" s="274"/>
      <c r="M76" s="274"/>
      <c r="P76" s="274"/>
      <c r="Q76" s="274"/>
      <c r="R76" s="278"/>
    </row>
    <row r="77" spans="2:29" s="276" customFormat="1" ht="15">
      <c r="B77" s="283"/>
      <c r="C77" s="283"/>
      <c r="D77" s="274"/>
      <c r="E77" s="274"/>
      <c r="M77" s="274"/>
      <c r="P77" s="274"/>
      <c r="Q77" s="274"/>
      <c r="R77" s="278"/>
    </row>
    <row r="78" spans="2:29" s="276" customFormat="1" ht="15">
      <c r="B78" s="283"/>
      <c r="D78" s="284"/>
      <c r="E78" s="284"/>
      <c r="M78" s="274"/>
      <c r="P78" s="274"/>
      <c r="Q78" s="274"/>
      <c r="R78" s="278"/>
    </row>
    <row r="79" spans="2:29" s="276" customFormat="1" ht="15">
      <c r="B79" s="285"/>
      <c r="C79" s="285"/>
      <c r="D79" s="286"/>
      <c r="E79" s="285"/>
      <c r="F79" s="285"/>
      <c r="G79" s="285"/>
      <c r="H79" s="285"/>
      <c r="I79" s="285"/>
      <c r="J79" s="285"/>
      <c r="K79" s="285"/>
      <c r="L79" s="285"/>
      <c r="M79" s="285"/>
      <c r="N79" s="285"/>
      <c r="O79" s="287"/>
      <c r="P79" s="287"/>
      <c r="Q79" s="287"/>
      <c r="R79" s="291"/>
      <c r="S79" s="287"/>
      <c r="T79" s="288"/>
      <c r="U79" s="288"/>
      <c r="V79" s="287"/>
      <c r="W79" s="287"/>
      <c r="X79" s="288"/>
      <c r="Y79" s="288"/>
    </row>
    <row r="80" spans="2:29" s="276" customFormat="1">
      <c r="B80" s="274"/>
      <c r="C80" s="196"/>
      <c r="D80" s="275"/>
      <c r="E80" s="274"/>
      <c r="F80" s="274"/>
      <c r="G80" s="274"/>
      <c r="H80" s="274"/>
      <c r="I80" s="274"/>
      <c r="J80" s="274"/>
      <c r="K80" s="274"/>
      <c r="L80" s="274"/>
      <c r="M80" s="274"/>
      <c r="N80" s="274"/>
      <c r="O80" s="274"/>
      <c r="P80" s="274"/>
      <c r="Q80" s="277"/>
      <c r="R80" s="278"/>
      <c r="S80" s="180"/>
      <c r="T80" s="264"/>
      <c r="U80" s="265"/>
      <c r="V80" s="274"/>
      <c r="W80" s="289"/>
      <c r="X80" s="265"/>
      <c r="Y80" s="265"/>
    </row>
    <row r="81" spans="2:25" s="276" customFormat="1">
      <c r="B81" s="274"/>
      <c r="C81" s="266"/>
      <c r="D81" s="275"/>
      <c r="E81" s="274"/>
      <c r="F81" s="274"/>
      <c r="G81" s="274"/>
      <c r="H81" s="274"/>
      <c r="I81" s="274"/>
      <c r="J81" s="274"/>
      <c r="K81" s="274"/>
      <c r="L81" s="274"/>
      <c r="M81" s="274"/>
      <c r="N81" s="274"/>
      <c r="O81" s="274"/>
      <c r="P81" s="274"/>
      <c r="Q81" s="277"/>
      <c r="R81" s="278"/>
      <c r="S81" s="180"/>
      <c r="T81" s="264"/>
      <c r="U81" s="265"/>
      <c r="V81" s="274"/>
      <c r="W81" s="289"/>
      <c r="X81" s="265"/>
      <c r="Y81" s="265"/>
    </row>
    <row r="82" spans="2:25" s="276" customFormat="1">
      <c r="B82" s="274"/>
      <c r="C82" s="274"/>
      <c r="D82" s="275"/>
      <c r="E82" s="274"/>
      <c r="F82" s="274"/>
      <c r="G82" s="274"/>
      <c r="H82" s="274"/>
      <c r="I82" s="274"/>
      <c r="J82" s="274"/>
      <c r="K82" s="274"/>
      <c r="M82" s="274"/>
      <c r="O82" s="274"/>
      <c r="P82" s="274"/>
      <c r="Q82" s="277"/>
      <c r="R82" s="278"/>
      <c r="S82" s="274"/>
      <c r="T82" s="279"/>
      <c r="U82" s="265"/>
      <c r="V82" s="274"/>
      <c r="W82" s="289"/>
      <c r="X82" s="265"/>
      <c r="Y82" s="265"/>
    </row>
    <row r="83" spans="2:25" s="276" customFormat="1">
      <c r="B83" s="274"/>
      <c r="D83" s="275"/>
      <c r="M83" s="274"/>
      <c r="P83" s="274"/>
      <c r="Q83" s="274"/>
      <c r="R83" s="278"/>
    </row>
    <row r="84" spans="2:25" s="276" customFormat="1">
      <c r="D84" s="275"/>
      <c r="M84" s="274"/>
      <c r="P84" s="274"/>
      <c r="Q84" s="274"/>
      <c r="R84" s="278"/>
    </row>
    <row r="85" spans="2:25" s="276" customFormat="1">
      <c r="D85" s="275"/>
      <c r="M85" s="274"/>
      <c r="P85" s="274"/>
      <c r="Q85" s="274"/>
      <c r="R85" s="278"/>
    </row>
    <row r="86" spans="2:25" s="276" customFormat="1">
      <c r="D86" s="275"/>
      <c r="M86" s="274"/>
      <c r="P86" s="274"/>
      <c r="Q86" s="274"/>
      <c r="R86" s="278"/>
    </row>
    <row r="87" spans="2:25" s="276" customFormat="1" ht="15">
      <c r="B87" s="283"/>
      <c r="C87" s="283"/>
      <c r="D87" s="275"/>
      <c r="M87" s="274"/>
      <c r="P87" s="274"/>
      <c r="Q87" s="274"/>
      <c r="R87" s="278"/>
    </row>
    <row r="88" spans="2:25" s="276" customFormat="1" ht="15">
      <c r="B88" s="283"/>
      <c r="C88" s="283"/>
      <c r="D88" s="274"/>
      <c r="E88" s="274"/>
      <c r="M88" s="274"/>
      <c r="P88" s="274"/>
      <c r="Q88" s="274"/>
      <c r="R88" s="278"/>
    </row>
    <row r="89" spans="2:25" s="276" customFormat="1" ht="15">
      <c r="B89" s="283"/>
      <c r="D89" s="274"/>
      <c r="E89" s="274"/>
      <c r="M89" s="274"/>
      <c r="P89" s="274"/>
      <c r="Q89" s="274"/>
      <c r="R89" s="278"/>
    </row>
    <row r="90" spans="2:25" s="276" customFormat="1" ht="15">
      <c r="B90" s="283"/>
      <c r="C90" s="283"/>
      <c r="D90" s="274"/>
      <c r="E90" s="274"/>
      <c r="M90" s="274"/>
      <c r="P90" s="274"/>
      <c r="Q90" s="274"/>
      <c r="R90" s="278"/>
    </row>
    <row r="91" spans="2:25" s="276" customFormat="1" ht="15">
      <c r="B91" s="283"/>
      <c r="D91" s="284"/>
      <c r="E91" s="284"/>
      <c r="M91" s="274"/>
      <c r="P91" s="274"/>
      <c r="Q91" s="274"/>
      <c r="R91" s="278"/>
    </row>
    <row r="92" spans="2:25" s="276" customFormat="1" ht="15">
      <c r="B92" s="285"/>
      <c r="C92" s="285"/>
      <c r="D92" s="286"/>
      <c r="E92" s="285"/>
      <c r="F92" s="285"/>
      <c r="G92" s="285"/>
      <c r="H92" s="285"/>
      <c r="I92" s="285"/>
      <c r="J92" s="285"/>
      <c r="K92" s="285"/>
      <c r="L92" s="285"/>
      <c r="M92" s="285"/>
      <c r="N92" s="285"/>
      <c r="O92" s="287"/>
      <c r="P92" s="287"/>
      <c r="Q92" s="287"/>
      <c r="R92" s="291"/>
      <c r="S92" s="287"/>
      <c r="T92" s="288"/>
      <c r="U92" s="288"/>
      <c r="V92" s="287"/>
      <c r="W92" s="287"/>
      <c r="X92" s="288"/>
      <c r="Y92" s="288"/>
    </row>
    <row r="93" spans="2:25" s="276" customFormat="1">
      <c r="B93" s="274"/>
      <c r="C93" s="196"/>
      <c r="D93" s="275"/>
      <c r="E93" s="274"/>
      <c r="F93" s="274"/>
      <c r="G93" s="274"/>
      <c r="H93" s="274"/>
      <c r="I93" s="274"/>
      <c r="J93" s="274"/>
      <c r="K93" s="274"/>
      <c r="M93" s="274"/>
      <c r="O93" s="274"/>
      <c r="P93" s="274"/>
      <c r="Q93" s="277"/>
      <c r="R93" s="278"/>
      <c r="S93" s="180"/>
      <c r="T93" s="262"/>
      <c r="U93" s="265"/>
      <c r="V93" s="274"/>
      <c r="W93" s="289"/>
      <c r="X93" s="265"/>
      <c r="Y93" s="265"/>
    </row>
    <row r="94" spans="2:25" s="276" customFormat="1">
      <c r="B94" s="274"/>
      <c r="C94" s="266"/>
      <c r="D94" s="275"/>
      <c r="E94" s="274"/>
      <c r="F94" s="274"/>
      <c r="G94" s="274"/>
      <c r="H94" s="274"/>
      <c r="I94" s="274"/>
      <c r="J94" s="274"/>
      <c r="K94" s="274"/>
      <c r="M94" s="196"/>
      <c r="O94" s="274"/>
      <c r="P94" s="274"/>
      <c r="Q94" s="277"/>
      <c r="R94" s="278"/>
      <c r="S94" s="180"/>
      <c r="T94" s="262"/>
      <c r="U94" s="265"/>
      <c r="V94" s="274"/>
      <c r="W94" s="289"/>
      <c r="X94" s="265"/>
      <c r="Y94" s="265"/>
    </row>
    <row r="95" spans="2:25" s="276" customFormat="1">
      <c r="B95" s="274"/>
      <c r="C95" s="274"/>
      <c r="D95" s="275"/>
      <c r="E95" s="274"/>
      <c r="F95" s="274"/>
      <c r="G95" s="274"/>
      <c r="H95" s="274"/>
      <c r="I95" s="274"/>
      <c r="J95" s="274"/>
      <c r="K95" s="274"/>
      <c r="M95" s="274"/>
      <c r="O95" s="274"/>
      <c r="P95" s="274"/>
      <c r="Q95" s="277"/>
      <c r="R95" s="278"/>
      <c r="S95" s="274"/>
      <c r="T95" s="277"/>
      <c r="U95" s="265"/>
      <c r="V95" s="274"/>
      <c r="W95" s="289"/>
      <c r="X95" s="265"/>
      <c r="Y95" s="265"/>
    </row>
    <row r="96" spans="2:25" s="276" customFormat="1">
      <c r="B96" s="274"/>
      <c r="E96" s="280"/>
      <c r="F96" s="280"/>
      <c r="G96" s="280"/>
      <c r="H96" s="280"/>
      <c r="I96" s="280"/>
      <c r="J96" s="280"/>
      <c r="K96" s="280"/>
      <c r="M96" s="281"/>
      <c r="O96" s="278"/>
      <c r="P96" s="274"/>
      <c r="Q96" s="282"/>
      <c r="R96" s="278"/>
      <c r="S96" s="274"/>
      <c r="T96" s="277"/>
      <c r="U96" s="265"/>
      <c r="V96" s="274"/>
      <c r="W96" s="289"/>
      <c r="X96" s="265"/>
      <c r="Y96" s="265"/>
    </row>
    <row r="97" spans="2:21" s="276" customFormat="1" ht="39.75" customHeight="1">
      <c r="B97" s="292"/>
      <c r="C97" s="283"/>
      <c r="D97" s="274"/>
      <c r="E97" s="274"/>
      <c r="F97" s="274"/>
      <c r="M97" s="274"/>
      <c r="P97" s="274"/>
      <c r="Q97" s="274"/>
      <c r="R97" s="278"/>
    </row>
    <row r="98" spans="2:21" s="276" customFormat="1">
      <c r="B98" s="290"/>
      <c r="D98" s="274"/>
      <c r="E98" s="274"/>
      <c r="F98" s="274"/>
      <c r="M98" s="274"/>
      <c r="P98" s="274"/>
      <c r="Q98" s="274"/>
      <c r="R98" s="278"/>
    </row>
    <row r="99" spans="2:21" s="276" customFormat="1" ht="15">
      <c r="B99" s="283"/>
      <c r="C99" s="283"/>
      <c r="D99" s="274"/>
      <c r="E99" s="274"/>
      <c r="F99" s="274"/>
      <c r="M99" s="274"/>
      <c r="P99" s="274"/>
      <c r="Q99" s="274"/>
      <c r="R99" s="278"/>
    </row>
    <row r="100" spans="2:21" s="276" customFormat="1" ht="15">
      <c r="B100" s="283"/>
      <c r="D100" s="293"/>
      <c r="E100" s="284"/>
      <c r="F100" s="284"/>
      <c r="M100" s="274"/>
      <c r="P100" s="274"/>
      <c r="Q100" s="274"/>
      <c r="R100" s="278"/>
    </row>
    <row r="101" spans="2:21" s="276" customFormat="1">
      <c r="B101" s="196"/>
      <c r="C101" s="196"/>
      <c r="D101" s="275"/>
      <c r="E101" s="180"/>
      <c r="F101" s="180"/>
      <c r="G101" s="180"/>
      <c r="H101" s="180"/>
      <c r="I101" s="180"/>
      <c r="J101" s="180"/>
      <c r="K101" s="196"/>
      <c r="L101" s="199"/>
      <c r="M101" s="196"/>
      <c r="O101" s="196"/>
      <c r="P101" s="281"/>
      <c r="Q101" s="277"/>
      <c r="R101" s="278"/>
      <c r="S101" s="196"/>
      <c r="T101" s="262"/>
      <c r="U101" s="265"/>
    </row>
    <row r="102" spans="2:21" s="276" customFormat="1">
      <c r="D102" s="274"/>
      <c r="E102" s="274"/>
      <c r="F102" s="274"/>
      <c r="G102" s="274"/>
      <c r="H102" s="274"/>
      <c r="I102" s="274"/>
      <c r="J102" s="274"/>
      <c r="K102" s="274"/>
      <c r="M102" s="274"/>
      <c r="N102" s="274"/>
      <c r="O102" s="265"/>
      <c r="P102" s="274"/>
      <c r="Q102" s="274"/>
      <c r="R102" s="265"/>
    </row>
    <row r="103" spans="2:21" s="276" customFormat="1">
      <c r="D103" s="274"/>
      <c r="E103" s="274"/>
      <c r="F103" s="274"/>
      <c r="G103" s="274"/>
      <c r="H103" s="274"/>
      <c r="I103" s="274"/>
      <c r="J103" s="274"/>
      <c r="K103" s="274"/>
      <c r="M103" s="274"/>
      <c r="N103" s="274"/>
      <c r="O103" s="265"/>
      <c r="P103" s="274"/>
      <c r="Q103" s="274"/>
      <c r="R103" s="265"/>
    </row>
    <row r="104" spans="2:21" s="276" customFormat="1">
      <c r="D104" s="274"/>
      <c r="E104" s="274"/>
      <c r="F104" s="274"/>
      <c r="G104" s="274"/>
      <c r="H104" s="274"/>
      <c r="I104" s="274"/>
      <c r="J104" s="274"/>
      <c r="K104" s="274"/>
      <c r="M104" s="274"/>
      <c r="N104" s="274"/>
      <c r="O104" s="265"/>
      <c r="P104" s="274"/>
      <c r="Q104" s="274"/>
      <c r="R104" s="265"/>
    </row>
    <row r="105" spans="2:21" s="276" customFormat="1">
      <c r="D105" s="274"/>
      <c r="E105" s="274"/>
      <c r="F105" s="274"/>
      <c r="G105" s="274"/>
      <c r="H105" s="274"/>
      <c r="I105" s="274"/>
      <c r="J105" s="274"/>
      <c r="K105" s="274"/>
      <c r="M105" s="274"/>
      <c r="N105" s="274"/>
      <c r="O105" s="265"/>
      <c r="P105" s="274"/>
      <c r="Q105" s="274"/>
      <c r="R105" s="265"/>
    </row>
    <row r="106" spans="2:21" s="276" customFormat="1">
      <c r="D106" s="274"/>
      <c r="E106" s="274"/>
      <c r="F106" s="274"/>
      <c r="G106" s="274"/>
      <c r="H106" s="274"/>
      <c r="I106" s="274"/>
      <c r="J106" s="274"/>
      <c r="K106" s="274"/>
      <c r="M106" s="274"/>
      <c r="N106" s="274"/>
      <c r="O106" s="265"/>
      <c r="P106" s="274"/>
      <c r="Q106" s="274"/>
      <c r="R106" s="265"/>
    </row>
    <row r="107" spans="2:21" s="276" customFormat="1">
      <c r="D107" s="274"/>
      <c r="E107" s="274"/>
      <c r="F107" s="274"/>
      <c r="G107" s="274"/>
      <c r="H107" s="274"/>
      <c r="I107" s="274"/>
      <c r="J107" s="274"/>
      <c r="K107" s="274"/>
      <c r="M107" s="274"/>
      <c r="N107" s="274"/>
      <c r="O107" s="265"/>
      <c r="P107" s="274"/>
      <c r="Q107" s="274"/>
      <c r="R107" s="265"/>
    </row>
  </sheetData>
  <mergeCells count="1">
    <mergeCell ref="B1:K1"/>
  </mergeCells>
  <phoneticPr fontId="32"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opLeftCell="A4" zoomScale="85" zoomScaleNormal="85" workbookViewId="0">
      <selection activeCell="A33" sqref="A33:XFD33"/>
    </sheetView>
  </sheetViews>
  <sheetFormatPr defaultColWidth="8.85546875" defaultRowHeight="12.75"/>
  <cols>
    <col min="1" max="1" width="10.28515625" style="130" customWidth="1"/>
    <col min="2" max="2" width="47.140625" style="176" bestFit="1" customWidth="1"/>
    <col min="3" max="3" width="20.140625" style="255" customWidth="1"/>
    <col min="4" max="4" width="10.140625" style="176" bestFit="1" customWidth="1"/>
    <col min="5" max="6" width="8.85546875" style="176"/>
    <col min="7" max="7" width="10.42578125" style="130" customWidth="1"/>
    <col min="8" max="8" width="11.140625" style="130" bestFit="1" customWidth="1"/>
    <col min="9" max="9" width="10.140625" style="130" customWidth="1"/>
    <col min="10" max="11" width="8.85546875" style="130"/>
    <col min="12" max="13" width="11.140625" style="176" customWidth="1"/>
    <col min="14" max="14" width="8.85546875" style="176" customWidth="1"/>
    <col min="15" max="17" width="8.85546875" style="130"/>
    <col min="18" max="18" width="15.140625" style="130" customWidth="1"/>
    <col min="19" max="16384" width="8.85546875" style="130"/>
  </cols>
  <sheetData>
    <row r="1" spans="1:18">
      <c r="B1" s="366" t="s">
        <v>472</v>
      </c>
      <c r="C1" s="366"/>
      <c r="D1" s="366"/>
      <c r="E1" s="366"/>
      <c r="F1" s="366"/>
      <c r="G1" s="366"/>
      <c r="H1" s="366"/>
      <c r="I1" s="366"/>
      <c r="J1" s="366"/>
      <c r="K1" s="366"/>
    </row>
    <row r="2" spans="1:18" ht="15">
      <c r="B2" s="188" t="s">
        <v>438</v>
      </c>
    </row>
    <row r="3" spans="1:18" ht="15">
      <c r="B3" s="188" t="s">
        <v>454</v>
      </c>
    </row>
    <row r="5" spans="1:18" ht="15">
      <c r="B5" s="188" t="s">
        <v>440</v>
      </c>
      <c r="C5" s="255">
        <v>52</v>
      </c>
    </row>
    <row r="7" spans="1:18" ht="48" customHeight="1" thickBot="1">
      <c r="B7" s="189"/>
      <c r="C7" s="190"/>
      <c r="D7" s="189" t="s">
        <v>441</v>
      </c>
      <c r="E7" s="189" t="s">
        <v>455</v>
      </c>
      <c r="F7" s="189" t="s">
        <v>456</v>
      </c>
      <c r="G7" s="189"/>
      <c r="H7" s="189"/>
      <c r="I7" s="189"/>
      <c r="J7" s="189"/>
      <c r="K7" s="189"/>
      <c r="L7" s="191" t="s">
        <v>473</v>
      </c>
      <c r="M7" s="191" t="s">
        <v>474</v>
      </c>
      <c r="N7" s="191" t="s">
        <v>475</v>
      </c>
      <c r="O7" s="192" t="s">
        <v>476</v>
      </c>
      <c r="P7" s="192" t="s">
        <v>477</v>
      </c>
      <c r="Q7" s="193" t="s">
        <v>478</v>
      </c>
      <c r="R7" s="256" t="s">
        <v>479</v>
      </c>
    </row>
    <row r="8" spans="1:18" ht="13.5" thickTop="1">
      <c r="A8" s="130">
        <v>1</v>
      </c>
      <c r="B8" s="196" t="s">
        <v>480</v>
      </c>
      <c r="C8" s="197"/>
      <c r="D8" s="196">
        <f>24*(C5-3)*1+24*C5*9</f>
        <v>12408</v>
      </c>
      <c r="E8" s="196">
        <f>2*12*C5</f>
        <v>1248</v>
      </c>
      <c r="F8" s="196">
        <f>12*14*3*1+12*2*1*9</f>
        <v>720</v>
      </c>
      <c r="G8" s="196"/>
      <c r="H8" s="196"/>
      <c r="I8" s="196"/>
      <c r="J8" s="196"/>
      <c r="K8" s="196"/>
      <c r="L8" s="196">
        <f>12*C5*14*10</f>
        <v>87360</v>
      </c>
      <c r="M8" s="196">
        <f>SUM(D8:F8)</f>
        <v>14376</v>
      </c>
      <c r="N8" s="198">
        <f t="shared" ref="N8:N10" si="0">100*M8/L8</f>
        <v>16.456043956043956</v>
      </c>
      <c r="O8" s="199">
        <v>87360</v>
      </c>
      <c r="P8" s="199">
        <v>14376</v>
      </c>
      <c r="Q8" s="200">
        <v>16.456043956043956</v>
      </c>
      <c r="R8" s="257">
        <f t="shared" ref="R8:R10" si="1">(1-Q8/100)/(1-N8/100)</f>
        <v>1</v>
      </c>
    </row>
    <row r="9" spans="1:18" s="186" customFormat="1" ht="14.25">
      <c r="A9" s="130">
        <v>2</v>
      </c>
      <c r="B9" s="196" t="s">
        <v>481</v>
      </c>
      <c r="C9" s="197"/>
      <c r="D9" s="196">
        <f>8*(C5-2)*10</f>
        <v>4000</v>
      </c>
      <c r="E9" s="196">
        <f>2*12*C5</f>
        <v>1248</v>
      </c>
      <c r="F9" s="196">
        <f>2*12*(14*8+12*2)</f>
        <v>3264</v>
      </c>
      <c r="G9" s="199"/>
      <c r="H9" s="199"/>
      <c r="I9" s="199"/>
      <c r="J9" s="199"/>
      <c r="K9" s="199"/>
      <c r="L9" s="196">
        <f>12*C5*14*10</f>
        <v>87360</v>
      </c>
      <c r="M9" s="196">
        <f>SUM(D9:F9)</f>
        <v>8512</v>
      </c>
      <c r="N9" s="198">
        <f t="shared" si="0"/>
        <v>9.7435897435897427</v>
      </c>
      <c r="O9" s="186">
        <f>L9</f>
        <v>87360</v>
      </c>
      <c r="P9" s="186">
        <f>D9+E9+12*3*14*2+12*1*2*8</f>
        <v>6448</v>
      </c>
      <c r="Q9" s="195">
        <f t="shared" ref="Q9:Q10" si="2">100*P9/O9</f>
        <v>7.3809523809523814</v>
      </c>
      <c r="R9" s="257">
        <f t="shared" si="1"/>
        <v>1.026176948051948</v>
      </c>
    </row>
    <row r="10" spans="1:18" ht="13.5" customHeight="1">
      <c r="A10" s="130">
        <v>3</v>
      </c>
      <c r="B10" s="201" t="s">
        <v>628</v>
      </c>
      <c r="C10" s="202"/>
      <c r="D10" s="201">
        <f>8*(C5-3)*2+8*C5*8</f>
        <v>4112</v>
      </c>
      <c r="E10" s="196">
        <f>2*12*C5*2</f>
        <v>2496</v>
      </c>
      <c r="F10" s="201">
        <f>3*12*14*2+1*12*2*8</f>
        <v>1200</v>
      </c>
      <c r="G10" s="203"/>
      <c r="H10" s="203"/>
      <c r="I10" s="203"/>
      <c r="J10" s="203"/>
      <c r="K10" s="203"/>
      <c r="L10" s="196">
        <f>12*C5*14*10</f>
        <v>87360</v>
      </c>
      <c r="M10" s="196">
        <f>SUM(D10:F10)</f>
        <v>7808</v>
      </c>
      <c r="N10" s="198">
        <f t="shared" si="0"/>
        <v>8.937728937728938</v>
      </c>
      <c r="O10" s="186">
        <f>L10</f>
        <v>87360</v>
      </c>
      <c r="P10" s="203">
        <f>M10</f>
        <v>7808</v>
      </c>
      <c r="Q10" s="195">
        <f t="shared" si="2"/>
        <v>8.937728937728938</v>
      </c>
      <c r="R10" s="257">
        <f t="shared" si="1"/>
        <v>1</v>
      </c>
    </row>
    <row r="14" spans="1:18" ht="15">
      <c r="B14" s="188" t="s">
        <v>447</v>
      </c>
    </row>
    <row r="15" spans="1:18" ht="15">
      <c r="B15" s="188" t="s">
        <v>448</v>
      </c>
    </row>
    <row r="17" spans="1:18" ht="15">
      <c r="B17" s="188" t="s">
        <v>440</v>
      </c>
      <c r="C17" s="255">
        <v>106</v>
      </c>
    </row>
    <row r="19" spans="1:18" ht="45.75" thickBot="1">
      <c r="B19" s="189"/>
      <c r="C19" s="190" t="s">
        <v>450</v>
      </c>
      <c r="D19" s="189" t="s">
        <v>441</v>
      </c>
      <c r="E19" s="189" t="s">
        <v>455</v>
      </c>
      <c r="F19" s="189" t="s">
        <v>456</v>
      </c>
      <c r="G19" s="189" t="s">
        <v>482</v>
      </c>
      <c r="H19" s="189"/>
      <c r="I19" s="189"/>
      <c r="J19" s="189"/>
      <c r="K19" s="189"/>
      <c r="L19" s="191" t="s">
        <v>483</v>
      </c>
      <c r="M19" s="191" t="s">
        <v>484</v>
      </c>
      <c r="N19" s="191" t="s">
        <v>485</v>
      </c>
      <c r="O19" s="192" t="s">
        <v>486</v>
      </c>
      <c r="P19" s="192" t="s">
        <v>487</v>
      </c>
      <c r="Q19" s="193" t="s">
        <v>488</v>
      </c>
      <c r="R19" s="256" t="s">
        <v>489</v>
      </c>
    </row>
    <row r="20" spans="1:18" ht="13.5" thickTop="1">
      <c r="A20" s="130">
        <v>1</v>
      </c>
      <c r="B20" s="171" t="s">
        <v>490</v>
      </c>
      <c r="C20" s="185" t="s">
        <v>491</v>
      </c>
      <c r="D20" s="171">
        <f>24*(C17-3)*1+24*C17*3</f>
        <v>10104</v>
      </c>
      <c r="E20" s="171">
        <f>2*12*C17</f>
        <v>2544</v>
      </c>
      <c r="F20" s="171">
        <f>12*14*3*1+12*2*1*3</f>
        <v>576</v>
      </c>
      <c r="G20" s="171">
        <f>12*C17</f>
        <v>1272</v>
      </c>
      <c r="H20" s="171"/>
      <c r="I20" s="171"/>
      <c r="J20" s="171"/>
      <c r="K20" s="171"/>
      <c r="L20" s="171">
        <v>77592</v>
      </c>
      <c r="M20" s="171">
        <v>14496</v>
      </c>
      <c r="N20" s="200">
        <v>18.682338385400556</v>
      </c>
      <c r="O20" s="186">
        <f>12*14*C17*4+12*2*C17*2+12*C17</f>
        <v>77592</v>
      </c>
      <c r="P20" s="186">
        <f>SUM(D20:G20)</f>
        <v>14496</v>
      </c>
      <c r="Q20" s="204">
        <f>100*P20/O20</f>
        <v>18.682338385400556</v>
      </c>
      <c r="R20" s="257">
        <f t="shared" ref="R20:R21" si="3">(1-Q20/100)/(1-N20/100)</f>
        <v>1</v>
      </c>
    </row>
    <row r="21" spans="1:18">
      <c r="A21" s="130">
        <v>2</v>
      </c>
      <c r="B21" s="171" t="s">
        <v>492</v>
      </c>
      <c r="C21" s="171" t="s">
        <v>493</v>
      </c>
      <c r="D21" s="171">
        <f>8*(C17-4)*2</f>
        <v>1632</v>
      </c>
      <c r="E21" s="171">
        <f>2*12*C17*2</f>
        <v>5088</v>
      </c>
      <c r="F21" s="171">
        <f>4*12*14*2</f>
        <v>1344</v>
      </c>
      <c r="G21" s="171">
        <f>12*C17*2</f>
        <v>2544</v>
      </c>
      <c r="H21" s="186"/>
      <c r="I21" s="186"/>
      <c r="J21" s="186"/>
      <c r="K21" s="186"/>
      <c r="L21" s="171">
        <f>C17*12*(14+2)*2</f>
        <v>40704</v>
      </c>
      <c r="M21" s="171">
        <f>SUM(D21:F21)</f>
        <v>8064</v>
      </c>
      <c r="N21" s="200">
        <f>100*M21/L21</f>
        <v>19.811320754716981</v>
      </c>
      <c r="O21" s="186">
        <f>L21+G21</f>
        <v>43248</v>
      </c>
      <c r="P21" s="186">
        <f>SUM(D21,E21,G21)+12*14*3*2</f>
        <v>10272</v>
      </c>
      <c r="Q21" s="204">
        <f>100*P21/O21</f>
        <v>23.751387347391788</v>
      </c>
      <c r="R21" s="257">
        <f t="shared" si="3"/>
        <v>0.95086505190311421</v>
      </c>
    </row>
    <row r="23" spans="1:18" ht="15">
      <c r="B23" s="188" t="s">
        <v>447</v>
      </c>
    </row>
    <row r="24" spans="1:18" ht="15">
      <c r="B24" s="188" t="s">
        <v>494</v>
      </c>
    </row>
    <row r="26" spans="1:18" ht="15">
      <c r="B26" s="188" t="s">
        <v>440</v>
      </c>
      <c r="C26" s="255">
        <v>51</v>
      </c>
    </row>
    <row r="28" spans="1:18" ht="45.75" thickBot="1">
      <c r="B28" s="189"/>
      <c r="C28" s="190" t="s">
        <v>450</v>
      </c>
      <c r="D28" s="189" t="s">
        <v>441</v>
      </c>
      <c r="E28" s="189" t="s">
        <v>455</v>
      </c>
      <c r="F28" s="189" t="s">
        <v>456</v>
      </c>
      <c r="G28" s="189" t="s">
        <v>495</v>
      </c>
      <c r="H28" s="189"/>
      <c r="I28" s="189"/>
      <c r="J28" s="189"/>
      <c r="K28" s="189"/>
      <c r="L28" s="191" t="s">
        <v>496</v>
      </c>
      <c r="M28" s="191" t="s">
        <v>497</v>
      </c>
      <c r="N28" s="191" t="s">
        <v>498</v>
      </c>
      <c r="O28" s="192" t="s">
        <v>499</v>
      </c>
      <c r="P28" s="192" t="s">
        <v>500</v>
      </c>
      <c r="Q28" s="193" t="s">
        <v>501</v>
      </c>
      <c r="R28" s="256" t="s">
        <v>502</v>
      </c>
    </row>
    <row r="29" spans="1:18" ht="15" thickTop="1">
      <c r="A29" s="130">
        <v>1</v>
      </c>
      <c r="B29" s="205" t="s">
        <v>337</v>
      </c>
      <c r="C29" s="206" t="s">
        <v>451</v>
      </c>
      <c r="D29" s="207">
        <f>4*2*(C26-4)*6*2</f>
        <v>4512</v>
      </c>
      <c r="E29" s="207">
        <f>12*2*(C26-4)*2</f>
        <v>2256</v>
      </c>
      <c r="F29" s="207">
        <f>(4*12*14*4)*2+(4*12*6*2)*2</f>
        <v>6528</v>
      </c>
      <c r="G29" s="171">
        <f>12*C26*2*2</f>
        <v>2448</v>
      </c>
      <c r="H29" s="207"/>
      <c r="I29" s="207"/>
      <c r="J29" s="207"/>
      <c r="K29" s="207"/>
      <c r="L29" s="207">
        <f>C26*2*(12*14*4+12*6*2)</f>
        <v>83232</v>
      </c>
      <c r="M29" s="208">
        <f>SUM(D29:F29)</f>
        <v>13296</v>
      </c>
      <c r="N29" s="209">
        <f t="shared" ref="N29" si="4">100*M29/L29</f>
        <v>15.974625144175317</v>
      </c>
      <c r="O29" s="186">
        <f>L29+G29</f>
        <v>85680</v>
      </c>
      <c r="P29" s="186">
        <f>SUM(D29,E29,G29)+(12*14*3*1+12*2*1*3)*2</f>
        <v>10368</v>
      </c>
      <c r="Q29" s="210">
        <f>100*P29/O29</f>
        <v>12.100840336134453</v>
      </c>
      <c r="R29" s="257">
        <f>(1-Q29/100)/(1-N29/100)</f>
        <v>1.0461025590744191</v>
      </c>
    </row>
    <row r="30" spans="1:18">
      <c r="A30" s="130">
        <v>2</v>
      </c>
      <c r="B30" s="171" t="s">
        <v>490</v>
      </c>
      <c r="C30" s="185" t="s">
        <v>491</v>
      </c>
      <c r="D30" s="171">
        <f>(24*(C26-3)*1+24*C26*3)*2</f>
        <v>9648</v>
      </c>
      <c r="E30" s="171">
        <f>2*12*C26*2</f>
        <v>2448</v>
      </c>
      <c r="F30" s="171">
        <f>(12*14*3*1+12*2*1*3)*2</f>
        <v>1152</v>
      </c>
      <c r="G30" s="171">
        <f>12*C26*2</f>
        <v>1224</v>
      </c>
      <c r="H30" s="171"/>
      <c r="I30" s="171"/>
      <c r="J30" s="171"/>
      <c r="K30" s="171"/>
      <c r="L30" s="171">
        <f>12*14*C26*4*2+12*2*C26*2*2</f>
        <v>73440</v>
      </c>
      <c r="M30" s="171">
        <f>SUM(D30:F30)</f>
        <v>13248</v>
      </c>
      <c r="N30" s="200">
        <f>100*M30/L30</f>
        <v>18.03921568627451</v>
      </c>
      <c r="O30" s="186">
        <f>12*14*C26*4*2+12*2*C26*2*2+12*C26*2</f>
        <v>74664</v>
      </c>
      <c r="P30" s="186">
        <f>SUM(D30:G30)</f>
        <v>14472</v>
      </c>
      <c r="Q30" s="200">
        <f>100*P30/O30</f>
        <v>19.382835101253615</v>
      </c>
      <c r="R30" s="257">
        <f t="shared" ref="R30:R33" si="5">(1-Q30/100)/(1-N30/100)</f>
        <v>0.98360655737704927</v>
      </c>
    </row>
    <row r="31" spans="1:18" ht="12" customHeight="1">
      <c r="A31" s="130">
        <v>3</v>
      </c>
      <c r="B31" s="171" t="s">
        <v>492</v>
      </c>
      <c r="C31" s="171" t="s">
        <v>493</v>
      </c>
      <c r="D31" s="171">
        <f>8*(C26-2)*2*2</f>
        <v>1568</v>
      </c>
      <c r="E31" s="171">
        <f>2*12*C26*2*2</f>
        <v>4896</v>
      </c>
      <c r="F31" s="171">
        <f>2*12*14*4</f>
        <v>1344</v>
      </c>
      <c r="G31" s="171">
        <f>12*C26*4</f>
        <v>2448</v>
      </c>
      <c r="H31" s="186"/>
      <c r="I31" s="186"/>
      <c r="J31" s="186"/>
      <c r="K31" s="186"/>
      <c r="L31" s="171">
        <f>C26*12*(14+2)*4</f>
        <v>39168</v>
      </c>
      <c r="M31" s="171">
        <f>SUM(D31:F31)</f>
        <v>7808</v>
      </c>
      <c r="N31" s="200">
        <f>100*M31/L31</f>
        <v>19.934640522875817</v>
      </c>
      <c r="O31" s="186">
        <f>L31+G31</f>
        <v>41616</v>
      </c>
      <c r="P31" s="186">
        <f>SUM(D31,E31,G31)+(12*14*3*2)*2</f>
        <v>10928</v>
      </c>
      <c r="Q31" s="210">
        <f>100*P31/O31</f>
        <v>26.259131103421762</v>
      </c>
      <c r="R31" s="257">
        <f t="shared" si="5"/>
        <v>0.92100840336134449</v>
      </c>
    </row>
    <row r="32" spans="1:18">
      <c r="A32" s="130">
        <v>4</v>
      </c>
      <c r="B32" s="171" t="s">
        <v>337</v>
      </c>
      <c r="C32" s="207" t="s">
        <v>452</v>
      </c>
      <c r="D32" s="207">
        <f>4*2*(C26-4)*4*2</f>
        <v>3008</v>
      </c>
      <c r="E32" s="207">
        <f>12*(C26-4)*2*2</f>
        <v>2256</v>
      </c>
      <c r="F32" s="207">
        <f>(4*12*14*2)*2+(4*12*2*2)*2</f>
        <v>3072</v>
      </c>
      <c r="G32" s="171">
        <f>12*C26*2*2</f>
        <v>2448</v>
      </c>
      <c r="H32" s="207"/>
      <c r="I32" s="207"/>
      <c r="J32" s="207"/>
      <c r="K32" s="207"/>
      <c r="L32" s="207">
        <f>C26*2*(12*14*2+12*2*2)</f>
        <v>39168</v>
      </c>
      <c r="M32" s="207">
        <f>SUM(D32:F32)</f>
        <v>8336</v>
      </c>
      <c r="N32" s="207">
        <f t="shared" ref="N32:N33" si="6">100*M32/L32</f>
        <v>21.282679738562091</v>
      </c>
      <c r="O32" s="186">
        <f>L32+G32</f>
        <v>41616</v>
      </c>
      <c r="P32" s="186">
        <f>SUM(D32,E32,G32)+(12*14*3*1+12*2)*2</f>
        <v>8768</v>
      </c>
      <c r="Q32" s="210">
        <f>100*P32/O32</f>
        <v>21.068819684736638</v>
      </c>
      <c r="R32" s="257">
        <f t="shared" si="5"/>
        <v>1.0027168106474558</v>
      </c>
    </row>
    <row r="33" spans="1:18">
      <c r="A33" s="130">
        <v>5</v>
      </c>
      <c r="B33" s="176" t="s">
        <v>631</v>
      </c>
      <c r="C33" s="211" t="s">
        <v>632</v>
      </c>
      <c r="D33" s="176">
        <f>8*(C26-3)*4</f>
        <v>1536</v>
      </c>
      <c r="E33" s="176">
        <f>2*12*C26*4</f>
        <v>4896</v>
      </c>
      <c r="F33" s="176">
        <f>3*12*14*4</f>
        <v>2016</v>
      </c>
      <c r="G33" s="171">
        <f>12*C26*1/2*4</f>
        <v>1224</v>
      </c>
      <c r="L33" s="176">
        <f>12*C26*4*(14+2)</f>
        <v>39168</v>
      </c>
      <c r="M33" s="207">
        <f>SUM(D33:F33)</f>
        <v>8448</v>
      </c>
      <c r="N33" s="207">
        <f t="shared" si="6"/>
        <v>21.568627450980394</v>
      </c>
      <c r="O33" s="186">
        <f>L33+G33</f>
        <v>40392</v>
      </c>
      <c r="P33" s="130">
        <f>SUM(D33:G33)</f>
        <v>9672</v>
      </c>
      <c r="Q33" s="210">
        <f>100*P33/O33</f>
        <v>23.945335710041594</v>
      </c>
      <c r="R33" s="257">
        <f t="shared" si="5"/>
        <v>0.96969696969696972</v>
      </c>
    </row>
    <row r="35" spans="1:18" s="199" customFormat="1">
      <c r="B35" s="196"/>
      <c r="C35" s="197"/>
      <c r="D35" s="196"/>
      <c r="E35" s="196"/>
      <c r="F35" s="196"/>
      <c r="L35" s="196"/>
      <c r="M35" s="196"/>
      <c r="N35" s="196"/>
    </row>
    <row r="36" spans="1:18" s="199" customFormat="1" ht="15">
      <c r="B36" s="297"/>
      <c r="C36" s="197"/>
    </row>
    <row r="37" spans="1:18" s="199" customFormat="1" ht="15">
      <c r="B37" s="297"/>
      <c r="C37" s="197"/>
    </row>
    <row r="38" spans="1:18" s="199" customFormat="1">
      <c r="C38" s="197"/>
    </row>
    <row r="39" spans="1:18" s="199" customFormat="1" ht="15">
      <c r="B39" s="297"/>
      <c r="C39" s="197"/>
    </row>
    <row r="40" spans="1:18" s="199" customFormat="1">
      <c r="C40" s="197"/>
    </row>
    <row r="41" spans="1:18" s="199" customFormat="1" ht="15">
      <c r="B41" s="298"/>
      <c r="C41" s="299"/>
      <c r="D41" s="298"/>
      <c r="E41" s="298"/>
      <c r="F41" s="298"/>
      <c r="G41" s="298"/>
      <c r="H41" s="298"/>
      <c r="I41" s="298"/>
      <c r="J41" s="298"/>
      <c r="K41" s="298"/>
      <c r="L41" s="300"/>
      <c r="M41" s="300"/>
      <c r="N41" s="300"/>
      <c r="O41" s="300"/>
      <c r="P41" s="300"/>
      <c r="Q41" s="301"/>
      <c r="R41" s="301"/>
    </row>
    <row r="42" spans="1:18" s="199" customFormat="1" ht="14.25">
      <c r="B42" s="302"/>
      <c r="C42" s="303"/>
      <c r="D42" s="302"/>
      <c r="E42" s="302"/>
      <c r="F42" s="302"/>
      <c r="G42" s="302"/>
      <c r="H42" s="196"/>
      <c r="I42" s="302"/>
      <c r="J42" s="302"/>
      <c r="K42" s="302"/>
      <c r="L42" s="302"/>
      <c r="M42" s="302"/>
      <c r="N42" s="304"/>
      <c r="Q42" s="305"/>
      <c r="R42" s="296"/>
    </row>
    <row r="43" spans="1:18" s="199" customFormat="1">
      <c r="B43" s="196"/>
      <c r="C43" s="197"/>
    </row>
    <row r="44" spans="1:18" s="199" customFormat="1">
      <c r="C44" s="197"/>
    </row>
    <row r="45" spans="1:18" s="199" customFormat="1">
      <c r="C45" s="197"/>
    </row>
    <row r="46" spans="1:18" s="199" customFormat="1">
      <c r="C46" s="197"/>
    </row>
    <row r="47" spans="1:18" s="199" customFormat="1">
      <c r="C47" s="197"/>
    </row>
    <row r="48" spans="1:18" s="199" customFormat="1">
      <c r="C48" s="197"/>
    </row>
    <row r="49" spans="2:18" s="199" customFormat="1" ht="15">
      <c r="B49" s="297"/>
      <c r="C49" s="197"/>
    </row>
    <row r="50" spans="2:18" s="199" customFormat="1" ht="15">
      <c r="B50" s="297"/>
      <c r="C50" s="197"/>
    </row>
    <row r="51" spans="2:18" s="199" customFormat="1">
      <c r="C51" s="197"/>
    </row>
    <row r="52" spans="2:18" s="199" customFormat="1" ht="15">
      <c r="B52" s="297"/>
      <c r="C52" s="197"/>
    </row>
    <row r="53" spans="2:18" s="199" customFormat="1">
      <c r="C53" s="197"/>
    </row>
    <row r="54" spans="2:18" s="199" customFormat="1" ht="15">
      <c r="B54" s="298"/>
      <c r="C54" s="299"/>
      <c r="D54" s="298"/>
      <c r="E54" s="298"/>
      <c r="F54" s="298"/>
      <c r="G54" s="298"/>
      <c r="H54" s="298"/>
      <c r="I54" s="298"/>
      <c r="J54" s="298"/>
      <c r="K54" s="298"/>
      <c r="L54" s="300"/>
      <c r="M54" s="300"/>
      <c r="N54" s="300"/>
      <c r="O54" s="300"/>
      <c r="P54" s="300"/>
      <c r="Q54" s="301"/>
      <c r="R54" s="301"/>
    </row>
    <row r="55" spans="2:18" s="199" customFormat="1" ht="14.25">
      <c r="B55" s="302"/>
      <c r="C55" s="197"/>
    </row>
    <row r="56" spans="2:18" s="199" customFormat="1">
      <c r="B56" s="196"/>
      <c r="C56" s="197"/>
    </row>
    <row r="57" spans="2:18" s="199" customFormat="1">
      <c r="C57" s="197"/>
    </row>
    <row r="58" spans="2:18" s="199" customFormat="1" ht="15">
      <c r="B58" s="297"/>
      <c r="C58" s="197"/>
    </row>
    <row r="59" spans="2:18" s="199" customFormat="1" ht="15">
      <c r="B59" s="297"/>
      <c r="C59" s="197"/>
    </row>
    <row r="60" spans="2:18" s="199" customFormat="1">
      <c r="C60" s="197"/>
    </row>
    <row r="61" spans="2:18" s="199" customFormat="1" ht="15">
      <c r="B61" s="297"/>
      <c r="C61" s="197"/>
    </row>
    <row r="62" spans="2:18" s="199" customFormat="1">
      <c r="C62" s="197"/>
    </row>
    <row r="63" spans="2:18" s="199" customFormat="1" ht="15">
      <c r="B63" s="298"/>
      <c r="C63" s="299"/>
      <c r="D63" s="298"/>
      <c r="E63" s="298"/>
      <c r="F63" s="298"/>
      <c r="G63" s="298"/>
      <c r="H63" s="298"/>
      <c r="I63" s="298"/>
      <c r="J63" s="298"/>
      <c r="K63" s="298"/>
      <c r="L63" s="300"/>
      <c r="M63" s="300"/>
      <c r="N63" s="300"/>
      <c r="O63" s="300"/>
      <c r="P63" s="300"/>
      <c r="Q63" s="301"/>
      <c r="R63" s="301"/>
    </row>
    <row r="64" spans="2:18" s="199" customFormat="1">
      <c r="B64" s="196"/>
      <c r="C64" s="197"/>
      <c r="D64" s="196"/>
      <c r="E64" s="196"/>
      <c r="F64" s="196"/>
      <c r="G64" s="196"/>
      <c r="H64" s="196"/>
      <c r="L64" s="196"/>
      <c r="M64" s="196"/>
      <c r="N64" s="198"/>
      <c r="Q64" s="198"/>
      <c r="R64" s="296"/>
    </row>
    <row r="65" spans="2:18" s="199" customFormat="1">
      <c r="B65" s="196"/>
      <c r="C65" s="197"/>
      <c r="D65" s="196"/>
      <c r="E65" s="196"/>
      <c r="F65" s="196"/>
      <c r="G65" s="196"/>
      <c r="H65" s="196"/>
      <c r="L65" s="196"/>
      <c r="M65" s="196"/>
      <c r="N65" s="198"/>
      <c r="Q65" s="305"/>
      <c r="R65" s="296"/>
    </row>
    <row r="66" spans="2:18" s="199" customFormat="1">
      <c r="C66" s="197"/>
    </row>
    <row r="67" spans="2:18" s="199" customFormat="1">
      <c r="C67" s="197"/>
    </row>
    <row r="68" spans="2:18" s="199" customFormat="1" ht="15">
      <c r="B68" s="297"/>
      <c r="C68" s="197"/>
    </row>
    <row r="69" spans="2:18" s="199" customFormat="1" ht="15">
      <c r="B69" s="297"/>
      <c r="C69" s="197"/>
    </row>
    <row r="70" spans="2:18" s="199" customFormat="1">
      <c r="C70" s="197"/>
    </row>
    <row r="71" spans="2:18" s="199" customFormat="1" ht="15">
      <c r="B71" s="297"/>
      <c r="C71" s="197"/>
    </row>
    <row r="72" spans="2:18" s="199" customFormat="1">
      <c r="C72" s="197"/>
    </row>
    <row r="73" spans="2:18" s="306" customFormat="1" ht="15">
      <c r="B73" s="300"/>
      <c r="C73" s="300"/>
      <c r="D73" s="300"/>
      <c r="E73" s="300"/>
      <c r="F73" s="300"/>
      <c r="G73" s="300"/>
      <c r="H73" s="300"/>
      <c r="I73" s="300"/>
      <c r="J73" s="300"/>
      <c r="K73" s="300"/>
      <c r="L73" s="300"/>
      <c r="M73" s="300"/>
      <c r="N73" s="300"/>
      <c r="O73" s="300"/>
      <c r="P73" s="300"/>
      <c r="Q73" s="301"/>
      <c r="R73" s="301"/>
    </row>
    <row r="74" spans="2:18" s="199" customFormat="1">
      <c r="B74" s="196"/>
      <c r="C74" s="197"/>
      <c r="D74" s="294"/>
      <c r="E74" s="295"/>
      <c r="F74" s="295"/>
      <c r="G74" s="295"/>
      <c r="L74" s="295"/>
      <c r="M74" s="295"/>
      <c r="N74" s="198"/>
      <c r="O74" s="295"/>
      <c r="P74" s="295"/>
      <c r="Q74" s="198"/>
      <c r="R74" s="296"/>
    </row>
    <row r="75" spans="2:18" s="199" customFormat="1">
      <c r="C75" s="197"/>
    </row>
    <row r="76" spans="2:18" s="199" customFormat="1">
      <c r="C76" s="197"/>
    </row>
    <row r="77" spans="2:18" s="199" customFormat="1">
      <c r="C77" s="197"/>
    </row>
    <row r="78" spans="2:18" s="199" customFormat="1">
      <c r="C78" s="197"/>
    </row>
    <row r="79" spans="2:18" s="199" customFormat="1" ht="15">
      <c r="B79" s="297"/>
      <c r="C79" s="197"/>
    </row>
    <row r="80" spans="2:18" s="199" customFormat="1" ht="15">
      <c r="B80" s="297"/>
      <c r="C80" s="197"/>
    </row>
    <row r="81" spans="2:18" s="199" customFormat="1">
      <c r="C81" s="197"/>
    </row>
    <row r="82" spans="2:18" s="199" customFormat="1" ht="15">
      <c r="B82" s="297"/>
      <c r="C82" s="197"/>
    </row>
    <row r="83" spans="2:18" s="199" customFormat="1">
      <c r="C83" s="197"/>
    </row>
    <row r="84" spans="2:18" s="199" customFormat="1" ht="15">
      <c r="B84" s="298"/>
      <c r="C84" s="299"/>
      <c r="D84" s="298"/>
      <c r="E84" s="298"/>
      <c r="F84" s="298"/>
      <c r="G84" s="298"/>
      <c r="H84" s="298"/>
      <c r="I84" s="298"/>
      <c r="J84" s="298"/>
      <c r="K84" s="298"/>
      <c r="L84" s="300"/>
      <c r="M84" s="300"/>
      <c r="N84" s="300"/>
      <c r="O84" s="300"/>
      <c r="P84" s="300"/>
      <c r="Q84" s="301"/>
      <c r="R84" s="301"/>
    </row>
    <row r="85" spans="2:18" s="199" customFormat="1">
      <c r="B85" s="196"/>
      <c r="C85" s="197"/>
      <c r="D85" s="196"/>
      <c r="E85" s="196"/>
      <c r="F85" s="196"/>
      <c r="G85" s="196"/>
      <c r="H85" s="196"/>
      <c r="L85" s="196"/>
      <c r="M85" s="196"/>
      <c r="N85" s="198"/>
      <c r="Q85" s="198"/>
      <c r="R85" s="296"/>
    </row>
    <row r="86" spans="2:18" s="199" customFormat="1">
      <c r="B86" s="196"/>
      <c r="C86" s="197"/>
      <c r="D86" s="196"/>
      <c r="E86" s="196"/>
      <c r="F86" s="196"/>
      <c r="G86" s="196"/>
      <c r="H86" s="196"/>
      <c r="L86" s="196"/>
      <c r="M86" s="196"/>
      <c r="N86" s="198"/>
      <c r="Q86" s="305"/>
      <c r="R86" s="296"/>
    </row>
    <row r="87" spans="2:18" s="199" customFormat="1" ht="15">
      <c r="B87" s="297"/>
      <c r="C87" s="197"/>
    </row>
    <row r="88" spans="2:18" s="199" customFormat="1" ht="15">
      <c r="B88" s="297"/>
      <c r="C88" s="197"/>
    </row>
    <row r="89" spans="2:18" s="199" customFormat="1">
      <c r="C89" s="197"/>
    </row>
    <row r="90" spans="2:18" s="199" customFormat="1" ht="15">
      <c r="B90" s="297"/>
      <c r="C90" s="307"/>
    </row>
    <row r="91" spans="2:18" s="199" customFormat="1">
      <c r="C91" s="197"/>
    </row>
    <row r="92" spans="2:18" s="199" customFormat="1" ht="15">
      <c r="B92" s="298"/>
      <c r="C92" s="299"/>
      <c r="D92" s="298"/>
      <c r="E92" s="298"/>
      <c r="F92" s="298"/>
      <c r="G92" s="298"/>
      <c r="H92" s="298"/>
      <c r="I92" s="298"/>
      <c r="J92" s="298"/>
      <c r="K92" s="298"/>
      <c r="L92" s="300"/>
      <c r="M92" s="300"/>
      <c r="N92" s="300"/>
      <c r="O92" s="300"/>
      <c r="P92" s="300"/>
      <c r="Q92" s="301"/>
      <c r="R92" s="301"/>
    </row>
    <row r="93" spans="2:18" s="199" customFormat="1">
      <c r="B93" s="196"/>
      <c r="C93" s="197"/>
    </row>
    <row r="94" spans="2:18" s="199" customFormat="1">
      <c r="C94" s="197"/>
    </row>
    <row r="95" spans="2:18" s="199" customFormat="1">
      <c r="C95" s="197"/>
    </row>
    <row r="96" spans="2:18" s="199" customFormat="1">
      <c r="C96" s="197"/>
    </row>
    <row r="97" spans="2:18" s="199" customFormat="1">
      <c r="C97" s="197"/>
    </row>
    <row r="98" spans="2:18" s="199" customFormat="1">
      <c r="C98" s="197"/>
    </row>
    <row r="99" spans="2:18" s="199" customFormat="1" ht="15">
      <c r="B99" s="297"/>
      <c r="C99" s="197"/>
    </row>
    <row r="100" spans="2:18" s="199" customFormat="1" ht="15">
      <c r="B100" s="297"/>
      <c r="C100" s="197"/>
    </row>
    <row r="101" spans="2:18" s="199" customFormat="1">
      <c r="C101" s="197"/>
    </row>
    <row r="102" spans="2:18" s="199" customFormat="1" ht="15">
      <c r="B102" s="297"/>
      <c r="C102" s="307"/>
    </row>
    <row r="103" spans="2:18" s="199" customFormat="1">
      <c r="C103" s="197"/>
    </row>
    <row r="104" spans="2:18" s="199" customFormat="1" ht="15">
      <c r="B104" s="298"/>
      <c r="C104" s="299"/>
      <c r="D104" s="298"/>
      <c r="E104" s="298"/>
      <c r="F104" s="298"/>
      <c r="G104" s="298"/>
      <c r="H104" s="298"/>
      <c r="I104" s="298"/>
      <c r="J104" s="298"/>
      <c r="K104" s="298"/>
      <c r="L104" s="300"/>
      <c r="M104" s="300"/>
      <c r="N104" s="300"/>
      <c r="O104" s="300"/>
      <c r="P104" s="300"/>
      <c r="Q104" s="301"/>
      <c r="R104" s="301"/>
    </row>
    <row r="105" spans="2:18" s="199" customFormat="1" ht="14.25">
      <c r="B105" s="302"/>
      <c r="C105" s="197"/>
      <c r="G105" s="196"/>
      <c r="L105" s="196"/>
      <c r="M105" s="196"/>
      <c r="N105" s="308"/>
      <c r="Q105" s="309"/>
      <c r="R105" s="296"/>
    </row>
    <row r="106" spans="2:18" s="199" customFormat="1" ht="14.25">
      <c r="B106" s="196"/>
      <c r="C106" s="197"/>
      <c r="G106" s="196"/>
      <c r="L106" s="196"/>
      <c r="M106" s="196"/>
      <c r="N106" s="308"/>
      <c r="Q106" s="309"/>
      <c r="R106" s="296"/>
    </row>
    <row r="107" spans="2:18" s="199" customFormat="1">
      <c r="B107" s="196"/>
      <c r="C107" s="197"/>
      <c r="D107" s="196"/>
      <c r="E107" s="196"/>
      <c r="F107" s="196"/>
      <c r="L107" s="196"/>
      <c r="M107" s="196"/>
      <c r="N107" s="196"/>
    </row>
    <row r="108" spans="2:18" s="199" customFormat="1">
      <c r="B108" s="196"/>
      <c r="C108" s="197"/>
      <c r="D108" s="196"/>
      <c r="E108" s="196"/>
      <c r="F108" s="196"/>
      <c r="L108" s="196"/>
      <c r="M108" s="196"/>
      <c r="N108" s="196"/>
    </row>
    <row r="109" spans="2:18" s="199" customFormat="1">
      <c r="B109" s="196"/>
      <c r="C109" s="197"/>
      <c r="D109" s="196"/>
      <c r="E109" s="196"/>
      <c r="F109" s="196"/>
      <c r="L109" s="196"/>
      <c r="M109" s="196"/>
      <c r="N109" s="196"/>
    </row>
    <row r="110" spans="2:18" s="199" customFormat="1">
      <c r="B110" s="196"/>
      <c r="C110" s="197"/>
      <c r="D110" s="196"/>
      <c r="E110" s="196"/>
      <c r="F110" s="196"/>
      <c r="L110" s="196"/>
      <c r="M110" s="196"/>
      <c r="N110" s="196"/>
    </row>
    <row r="111" spans="2:18" s="199" customFormat="1">
      <c r="B111" s="196"/>
      <c r="C111" s="197"/>
      <c r="D111" s="196"/>
      <c r="E111" s="196"/>
      <c r="F111" s="196"/>
      <c r="L111" s="196"/>
      <c r="M111" s="196"/>
      <c r="N111" s="196"/>
    </row>
    <row r="112" spans="2:18" s="199" customFormat="1">
      <c r="B112" s="196"/>
      <c r="C112" s="197"/>
      <c r="D112" s="196"/>
      <c r="E112" s="196"/>
      <c r="F112" s="196"/>
      <c r="L112" s="196"/>
      <c r="M112" s="196"/>
      <c r="N112" s="196"/>
    </row>
  </sheetData>
  <mergeCells count="1">
    <mergeCell ref="B1:K1"/>
  </mergeCells>
  <phoneticPr fontId="32"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2"/>
  <sheetViews>
    <sheetView tabSelected="1" zoomScaleNormal="100" workbookViewId="0">
      <pane xSplit="8" ySplit="2" topLeftCell="I54" activePane="bottomRight" state="frozen"/>
      <selection pane="topRight" activeCell="G1" sqref="G1"/>
      <selection pane="bottomLeft" activeCell="A3" sqref="A3"/>
      <selection pane="bottomRight" activeCell="M41" sqref="M41"/>
    </sheetView>
  </sheetViews>
  <sheetFormatPr defaultColWidth="9.42578125" defaultRowHeight="12.75"/>
  <cols>
    <col min="1" max="1" width="10.42578125" style="54" customWidth="1"/>
    <col min="2" max="2" width="5.140625" style="54" customWidth="1"/>
    <col min="3" max="3" width="22.5703125" style="105" customWidth="1"/>
    <col min="4" max="4" width="23" style="54" customWidth="1"/>
    <col min="5" max="5" width="11.42578125" style="54" customWidth="1"/>
    <col min="6" max="6" width="9.140625" style="54" customWidth="1"/>
    <col min="7" max="7" width="14.42578125" style="54" customWidth="1"/>
    <col min="8" max="8" width="6.42578125" style="54" customWidth="1"/>
    <col min="9" max="14" width="9.42578125" style="228" customWidth="1"/>
    <col min="15" max="16" width="9.42578125" style="54" customWidth="1"/>
    <col min="17" max="19" width="9.42578125" style="54"/>
    <col min="20" max="20" width="10.5703125" style="54" customWidth="1"/>
    <col min="21" max="27" width="9.42578125" style="228" customWidth="1"/>
    <col min="28" max="29" width="9.42578125" style="54" customWidth="1"/>
    <col min="30" max="16384" width="9.42578125" style="54"/>
  </cols>
  <sheetData>
    <row r="1" spans="1:30" s="62" customFormat="1" ht="26.25" customHeight="1" thickBot="1">
      <c r="A1" s="61" t="s">
        <v>141</v>
      </c>
      <c r="B1" s="62" t="s">
        <v>172</v>
      </c>
      <c r="C1" s="75" t="s">
        <v>468</v>
      </c>
      <c r="D1" s="62" t="s">
        <v>106</v>
      </c>
      <c r="E1" s="62" t="s">
        <v>107</v>
      </c>
      <c r="F1" s="62" t="s">
        <v>108</v>
      </c>
      <c r="G1" s="370" t="s">
        <v>109</v>
      </c>
      <c r="H1" s="370"/>
      <c r="I1" s="224" t="s">
        <v>38</v>
      </c>
      <c r="J1" s="225" t="s">
        <v>224</v>
      </c>
      <c r="K1" s="224" t="s">
        <v>304</v>
      </c>
      <c r="L1" s="224" t="s">
        <v>319</v>
      </c>
      <c r="M1" s="225" t="s">
        <v>360</v>
      </c>
      <c r="N1" s="224" t="s">
        <v>413</v>
      </c>
      <c r="O1" s="62" t="s">
        <v>110</v>
      </c>
      <c r="P1" s="62" t="s">
        <v>111</v>
      </c>
      <c r="Q1" s="62" t="s">
        <v>112</v>
      </c>
      <c r="T1" s="61" t="s">
        <v>142</v>
      </c>
      <c r="U1" s="224" t="str">
        <f>I1</f>
        <v>Huawei</v>
      </c>
      <c r="V1" s="225" t="s">
        <v>224</v>
      </c>
      <c r="W1" s="224" t="str">
        <f t="shared" ref="W1:X1" si="0">K1</f>
        <v>CAICT</v>
      </c>
      <c r="X1" s="224" t="str">
        <f t="shared" si="0"/>
        <v>CMCC</v>
      </c>
      <c r="Y1" s="225" t="s">
        <v>360</v>
      </c>
      <c r="Z1" s="224" t="s">
        <v>375</v>
      </c>
      <c r="AA1" s="224" t="s">
        <v>414</v>
      </c>
      <c r="AB1" s="62" t="s">
        <v>110</v>
      </c>
      <c r="AC1" s="62" t="s">
        <v>111</v>
      </c>
      <c r="AD1" s="62" t="s">
        <v>112</v>
      </c>
    </row>
    <row r="2" spans="1:30" ht="13.35" customHeight="1">
      <c r="A2" s="367" t="s">
        <v>153</v>
      </c>
      <c r="B2" s="46" t="s">
        <v>176</v>
      </c>
      <c r="C2" s="46"/>
      <c r="D2" s="46"/>
      <c r="E2" s="46"/>
      <c r="F2" s="46"/>
      <c r="G2" s="46"/>
      <c r="H2" s="46"/>
      <c r="I2" s="227"/>
      <c r="J2" s="227"/>
      <c r="K2" s="227"/>
      <c r="L2" s="227"/>
      <c r="M2" s="227"/>
      <c r="N2" s="227"/>
      <c r="O2" s="64"/>
      <c r="P2" s="55"/>
      <c r="Q2" s="55"/>
      <c r="T2" s="72" t="s">
        <v>113</v>
      </c>
      <c r="U2" s="227"/>
      <c r="V2" s="227"/>
      <c r="W2" s="227"/>
      <c r="X2" s="227"/>
      <c r="Y2" s="227"/>
      <c r="Z2" s="227"/>
      <c r="AA2" s="227"/>
      <c r="AB2" s="64"/>
      <c r="AC2" s="55"/>
      <c r="AD2" s="55"/>
    </row>
    <row r="3" spans="1:30" ht="36" customHeight="1">
      <c r="A3" s="368"/>
      <c r="B3" s="54" t="s">
        <v>174</v>
      </c>
      <c r="C3" s="105" t="s">
        <v>426</v>
      </c>
      <c r="D3" s="54" t="s">
        <v>177</v>
      </c>
      <c r="E3" s="54" t="s">
        <v>114</v>
      </c>
      <c r="G3" s="54" t="s">
        <v>116</v>
      </c>
      <c r="H3" s="54">
        <v>9</v>
      </c>
      <c r="I3" s="228">
        <v>11.287000000000001</v>
      </c>
      <c r="J3" s="229">
        <v>12.924857621440538</v>
      </c>
      <c r="K3" s="228">
        <v>11.085800000000001</v>
      </c>
      <c r="N3" s="228">
        <v>10.41</v>
      </c>
      <c r="O3" s="65">
        <f>AVERAGE(I3:N3)</f>
        <v>11.426914405360133</v>
      </c>
      <c r="P3" s="54">
        <f>SQRT(VAR(I3:N3))</f>
        <v>1.0667526837403527</v>
      </c>
      <c r="Q3" s="54">
        <f>COUNT(I3:N3)</f>
        <v>4</v>
      </c>
      <c r="T3" s="71"/>
      <c r="U3" s="228">
        <v>11.307</v>
      </c>
      <c r="V3" s="229">
        <v>13.036471245114463</v>
      </c>
      <c r="Y3" s="228">
        <v>9.23</v>
      </c>
      <c r="AA3" s="228">
        <v>10.98</v>
      </c>
      <c r="AB3" s="65">
        <f>AVERAGE(U3:AA3)</f>
        <v>11.138367811278616</v>
      </c>
      <c r="AC3" s="54">
        <f>SQRT(VAR(U3:AA3))</f>
        <v>1.5597202235642402</v>
      </c>
      <c r="AD3" s="54">
        <f>COUNT(U3:AA3)</f>
        <v>4</v>
      </c>
    </row>
    <row r="4" spans="1:30" ht="25.5">
      <c r="A4" s="368"/>
      <c r="G4" s="53" t="s">
        <v>118</v>
      </c>
      <c r="H4" s="53">
        <v>0.3</v>
      </c>
      <c r="I4" s="230">
        <v>0.35599999999999998</v>
      </c>
      <c r="J4" s="231">
        <v>0.49109994416527086</v>
      </c>
      <c r="K4" s="230">
        <v>0.33460000000000001</v>
      </c>
      <c r="L4" s="230"/>
      <c r="M4" s="232"/>
      <c r="N4" s="230">
        <v>0.3</v>
      </c>
      <c r="O4" s="109">
        <f>AVERAGE(I4:N4)</f>
        <v>0.37042498604131774</v>
      </c>
      <c r="P4" s="104">
        <f>SQRT(VAR(I4:N4))</f>
        <v>8.3693157873051066E-2</v>
      </c>
      <c r="Q4" s="104">
        <f>COUNT(I4:N4)</f>
        <v>4</v>
      </c>
      <c r="T4" s="71"/>
      <c r="U4" s="230">
        <v>0.34399999999999997</v>
      </c>
      <c r="V4" s="231">
        <v>0.51342266890005595</v>
      </c>
      <c r="W4" s="230"/>
      <c r="X4" s="230"/>
      <c r="Y4" s="232">
        <v>0.33</v>
      </c>
      <c r="Z4" s="230"/>
      <c r="AA4" s="230">
        <v>0.34799999999999998</v>
      </c>
      <c r="AB4" s="66">
        <f>AVERAGE(U4:AA4)</f>
        <v>0.38385566722501396</v>
      </c>
      <c r="AC4" s="53">
        <f>SQRT(VAR(U4:AA4))</f>
        <v>8.6722053899058932E-2</v>
      </c>
      <c r="AD4" s="53">
        <f>COUNT(U4:AA4)</f>
        <v>4</v>
      </c>
    </row>
    <row r="5" spans="1:30">
      <c r="A5" s="368"/>
      <c r="O5" s="65"/>
      <c r="T5" s="71"/>
      <c r="AB5" s="65"/>
    </row>
    <row r="6" spans="1:30" s="105" customFormat="1" ht="25.5">
      <c r="A6" s="368"/>
      <c r="B6" s="105" t="s">
        <v>174</v>
      </c>
      <c r="C6" s="105" t="s">
        <v>426</v>
      </c>
      <c r="D6" s="105" t="s">
        <v>433</v>
      </c>
      <c r="E6" s="105" t="s">
        <v>114</v>
      </c>
      <c r="G6" s="105" t="s">
        <v>115</v>
      </c>
      <c r="H6" s="105">
        <v>9</v>
      </c>
      <c r="I6" s="228"/>
      <c r="J6" s="229"/>
      <c r="K6" s="228"/>
      <c r="L6" s="228"/>
      <c r="M6" s="228"/>
      <c r="N6" s="228"/>
      <c r="O6" s="108" t="e">
        <f>AVERAGE(I6:N6)</f>
        <v>#DIV/0!</v>
      </c>
      <c r="P6" s="105" t="e">
        <f>SQRT(VAR(I6:N6))</f>
        <v>#DIV/0!</v>
      </c>
      <c r="Q6" s="105">
        <f>COUNT(I6:N6)</f>
        <v>0</v>
      </c>
      <c r="T6" s="113"/>
      <c r="U6" s="228"/>
      <c r="V6" s="229"/>
      <c r="W6" s="228"/>
      <c r="X6" s="228"/>
      <c r="Y6" s="228"/>
      <c r="Z6" s="228"/>
      <c r="AA6" s="228"/>
      <c r="AB6" s="108" t="e">
        <f>AVERAGE(U6:AA6)</f>
        <v>#DIV/0!</v>
      </c>
      <c r="AC6" s="105" t="e">
        <f>SQRT(VAR(U6:AA6))</f>
        <v>#DIV/0!</v>
      </c>
      <c r="AD6" s="105">
        <f>COUNT(U6:AA6)</f>
        <v>0</v>
      </c>
    </row>
    <row r="7" spans="1:30" s="105" customFormat="1" ht="25.5">
      <c r="A7" s="368"/>
      <c r="G7" s="104" t="s">
        <v>117</v>
      </c>
      <c r="H7" s="104">
        <v>0.3</v>
      </c>
      <c r="I7" s="230"/>
      <c r="J7" s="231"/>
      <c r="K7" s="230"/>
      <c r="L7" s="230"/>
      <c r="M7" s="232"/>
      <c r="N7" s="230"/>
      <c r="O7" s="109" t="e">
        <f>AVERAGE(I7:N7)</f>
        <v>#DIV/0!</v>
      </c>
      <c r="P7" s="104" t="e">
        <f>SQRT(VAR(I7:N7))</f>
        <v>#DIV/0!</v>
      </c>
      <c r="Q7" s="104">
        <f>COUNT(I7:N7)</f>
        <v>0</v>
      </c>
      <c r="T7" s="113"/>
      <c r="U7" s="230"/>
      <c r="V7" s="231"/>
      <c r="W7" s="230"/>
      <c r="X7" s="230"/>
      <c r="Y7" s="232"/>
      <c r="Z7" s="230"/>
      <c r="AA7" s="230"/>
      <c r="AB7" s="109" t="e">
        <f>AVERAGE(U7:AA7)</f>
        <v>#DIV/0!</v>
      </c>
      <c r="AC7" s="104" t="e">
        <f>SQRT(VAR(U7:AA7))</f>
        <v>#DIV/0!</v>
      </c>
      <c r="AD7" s="104">
        <f>COUNT(U7:AA7)</f>
        <v>0</v>
      </c>
    </row>
    <row r="8" spans="1:30" s="105" customFormat="1">
      <c r="A8" s="368"/>
      <c r="I8" s="228"/>
      <c r="J8" s="228"/>
      <c r="K8" s="228"/>
      <c r="L8" s="228"/>
      <c r="M8" s="228"/>
      <c r="N8" s="228"/>
      <c r="O8" s="108"/>
      <c r="T8" s="113"/>
      <c r="U8" s="228"/>
      <c r="V8" s="228"/>
      <c r="W8" s="228"/>
      <c r="X8" s="228"/>
      <c r="Y8" s="228"/>
      <c r="Z8" s="228"/>
      <c r="AA8" s="228"/>
      <c r="AB8" s="108"/>
    </row>
    <row r="9" spans="1:30" s="105" customFormat="1" ht="25.5">
      <c r="A9" s="368"/>
      <c r="B9" s="105" t="s">
        <v>173</v>
      </c>
      <c r="C9" s="105" t="s">
        <v>426</v>
      </c>
      <c r="D9" s="105" t="s">
        <v>427</v>
      </c>
      <c r="E9" s="105" t="s">
        <v>114</v>
      </c>
      <c r="G9" s="105" t="s">
        <v>275</v>
      </c>
      <c r="H9" s="105">
        <v>9</v>
      </c>
      <c r="I9" s="228"/>
      <c r="J9" s="228"/>
      <c r="K9" s="228"/>
      <c r="L9" s="228"/>
      <c r="M9" s="228"/>
      <c r="N9" s="228"/>
      <c r="O9" s="108" t="e">
        <f>AVERAGE(I9:N9)</f>
        <v>#DIV/0!</v>
      </c>
      <c r="P9" s="105" t="e">
        <f>SQRT(VAR(I9:N9))</f>
        <v>#DIV/0!</v>
      </c>
      <c r="Q9" s="105">
        <f>COUNT(I9:N9)</f>
        <v>0</v>
      </c>
      <c r="T9" s="113"/>
      <c r="U9" s="228"/>
      <c r="V9" s="228"/>
      <c r="W9" s="228"/>
      <c r="X9" s="228"/>
      <c r="Y9" s="228"/>
      <c r="Z9" s="228"/>
      <c r="AA9" s="228"/>
      <c r="AB9" s="108" t="e">
        <f>AVERAGE(U9:AA9)</f>
        <v>#DIV/0!</v>
      </c>
      <c r="AC9" s="105" t="e">
        <f>SQRT(VAR(U9:AA9))</f>
        <v>#DIV/0!</v>
      </c>
      <c r="AD9" s="105">
        <f>COUNT(U9:AA9)</f>
        <v>0</v>
      </c>
    </row>
    <row r="10" spans="1:30" s="105" customFormat="1" ht="25.5">
      <c r="A10" s="368"/>
      <c r="G10" s="104" t="s">
        <v>117</v>
      </c>
      <c r="H10" s="104">
        <v>0.3</v>
      </c>
      <c r="I10" s="230"/>
      <c r="J10" s="230"/>
      <c r="K10" s="230"/>
      <c r="L10" s="230"/>
      <c r="M10" s="230"/>
      <c r="N10" s="230"/>
      <c r="O10" s="109" t="e">
        <f>AVERAGE(I10:N10)</f>
        <v>#DIV/0!</v>
      </c>
      <c r="P10" s="104" t="e">
        <f>SQRT(VAR(I10:N10))</f>
        <v>#DIV/0!</v>
      </c>
      <c r="Q10" s="104">
        <f>COUNT(I10:N10)</f>
        <v>0</v>
      </c>
      <c r="T10" s="113"/>
      <c r="U10" s="230"/>
      <c r="V10" s="230"/>
      <c r="W10" s="230"/>
      <c r="X10" s="230"/>
      <c r="Y10" s="230"/>
      <c r="Z10" s="230"/>
      <c r="AA10" s="230"/>
      <c r="AB10" s="109" t="e">
        <f>AVERAGE(U10:AA10)</f>
        <v>#DIV/0!</v>
      </c>
      <c r="AC10" s="104" t="e">
        <f>SQRT(VAR(U10:AA10))</f>
        <v>#DIV/0!</v>
      </c>
      <c r="AD10" s="104">
        <f>COUNT(U10:AA10)</f>
        <v>0</v>
      </c>
    </row>
    <row r="11" spans="1:30">
      <c r="A11" s="368"/>
      <c r="O11" s="108"/>
      <c r="P11" s="105"/>
      <c r="Q11" s="105"/>
      <c r="T11" s="71"/>
      <c r="AB11" s="65"/>
    </row>
    <row r="12" spans="1:30" s="105" customFormat="1" ht="25.5">
      <c r="A12" s="368"/>
      <c r="B12" s="105" t="s">
        <v>173</v>
      </c>
      <c r="C12" s="105" t="s">
        <v>426</v>
      </c>
      <c r="D12" s="105" t="s">
        <v>410</v>
      </c>
      <c r="E12" s="105" t="s">
        <v>114</v>
      </c>
      <c r="G12" s="105" t="s">
        <v>115</v>
      </c>
      <c r="H12" s="105">
        <v>9</v>
      </c>
      <c r="I12" s="228"/>
      <c r="J12" s="228"/>
      <c r="K12" s="228"/>
      <c r="L12" s="228"/>
      <c r="M12" s="228"/>
      <c r="N12" s="228"/>
      <c r="O12" s="108" t="e">
        <f>AVERAGE(I12:N12)</f>
        <v>#DIV/0!</v>
      </c>
      <c r="P12" s="105" t="e">
        <f>SQRT(VAR(I12:N12))</f>
        <v>#DIV/0!</v>
      </c>
      <c r="Q12" s="105">
        <f>COUNT(I12:N12)</f>
        <v>0</v>
      </c>
      <c r="T12" s="113"/>
      <c r="U12" s="228"/>
      <c r="V12" s="228"/>
      <c r="W12" s="228"/>
      <c r="X12" s="228"/>
      <c r="Y12" s="228"/>
      <c r="Z12" s="228"/>
      <c r="AA12" s="228"/>
      <c r="AB12" s="108" t="e">
        <f>AVERAGE(U12:AA12)</f>
        <v>#DIV/0!</v>
      </c>
      <c r="AC12" s="105" t="e">
        <f>SQRT(VAR(U12:AA12))</f>
        <v>#DIV/0!</v>
      </c>
      <c r="AD12" s="105">
        <f>COUNT(U12:AA12)</f>
        <v>0</v>
      </c>
    </row>
    <row r="13" spans="1:30" s="105" customFormat="1" ht="25.5">
      <c r="A13" s="368"/>
      <c r="G13" s="104" t="s">
        <v>117</v>
      </c>
      <c r="H13" s="104">
        <v>0.3</v>
      </c>
      <c r="I13" s="230"/>
      <c r="J13" s="230"/>
      <c r="K13" s="230"/>
      <c r="L13" s="230"/>
      <c r="M13" s="230"/>
      <c r="N13" s="230"/>
      <c r="O13" s="109" t="e">
        <f>AVERAGE(I13:N13)</f>
        <v>#DIV/0!</v>
      </c>
      <c r="P13" s="104" t="e">
        <f>SQRT(VAR(I13:N13))</f>
        <v>#DIV/0!</v>
      </c>
      <c r="Q13" s="104">
        <f>COUNT(I13:N13)</f>
        <v>0</v>
      </c>
      <c r="T13" s="113"/>
      <c r="U13" s="230"/>
      <c r="V13" s="230"/>
      <c r="W13" s="230"/>
      <c r="X13" s="230"/>
      <c r="Y13" s="230"/>
      <c r="Z13" s="230"/>
      <c r="AA13" s="230"/>
      <c r="AB13" s="109" t="e">
        <f>AVERAGE(U13:AA13)</f>
        <v>#DIV/0!</v>
      </c>
      <c r="AC13" s="104" t="e">
        <f>SQRT(VAR(U13:AA13))</f>
        <v>#DIV/0!</v>
      </c>
      <c r="AD13" s="104">
        <f>COUNT(U13:AA13)</f>
        <v>0</v>
      </c>
    </row>
    <row r="14" spans="1:30" s="105" customFormat="1">
      <c r="A14" s="368"/>
      <c r="I14" s="228"/>
      <c r="J14" s="228"/>
      <c r="K14" s="228"/>
      <c r="L14" s="228"/>
      <c r="M14" s="228"/>
      <c r="N14" s="228"/>
      <c r="O14" s="108"/>
      <c r="T14" s="113"/>
      <c r="U14" s="228"/>
      <c r="V14" s="228"/>
      <c r="W14" s="228"/>
      <c r="X14" s="228"/>
      <c r="Y14" s="228"/>
      <c r="Z14" s="228"/>
      <c r="AA14" s="228"/>
      <c r="AB14" s="108"/>
    </row>
    <row r="15" spans="1:30">
      <c r="A15" s="368"/>
      <c r="B15" s="46" t="s">
        <v>79</v>
      </c>
      <c r="C15" s="46"/>
      <c r="D15" s="46"/>
      <c r="E15" s="46"/>
      <c r="F15" s="46"/>
      <c r="G15" s="55"/>
      <c r="H15" s="55"/>
      <c r="I15" s="227"/>
      <c r="J15" s="227"/>
      <c r="K15" s="227"/>
      <c r="L15" s="227"/>
      <c r="M15" s="227"/>
      <c r="N15" s="227"/>
      <c r="O15" s="64"/>
      <c r="P15" s="55"/>
      <c r="Q15" s="55"/>
      <c r="T15" s="71"/>
      <c r="U15" s="227"/>
      <c r="V15" s="227"/>
      <c r="W15" s="227"/>
      <c r="X15" s="227"/>
      <c r="Y15" s="227"/>
      <c r="Z15" s="227"/>
      <c r="AA15" s="227"/>
      <c r="AB15" s="64"/>
      <c r="AC15" s="55"/>
      <c r="AD15" s="55"/>
    </row>
    <row r="16" spans="1:30" ht="31.5" customHeight="1">
      <c r="A16" s="368"/>
      <c r="B16" s="54" t="s">
        <v>174</v>
      </c>
      <c r="C16" s="105" t="s">
        <v>426</v>
      </c>
      <c r="D16" s="54" t="s">
        <v>120</v>
      </c>
      <c r="E16" s="54" t="s">
        <v>122</v>
      </c>
      <c r="F16" s="54" t="s">
        <v>123</v>
      </c>
      <c r="G16" s="54" t="s">
        <v>115</v>
      </c>
      <c r="H16" s="54">
        <v>9</v>
      </c>
      <c r="I16" s="228">
        <f>DL_OH!S39*12.725</f>
        <v>12.965094339622643</v>
      </c>
      <c r="O16" s="108">
        <f>AVERAGE(I16:N16)</f>
        <v>12.965094339622643</v>
      </c>
      <c r="P16" s="105" t="e">
        <f>SQRT(VAR(I16:N16))</f>
        <v>#DIV/0!</v>
      </c>
      <c r="Q16" s="105">
        <f>COUNT(I16:N16)</f>
        <v>1</v>
      </c>
      <c r="T16" s="71"/>
      <c r="U16" s="228">
        <f>DL_OH!S39*12.78</f>
        <v>13.0211320754717</v>
      </c>
      <c r="Y16" s="228">
        <f>DL_OH!S41*11.76</f>
        <v>11.538113207547172</v>
      </c>
      <c r="Z16" s="233">
        <f>DL_OH!S42*12.06</f>
        <v>11.83245283018868</v>
      </c>
      <c r="AA16" s="233"/>
      <c r="AB16" s="65">
        <f>AVERAGE(U16:AA16)</f>
        <v>12.130566037735852</v>
      </c>
      <c r="AC16" s="54">
        <f>SQRT(VAR(U16:AA16))</f>
        <v>0.78516867871851836</v>
      </c>
      <c r="AD16" s="54">
        <f>COUNT(U16:AA16)</f>
        <v>3</v>
      </c>
    </row>
    <row r="17" spans="1:30" ht="25.5">
      <c r="A17" s="368"/>
      <c r="G17" s="53" t="s">
        <v>117</v>
      </c>
      <c r="H17" s="53">
        <v>0.3</v>
      </c>
      <c r="I17" s="230">
        <f>DL_OH!S39*0.37</f>
        <v>0.37698113207547179</v>
      </c>
      <c r="J17" s="230"/>
      <c r="K17" s="230"/>
      <c r="L17" s="230"/>
      <c r="M17" s="232"/>
      <c r="N17" s="230"/>
      <c r="O17" s="109">
        <f>AVERAGE(I17:N17)</f>
        <v>0.37698113207547179</v>
      </c>
      <c r="P17" s="104" t="e">
        <f>SQRT(VAR(I17:N17))</f>
        <v>#DIV/0!</v>
      </c>
      <c r="Q17" s="104">
        <f>COUNT(I17:N17)</f>
        <v>1</v>
      </c>
      <c r="T17" s="71"/>
      <c r="U17" s="230">
        <f>DL_OH!S39*0.385</f>
        <v>0.39226415094339634</v>
      </c>
      <c r="V17" s="230"/>
      <c r="W17" s="230"/>
      <c r="X17" s="230"/>
      <c r="Y17" s="232">
        <f>DL_OH!S41*0.41</f>
        <v>0.40226415094339629</v>
      </c>
      <c r="Z17" s="234">
        <f>DL_OH!S42*0.48</f>
        <v>0.47094339622641507</v>
      </c>
      <c r="AA17" s="234"/>
      <c r="AB17" s="66">
        <f>AVERAGE(U17:AA17)</f>
        <v>0.42182389937106923</v>
      </c>
      <c r="AC17" s="53">
        <f>SQRT(VAR(U17:AA17))</f>
        <v>4.2831573967013474E-2</v>
      </c>
      <c r="AD17" s="53">
        <f>COUNT(U17:AA17)</f>
        <v>3</v>
      </c>
    </row>
    <row r="18" spans="1:30">
      <c r="A18" s="368"/>
      <c r="O18" s="108"/>
      <c r="P18" s="105"/>
      <c r="Q18" s="105"/>
      <c r="T18" s="71"/>
      <c r="AB18" s="65"/>
    </row>
    <row r="19" spans="1:30" s="105" customFormat="1" ht="31.5" customHeight="1">
      <c r="A19" s="368"/>
      <c r="B19" s="105" t="s">
        <v>398</v>
      </c>
      <c r="C19" s="105" t="s">
        <v>426</v>
      </c>
      <c r="D19" s="105" t="s">
        <v>120</v>
      </c>
      <c r="E19" s="105" t="s">
        <v>399</v>
      </c>
      <c r="F19" s="105" t="s">
        <v>400</v>
      </c>
      <c r="G19" s="105" t="s">
        <v>401</v>
      </c>
      <c r="H19" s="105">
        <v>9</v>
      </c>
      <c r="I19" s="228">
        <f>DL_OH!S25*12.536</f>
        <v>12.772528301886792</v>
      </c>
      <c r="J19" s="228"/>
      <c r="K19" s="228"/>
      <c r="L19" s="228"/>
      <c r="M19" s="228"/>
      <c r="N19" s="228"/>
      <c r="O19" s="108">
        <f>AVERAGE(I19:N19)</f>
        <v>12.772528301886792</v>
      </c>
      <c r="P19" s="105" t="e">
        <f>SQRT(VAR(I19:N19))</f>
        <v>#DIV/0!</v>
      </c>
      <c r="Q19" s="105">
        <f>COUNT(I19:N19)</f>
        <v>1</v>
      </c>
      <c r="T19" s="113"/>
      <c r="U19" s="228">
        <f>DL_OH!S25*12.53</f>
        <v>12.766415094339623</v>
      </c>
      <c r="V19" s="228"/>
      <c r="W19" s="228"/>
      <c r="X19" s="228"/>
      <c r="Y19" s="228"/>
      <c r="Z19" s="228"/>
      <c r="AA19" s="228"/>
      <c r="AB19" s="108">
        <f>AVERAGE(U19:AA19)</f>
        <v>12.766415094339623</v>
      </c>
      <c r="AC19" s="105" t="e">
        <f>SQRT(VAR(U19:AA19))</f>
        <v>#DIV/0!</v>
      </c>
      <c r="AD19" s="105">
        <f>COUNT(U19:AA19)</f>
        <v>1</v>
      </c>
    </row>
    <row r="20" spans="1:30" s="105" customFormat="1" ht="25.5">
      <c r="A20" s="368"/>
      <c r="G20" s="104" t="s">
        <v>402</v>
      </c>
      <c r="H20" s="104">
        <v>0.3</v>
      </c>
      <c r="I20" s="230">
        <f>DL_OH!S25*0.387</f>
        <v>0.39430188679245282</v>
      </c>
      <c r="J20" s="230"/>
      <c r="K20" s="230"/>
      <c r="L20" s="230"/>
      <c r="M20" s="232"/>
      <c r="N20" s="230"/>
      <c r="O20" s="109">
        <f>AVERAGE(I20:N20)</f>
        <v>0.39430188679245282</v>
      </c>
      <c r="P20" s="104" t="e">
        <f>SQRT(VAR(I20:N20))</f>
        <v>#DIV/0!</v>
      </c>
      <c r="Q20" s="104">
        <f>COUNT(I20:N20)</f>
        <v>1</v>
      </c>
      <c r="T20" s="113"/>
      <c r="U20" s="230">
        <f>DL_OH!S25*0.394</f>
        <v>0.40143396226415096</v>
      </c>
      <c r="V20" s="230"/>
      <c r="W20" s="230"/>
      <c r="X20" s="230"/>
      <c r="Y20" s="232"/>
      <c r="Z20" s="230"/>
      <c r="AA20" s="230"/>
      <c r="AB20" s="109">
        <f>AVERAGE(U20:AA20)</f>
        <v>0.40143396226415096</v>
      </c>
      <c r="AC20" s="104" t="e">
        <f>SQRT(VAR(U20:AA20))</f>
        <v>#DIV/0!</v>
      </c>
      <c r="AD20" s="104">
        <f>COUNT(U20:AA20)</f>
        <v>1</v>
      </c>
    </row>
    <row r="21" spans="1:30" s="105" customFormat="1">
      <c r="A21" s="368"/>
      <c r="I21" s="228"/>
      <c r="J21" s="228"/>
      <c r="K21" s="228"/>
      <c r="L21" s="228"/>
      <c r="M21" s="228"/>
      <c r="N21" s="228"/>
      <c r="O21" s="108"/>
      <c r="T21" s="113"/>
      <c r="U21" s="228"/>
      <c r="V21" s="228"/>
      <c r="W21" s="228"/>
      <c r="X21" s="228"/>
      <c r="Y21" s="228"/>
      <c r="Z21" s="228"/>
      <c r="AA21" s="228"/>
    </row>
    <row r="22" spans="1:30" ht="45" customHeight="1">
      <c r="A22" s="368"/>
      <c r="B22" s="54" t="s">
        <v>174</v>
      </c>
      <c r="C22" s="105" t="s">
        <v>426</v>
      </c>
      <c r="D22" s="54" t="s">
        <v>184</v>
      </c>
      <c r="E22" s="54" t="s">
        <v>124</v>
      </c>
      <c r="F22" s="54" t="s">
        <v>185</v>
      </c>
      <c r="G22" s="54" t="s">
        <v>115</v>
      </c>
      <c r="H22" s="54">
        <v>9</v>
      </c>
      <c r="J22" s="229"/>
      <c r="O22" s="108" t="e">
        <f>AVERAGE(I22:N22)</f>
        <v>#DIV/0!</v>
      </c>
      <c r="P22" s="105" t="e">
        <f>SQRT(VAR(I22:N22))</f>
        <v>#DIV/0!</v>
      </c>
      <c r="Q22" s="105">
        <f>COUNT(I22:N22)</f>
        <v>0</v>
      </c>
      <c r="T22" s="113"/>
      <c r="V22" s="229"/>
      <c r="AB22" s="108" t="e">
        <f>AVERAGE(U22:AA22)</f>
        <v>#DIV/0!</v>
      </c>
      <c r="AC22" s="105" t="e">
        <f>SQRT(VAR(U22:AA22))</f>
        <v>#DIV/0!</v>
      </c>
      <c r="AD22" s="105">
        <f>COUNT(U22:AA22)</f>
        <v>0</v>
      </c>
    </row>
    <row r="23" spans="1:30" ht="25.5">
      <c r="A23" s="68"/>
      <c r="G23" s="53" t="s">
        <v>117</v>
      </c>
      <c r="H23" s="53">
        <v>0.3</v>
      </c>
      <c r="I23" s="230"/>
      <c r="J23" s="231"/>
      <c r="K23" s="230"/>
      <c r="L23" s="230"/>
      <c r="M23" s="230"/>
      <c r="N23" s="230"/>
      <c r="O23" s="109" t="e">
        <f>AVERAGE(I23:N23)</f>
        <v>#DIV/0!</v>
      </c>
      <c r="P23" s="104" t="e">
        <f>SQRT(VAR(I23:N23))</f>
        <v>#DIV/0!</v>
      </c>
      <c r="Q23" s="104">
        <f>COUNT(I23:N23)</f>
        <v>0</v>
      </c>
      <c r="T23" s="113"/>
      <c r="U23" s="230"/>
      <c r="V23" s="231"/>
      <c r="W23" s="230"/>
      <c r="X23" s="230"/>
      <c r="Y23" s="230"/>
      <c r="Z23" s="230"/>
      <c r="AA23" s="230"/>
      <c r="AB23" s="109" t="e">
        <f>AVERAGE(U23:AA23)</f>
        <v>#DIV/0!</v>
      </c>
      <c r="AC23" s="104" t="e">
        <f>SQRT(VAR(U23:AA23))</f>
        <v>#DIV/0!</v>
      </c>
      <c r="AD23" s="104">
        <f>COUNT(U23:AA23)</f>
        <v>0</v>
      </c>
    </row>
    <row r="24" spans="1:30" s="105" customFormat="1" ht="15">
      <c r="A24" s="110"/>
      <c r="I24" s="228"/>
      <c r="J24" s="235"/>
      <c r="K24" s="228"/>
      <c r="L24" s="228"/>
      <c r="M24" s="228"/>
      <c r="N24" s="228"/>
      <c r="O24" s="108"/>
      <c r="T24" s="113"/>
      <c r="U24" s="228"/>
      <c r="V24" s="235"/>
      <c r="W24" s="228"/>
      <c r="X24" s="228"/>
      <c r="Y24" s="228"/>
      <c r="Z24" s="228"/>
      <c r="AA24" s="228"/>
      <c r="AB24" s="108"/>
    </row>
    <row r="25" spans="1:30" s="105" customFormat="1" ht="45" customHeight="1">
      <c r="A25" s="258"/>
      <c r="B25" s="105" t="s">
        <v>174</v>
      </c>
      <c r="C25" s="105" t="s">
        <v>426</v>
      </c>
      <c r="D25" s="105" t="s">
        <v>599</v>
      </c>
      <c r="E25" s="105" t="s">
        <v>124</v>
      </c>
      <c r="F25" s="105" t="s">
        <v>185</v>
      </c>
      <c r="G25" s="105" t="s">
        <v>115</v>
      </c>
      <c r="H25" s="105">
        <v>9</v>
      </c>
      <c r="I25" s="228"/>
      <c r="J25" s="229">
        <v>13.269873417721518</v>
      </c>
      <c r="K25" s="228"/>
      <c r="L25" s="228"/>
      <c r="M25" s="228"/>
      <c r="N25" s="228"/>
      <c r="O25" s="108">
        <f>AVERAGE(I25:N25)</f>
        <v>13.269873417721518</v>
      </c>
      <c r="P25" s="105" t="e">
        <f>SQRT(VAR(I25:N25))</f>
        <v>#DIV/0!</v>
      </c>
      <c r="Q25" s="105">
        <f>COUNT(I25:N25)</f>
        <v>1</v>
      </c>
      <c r="T25" s="113"/>
      <c r="U25" s="228"/>
      <c r="V25" s="229">
        <v>13.546329113924051</v>
      </c>
      <c r="W25" s="228"/>
      <c r="X25" s="228"/>
      <c r="Y25" s="228"/>
      <c r="Z25" s="228"/>
      <c r="AA25" s="228"/>
      <c r="AB25" s="108">
        <f>AVERAGE(U25:AA25)</f>
        <v>13.546329113924051</v>
      </c>
      <c r="AC25" s="105" t="e">
        <f>SQRT(VAR(U25:AA25))</f>
        <v>#DIV/0!</v>
      </c>
      <c r="AD25" s="105">
        <f>COUNT(U25:AA25)</f>
        <v>1</v>
      </c>
    </row>
    <row r="26" spans="1:30" s="105" customFormat="1" ht="25.5">
      <c r="A26" s="258"/>
      <c r="G26" s="104" t="s">
        <v>117</v>
      </c>
      <c r="H26" s="104">
        <v>0.3</v>
      </c>
      <c r="I26" s="230"/>
      <c r="J26" s="231">
        <v>0.49367088607594933</v>
      </c>
      <c r="K26" s="230"/>
      <c r="L26" s="230"/>
      <c r="M26" s="230"/>
      <c r="N26" s="230"/>
      <c r="O26" s="109">
        <f>AVERAGE(I26:N26)</f>
        <v>0.49367088607594933</v>
      </c>
      <c r="P26" s="104" t="e">
        <f>SQRT(VAR(I26:N26))</f>
        <v>#DIV/0!</v>
      </c>
      <c r="Q26" s="104">
        <f>COUNT(I26:N26)</f>
        <v>1</v>
      </c>
      <c r="T26" s="113"/>
      <c r="U26" s="230"/>
      <c r="V26" s="231">
        <v>0.50354430379746828</v>
      </c>
      <c r="W26" s="230"/>
      <c r="X26" s="230"/>
      <c r="Y26" s="230"/>
      <c r="Z26" s="230"/>
      <c r="AA26" s="230"/>
      <c r="AB26" s="109">
        <f>AVERAGE(U26:AA26)</f>
        <v>0.50354430379746828</v>
      </c>
      <c r="AC26" s="104" t="e">
        <f>SQRT(VAR(U26:AA26))</f>
        <v>#DIV/0!</v>
      </c>
      <c r="AD26" s="104">
        <f>COUNT(U26:AA26)</f>
        <v>1</v>
      </c>
    </row>
    <row r="27" spans="1:30" s="105" customFormat="1" ht="15">
      <c r="A27" s="258"/>
      <c r="I27" s="228"/>
      <c r="J27" s="235"/>
      <c r="K27" s="228"/>
      <c r="L27" s="228"/>
      <c r="M27" s="228"/>
      <c r="N27" s="228"/>
      <c r="O27" s="108"/>
      <c r="T27" s="113"/>
      <c r="U27" s="228"/>
      <c r="V27" s="235"/>
      <c r="W27" s="228"/>
      <c r="X27" s="228"/>
      <c r="Y27" s="228"/>
      <c r="Z27" s="228"/>
      <c r="AA27" s="228"/>
      <c r="AB27" s="108"/>
    </row>
    <row r="28" spans="1:30" s="105" customFormat="1" ht="25.5">
      <c r="A28" s="110"/>
      <c r="B28" s="105" t="s">
        <v>174</v>
      </c>
      <c r="C28" s="105" t="s">
        <v>426</v>
      </c>
      <c r="D28" s="74" t="s">
        <v>120</v>
      </c>
      <c r="E28" s="74" t="s">
        <v>245</v>
      </c>
      <c r="F28" s="105" t="s">
        <v>185</v>
      </c>
      <c r="G28" s="105" t="s">
        <v>115</v>
      </c>
      <c r="H28" s="105">
        <v>9</v>
      </c>
      <c r="I28" s="228"/>
      <c r="J28" s="228">
        <v>12.32</v>
      </c>
      <c r="K28" s="228"/>
      <c r="L28" s="228"/>
      <c r="M28" s="228">
        <f>DL_OH!S36*11.23</f>
        <v>10.909142857142857</v>
      </c>
      <c r="N28" s="228"/>
      <c r="O28" s="108">
        <f>AVERAGE(I28:N28)</f>
        <v>11.614571428571429</v>
      </c>
      <c r="P28" s="105">
        <f>SQRT(VAR(I28:N28))</f>
        <v>0.9976266529997635</v>
      </c>
      <c r="Q28" s="105">
        <f>COUNT(I28:N28)</f>
        <v>2</v>
      </c>
      <c r="T28" s="113"/>
      <c r="U28" s="228"/>
      <c r="V28" s="229">
        <v>12.55</v>
      </c>
      <c r="W28" s="228"/>
      <c r="X28" s="228"/>
      <c r="Y28" s="228">
        <f>DL_OH!S36*11.7</f>
        <v>11.365714285714285</v>
      </c>
      <c r="Z28" s="228"/>
      <c r="AA28" s="228"/>
      <c r="AB28" s="108">
        <f>AVERAGE(U28:AA28)</f>
        <v>11.957857142857144</v>
      </c>
      <c r="AC28" s="105">
        <f>SQRT(VAR(U28:AA28))</f>
        <v>0.83741645943378384</v>
      </c>
      <c r="AD28" s="105">
        <f>COUNT(U28:AA28)</f>
        <v>2</v>
      </c>
    </row>
    <row r="29" spans="1:30" s="105" customFormat="1" ht="25.5">
      <c r="A29" s="110"/>
      <c r="G29" s="104" t="s">
        <v>117</v>
      </c>
      <c r="H29" s="104">
        <v>0.3</v>
      </c>
      <c r="I29" s="230"/>
      <c r="J29" s="230">
        <v>0.44400000000000001</v>
      </c>
      <c r="K29" s="230"/>
      <c r="L29" s="230"/>
      <c r="M29" s="232">
        <f>DL_OH!S36*0.39</f>
        <v>0.37885714285714289</v>
      </c>
      <c r="N29" s="230"/>
      <c r="O29" s="109">
        <f>AVERAGE(I29:N29)</f>
        <v>0.41142857142857148</v>
      </c>
      <c r="P29" s="104">
        <f>SQRT(VAR(I29:N29))</f>
        <v>4.6062956031580789E-2</v>
      </c>
      <c r="Q29" s="104">
        <f>COUNT(I29:N29)</f>
        <v>2</v>
      </c>
      <c r="T29" s="113"/>
      <c r="U29" s="230"/>
      <c r="V29" s="239">
        <v>0.49399999999999999</v>
      </c>
      <c r="W29" s="230"/>
      <c r="X29" s="230"/>
      <c r="Y29" s="230">
        <f>DL_OH!S36*0.42</f>
        <v>0.40799999999999997</v>
      </c>
      <c r="Z29" s="230"/>
      <c r="AA29" s="230"/>
      <c r="AB29" s="109">
        <f>AVERAGE(U29:AA29)</f>
        <v>0.45099999999999996</v>
      </c>
      <c r="AC29" s="104">
        <f>SQRT(VAR(U29:AA29))</f>
        <v>6.0811183182043101E-2</v>
      </c>
      <c r="AD29" s="104">
        <f>COUNT(U29:AA29)</f>
        <v>2</v>
      </c>
    </row>
    <row r="30" spans="1:30" s="105" customFormat="1" ht="15">
      <c r="A30" s="110"/>
      <c r="I30" s="228"/>
      <c r="J30" s="235"/>
      <c r="K30" s="228"/>
      <c r="L30" s="228"/>
      <c r="M30" s="228"/>
      <c r="N30" s="228"/>
      <c r="O30" s="108"/>
      <c r="T30" s="113"/>
      <c r="U30" s="228"/>
      <c r="V30" s="240"/>
      <c r="W30" s="228"/>
      <c r="X30" s="228"/>
      <c r="Y30" s="228"/>
      <c r="Z30" s="228"/>
      <c r="AA30" s="228"/>
      <c r="AB30" s="108"/>
    </row>
    <row r="31" spans="1:30" s="105" customFormat="1" ht="45.75" customHeight="1">
      <c r="A31" s="187"/>
      <c r="B31" s="105" t="s">
        <v>174</v>
      </c>
      <c r="C31" s="105" t="s">
        <v>426</v>
      </c>
      <c r="D31" s="74" t="s">
        <v>120</v>
      </c>
      <c r="E31" s="74" t="s">
        <v>282</v>
      </c>
      <c r="F31" s="105" t="s">
        <v>185</v>
      </c>
      <c r="G31" s="105" t="s">
        <v>115</v>
      </c>
      <c r="H31" s="105">
        <v>9</v>
      </c>
      <c r="I31" s="228"/>
      <c r="J31" s="229">
        <v>13.19</v>
      </c>
      <c r="K31" s="228"/>
      <c r="L31" s="228"/>
      <c r="M31" s="228"/>
      <c r="N31" s="228">
        <f>DL_OH!S27*10.9</f>
        <v>11.037974683544302</v>
      </c>
      <c r="O31" s="108">
        <f>AVERAGE(I31:N31)</f>
        <v>12.113987341772152</v>
      </c>
      <c r="P31" s="105">
        <f>SQRT(VAR(I31:N31))</f>
        <v>1.5217116945509492</v>
      </c>
      <c r="Q31" s="105">
        <f>COUNT(I31:N31)</f>
        <v>2</v>
      </c>
      <c r="T31" s="113"/>
      <c r="U31" s="228"/>
      <c r="V31" s="229">
        <v>13.39</v>
      </c>
      <c r="W31" s="228"/>
      <c r="X31" s="228"/>
      <c r="Y31" s="228">
        <f>DL_OH!S27*11.7</f>
        <v>11.848101265822782</v>
      </c>
      <c r="Z31" s="228"/>
      <c r="AA31" s="228">
        <f>DL_OH!S27*11.63</f>
        <v>11.777215189873417</v>
      </c>
      <c r="AB31" s="108">
        <f>AVERAGE(U31:AA31)</f>
        <v>12.3384388185654</v>
      </c>
      <c r="AC31" s="105">
        <f>SQRT(VAR(U31:AA31))</f>
        <v>0.91136814606720529</v>
      </c>
      <c r="AD31" s="105">
        <f>COUNT(U31:AA31)</f>
        <v>3</v>
      </c>
    </row>
    <row r="32" spans="1:30" s="105" customFormat="1" ht="25.5">
      <c r="A32" s="187"/>
      <c r="G32" s="104" t="s">
        <v>117</v>
      </c>
      <c r="H32" s="104">
        <v>0.3</v>
      </c>
      <c r="I32" s="230"/>
      <c r="J32" s="231">
        <v>0.47399999999999998</v>
      </c>
      <c r="K32" s="230"/>
      <c r="L32" s="230"/>
      <c r="M32" s="232"/>
      <c r="N32" s="230">
        <f>DL_OH!S27*0.31</f>
        <v>0.31392405063291134</v>
      </c>
      <c r="O32" s="109">
        <f>AVERAGE(I32:N32)</f>
        <v>0.39396202531645563</v>
      </c>
      <c r="P32" s="104">
        <f>SQRT(VAR(I32:N32))</f>
        <v>0.11319078930234315</v>
      </c>
      <c r="Q32" s="104">
        <f>COUNT(I32:N32)</f>
        <v>2</v>
      </c>
      <c r="T32" s="113"/>
      <c r="U32" s="230"/>
      <c r="V32" s="239">
        <v>0.49399999999999999</v>
      </c>
      <c r="W32" s="230"/>
      <c r="X32" s="230"/>
      <c r="Y32" s="230">
        <f>DL_OH!S27*0.42</f>
        <v>0.42531645569620247</v>
      </c>
      <c r="Z32" s="230"/>
      <c r="AA32" s="230">
        <f>DL_OH!S27*0.35</f>
        <v>0.35443037974683539</v>
      </c>
      <c r="AB32" s="109">
        <f>AVERAGE(U32:AA32)</f>
        <v>0.42458227848101265</v>
      </c>
      <c r="AC32" s="104">
        <f>SQRT(VAR(U32:AA32))</f>
        <v>6.9787706557391471E-2</v>
      </c>
      <c r="AD32" s="104">
        <f>COUNT(U32:AA32)</f>
        <v>3</v>
      </c>
    </row>
    <row r="33" spans="1:30" s="105" customFormat="1">
      <c r="A33" s="187"/>
      <c r="I33" s="228"/>
      <c r="J33" s="236"/>
      <c r="K33" s="228"/>
      <c r="L33" s="228"/>
      <c r="M33" s="228"/>
      <c r="N33" s="228"/>
      <c r="O33" s="108"/>
      <c r="T33" s="113"/>
      <c r="U33" s="228"/>
      <c r="V33" s="228"/>
      <c r="W33" s="228"/>
      <c r="X33" s="228"/>
      <c r="Y33" s="228"/>
      <c r="Z33" s="228"/>
      <c r="AA33" s="228"/>
      <c r="AB33" s="108"/>
    </row>
    <row r="34" spans="1:30" s="105" customFormat="1" ht="25.5">
      <c r="A34" s="127"/>
      <c r="B34" s="105" t="s">
        <v>173</v>
      </c>
      <c r="C34" s="105" t="s">
        <v>426</v>
      </c>
      <c r="D34" s="105" t="s">
        <v>120</v>
      </c>
      <c r="E34" s="105" t="s">
        <v>121</v>
      </c>
      <c r="F34" s="105" t="s">
        <v>327</v>
      </c>
      <c r="G34" s="105" t="s">
        <v>115</v>
      </c>
      <c r="H34" s="105">
        <v>9</v>
      </c>
      <c r="I34" s="228"/>
      <c r="J34" s="228"/>
      <c r="K34" s="228"/>
      <c r="L34" s="228">
        <f>DL_OH!S44*10.11</f>
        <v>9.9192452830188671</v>
      </c>
      <c r="M34" s="228"/>
      <c r="N34" s="228"/>
      <c r="O34" s="108">
        <f>AVERAGE(I34:N34)</f>
        <v>9.9192452830188671</v>
      </c>
      <c r="P34" s="105" t="e">
        <f>SQRT(VAR(I34:N34))</f>
        <v>#DIV/0!</v>
      </c>
      <c r="Q34" s="105">
        <f>COUNT(I34:N34)</f>
        <v>1</v>
      </c>
      <c r="T34" s="113"/>
      <c r="U34" s="228"/>
      <c r="V34" s="228"/>
      <c r="W34" s="228"/>
      <c r="X34" s="228"/>
      <c r="Y34" s="228"/>
      <c r="Z34" s="228"/>
      <c r="AA34" s="228"/>
      <c r="AB34" s="108" t="e">
        <f>AVERAGE(U34:AA34)</f>
        <v>#DIV/0!</v>
      </c>
      <c r="AC34" s="105" t="e">
        <f>SQRT(VAR(U34:AA34))</f>
        <v>#DIV/0!</v>
      </c>
      <c r="AD34" s="105">
        <f>COUNT(U34:AA34)</f>
        <v>0</v>
      </c>
    </row>
    <row r="35" spans="1:30" s="105" customFormat="1" ht="25.5">
      <c r="A35" s="127"/>
      <c r="G35" s="104" t="s">
        <v>117</v>
      </c>
      <c r="H35" s="104">
        <v>0.3</v>
      </c>
      <c r="I35" s="230"/>
      <c r="J35" s="230"/>
      <c r="K35" s="230"/>
      <c r="L35" s="230">
        <f>DL_OH!S44*0.32</f>
        <v>0.31396226415094342</v>
      </c>
      <c r="M35" s="230"/>
      <c r="N35" s="230"/>
      <c r="O35" s="109">
        <f>AVERAGE(I35:N35)</f>
        <v>0.31396226415094342</v>
      </c>
      <c r="P35" s="104" t="e">
        <f>SQRT(VAR(I35:N35))</f>
        <v>#DIV/0!</v>
      </c>
      <c r="Q35" s="104">
        <f>COUNT(I35:N35)</f>
        <v>1</v>
      </c>
      <c r="T35" s="113"/>
      <c r="U35" s="230"/>
      <c r="V35" s="230"/>
      <c r="W35" s="230"/>
      <c r="X35" s="230"/>
      <c r="Y35" s="230"/>
      <c r="Z35" s="230"/>
      <c r="AA35" s="230"/>
      <c r="AB35" s="109" t="e">
        <f>AVERAGE(U35:AA35)</f>
        <v>#DIV/0!</v>
      </c>
      <c r="AC35" s="104" t="e">
        <f>SQRT(VAR(U35:AA35))</f>
        <v>#DIV/0!</v>
      </c>
      <c r="AD35" s="104">
        <f>COUNT(U35:AA35)</f>
        <v>0</v>
      </c>
    </row>
    <row r="36" spans="1:30" s="105" customFormat="1">
      <c r="A36" s="164"/>
      <c r="I36" s="228"/>
      <c r="J36" s="228"/>
      <c r="K36" s="228"/>
      <c r="L36" s="228"/>
      <c r="M36" s="228"/>
      <c r="N36" s="228"/>
      <c r="O36" s="108"/>
      <c r="T36" s="113"/>
      <c r="U36" s="228"/>
      <c r="V36" s="228"/>
      <c r="W36" s="228"/>
      <c r="X36" s="228"/>
      <c r="Y36" s="228"/>
      <c r="Z36" s="228"/>
      <c r="AA36" s="228"/>
    </row>
    <row r="37" spans="1:30" s="105" customFormat="1" ht="25.5">
      <c r="A37" s="164"/>
      <c r="B37" s="105" t="s">
        <v>173</v>
      </c>
      <c r="C37" s="105" t="s">
        <v>426</v>
      </c>
      <c r="D37" s="105" t="s">
        <v>411</v>
      </c>
      <c r="E37" s="105" t="s">
        <v>552</v>
      </c>
      <c r="F37" s="105" t="s">
        <v>185</v>
      </c>
      <c r="G37" s="105" t="s">
        <v>115</v>
      </c>
      <c r="H37" s="105">
        <v>9</v>
      </c>
      <c r="I37" s="228"/>
      <c r="J37" s="228"/>
      <c r="K37" s="228"/>
      <c r="L37" s="228"/>
      <c r="M37" s="228"/>
      <c r="N37" s="228"/>
      <c r="O37" s="108" t="e">
        <f>AVERAGE(I37:N37)</f>
        <v>#DIV/0!</v>
      </c>
      <c r="P37" s="105" t="e">
        <f>SQRT(VAR(I37:N37))</f>
        <v>#DIV/0!</v>
      </c>
      <c r="Q37" s="105">
        <f>COUNT(I37:N37)</f>
        <v>0</v>
      </c>
      <c r="T37" s="113"/>
      <c r="U37" s="228"/>
      <c r="V37" s="228"/>
      <c r="W37" s="228"/>
      <c r="X37" s="228"/>
      <c r="Y37" s="228"/>
      <c r="Z37" s="228"/>
      <c r="AA37" s="228"/>
      <c r="AB37" s="108" t="e">
        <f>AVERAGE(U37:AA37)</f>
        <v>#DIV/0!</v>
      </c>
      <c r="AC37" s="105" t="e">
        <f>SQRT(VAR(U37:AA37))</f>
        <v>#DIV/0!</v>
      </c>
      <c r="AD37" s="105">
        <f>COUNT(U37:AA37)</f>
        <v>0</v>
      </c>
    </row>
    <row r="38" spans="1:30" s="105" customFormat="1" ht="25.5">
      <c r="A38" s="164"/>
      <c r="G38" s="104" t="s">
        <v>117</v>
      </c>
      <c r="H38" s="104">
        <v>0.3</v>
      </c>
      <c r="I38" s="230"/>
      <c r="J38" s="230"/>
      <c r="K38" s="230"/>
      <c r="L38" s="230"/>
      <c r="M38" s="230"/>
      <c r="N38" s="230"/>
      <c r="O38" s="109" t="e">
        <f>AVERAGE(I38:N38)</f>
        <v>#DIV/0!</v>
      </c>
      <c r="P38" s="104" t="e">
        <f>SQRT(VAR(I38:N38))</f>
        <v>#DIV/0!</v>
      </c>
      <c r="Q38" s="104">
        <f>COUNT(I38:N38)</f>
        <v>0</v>
      </c>
      <c r="T38" s="113"/>
      <c r="U38" s="230"/>
      <c r="V38" s="230"/>
      <c r="W38" s="230"/>
      <c r="X38" s="230"/>
      <c r="Y38" s="230"/>
      <c r="Z38" s="230"/>
      <c r="AA38" s="230"/>
      <c r="AB38" s="109" t="e">
        <f>AVERAGE(U38:AA38)</f>
        <v>#DIV/0!</v>
      </c>
      <c r="AC38" s="104" t="e">
        <f>SQRT(VAR(U38:AA38))</f>
        <v>#DIV/0!</v>
      </c>
      <c r="AD38" s="104">
        <f>COUNT(U38:AA38)</f>
        <v>0</v>
      </c>
    </row>
    <row r="39" spans="1:30">
      <c r="A39" s="67"/>
      <c r="O39" s="108"/>
      <c r="P39" s="105"/>
      <c r="Q39" s="105"/>
    </row>
    <row r="40" spans="1:30" ht="26.45" customHeight="1">
      <c r="A40" s="69"/>
      <c r="B40" s="46" t="s">
        <v>176</v>
      </c>
      <c r="C40" s="46"/>
      <c r="D40" s="46"/>
      <c r="E40" s="46"/>
      <c r="F40" s="46"/>
      <c r="G40" s="55"/>
      <c r="H40" s="55"/>
      <c r="I40" s="227"/>
      <c r="J40" s="227"/>
      <c r="K40" s="227"/>
      <c r="L40" s="227"/>
      <c r="M40" s="227"/>
      <c r="N40" s="227"/>
      <c r="O40" s="64"/>
      <c r="P40" s="55"/>
      <c r="Q40" s="55"/>
      <c r="T40" s="369" t="s">
        <v>68</v>
      </c>
      <c r="U40" s="227"/>
      <c r="V40" s="227"/>
      <c r="W40" s="227"/>
      <c r="X40" s="227"/>
      <c r="Y40" s="227"/>
      <c r="Z40" s="227"/>
      <c r="AA40" s="227"/>
      <c r="AB40" s="64"/>
      <c r="AC40" s="55"/>
      <c r="AD40" s="55"/>
    </row>
    <row r="41" spans="1:30" ht="25.5">
      <c r="A41" s="69"/>
      <c r="B41" s="54" t="s">
        <v>174</v>
      </c>
      <c r="C41" s="105" t="s">
        <v>426</v>
      </c>
      <c r="D41" s="54" t="s">
        <v>137</v>
      </c>
      <c r="E41" s="54" t="s">
        <v>124</v>
      </c>
      <c r="G41" s="54" t="s">
        <v>115</v>
      </c>
      <c r="H41" s="54">
        <v>6.75</v>
      </c>
      <c r="I41" s="228">
        <f>UL_OH!R9*8.608</f>
        <v>8.8333311688311689</v>
      </c>
      <c r="K41" s="228">
        <f>10.894*0.828664</f>
        <v>9.0274656159999989</v>
      </c>
      <c r="O41" s="108">
        <f>AVERAGE(I41:N41)</f>
        <v>8.930398392415583</v>
      </c>
      <c r="P41" s="105">
        <f>SQRT(VAR(I41:N41))</f>
        <v>0.13727378405498125</v>
      </c>
      <c r="Q41" s="105">
        <f>COUNT(I41:N41)</f>
        <v>2</v>
      </c>
      <c r="T41" s="369"/>
      <c r="U41" s="228">
        <f>UL_OH!R9*8.643</f>
        <v>8.8692473620129881</v>
      </c>
      <c r="AB41" s="65">
        <f>AVERAGE(U41:AA41)</f>
        <v>8.8692473620129881</v>
      </c>
      <c r="AC41" s="54" t="e">
        <f>SQRT(VAR(U41:AA41))</f>
        <v>#DIV/0!</v>
      </c>
      <c r="AD41" s="54">
        <f>COUNT(U41:AA41)</f>
        <v>1</v>
      </c>
    </row>
    <row r="42" spans="1:30" ht="25.5">
      <c r="A42" s="69"/>
      <c r="G42" s="53" t="s">
        <v>117</v>
      </c>
      <c r="H42" s="53">
        <v>0.21</v>
      </c>
      <c r="I42" s="230">
        <f>UL_OH!R9*0.54</f>
        <v>0.55413555194805197</v>
      </c>
      <c r="J42" s="230"/>
      <c r="K42" s="230">
        <f>0.633404980948002*0.8286642</f>
        <v>0.52488003181329135</v>
      </c>
      <c r="L42" s="230"/>
      <c r="M42" s="230"/>
      <c r="N42" s="230"/>
      <c r="O42" s="109">
        <f>AVERAGE(I42:N42)</f>
        <v>0.53950779188067166</v>
      </c>
      <c r="P42" s="104">
        <f>SQRT(VAR(I42:N42))</f>
        <v>2.0686776674428815E-2</v>
      </c>
      <c r="Q42" s="104">
        <f>COUNT(I42:N42)</f>
        <v>2</v>
      </c>
      <c r="T42" s="369"/>
      <c r="U42" s="230">
        <f>UL_OH!R9*0.537</f>
        <v>0.55105702110389609</v>
      </c>
      <c r="V42" s="230"/>
      <c r="W42" s="230"/>
      <c r="X42" s="230"/>
      <c r="Y42" s="230"/>
      <c r="Z42" s="230"/>
      <c r="AA42" s="230"/>
      <c r="AB42" s="66">
        <f>AVERAGE(U42:AA42)</f>
        <v>0.55105702110389609</v>
      </c>
      <c r="AC42" s="53" t="e">
        <f>SQRT(VAR(U42:AA42))</f>
        <v>#DIV/0!</v>
      </c>
      <c r="AD42" s="53">
        <f>COUNT(U42:AA42)</f>
        <v>1</v>
      </c>
    </row>
    <row r="43" spans="1:30">
      <c r="A43" s="69"/>
      <c r="O43" s="108"/>
      <c r="P43" s="105"/>
      <c r="Q43" s="105"/>
      <c r="T43" s="369"/>
      <c r="AB43" s="65"/>
    </row>
    <row r="44" spans="1:30" ht="25.5">
      <c r="A44" s="69"/>
      <c r="B44" s="54" t="s">
        <v>174</v>
      </c>
      <c r="C44" s="105" t="s">
        <v>426</v>
      </c>
      <c r="D44" s="54" t="s">
        <v>186</v>
      </c>
      <c r="E44" s="54" t="s">
        <v>124</v>
      </c>
      <c r="G44" s="54" t="s">
        <v>115</v>
      </c>
      <c r="H44" s="54">
        <v>6.75</v>
      </c>
      <c r="O44" s="108" t="e">
        <f>AVERAGE(I44:N44)</f>
        <v>#DIV/0!</v>
      </c>
      <c r="P44" s="105" t="e">
        <f>SQRT(VAR(I44:N44))</f>
        <v>#DIV/0!</v>
      </c>
      <c r="Q44" s="105">
        <f>COUNT(I44:N44)</f>
        <v>0</v>
      </c>
      <c r="T44" s="369"/>
      <c r="AB44" s="108" t="e">
        <f>AVERAGE(U44:AA44)</f>
        <v>#DIV/0!</v>
      </c>
      <c r="AC44" s="105" t="e">
        <f>SQRT(VAR(U44:AA44))</f>
        <v>#DIV/0!</v>
      </c>
      <c r="AD44" s="105">
        <f>COUNT(U44:AA44)</f>
        <v>0</v>
      </c>
    </row>
    <row r="45" spans="1:30" ht="25.5">
      <c r="A45" s="69"/>
      <c r="G45" s="53" t="s">
        <v>117</v>
      </c>
      <c r="H45" s="53">
        <v>0.21</v>
      </c>
      <c r="I45" s="230"/>
      <c r="J45" s="230"/>
      <c r="K45" s="230"/>
      <c r="L45" s="230"/>
      <c r="M45" s="230"/>
      <c r="N45" s="230"/>
      <c r="O45" s="109" t="e">
        <f>AVERAGE(I45:N45)</f>
        <v>#DIV/0!</v>
      </c>
      <c r="P45" s="104" t="e">
        <f>SQRT(VAR(I45:N45))</f>
        <v>#DIV/0!</v>
      </c>
      <c r="Q45" s="104">
        <f>COUNT(I45:N45)</f>
        <v>0</v>
      </c>
      <c r="T45" s="369"/>
      <c r="U45" s="230"/>
      <c r="V45" s="230"/>
      <c r="W45" s="230"/>
      <c r="X45" s="230"/>
      <c r="Y45" s="230"/>
      <c r="Z45" s="230"/>
      <c r="AA45" s="230"/>
      <c r="AB45" s="109" t="e">
        <f>AVERAGE(U45:AA45)</f>
        <v>#DIV/0!</v>
      </c>
      <c r="AC45" s="104" t="e">
        <f>SQRT(VAR(U45:AA45))</f>
        <v>#DIV/0!</v>
      </c>
      <c r="AD45" s="104">
        <f>COUNT(U45:AA45)</f>
        <v>0</v>
      </c>
    </row>
    <row r="46" spans="1:30" s="105" customFormat="1">
      <c r="A46" s="111"/>
      <c r="I46" s="228"/>
      <c r="J46" s="228"/>
      <c r="K46" s="228"/>
      <c r="L46" s="228"/>
      <c r="M46" s="228"/>
      <c r="N46" s="228"/>
      <c r="O46" s="108"/>
      <c r="T46" s="369"/>
      <c r="U46" s="228"/>
      <c r="V46" s="228"/>
      <c r="W46" s="228"/>
      <c r="X46" s="228"/>
      <c r="Y46" s="228"/>
      <c r="Z46" s="228"/>
      <c r="AA46" s="228"/>
      <c r="AB46" s="108"/>
    </row>
    <row r="47" spans="1:30" s="105" customFormat="1" ht="25.5">
      <c r="A47" s="111"/>
      <c r="B47" s="105" t="s">
        <v>174</v>
      </c>
      <c r="C47" s="105" t="s">
        <v>426</v>
      </c>
      <c r="D47" s="74" t="s">
        <v>246</v>
      </c>
      <c r="E47" s="105" t="s">
        <v>124</v>
      </c>
      <c r="G47" s="105" t="s">
        <v>115</v>
      </c>
      <c r="H47" s="105">
        <v>6.75</v>
      </c>
      <c r="I47" s="228">
        <f>UL_OH!R9*9.157</f>
        <v>9.3967023133116889</v>
      </c>
      <c r="J47" s="228">
        <v>9.27</v>
      </c>
      <c r="K47" s="228"/>
      <c r="L47" s="228"/>
      <c r="M47" s="228"/>
      <c r="N47" s="228"/>
      <c r="O47" s="108">
        <f>AVERAGE(I47:N47)</f>
        <v>9.3333511566558442</v>
      </c>
      <c r="P47" s="105">
        <f>SQRT(VAR(I47:N47))</f>
        <v>8.9592064934718108E-2</v>
      </c>
      <c r="Q47" s="105">
        <f>COUNT(I47:N47)</f>
        <v>2</v>
      </c>
      <c r="T47" s="369"/>
      <c r="U47" s="228">
        <f>UL_OH!R9*9.198</f>
        <v>9.4387755681818177</v>
      </c>
      <c r="V47" s="228">
        <v>8.7100000000000009</v>
      </c>
      <c r="W47" s="228"/>
      <c r="X47" s="228"/>
      <c r="Y47" s="228"/>
      <c r="Z47" s="228"/>
      <c r="AA47" s="228"/>
      <c r="AB47" s="108">
        <f>AVERAGE(U47:AA47)</f>
        <v>9.0743877840909093</v>
      </c>
      <c r="AC47" s="105">
        <f>SQRT(VAR(U47:AA47))</f>
        <v>0.51532214622444183</v>
      </c>
      <c r="AD47" s="105">
        <f>COUNT(U47:AA47)</f>
        <v>2</v>
      </c>
    </row>
    <row r="48" spans="1:30" s="105" customFormat="1" ht="25.5">
      <c r="A48" s="111"/>
      <c r="G48" s="104" t="s">
        <v>117</v>
      </c>
      <c r="H48" s="104">
        <v>0.21</v>
      </c>
      <c r="I48" s="230">
        <f>UL_OH!R9*0.571</f>
        <v>0.58594703733766229</v>
      </c>
      <c r="J48" s="230">
        <v>0.623</v>
      </c>
      <c r="K48" s="230"/>
      <c r="L48" s="230"/>
      <c r="M48" s="230"/>
      <c r="N48" s="230"/>
      <c r="O48" s="109">
        <f>AVERAGE(I48:N48)</f>
        <v>0.60447351866883114</v>
      </c>
      <c r="P48" s="104">
        <f>SQRT(VAR(I48:N48))</f>
        <v>2.6200401161590944E-2</v>
      </c>
      <c r="Q48" s="104">
        <f>COUNT(I48:N48)</f>
        <v>2</v>
      </c>
      <c r="T48" s="369"/>
      <c r="U48" s="230">
        <f>UL_OH!R9*0.572</f>
        <v>0.58697321428571425</v>
      </c>
      <c r="V48" s="230">
        <v>0.53100000000000003</v>
      </c>
      <c r="W48" s="230"/>
      <c r="X48" s="230"/>
      <c r="Y48" s="230"/>
      <c r="Z48" s="230"/>
      <c r="AA48" s="230"/>
      <c r="AB48" s="109">
        <f>AVERAGE(U48:AA48)</f>
        <v>0.55898660714285708</v>
      </c>
      <c r="AC48" s="104">
        <f>SQRT(VAR(U48:AA48))</f>
        <v>3.9579039386236262E-2</v>
      </c>
      <c r="AD48" s="104">
        <f>COUNT(U48:AA48)</f>
        <v>2</v>
      </c>
    </row>
    <row r="49" spans="1:30" ht="38.25">
      <c r="A49" s="70" t="s">
        <v>187</v>
      </c>
      <c r="O49" s="108"/>
      <c r="P49" s="105"/>
      <c r="Q49" s="105"/>
      <c r="T49" s="369"/>
    </row>
    <row r="50" spans="1:30">
      <c r="A50" s="70"/>
      <c r="B50" s="46" t="s">
        <v>79</v>
      </c>
      <c r="C50" s="46"/>
      <c r="D50" s="46"/>
      <c r="E50" s="46"/>
      <c r="F50" s="46"/>
      <c r="G50" s="55"/>
      <c r="H50" s="55"/>
      <c r="I50" s="227"/>
      <c r="J50" s="227"/>
      <c r="K50" s="227"/>
      <c r="L50" s="227"/>
      <c r="M50" s="227"/>
      <c r="N50" s="227"/>
      <c r="O50" s="64"/>
      <c r="P50" s="55"/>
      <c r="Q50" s="55"/>
      <c r="T50" s="369"/>
      <c r="U50" s="227"/>
      <c r="V50" s="227"/>
      <c r="W50" s="227"/>
      <c r="X50" s="227"/>
      <c r="Y50" s="227"/>
      <c r="Z50" s="227"/>
      <c r="AA50" s="227"/>
      <c r="AB50" s="64"/>
      <c r="AC50" s="55"/>
      <c r="AD50" s="55"/>
    </row>
    <row r="51" spans="1:30" ht="38.25">
      <c r="A51" s="70"/>
      <c r="B51" s="54" t="s">
        <v>174</v>
      </c>
      <c r="C51" s="105" t="s">
        <v>426</v>
      </c>
      <c r="D51" s="54" t="s">
        <v>179</v>
      </c>
      <c r="E51" s="54" t="s">
        <v>125</v>
      </c>
      <c r="F51" s="54" t="s">
        <v>105</v>
      </c>
      <c r="G51" s="54" t="s">
        <v>115</v>
      </c>
      <c r="H51" s="54">
        <v>6.75</v>
      </c>
      <c r="I51" s="228">
        <f>UL_OH!R31*7.551</f>
        <v>6.9545344537815126</v>
      </c>
      <c r="K51" s="228">
        <f>10.447*0.6921005</f>
        <v>7.2303739234999993</v>
      </c>
      <c r="O51" s="108">
        <f>AVERAGE(I51:N51)</f>
        <v>7.0924541886407564</v>
      </c>
      <c r="P51" s="105">
        <f>SQRT(VAR(I51:N51))</f>
        <v>0.19504795955684329</v>
      </c>
      <c r="Q51" s="105">
        <f>COUNT(I51:N51)</f>
        <v>2</v>
      </c>
      <c r="T51" s="369"/>
      <c r="U51" s="228">
        <f>UL_OH!R31*7.604</f>
        <v>7.0033478991596638</v>
      </c>
      <c r="Y51" s="228">
        <f>UL_OH!R32*8.37</f>
        <v>8.3927397051192045</v>
      </c>
      <c r="AB51" s="65">
        <f>AVERAGE(U51:AA51)</f>
        <v>7.6980438021394342</v>
      </c>
      <c r="AC51" s="54">
        <f>SQRT(VAR(U51:AA51))</f>
        <v>0.982448367719015</v>
      </c>
      <c r="AD51" s="54">
        <f>COUNT(U51:AA51)</f>
        <v>2</v>
      </c>
    </row>
    <row r="52" spans="1:30" ht="25.5">
      <c r="A52" s="70"/>
      <c r="G52" s="53" t="s">
        <v>117</v>
      </c>
      <c r="H52" s="53">
        <v>0.21</v>
      </c>
      <c r="I52" s="230">
        <f>UL_OH!R31*0.42</f>
        <v>0.38682352941176468</v>
      </c>
      <c r="J52" s="230"/>
      <c r="K52" s="230">
        <f>0.602135853674205*0.6921005</f>
        <v>0.41673852539584411</v>
      </c>
      <c r="L52" s="230"/>
      <c r="M52" s="230"/>
      <c r="N52" s="230"/>
      <c r="O52" s="109">
        <f>AVERAGE(I52:N52)</f>
        <v>0.40178102740380439</v>
      </c>
      <c r="P52" s="104">
        <f>SQRT(VAR(I52:N52))</f>
        <v>2.1153096519510899E-2</v>
      </c>
      <c r="Q52" s="104">
        <f>COUNT(I52:N52)</f>
        <v>2</v>
      </c>
      <c r="T52" s="369"/>
      <c r="U52" s="230">
        <f>UL_OH!R31*0.423</f>
        <v>0.38958655462184871</v>
      </c>
      <c r="V52" s="230"/>
      <c r="W52" s="230"/>
      <c r="X52" s="230"/>
      <c r="Y52" s="232">
        <f>UL_OH!R32*0.48</f>
        <v>0.48130406911077878</v>
      </c>
      <c r="Z52" s="230"/>
      <c r="AA52" s="230"/>
      <c r="AB52" s="66">
        <f>AVERAGE(U52:AA52)</f>
        <v>0.43544531186631374</v>
      </c>
      <c r="AC52" s="53">
        <f>SQRT(VAR(U52:AA52))</f>
        <v>6.4854076448697992E-2</v>
      </c>
      <c r="AD52" s="53">
        <f>COUNT(U52:AA52)</f>
        <v>2</v>
      </c>
    </row>
    <row r="53" spans="1:30">
      <c r="A53" s="70"/>
      <c r="O53" s="108"/>
      <c r="P53" s="105"/>
      <c r="Q53" s="105"/>
      <c r="T53" s="369"/>
      <c r="AB53" s="65"/>
    </row>
    <row r="54" spans="1:30" s="105" customFormat="1" ht="38.25">
      <c r="A54" s="112"/>
      <c r="B54" s="105" t="s">
        <v>403</v>
      </c>
      <c r="C54" s="105" t="s">
        <v>426</v>
      </c>
      <c r="D54" s="105" t="s">
        <v>404</v>
      </c>
      <c r="E54" s="105" t="s">
        <v>405</v>
      </c>
      <c r="F54" s="105" t="s">
        <v>406</v>
      </c>
      <c r="G54" s="105" t="s">
        <v>407</v>
      </c>
      <c r="H54" s="105">
        <v>6.75</v>
      </c>
      <c r="I54" s="228">
        <f>UL_OH!R21*7.545</f>
        <v>7.1742768166089963</v>
      </c>
      <c r="J54" s="228"/>
      <c r="K54" s="228"/>
      <c r="L54" s="228"/>
      <c r="M54" s="228"/>
      <c r="N54" s="228"/>
      <c r="O54" s="108">
        <f>AVERAGE(I54:N54)</f>
        <v>7.1742768166089963</v>
      </c>
      <c r="P54" s="105" t="e">
        <f>SQRT(VAR(I54:N54))</f>
        <v>#DIV/0!</v>
      </c>
      <c r="Q54" s="105">
        <f>COUNT(I54:N54)</f>
        <v>1</v>
      </c>
      <c r="T54" s="369"/>
      <c r="U54" s="228">
        <f>UL_OH!R21*7.631</f>
        <v>7.2560512110726645</v>
      </c>
      <c r="V54" s="228"/>
      <c r="W54" s="228"/>
      <c r="X54" s="228"/>
      <c r="Y54" s="228"/>
      <c r="Z54" s="228"/>
      <c r="AA54" s="228"/>
      <c r="AB54" s="108">
        <f>AVERAGE(U54:AA54)</f>
        <v>7.2560512110726645</v>
      </c>
      <c r="AC54" s="105" t="e">
        <f>SQRT(VAR(U54:AA54))</f>
        <v>#DIV/0!</v>
      </c>
      <c r="AD54" s="105">
        <f>COUNT(U54:AA54)</f>
        <v>1</v>
      </c>
    </row>
    <row r="55" spans="1:30" s="105" customFormat="1" ht="25.5">
      <c r="A55" s="112"/>
      <c r="G55" s="104" t="s">
        <v>408</v>
      </c>
      <c r="H55" s="104">
        <v>0.21</v>
      </c>
      <c r="I55" s="230">
        <f>UL_OH!R21*0.419</f>
        <v>0.39841245674740483</v>
      </c>
      <c r="J55" s="230"/>
      <c r="K55" s="230"/>
      <c r="L55" s="230"/>
      <c r="M55" s="232"/>
      <c r="N55" s="230"/>
      <c r="O55" s="109">
        <f>AVERAGE(I55:N55)</f>
        <v>0.39841245674740483</v>
      </c>
      <c r="P55" s="104" t="e">
        <f>SQRT(VAR(I55:N55))</f>
        <v>#DIV/0!</v>
      </c>
      <c r="Q55" s="104">
        <f>COUNT(I55:N55)</f>
        <v>1</v>
      </c>
      <c r="T55" s="369"/>
      <c r="U55" s="230">
        <f>UL_OH!R21*0.428</f>
        <v>0.40697024221453287</v>
      </c>
      <c r="V55" s="230"/>
      <c r="W55" s="230"/>
      <c r="X55" s="230"/>
      <c r="Y55" s="232"/>
      <c r="Z55" s="230"/>
      <c r="AA55" s="230"/>
      <c r="AB55" s="109">
        <f>AVERAGE(U55:AA55)</f>
        <v>0.40697024221453287</v>
      </c>
      <c r="AC55" s="104" t="e">
        <f>SQRT(VAR(U55:AA55))</f>
        <v>#DIV/0!</v>
      </c>
      <c r="AD55" s="104">
        <f>COUNT(U55:AA55)</f>
        <v>1</v>
      </c>
    </row>
    <row r="56" spans="1:30" s="105" customFormat="1">
      <c r="A56" s="112"/>
      <c r="I56" s="228"/>
      <c r="J56" s="228"/>
      <c r="K56" s="228"/>
      <c r="L56" s="228"/>
      <c r="M56" s="228"/>
      <c r="N56" s="228"/>
      <c r="O56" s="108"/>
      <c r="T56" s="369"/>
      <c r="U56" s="228"/>
      <c r="V56" s="228"/>
      <c r="W56" s="228"/>
      <c r="X56" s="228"/>
      <c r="Y56" s="228"/>
      <c r="Z56" s="228"/>
      <c r="AA56" s="228"/>
    </row>
    <row r="57" spans="1:30" s="105" customFormat="1" ht="38.25">
      <c r="A57" s="112"/>
      <c r="B57" s="105" t="s">
        <v>403</v>
      </c>
      <c r="C57" s="105" t="s">
        <v>426</v>
      </c>
      <c r="D57" s="105" t="s">
        <v>409</v>
      </c>
      <c r="E57" s="105" t="s">
        <v>125</v>
      </c>
      <c r="F57" s="105" t="s">
        <v>406</v>
      </c>
      <c r="G57" s="105" t="s">
        <v>407</v>
      </c>
      <c r="H57" s="105">
        <v>6.75</v>
      </c>
      <c r="I57" s="228">
        <f>UL_OH!R31*8.234</f>
        <v>7.5835831932773106</v>
      </c>
      <c r="J57" s="228"/>
      <c r="K57" s="228"/>
      <c r="L57" s="228"/>
      <c r="M57" s="228"/>
      <c r="N57" s="228"/>
      <c r="O57" s="108">
        <f>AVERAGE(I57:N57)</f>
        <v>7.5835831932773106</v>
      </c>
      <c r="P57" s="105" t="e">
        <f>SQRT(VAR(I57:N57))</f>
        <v>#DIV/0!</v>
      </c>
      <c r="Q57" s="105">
        <f>COUNT(I57:N57)</f>
        <v>1</v>
      </c>
      <c r="T57" s="369"/>
      <c r="U57" s="228">
        <f>UL_OH!R31*8.277</f>
        <v>7.6231865546218476</v>
      </c>
      <c r="V57" s="228"/>
      <c r="W57" s="228"/>
      <c r="X57" s="228"/>
      <c r="Y57" s="228"/>
      <c r="Z57" s="228"/>
      <c r="AA57" s="228"/>
      <c r="AB57" s="108">
        <f>AVERAGE(U57:AA57)</f>
        <v>7.6231865546218476</v>
      </c>
      <c r="AC57" s="105" t="e">
        <f>SQRT(VAR(U57:AA57))</f>
        <v>#DIV/0!</v>
      </c>
      <c r="AD57" s="105">
        <f>COUNT(U57:AA57)</f>
        <v>1</v>
      </c>
    </row>
    <row r="58" spans="1:30" s="105" customFormat="1" ht="25.5">
      <c r="A58" s="112"/>
      <c r="G58" s="104" t="s">
        <v>408</v>
      </c>
      <c r="H58" s="104">
        <v>0.21</v>
      </c>
      <c r="I58" s="230">
        <f>UL_OH!R31*0.471</f>
        <v>0.43379495798319323</v>
      </c>
      <c r="J58" s="230"/>
      <c r="K58" s="230"/>
      <c r="L58" s="230"/>
      <c r="M58" s="232"/>
      <c r="N58" s="230"/>
      <c r="O58" s="109">
        <f>AVERAGE(I58:N58)</f>
        <v>0.43379495798319323</v>
      </c>
      <c r="P58" s="104" t="e">
        <f>SQRT(VAR(I58:N58))</f>
        <v>#DIV/0!</v>
      </c>
      <c r="Q58" s="104">
        <f>COUNT(I58:N58)</f>
        <v>1</v>
      </c>
      <c r="T58" s="369"/>
      <c r="U58" s="230">
        <f>UL_OH!R31*0.469</f>
        <v>0.43195294117647054</v>
      </c>
      <c r="V58" s="230"/>
      <c r="W58" s="230"/>
      <c r="X58" s="230"/>
      <c r="Y58" s="232"/>
      <c r="Z58" s="230"/>
      <c r="AA58" s="230"/>
      <c r="AB58" s="109">
        <f>AVERAGE(U58:AA58)</f>
        <v>0.43195294117647054</v>
      </c>
      <c r="AC58" s="104" t="e">
        <f>SQRT(VAR(U58:AA58))</f>
        <v>#DIV/0!</v>
      </c>
      <c r="AD58" s="104">
        <f>COUNT(U58:AA58)</f>
        <v>1</v>
      </c>
    </row>
    <row r="59" spans="1:30" s="105" customFormat="1">
      <c r="A59" s="112"/>
      <c r="I59" s="228"/>
      <c r="J59" s="228"/>
      <c r="K59" s="228"/>
      <c r="L59" s="228"/>
      <c r="M59" s="228"/>
      <c r="N59" s="228"/>
      <c r="O59" s="108"/>
      <c r="T59" s="369"/>
      <c r="U59" s="228"/>
      <c r="V59" s="228"/>
      <c r="W59" s="228"/>
      <c r="X59" s="228"/>
      <c r="Y59" s="228"/>
      <c r="Z59" s="228"/>
      <c r="AA59" s="228"/>
    </row>
    <row r="60" spans="1:30" s="105" customFormat="1" ht="38.25">
      <c r="A60" s="112"/>
      <c r="B60" s="105" t="s">
        <v>403</v>
      </c>
      <c r="C60" s="105" t="s">
        <v>426</v>
      </c>
      <c r="D60" s="105" t="s">
        <v>409</v>
      </c>
      <c r="E60" s="105" t="s">
        <v>405</v>
      </c>
      <c r="F60" s="105" t="s">
        <v>406</v>
      </c>
      <c r="G60" s="105" t="s">
        <v>407</v>
      </c>
      <c r="H60" s="105">
        <v>6.75</v>
      </c>
      <c r="I60" s="228">
        <f>UL_OH!R21*8.279</f>
        <v>7.8722117647058827</v>
      </c>
      <c r="J60" s="228"/>
      <c r="K60" s="228"/>
      <c r="L60" s="228"/>
      <c r="M60" s="228"/>
      <c r="N60" s="228"/>
      <c r="O60" s="108">
        <f>AVERAGE(I60:N60)</f>
        <v>7.8722117647058827</v>
      </c>
      <c r="P60" s="105" t="e">
        <f>SQRT(VAR(I60:N60))</f>
        <v>#DIV/0!</v>
      </c>
      <c r="Q60" s="105">
        <f>COUNT(I60:N60)</f>
        <v>1</v>
      </c>
      <c r="T60" s="369"/>
      <c r="U60" s="228">
        <f>UL_OH!R21*8.363</f>
        <v>7.952084429065744</v>
      </c>
      <c r="V60" s="228"/>
      <c r="W60" s="228"/>
      <c r="X60" s="228"/>
      <c r="Y60" s="228"/>
      <c r="Z60" s="228"/>
      <c r="AA60" s="228"/>
      <c r="AB60" s="108">
        <f>AVERAGE(U60:AA60)</f>
        <v>7.952084429065744</v>
      </c>
      <c r="AC60" s="105" t="e">
        <f>SQRT(VAR(U60:AA60))</f>
        <v>#DIV/0!</v>
      </c>
      <c r="AD60" s="105">
        <f>COUNT(U60:AA60)</f>
        <v>1</v>
      </c>
    </row>
    <row r="61" spans="1:30" s="105" customFormat="1" ht="25.5">
      <c r="A61" s="112"/>
      <c r="G61" s="104" t="s">
        <v>408</v>
      </c>
      <c r="H61" s="104">
        <v>0.21</v>
      </c>
      <c r="I61" s="230">
        <f>UL_OH!R21*0.459</f>
        <v>0.43644705882352947</v>
      </c>
      <c r="J61" s="230"/>
      <c r="K61" s="230"/>
      <c r="L61" s="230"/>
      <c r="M61" s="232"/>
      <c r="N61" s="230"/>
      <c r="O61" s="109">
        <f>AVERAGE(I61:N61)</f>
        <v>0.43644705882352947</v>
      </c>
      <c r="P61" s="104" t="e">
        <f>SQRT(VAR(I61:N61))</f>
        <v>#DIV/0!</v>
      </c>
      <c r="Q61" s="104">
        <f>COUNT(I61:N61)</f>
        <v>1</v>
      </c>
      <c r="T61" s="369"/>
      <c r="U61" s="230">
        <f>UL_OH!R21*0.476</f>
        <v>0.45261176470588232</v>
      </c>
      <c r="V61" s="230"/>
      <c r="W61" s="230"/>
      <c r="X61" s="230"/>
      <c r="Y61" s="232"/>
      <c r="Z61" s="230"/>
      <c r="AA61" s="230"/>
      <c r="AB61" s="109">
        <f>AVERAGE(U61:AA61)</f>
        <v>0.45261176470588232</v>
      </c>
      <c r="AC61" s="104" t="e">
        <f>SQRT(VAR(U61:AA61))</f>
        <v>#DIV/0!</v>
      </c>
      <c r="AD61" s="104">
        <f>COUNT(U61:AA61)</f>
        <v>1</v>
      </c>
    </row>
    <row r="62" spans="1:30" s="105" customFormat="1">
      <c r="A62" s="112"/>
      <c r="I62" s="228"/>
      <c r="J62" s="228"/>
      <c r="K62" s="228"/>
      <c r="L62" s="228"/>
      <c r="M62" s="228"/>
      <c r="N62" s="228"/>
      <c r="O62" s="108"/>
      <c r="T62" s="369"/>
      <c r="U62" s="228"/>
      <c r="V62" s="228"/>
      <c r="W62" s="228"/>
      <c r="X62" s="228"/>
      <c r="Y62" s="228"/>
      <c r="Z62" s="228"/>
      <c r="AA62" s="228"/>
    </row>
    <row r="63" spans="1:30" ht="38.25">
      <c r="A63" s="70"/>
      <c r="B63" s="54" t="s">
        <v>174</v>
      </c>
      <c r="C63" s="105" t="s">
        <v>426</v>
      </c>
      <c r="D63" s="54" t="s">
        <v>188</v>
      </c>
      <c r="E63" s="54" t="s">
        <v>124</v>
      </c>
      <c r="F63" s="54" t="s">
        <v>185</v>
      </c>
      <c r="G63" s="54" t="s">
        <v>115</v>
      </c>
      <c r="H63" s="54">
        <v>6.75</v>
      </c>
      <c r="O63" s="108" t="e">
        <f>AVERAGE(I63:N63)</f>
        <v>#DIV/0!</v>
      </c>
      <c r="P63" s="105" t="e">
        <f>SQRT(VAR(I63:N63))</f>
        <v>#DIV/0!</v>
      </c>
      <c r="Q63" s="105">
        <f>COUNT(I63:N63)</f>
        <v>0</v>
      </c>
      <c r="T63" s="369"/>
      <c r="AB63" s="108" t="e">
        <f>AVERAGE(U63:AA63)</f>
        <v>#DIV/0!</v>
      </c>
      <c r="AC63" s="105" t="e">
        <f>SQRT(VAR(U63:AA63))</f>
        <v>#DIV/0!</v>
      </c>
      <c r="AD63" s="105">
        <f>COUNT(U63:AA63)</f>
        <v>0</v>
      </c>
    </row>
    <row r="64" spans="1:30" ht="25.5">
      <c r="A64" s="70"/>
      <c r="G64" s="53" t="s">
        <v>117</v>
      </c>
      <c r="H64" s="53">
        <v>0.21</v>
      </c>
      <c r="I64" s="230"/>
      <c r="J64" s="230"/>
      <c r="K64" s="230"/>
      <c r="L64" s="230"/>
      <c r="M64" s="230"/>
      <c r="N64" s="230"/>
      <c r="O64" s="109" t="e">
        <f>AVERAGE(I64:N64)</f>
        <v>#DIV/0!</v>
      </c>
      <c r="P64" s="104" t="e">
        <f>SQRT(VAR(I64:N64))</f>
        <v>#DIV/0!</v>
      </c>
      <c r="Q64" s="104">
        <f>COUNT(I64:N64)</f>
        <v>0</v>
      </c>
      <c r="T64" s="369"/>
      <c r="U64" s="230"/>
      <c r="V64" s="230"/>
      <c r="W64" s="230"/>
      <c r="X64" s="230"/>
      <c r="Y64" s="230"/>
      <c r="Z64" s="230"/>
      <c r="AA64" s="230"/>
      <c r="AB64" s="109" t="e">
        <f>AVERAGE(U64:AA64)</f>
        <v>#DIV/0!</v>
      </c>
      <c r="AC64" s="104" t="e">
        <f>SQRT(VAR(U64:AA64))</f>
        <v>#DIV/0!</v>
      </c>
      <c r="AD64" s="104">
        <f>COUNT(U64:AA64)</f>
        <v>0</v>
      </c>
    </row>
    <row r="65" spans="1:30" s="105" customFormat="1">
      <c r="A65" s="112"/>
      <c r="I65" s="228"/>
      <c r="J65" s="228"/>
      <c r="K65" s="228"/>
      <c r="L65" s="228"/>
      <c r="M65" s="228"/>
      <c r="N65" s="228"/>
      <c r="O65" s="108"/>
      <c r="T65" s="111"/>
      <c r="U65" s="228"/>
      <c r="V65" s="228"/>
      <c r="W65" s="228"/>
      <c r="X65" s="228"/>
      <c r="Y65" s="228"/>
      <c r="Z65" s="228"/>
      <c r="AA65" s="228"/>
      <c r="AB65" s="108"/>
    </row>
    <row r="66" spans="1:30" s="105" customFormat="1" ht="38.25">
      <c r="A66" s="112"/>
      <c r="B66" s="105" t="s">
        <v>174</v>
      </c>
      <c r="C66" s="105" t="s">
        <v>426</v>
      </c>
      <c r="D66" s="74" t="s">
        <v>247</v>
      </c>
      <c r="E66" s="105" t="s">
        <v>124</v>
      </c>
      <c r="F66" s="105" t="s">
        <v>185</v>
      </c>
      <c r="G66" s="105" t="s">
        <v>115</v>
      </c>
      <c r="H66" s="105">
        <v>6.75</v>
      </c>
      <c r="I66" s="228"/>
      <c r="J66" s="229">
        <v>9.5704918032786903</v>
      </c>
      <c r="K66" s="228"/>
      <c r="L66" s="228"/>
      <c r="M66" s="228"/>
      <c r="N66" s="228"/>
      <c r="O66" s="108">
        <f>AVERAGE(I66:N66)</f>
        <v>9.5704918032786903</v>
      </c>
      <c r="P66" s="105" t="e">
        <f>SQRT(VAR(I66:N66))</f>
        <v>#DIV/0!</v>
      </c>
      <c r="Q66" s="105">
        <f>COUNT(I66:N66)</f>
        <v>1</v>
      </c>
      <c r="T66" s="111"/>
      <c r="U66" s="228"/>
      <c r="V66" s="229">
        <v>9.2557377049180332</v>
      </c>
      <c r="W66" s="228"/>
      <c r="X66" s="228"/>
      <c r="Y66" s="228"/>
      <c r="Z66" s="228"/>
      <c r="AA66" s="228"/>
      <c r="AB66" s="108">
        <f>AVERAGE(U66:AA66)</f>
        <v>9.2557377049180332</v>
      </c>
      <c r="AC66" s="105" t="e">
        <f>SQRT(VAR(U66:AA66))</f>
        <v>#DIV/0!</v>
      </c>
      <c r="AD66" s="105">
        <f>COUNT(U66:AA66)</f>
        <v>1</v>
      </c>
    </row>
    <row r="67" spans="1:30" s="105" customFormat="1" ht="25.5">
      <c r="A67" s="112"/>
      <c r="G67" s="104" t="s">
        <v>117</v>
      </c>
      <c r="H67" s="104">
        <v>0.21</v>
      </c>
      <c r="I67" s="230"/>
      <c r="J67" s="231">
        <v>0.6019672131147541</v>
      </c>
      <c r="K67" s="230"/>
      <c r="L67" s="230"/>
      <c r="M67" s="230"/>
      <c r="N67" s="230"/>
      <c r="O67" s="109">
        <f>AVERAGE(I67:N67)</f>
        <v>0.6019672131147541</v>
      </c>
      <c r="P67" s="104" t="e">
        <f>SQRT(VAR(I67:N67))</f>
        <v>#DIV/0!</v>
      </c>
      <c r="Q67" s="104">
        <f>COUNT(I67:N67)</f>
        <v>1</v>
      </c>
      <c r="T67" s="111"/>
      <c r="U67" s="230"/>
      <c r="V67" s="231">
        <v>0.56459016393442618</v>
      </c>
      <c r="W67" s="230"/>
      <c r="X67" s="230"/>
      <c r="Y67" s="230"/>
      <c r="Z67" s="230"/>
      <c r="AA67" s="230"/>
      <c r="AB67" s="109">
        <f>AVERAGE(U67:AA67)</f>
        <v>0.56459016393442618</v>
      </c>
      <c r="AC67" s="104" t="e">
        <f>SQRT(VAR(U67:AA67))</f>
        <v>#DIV/0!</v>
      </c>
      <c r="AD67" s="104">
        <f>COUNT(U67:AA67)</f>
        <v>1</v>
      </c>
    </row>
    <row r="68" spans="1:30" s="105" customFormat="1" ht="15">
      <c r="A68" s="112"/>
      <c r="I68" s="228"/>
      <c r="J68" s="235"/>
      <c r="K68" s="228"/>
      <c r="L68" s="228"/>
      <c r="M68" s="228"/>
      <c r="N68" s="228"/>
      <c r="T68" s="165"/>
      <c r="U68" s="237"/>
      <c r="V68" s="228"/>
      <c r="W68" s="228"/>
      <c r="X68" s="228"/>
      <c r="Y68" s="228"/>
      <c r="Z68" s="228"/>
      <c r="AA68" s="228"/>
    </row>
    <row r="69" spans="1:30" s="105" customFormat="1" ht="38.25">
      <c r="A69" s="112"/>
      <c r="B69" s="105" t="s">
        <v>175</v>
      </c>
      <c r="C69" s="105" t="s">
        <v>426</v>
      </c>
      <c r="D69" s="74" t="s">
        <v>420</v>
      </c>
      <c r="E69" s="74" t="s">
        <v>122</v>
      </c>
      <c r="F69" s="105" t="s">
        <v>185</v>
      </c>
      <c r="G69" s="105" t="s">
        <v>115</v>
      </c>
      <c r="H69" s="105">
        <v>6.75</v>
      </c>
      <c r="I69" s="228"/>
      <c r="J69" s="229">
        <v>9.25</v>
      </c>
      <c r="K69" s="228"/>
      <c r="L69" s="228"/>
      <c r="M69" s="228"/>
      <c r="N69" s="228"/>
      <c r="O69" s="108">
        <f>AVERAGE(I69:N69)</f>
        <v>9.25</v>
      </c>
      <c r="P69" s="105" t="e">
        <f>SQRT(VAR(I69:N69))</f>
        <v>#DIV/0!</v>
      </c>
      <c r="Q69" s="105">
        <f>COUNT(I69:N69)</f>
        <v>1</v>
      </c>
      <c r="T69" s="165"/>
      <c r="U69" s="237"/>
      <c r="V69" s="229">
        <v>8.99</v>
      </c>
      <c r="W69" s="228"/>
      <c r="X69" s="228"/>
      <c r="Y69" s="228"/>
      <c r="Z69" s="228"/>
      <c r="AA69" s="228"/>
      <c r="AB69" s="108">
        <f>AVERAGE(U69:AA69)</f>
        <v>8.99</v>
      </c>
      <c r="AC69" s="105" t="e">
        <f>SQRT(VAR(U69:AA69))</f>
        <v>#DIV/0!</v>
      </c>
      <c r="AD69" s="105">
        <f>COUNT(U69:AA69)</f>
        <v>1</v>
      </c>
    </row>
    <row r="70" spans="1:30" s="105" customFormat="1" ht="25.5">
      <c r="A70" s="112"/>
      <c r="G70" s="104" t="s">
        <v>118</v>
      </c>
      <c r="H70" s="104">
        <v>0.21</v>
      </c>
      <c r="I70" s="230"/>
      <c r="J70" s="231">
        <v>0.58399999999999996</v>
      </c>
      <c r="K70" s="230"/>
      <c r="L70" s="230"/>
      <c r="M70" s="230"/>
      <c r="N70" s="230"/>
      <c r="O70" s="109">
        <f>AVERAGE(I70:N70)</f>
        <v>0.58399999999999996</v>
      </c>
      <c r="P70" s="104" t="e">
        <f>SQRT(VAR(I70:N70))</f>
        <v>#DIV/0!</v>
      </c>
      <c r="Q70" s="104">
        <f>COUNT(I70:N70)</f>
        <v>1</v>
      </c>
      <c r="T70" s="165"/>
      <c r="U70" s="238"/>
      <c r="V70" s="243">
        <v>0.52</v>
      </c>
      <c r="W70" s="242"/>
      <c r="X70" s="242"/>
      <c r="Y70" s="230"/>
      <c r="Z70" s="241"/>
      <c r="AA70" s="241"/>
      <c r="AB70" s="109">
        <f>AVERAGE(U70:AA70)</f>
        <v>0.52</v>
      </c>
      <c r="AC70" s="104" t="e">
        <f>SQRT(VAR(U70:AA70))</f>
        <v>#DIV/0!</v>
      </c>
      <c r="AD70" s="104">
        <f>COUNT(U70:AA70)</f>
        <v>1</v>
      </c>
    </row>
    <row r="71" spans="1:30" s="105" customFormat="1" ht="15">
      <c r="A71" s="112"/>
      <c r="I71" s="228"/>
      <c r="J71" s="235"/>
      <c r="K71" s="228"/>
      <c r="L71" s="228"/>
      <c r="M71" s="228"/>
      <c r="N71" s="228"/>
      <c r="O71" s="108"/>
      <c r="T71" s="165"/>
      <c r="U71" s="237"/>
      <c r="V71" s="235"/>
      <c r="W71" s="228"/>
      <c r="X71" s="228"/>
      <c r="Y71" s="228"/>
      <c r="Z71" s="228"/>
      <c r="AA71" s="228"/>
      <c r="AB71" s="108"/>
    </row>
    <row r="72" spans="1:30" s="105" customFormat="1" ht="38.25">
      <c r="A72" s="112"/>
      <c r="B72" s="105" t="s">
        <v>175</v>
      </c>
      <c r="C72" s="105" t="s">
        <v>426</v>
      </c>
      <c r="D72" s="74" t="s">
        <v>421</v>
      </c>
      <c r="E72" s="105" t="s">
        <v>124</v>
      </c>
      <c r="F72" s="105" t="s">
        <v>185</v>
      </c>
      <c r="G72" s="105" t="s">
        <v>115</v>
      </c>
      <c r="H72" s="105">
        <v>6.75</v>
      </c>
      <c r="I72" s="228"/>
      <c r="J72" s="229">
        <v>8.99</v>
      </c>
      <c r="K72" s="228"/>
      <c r="L72" s="228"/>
      <c r="M72" s="228"/>
      <c r="N72" s="228"/>
      <c r="O72" s="108">
        <f>AVERAGE(I72:N72)</f>
        <v>8.99</v>
      </c>
      <c r="P72" s="105" t="e">
        <f>SQRT(VAR(I72:N72))</f>
        <v>#DIV/0!</v>
      </c>
      <c r="Q72" s="105">
        <f>COUNT(I72:N72)</f>
        <v>1</v>
      </c>
      <c r="T72" s="165"/>
      <c r="U72" s="237"/>
      <c r="V72" s="229">
        <v>8.65</v>
      </c>
      <c r="W72" s="228"/>
      <c r="X72" s="228"/>
      <c r="Y72" s="228"/>
      <c r="Z72" s="228"/>
      <c r="AA72" s="228"/>
      <c r="AB72" s="108">
        <f>AVERAGE(U72:AA72)</f>
        <v>8.65</v>
      </c>
      <c r="AC72" s="105" t="e">
        <f>SQRT(VAR(U72:AA72))</f>
        <v>#DIV/0!</v>
      </c>
      <c r="AD72" s="105">
        <f>COUNT(U72:AA72)</f>
        <v>1</v>
      </c>
    </row>
    <row r="73" spans="1:30" s="105" customFormat="1" ht="25.5">
      <c r="A73" s="112"/>
      <c r="G73" s="104" t="s">
        <v>118</v>
      </c>
      <c r="H73" s="104">
        <v>0.21</v>
      </c>
      <c r="I73" s="230"/>
      <c r="J73" s="231">
        <v>0.63400000000000001</v>
      </c>
      <c r="K73" s="230"/>
      <c r="L73" s="230"/>
      <c r="M73" s="230"/>
      <c r="N73" s="230"/>
      <c r="O73" s="109">
        <f>AVERAGE(I73:N73)</f>
        <v>0.63400000000000001</v>
      </c>
      <c r="P73" s="104" t="e">
        <f>SQRT(VAR(I73:N73))</f>
        <v>#DIV/0!</v>
      </c>
      <c r="Q73" s="104">
        <f>COUNT(I73:N73)</f>
        <v>1</v>
      </c>
      <c r="T73" s="165"/>
      <c r="U73" s="238"/>
      <c r="V73" s="231">
        <v>0.53800000000000003</v>
      </c>
      <c r="W73" s="230"/>
      <c r="X73" s="230"/>
      <c r="Y73" s="230"/>
      <c r="Z73" s="230"/>
      <c r="AA73" s="230"/>
      <c r="AB73" s="109">
        <f>AVERAGE(U73:AA73)</f>
        <v>0.53800000000000003</v>
      </c>
      <c r="AC73" s="104" t="e">
        <f>SQRT(VAR(U73:AA73))</f>
        <v>#DIV/0!</v>
      </c>
      <c r="AD73" s="104">
        <f>COUNT(U73:AA73)</f>
        <v>1</v>
      </c>
    </row>
    <row r="74" spans="1:30" s="105" customFormat="1" ht="15">
      <c r="A74" s="112"/>
      <c r="I74" s="228"/>
      <c r="J74" s="235"/>
      <c r="K74" s="228"/>
      <c r="L74" s="228"/>
      <c r="M74" s="228"/>
      <c r="N74" s="228"/>
      <c r="O74" s="108"/>
      <c r="T74" s="165"/>
      <c r="U74" s="237"/>
      <c r="V74" s="228"/>
      <c r="W74" s="228"/>
      <c r="X74" s="228"/>
      <c r="Y74" s="228"/>
      <c r="Z74" s="228"/>
      <c r="AA74" s="228"/>
      <c r="AB74" s="108"/>
    </row>
    <row r="75" spans="1:30" s="105" customFormat="1" ht="38.25">
      <c r="A75" s="112"/>
      <c r="B75" s="105" t="s">
        <v>175</v>
      </c>
      <c r="C75" s="105" t="s">
        <v>426</v>
      </c>
      <c r="D75" s="74" t="s">
        <v>421</v>
      </c>
      <c r="E75" s="74" t="s">
        <v>122</v>
      </c>
      <c r="F75" s="105" t="s">
        <v>185</v>
      </c>
      <c r="G75" s="105" t="s">
        <v>115</v>
      </c>
      <c r="H75" s="105">
        <v>6.75</v>
      </c>
      <c r="I75" s="228"/>
      <c r="J75" s="229">
        <v>8.58</v>
      </c>
      <c r="K75" s="228"/>
      <c r="L75" s="228"/>
      <c r="M75" s="228"/>
      <c r="N75" s="228"/>
      <c r="O75" s="108">
        <f>AVERAGE(I75:N75)</f>
        <v>8.58</v>
      </c>
      <c r="P75" s="105" t="e">
        <f>SQRT(VAR(I75:N75))</f>
        <v>#DIV/0!</v>
      </c>
      <c r="Q75" s="105">
        <f>COUNT(I75:N75)</f>
        <v>1</v>
      </c>
      <c r="T75" s="165"/>
      <c r="U75" s="237"/>
      <c r="V75" s="229">
        <v>8.1199999999999992</v>
      </c>
      <c r="W75" s="228"/>
      <c r="X75" s="228"/>
      <c r="Y75" s="228"/>
      <c r="Z75" s="228"/>
      <c r="AA75" s="228"/>
      <c r="AB75" s="108">
        <f>AVERAGE(U75:AA75)</f>
        <v>8.1199999999999992</v>
      </c>
      <c r="AC75" s="105" t="e">
        <f>SQRT(VAR(U75:AA75))</f>
        <v>#DIV/0!</v>
      </c>
      <c r="AD75" s="105">
        <f>COUNT(U75:AA75)</f>
        <v>1</v>
      </c>
    </row>
    <row r="76" spans="1:30" s="105" customFormat="1" ht="25.5">
      <c r="A76" s="369"/>
      <c r="G76" s="104" t="s">
        <v>118</v>
      </c>
      <c r="H76" s="104">
        <v>0.21</v>
      </c>
      <c r="I76" s="230"/>
      <c r="J76" s="231">
        <v>0.56599999999999995</v>
      </c>
      <c r="K76" s="230"/>
      <c r="L76" s="230"/>
      <c r="M76" s="230"/>
      <c r="N76" s="230"/>
      <c r="O76" s="109">
        <f>AVERAGE(I76:N76)</f>
        <v>0.56599999999999995</v>
      </c>
      <c r="P76" s="104" t="e">
        <f>SQRT(VAR(I76:N76))</f>
        <v>#DIV/0!</v>
      </c>
      <c r="Q76" s="104">
        <f>COUNT(I76:N76)</f>
        <v>1</v>
      </c>
      <c r="T76" s="165"/>
      <c r="U76" s="238"/>
      <c r="V76" s="231">
        <v>0.48099999999999998</v>
      </c>
      <c r="W76" s="230"/>
      <c r="X76" s="230"/>
      <c r="Y76" s="230"/>
      <c r="Z76" s="230"/>
      <c r="AA76" s="230"/>
      <c r="AB76" s="109">
        <f>AVERAGE(U76:AA76)</f>
        <v>0.48099999999999998</v>
      </c>
      <c r="AC76" s="104" t="e">
        <f>SQRT(VAR(U76:AA76))</f>
        <v>#DIV/0!</v>
      </c>
      <c r="AD76" s="104">
        <f>COUNT(U76:AA76)</f>
        <v>1</v>
      </c>
    </row>
    <row r="77" spans="1:30" s="105" customFormat="1">
      <c r="A77" s="369"/>
      <c r="I77" s="228"/>
      <c r="J77" s="228"/>
      <c r="K77" s="228"/>
      <c r="L77" s="228"/>
      <c r="M77" s="228"/>
      <c r="N77" s="228"/>
      <c r="O77" s="108"/>
      <c r="U77" s="228"/>
      <c r="V77" s="228"/>
      <c r="W77" s="228"/>
      <c r="X77" s="228"/>
      <c r="Y77" s="228"/>
      <c r="Z77" s="228"/>
      <c r="AA77" s="228"/>
      <c r="AB77" s="108"/>
    </row>
    <row r="78" spans="1:30" s="105" customFormat="1" ht="38.25">
      <c r="A78" s="369"/>
      <c r="B78" s="105" t="s">
        <v>174</v>
      </c>
      <c r="C78" s="105" t="s">
        <v>426</v>
      </c>
      <c r="D78" s="105" t="s">
        <v>179</v>
      </c>
      <c r="E78" s="105" t="s">
        <v>125</v>
      </c>
      <c r="F78" s="74" t="s">
        <v>225</v>
      </c>
      <c r="G78" s="105" t="s">
        <v>115</v>
      </c>
      <c r="H78" s="105">
        <v>6.75</v>
      </c>
      <c r="I78" s="228"/>
      <c r="J78" s="228"/>
      <c r="K78" s="228"/>
      <c r="L78" s="228"/>
      <c r="M78" s="228">
        <f>UL_OH!R29*7.895</f>
        <v>8.258979703892539</v>
      </c>
      <c r="N78" s="228"/>
      <c r="O78" s="108">
        <f>AVERAGE(I78:N78)</f>
        <v>8.258979703892539</v>
      </c>
      <c r="P78" s="105" t="e">
        <f>SQRT(VAR(I78:N78))</f>
        <v>#DIV/0!</v>
      </c>
      <c r="Q78" s="105">
        <f>COUNT(I78:N78)</f>
        <v>1</v>
      </c>
      <c r="T78" s="139"/>
      <c r="U78" s="228"/>
      <c r="V78" s="228"/>
      <c r="W78" s="228"/>
      <c r="X78" s="228"/>
      <c r="Y78" s="228">
        <f>UL_OH!R29*8.94</f>
        <v>9.3521568781253066</v>
      </c>
      <c r="Z78" s="228"/>
      <c r="AA78" s="228"/>
      <c r="AB78" s="108">
        <f>AVERAGE(U78:AA78)</f>
        <v>9.3521568781253066</v>
      </c>
      <c r="AC78" s="105" t="e">
        <f>SQRT(VAR(U78:AA78))</f>
        <v>#DIV/0!</v>
      </c>
      <c r="AD78" s="105">
        <f>COUNT(U78:AA78)</f>
        <v>1</v>
      </c>
    </row>
    <row r="79" spans="1:30" s="105" customFormat="1" ht="25.5">
      <c r="A79" s="112"/>
      <c r="G79" s="104" t="s">
        <v>117</v>
      </c>
      <c r="H79" s="104">
        <v>0.21</v>
      </c>
      <c r="I79" s="230"/>
      <c r="J79" s="230"/>
      <c r="K79" s="230"/>
      <c r="L79" s="230"/>
      <c r="M79" s="232">
        <f>UL_OH!R29*0.506</f>
        <v>0.5293278948916561</v>
      </c>
      <c r="N79" s="230"/>
      <c r="O79" s="109">
        <f>AVERAGE(I79:N79)</f>
        <v>0.5293278948916561</v>
      </c>
      <c r="P79" s="104" t="e">
        <f>SQRT(VAR(I79:N79))</f>
        <v>#DIV/0!</v>
      </c>
      <c r="Q79" s="104">
        <f>COUNT(I79:N79)</f>
        <v>1</v>
      </c>
      <c r="T79" s="138"/>
      <c r="U79" s="230"/>
      <c r="V79" s="230"/>
      <c r="W79" s="230"/>
      <c r="X79" s="230"/>
      <c r="Y79" s="242">
        <f>UL_OH!R29*0.51</f>
        <v>0.53351230512795378</v>
      </c>
      <c r="Z79" s="230"/>
      <c r="AA79" s="230"/>
      <c r="AB79" s="109">
        <f>AVERAGE(U79:AA79)</f>
        <v>0.53351230512795378</v>
      </c>
      <c r="AC79" s="104" t="e">
        <f>SQRT(VAR(U79:AA79))</f>
        <v>#DIV/0!</v>
      </c>
      <c r="AD79" s="104">
        <f>COUNT(U79:AA79)</f>
        <v>1</v>
      </c>
    </row>
    <row r="80" spans="1:30">
      <c r="O80" s="65"/>
      <c r="AB80" s="65"/>
    </row>
    <row r="81" spans="15:28">
      <c r="O81" s="65"/>
      <c r="AB81" s="65"/>
    </row>
    <row r="82" spans="15:28">
      <c r="O82" s="65"/>
      <c r="AB82" s="65"/>
    </row>
    <row r="83" spans="15:28">
      <c r="O83" s="65"/>
      <c r="AB83" s="65"/>
    </row>
    <row r="84" spans="15:28">
      <c r="O84" s="65"/>
      <c r="AB84" s="65"/>
    </row>
    <row r="85" spans="15:28">
      <c r="O85" s="65"/>
      <c r="AB85" s="65"/>
    </row>
    <row r="86" spans="15:28">
      <c r="O86" s="65"/>
      <c r="AB86" s="65"/>
    </row>
    <row r="87" spans="15:28">
      <c r="O87" s="65"/>
      <c r="AB87" s="65"/>
    </row>
    <row r="88" spans="15:28">
      <c r="O88" s="65"/>
      <c r="AB88" s="65"/>
    </row>
    <row r="89" spans="15:28">
      <c r="O89" s="65"/>
      <c r="AB89" s="65"/>
    </row>
    <row r="90" spans="15:28">
      <c r="O90" s="65"/>
      <c r="AB90" s="65"/>
    </row>
    <row r="91" spans="15:28">
      <c r="O91" s="65"/>
      <c r="AB91" s="65"/>
    </row>
    <row r="92" spans="15:28">
      <c r="O92" s="65"/>
      <c r="AB92" s="65"/>
    </row>
    <row r="93" spans="15:28">
      <c r="O93" s="65"/>
      <c r="AB93" s="65"/>
    </row>
    <row r="94" spans="15:28">
      <c r="O94" s="65"/>
      <c r="AB94" s="65"/>
    </row>
    <row r="95" spans="15:28">
      <c r="O95" s="65"/>
      <c r="AB95" s="65"/>
    </row>
    <row r="96" spans="15:28">
      <c r="O96" s="65"/>
      <c r="AB96" s="65"/>
    </row>
    <row r="97" spans="15:28">
      <c r="O97" s="65"/>
      <c r="AB97" s="65"/>
    </row>
    <row r="98" spans="15:28">
      <c r="O98" s="65"/>
      <c r="AB98" s="65"/>
    </row>
    <row r="99" spans="15:28">
      <c r="O99" s="65"/>
      <c r="AB99" s="65"/>
    </row>
    <row r="100" spans="15:28">
      <c r="O100" s="65"/>
      <c r="AB100" s="65"/>
    </row>
    <row r="101" spans="15:28">
      <c r="O101" s="65"/>
      <c r="AB101" s="65"/>
    </row>
    <row r="102" spans="15:28">
      <c r="O102" s="65"/>
      <c r="AB102" s="65"/>
    </row>
    <row r="103" spans="15:28">
      <c r="O103" s="65"/>
      <c r="AB103" s="65"/>
    </row>
    <row r="104" spans="15:28">
      <c r="O104" s="65"/>
      <c r="AB104" s="65"/>
    </row>
    <row r="105" spans="15:28">
      <c r="O105" s="65"/>
      <c r="AB105" s="65"/>
    </row>
    <row r="106" spans="15:28">
      <c r="O106" s="65"/>
      <c r="AB106" s="65"/>
    </row>
    <row r="107" spans="15:28">
      <c r="O107" s="65"/>
      <c r="AB107" s="65"/>
    </row>
    <row r="108" spans="15:28">
      <c r="O108" s="65"/>
      <c r="AB108" s="65"/>
    </row>
    <row r="109" spans="15:28">
      <c r="O109" s="65"/>
      <c r="AB109" s="65"/>
    </row>
    <row r="110" spans="15:28">
      <c r="O110" s="65"/>
      <c r="AB110" s="65"/>
    </row>
    <row r="111" spans="15:28">
      <c r="O111" s="65"/>
      <c r="AB111" s="65"/>
    </row>
    <row r="112" spans="15:28">
      <c r="O112" s="65"/>
      <c r="AB112" s="65"/>
    </row>
    <row r="113" spans="15:28">
      <c r="O113" s="65"/>
      <c r="AB113" s="65"/>
    </row>
    <row r="114" spans="15:28">
      <c r="O114" s="65"/>
      <c r="AB114" s="65"/>
    </row>
    <row r="115" spans="15:28">
      <c r="O115" s="65"/>
      <c r="AB115" s="65"/>
    </row>
    <row r="116" spans="15:28">
      <c r="O116" s="65"/>
      <c r="AB116" s="65"/>
    </row>
    <row r="117" spans="15:28">
      <c r="O117" s="65"/>
    </row>
    <row r="118" spans="15:28">
      <c r="O118" s="65"/>
    </row>
    <row r="119" spans="15:28">
      <c r="O119" s="65"/>
    </row>
    <row r="120" spans="15:28">
      <c r="O120" s="65"/>
    </row>
    <row r="121" spans="15:28">
      <c r="O121" s="65"/>
    </row>
    <row r="122" spans="15:28">
      <c r="O122" s="65"/>
    </row>
  </sheetData>
  <mergeCells count="4">
    <mergeCell ref="A2:A22"/>
    <mergeCell ref="T40:T64"/>
    <mergeCell ref="G1:H1"/>
    <mergeCell ref="A76:A78"/>
  </mergeCells>
  <phoneticPr fontId="32"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zoomScale="85" zoomScaleNormal="85" workbookViewId="0">
      <pane xSplit="8" ySplit="2" topLeftCell="I33" activePane="bottomRight" state="frozen"/>
      <selection pane="topRight" activeCell="G1" sqref="G1"/>
      <selection pane="bottomLeft" activeCell="A3" sqref="A3"/>
      <selection pane="bottomRight" activeCell="C3" sqref="C3"/>
    </sheetView>
  </sheetViews>
  <sheetFormatPr defaultColWidth="9.42578125" defaultRowHeight="12.75"/>
  <cols>
    <col min="1" max="1" width="10.85546875" style="54" customWidth="1"/>
    <col min="2" max="2" width="5.42578125" style="54" customWidth="1"/>
    <col min="3" max="3" width="21.28515625" style="105" customWidth="1"/>
    <col min="4" max="4" width="22.28515625" style="54" customWidth="1"/>
    <col min="5" max="5" width="11.42578125" style="54" customWidth="1"/>
    <col min="6" max="6" width="9.140625" style="54" customWidth="1"/>
    <col min="7" max="7" width="16.42578125" style="54" customWidth="1"/>
    <col min="8" max="8" width="6.42578125" style="54" customWidth="1"/>
    <col min="9" max="11" width="9.42578125" style="228" customWidth="1"/>
    <col min="12" max="17" width="9.42578125" style="54" customWidth="1"/>
    <col min="18" max="20" width="9.42578125" style="54"/>
    <col min="21" max="21" width="10.5703125" style="54" customWidth="1"/>
    <col min="22" max="23" width="9.42578125" style="228" customWidth="1"/>
    <col min="24" max="24" width="9.28515625" style="228" customWidth="1"/>
    <col min="25" max="25" width="9.42578125" style="228" customWidth="1"/>
    <col min="26" max="30" width="9.42578125" style="54" customWidth="1"/>
    <col min="31" max="16384" width="9.42578125" style="54"/>
  </cols>
  <sheetData>
    <row r="1" spans="1:31" s="62" customFormat="1" ht="26.25" customHeight="1" thickBot="1">
      <c r="A1" s="61" t="s">
        <v>143</v>
      </c>
      <c r="B1" s="62" t="s">
        <v>172</v>
      </c>
      <c r="C1" s="75" t="s">
        <v>468</v>
      </c>
      <c r="D1" s="75" t="s">
        <v>464</v>
      </c>
      <c r="E1" s="62" t="s">
        <v>107</v>
      </c>
      <c r="F1" s="62" t="s">
        <v>108</v>
      </c>
      <c r="G1" s="370" t="s">
        <v>109</v>
      </c>
      <c r="H1" s="370"/>
      <c r="I1" s="226" t="s">
        <v>38</v>
      </c>
      <c r="J1" s="244" t="s">
        <v>224</v>
      </c>
      <c r="K1" s="226" t="s">
        <v>316</v>
      </c>
      <c r="N1" s="63"/>
      <c r="P1" s="62" t="s">
        <v>110</v>
      </c>
      <c r="Q1" s="62" t="s">
        <v>111</v>
      </c>
      <c r="R1" s="62" t="s">
        <v>112</v>
      </c>
      <c r="U1" s="61" t="s">
        <v>144</v>
      </c>
      <c r="V1" s="226" t="str">
        <f>I1</f>
        <v>Huawei</v>
      </c>
      <c r="W1" s="225" t="s">
        <v>224</v>
      </c>
      <c r="X1" s="226" t="str">
        <f>K1</f>
        <v>OPPO</v>
      </c>
      <c r="Y1" s="226" t="s">
        <v>375</v>
      </c>
      <c r="Z1" s="63"/>
      <c r="AA1" s="63"/>
      <c r="AB1" s="63"/>
      <c r="AC1" s="62" t="s">
        <v>110</v>
      </c>
      <c r="AD1" s="62" t="s">
        <v>111</v>
      </c>
      <c r="AE1" s="62" t="s">
        <v>112</v>
      </c>
    </row>
    <row r="2" spans="1:31" s="105" customFormat="1" ht="12.75" customHeight="1">
      <c r="A2" s="115" t="s">
        <v>113</v>
      </c>
      <c r="B2" s="46" t="s">
        <v>39</v>
      </c>
      <c r="C2" s="46"/>
      <c r="D2" s="46"/>
      <c r="E2" s="46"/>
      <c r="F2" s="46"/>
      <c r="G2" s="46"/>
      <c r="H2" s="46"/>
      <c r="I2" s="227"/>
      <c r="J2" s="227"/>
      <c r="K2" s="227"/>
      <c r="L2" s="55"/>
      <c r="M2" s="55"/>
      <c r="N2" s="55"/>
      <c r="O2" s="55"/>
      <c r="P2" s="64"/>
      <c r="Q2" s="55"/>
      <c r="R2" s="55"/>
      <c r="U2" s="115" t="s">
        <v>113</v>
      </c>
      <c r="V2" s="227"/>
      <c r="W2" s="227"/>
      <c r="X2" s="227"/>
      <c r="Y2" s="227"/>
      <c r="Z2" s="55"/>
      <c r="AA2" s="55"/>
      <c r="AB2" s="55"/>
      <c r="AC2" s="64"/>
      <c r="AD2" s="55"/>
      <c r="AE2" s="55"/>
    </row>
    <row r="3" spans="1:31" s="105" customFormat="1" ht="38.25">
      <c r="A3" s="116"/>
      <c r="B3" s="105" t="s">
        <v>173</v>
      </c>
      <c r="C3" s="105" t="s">
        <v>428</v>
      </c>
      <c r="D3" s="105" t="s">
        <v>178</v>
      </c>
      <c r="E3" s="105" t="s">
        <v>114</v>
      </c>
      <c r="G3" s="105" t="s">
        <v>116</v>
      </c>
      <c r="H3" s="105">
        <v>9</v>
      </c>
      <c r="I3" s="228">
        <v>13.34</v>
      </c>
      <c r="J3" s="229">
        <v>13.29318257956449</v>
      </c>
      <c r="K3" s="228">
        <v>10.53</v>
      </c>
      <c r="P3" s="108">
        <f>AVERAGE(I3:O3)</f>
        <v>12.387727526521497</v>
      </c>
      <c r="Q3" s="105">
        <f>SQRT(VAR(I3:O3))</f>
        <v>1.60900952135492</v>
      </c>
      <c r="R3" s="105">
        <f>COUNT(I3:O3)</f>
        <v>3</v>
      </c>
      <c r="U3" s="116"/>
      <c r="V3" s="228">
        <v>13.499000000000001</v>
      </c>
      <c r="W3" s="229">
        <v>13.572216638749305</v>
      </c>
      <c r="X3" s="228">
        <v>12.04</v>
      </c>
      <c r="Y3" s="228"/>
      <c r="AC3" s="108">
        <f>AVERAGE(V3:AB3)</f>
        <v>13.037072212916435</v>
      </c>
      <c r="AD3" s="105">
        <f>SQRT(VAR(V3:AB3))</f>
        <v>0.86426553638045478</v>
      </c>
      <c r="AE3" s="105">
        <f>COUNT(V3:AB3)</f>
        <v>3</v>
      </c>
    </row>
    <row r="4" spans="1:31" s="105" customFormat="1" ht="25.5">
      <c r="A4" s="116"/>
      <c r="G4" s="104" t="s">
        <v>118</v>
      </c>
      <c r="H4" s="104">
        <v>0.3</v>
      </c>
      <c r="I4" s="230">
        <v>0.312</v>
      </c>
      <c r="J4" s="231">
        <v>0.33484087102177557</v>
      </c>
      <c r="K4" s="230">
        <v>0.37</v>
      </c>
      <c r="L4" s="104"/>
      <c r="M4" s="104"/>
      <c r="N4" s="104"/>
      <c r="O4" s="104"/>
      <c r="P4" s="109">
        <f>AVERAGE(I4:O4)</f>
        <v>0.33894695700725852</v>
      </c>
      <c r="Q4" s="104">
        <f>SQRT(VAR(I4:O4))</f>
        <v>2.9217203093214357E-2</v>
      </c>
      <c r="R4" s="104">
        <f>COUNT(I4:O4)</f>
        <v>3</v>
      </c>
      <c r="U4" s="368"/>
      <c r="V4" s="230">
        <v>0.31900000000000001</v>
      </c>
      <c r="W4" s="231">
        <v>0.33484087102177557</v>
      </c>
      <c r="X4" s="230">
        <v>0.37</v>
      </c>
      <c r="Y4" s="230"/>
      <c r="Z4" s="104"/>
      <c r="AA4" s="104"/>
      <c r="AB4" s="104"/>
      <c r="AC4" s="109">
        <f>AVERAGE(V4:AB4)</f>
        <v>0.34128029034059182</v>
      </c>
      <c r="AD4" s="104">
        <f>SQRT(VAR(V4:AB4))</f>
        <v>2.6102674017668345E-2</v>
      </c>
      <c r="AE4" s="104">
        <f>COUNT(V4:AB4)</f>
        <v>3</v>
      </c>
    </row>
    <row r="5" spans="1:31" s="105" customFormat="1">
      <c r="A5" s="116"/>
      <c r="I5" s="228"/>
      <c r="J5" s="228"/>
      <c r="K5" s="228"/>
      <c r="P5" s="108"/>
      <c r="U5" s="368"/>
      <c r="V5" s="228"/>
      <c r="W5" s="228"/>
      <c r="X5" s="228"/>
      <c r="Y5" s="228"/>
      <c r="AC5" s="108"/>
    </row>
    <row r="6" spans="1:31" s="105" customFormat="1" ht="38.25">
      <c r="A6" s="113"/>
      <c r="B6" s="105" t="s">
        <v>173</v>
      </c>
      <c r="C6" s="105" t="s">
        <v>429</v>
      </c>
      <c r="D6" s="105" t="s">
        <v>430</v>
      </c>
      <c r="E6" s="105" t="s">
        <v>114</v>
      </c>
      <c r="G6" s="105" t="s">
        <v>115</v>
      </c>
      <c r="H6" s="105">
        <v>9</v>
      </c>
      <c r="I6" s="228"/>
      <c r="J6" s="228"/>
      <c r="K6" s="228"/>
      <c r="P6" s="108" t="e">
        <f>AVERAGE(I6:O6)</f>
        <v>#DIV/0!</v>
      </c>
      <c r="Q6" s="105" t="e">
        <f>SQRT(VAR(I6:O6))</f>
        <v>#DIV/0!</v>
      </c>
      <c r="R6" s="105">
        <f>COUNT(I6:O6)</f>
        <v>0</v>
      </c>
      <c r="U6" s="368"/>
      <c r="V6" s="228"/>
      <c r="W6" s="228"/>
      <c r="X6" s="228"/>
      <c r="Y6" s="228"/>
      <c r="AC6" s="108" t="e">
        <f>AVERAGE(V6:AB6)</f>
        <v>#DIV/0!</v>
      </c>
      <c r="AD6" s="105" t="e">
        <f>SQRT(VAR(V6:AB6))</f>
        <v>#DIV/0!</v>
      </c>
      <c r="AE6" s="105">
        <f>COUNT(V6:AB6)</f>
        <v>0</v>
      </c>
    </row>
    <row r="7" spans="1:31" s="105" customFormat="1" ht="25.5">
      <c r="A7" s="113"/>
      <c r="G7" s="104" t="s">
        <v>117</v>
      </c>
      <c r="H7" s="104">
        <v>0.3</v>
      </c>
      <c r="I7" s="230"/>
      <c r="J7" s="230"/>
      <c r="K7" s="230"/>
      <c r="L7" s="104"/>
      <c r="M7" s="104"/>
      <c r="N7" s="104"/>
      <c r="O7" s="104"/>
      <c r="P7" s="109" t="e">
        <f>AVERAGE(I7:O7)</f>
        <v>#DIV/0!</v>
      </c>
      <c r="Q7" s="104" t="e">
        <f>SQRT(VAR(I7:O7))</f>
        <v>#DIV/0!</v>
      </c>
      <c r="R7" s="104">
        <f>COUNT(I7:O7)</f>
        <v>0</v>
      </c>
      <c r="U7" s="368"/>
      <c r="V7" s="230"/>
      <c r="W7" s="230"/>
      <c r="X7" s="230"/>
      <c r="Y7" s="230"/>
      <c r="Z7" s="104"/>
      <c r="AA7" s="104"/>
      <c r="AB7" s="104"/>
      <c r="AC7" s="109" t="e">
        <f>AVERAGE(V7:AB7)</f>
        <v>#DIV/0!</v>
      </c>
      <c r="AD7" s="104" t="e">
        <f>SQRT(VAR(V7:AB7))</f>
        <v>#DIV/0!</v>
      </c>
      <c r="AE7" s="104">
        <f>COUNT(V7:AB7)</f>
        <v>0</v>
      </c>
    </row>
    <row r="8" spans="1:31" s="105" customFormat="1">
      <c r="A8" s="116"/>
      <c r="I8" s="228"/>
      <c r="J8" s="228"/>
      <c r="K8" s="228"/>
      <c r="P8" s="108"/>
      <c r="U8" s="368"/>
      <c r="V8" s="228"/>
      <c r="W8" s="228"/>
      <c r="X8" s="228"/>
      <c r="Y8" s="228"/>
      <c r="AC8" s="108"/>
    </row>
    <row r="9" spans="1:31" s="105" customFormat="1" ht="25.5">
      <c r="A9" s="118"/>
      <c r="B9" s="105" t="s">
        <v>281</v>
      </c>
      <c r="C9" s="105" t="s">
        <v>431</v>
      </c>
      <c r="D9" s="105" t="s">
        <v>432</v>
      </c>
      <c r="E9" s="105" t="s">
        <v>282</v>
      </c>
      <c r="G9" s="105" t="s">
        <v>115</v>
      </c>
      <c r="H9" s="105">
        <v>9</v>
      </c>
      <c r="I9" s="228"/>
      <c r="J9" s="228"/>
      <c r="K9" s="228"/>
      <c r="P9" s="108" t="e">
        <f>AVERAGE(I9:O9)</f>
        <v>#DIV/0!</v>
      </c>
      <c r="Q9" s="105" t="e">
        <f>SQRT(VAR(I9:O9))</f>
        <v>#DIV/0!</v>
      </c>
      <c r="R9" s="105">
        <f>COUNT(I9:O9)</f>
        <v>0</v>
      </c>
      <c r="U9" s="368"/>
      <c r="V9" s="228"/>
      <c r="W9" s="228"/>
      <c r="X9" s="228"/>
      <c r="Y9" s="228"/>
      <c r="AC9" s="108" t="e">
        <f>AVERAGE(V9:AB9)</f>
        <v>#DIV/0!</v>
      </c>
      <c r="AD9" s="105" t="e">
        <f>SQRT(VAR(V9:AB9))</f>
        <v>#DIV/0!</v>
      </c>
      <c r="AE9" s="105">
        <f>COUNT(V9:AB9)</f>
        <v>0</v>
      </c>
    </row>
    <row r="10" spans="1:31" s="105" customFormat="1" ht="25.5">
      <c r="A10" s="118"/>
      <c r="G10" s="104" t="s">
        <v>117</v>
      </c>
      <c r="H10" s="104">
        <v>0.3</v>
      </c>
      <c r="I10" s="230"/>
      <c r="J10" s="230"/>
      <c r="K10" s="230"/>
      <c r="L10" s="104"/>
      <c r="M10" s="104"/>
      <c r="N10" s="104"/>
      <c r="O10" s="104"/>
      <c r="P10" s="109" t="e">
        <f>AVERAGE(I10:O10)</f>
        <v>#DIV/0!</v>
      </c>
      <c r="Q10" s="104" t="e">
        <f>SQRT(VAR(I10:O10))</f>
        <v>#DIV/0!</v>
      </c>
      <c r="R10" s="104">
        <f>COUNT(I10:O10)</f>
        <v>0</v>
      </c>
      <c r="U10" s="118"/>
      <c r="V10" s="230"/>
      <c r="W10" s="230"/>
      <c r="X10" s="230"/>
      <c r="Y10" s="230"/>
      <c r="Z10" s="104"/>
      <c r="AA10" s="104"/>
      <c r="AB10" s="104"/>
      <c r="AC10" s="109" t="e">
        <f>AVERAGE(V10:AB10)</f>
        <v>#DIV/0!</v>
      </c>
      <c r="AD10" s="104" t="e">
        <f>SQRT(VAR(V10:AB10))</f>
        <v>#DIV/0!</v>
      </c>
      <c r="AE10" s="104">
        <f>COUNT(V10:AB10)</f>
        <v>0</v>
      </c>
    </row>
    <row r="11" spans="1:31" s="105" customFormat="1">
      <c r="A11" s="118"/>
      <c r="I11" s="228"/>
      <c r="J11" s="228"/>
      <c r="K11" s="228"/>
      <c r="P11" s="108"/>
      <c r="U11" s="118"/>
      <c r="V11" s="228"/>
      <c r="W11" s="228"/>
      <c r="X11" s="228"/>
      <c r="Y11" s="228"/>
      <c r="AC11" s="108"/>
    </row>
    <row r="12" spans="1:31" s="105" customFormat="1">
      <c r="A12" s="116"/>
      <c r="B12" s="46" t="s">
        <v>119</v>
      </c>
      <c r="C12" s="46"/>
      <c r="D12" s="46"/>
      <c r="E12" s="46"/>
      <c r="F12" s="46"/>
      <c r="G12" s="55"/>
      <c r="H12" s="55"/>
      <c r="I12" s="227"/>
      <c r="J12" s="227"/>
      <c r="K12" s="227"/>
      <c r="L12" s="55"/>
      <c r="M12" s="55"/>
      <c r="N12" s="55"/>
      <c r="O12" s="55"/>
      <c r="P12" s="64"/>
      <c r="Q12" s="55"/>
      <c r="R12" s="55"/>
      <c r="U12" s="116"/>
      <c r="V12" s="227"/>
      <c r="W12" s="227"/>
      <c r="X12" s="227"/>
      <c r="Y12" s="227"/>
      <c r="Z12" s="55"/>
      <c r="AA12" s="55"/>
      <c r="AB12" s="55"/>
      <c r="AC12" s="64"/>
      <c r="AD12" s="55"/>
      <c r="AE12" s="55"/>
    </row>
    <row r="13" spans="1:31" s="105" customFormat="1" ht="40.5" customHeight="1">
      <c r="A13" s="116"/>
      <c r="B13" s="105" t="s">
        <v>174</v>
      </c>
      <c r="C13" s="105" t="s">
        <v>428</v>
      </c>
      <c r="D13" s="74" t="s">
        <v>248</v>
      </c>
      <c r="E13" s="105" t="s">
        <v>121</v>
      </c>
      <c r="F13" s="105" t="s">
        <v>123</v>
      </c>
      <c r="G13" s="105" t="s">
        <v>115</v>
      </c>
      <c r="H13" s="105">
        <v>9</v>
      </c>
      <c r="I13" s="228">
        <f>DL_OH!S40*13.955</f>
        <v>14.218301886792457</v>
      </c>
      <c r="J13" s="228"/>
      <c r="K13" s="228"/>
      <c r="P13" s="108">
        <f>AVERAGE(I13:O13)</f>
        <v>14.218301886792457</v>
      </c>
      <c r="Q13" s="105" t="e">
        <f>SQRT(VAR(I13:O13))</f>
        <v>#DIV/0!</v>
      </c>
      <c r="R13" s="105">
        <f>COUNT(I13:O13)</f>
        <v>1</v>
      </c>
      <c r="U13" s="116"/>
      <c r="V13" s="228">
        <f>DL_OH!S40*14.067</f>
        <v>14.332415094339625</v>
      </c>
      <c r="W13" s="228"/>
      <c r="X13" s="228"/>
      <c r="Y13" s="228"/>
      <c r="AC13" s="108">
        <f>AVERAGE(V13:AB13)</f>
        <v>14.332415094339625</v>
      </c>
      <c r="AD13" s="105" t="e">
        <f>SQRT(VAR(V13:AB13))</f>
        <v>#DIV/0!</v>
      </c>
      <c r="AE13" s="105">
        <f>COUNT(V13:AB13)</f>
        <v>1</v>
      </c>
    </row>
    <row r="14" spans="1:31" s="105" customFormat="1" ht="25.5">
      <c r="A14" s="116"/>
      <c r="G14" s="104" t="s">
        <v>117</v>
      </c>
      <c r="H14" s="104">
        <v>0.3</v>
      </c>
      <c r="I14" s="230">
        <f>DL_OH!S40*0.344</f>
        <v>0.35049056603773587</v>
      </c>
      <c r="J14" s="230"/>
      <c r="K14" s="230"/>
      <c r="L14" s="104"/>
      <c r="M14" s="104"/>
      <c r="N14" s="104"/>
      <c r="O14" s="104"/>
      <c r="P14" s="109">
        <f>AVERAGE(I14:O14)</f>
        <v>0.35049056603773587</v>
      </c>
      <c r="Q14" s="104" t="e">
        <f>SQRT(VAR(I14:O14))</f>
        <v>#DIV/0!</v>
      </c>
      <c r="R14" s="104">
        <f>COUNT(I14:O14)</f>
        <v>1</v>
      </c>
      <c r="U14" s="116"/>
      <c r="V14" s="230">
        <f>DL_OH!S40*0.35</f>
        <v>0.35660377358490569</v>
      </c>
      <c r="W14" s="230"/>
      <c r="X14" s="230"/>
      <c r="Y14" s="230"/>
      <c r="Z14" s="104"/>
      <c r="AA14" s="104"/>
      <c r="AB14" s="104"/>
      <c r="AC14" s="109">
        <f>AVERAGE(V14:AB14)</f>
        <v>0.35660377358490569</v>
      </c>
      <c r="AD14" s="104" t="e">
        <f>SQRT(VAR(V14:AB14))</f>
        <v>#DIV/0!</v>
      </c>
      <c r="AE14" s="104">
        <f>COUNT(V14:AB14)</f>
        <v>1</v>
      </c>
    </row>
    <row r="15" spans="1:31" s="105" customFormat="1">
      <c r="A15" s="116"/>
      <c r="I15" s="228"/>
      <c r="J15" s="228"/>
      <c r="K15" s="228"/>
      <c r="P15" s="108"/>
      <c r="U15" s="116"/>
      <c r="V15" s="228"/>
      <c r="W15" s="228"/>
      <c r="X15" s="228"/>
      <c r="Y15" s="228"/>
      <c r="AC15" s="108"/>
    </row>
    <row r="16" spans="1:31" s="105" customFormat="1" ht="40.5" customHeight="1">
      <c r="A16" s="162"/>
      <c r="B16" s="105" t="s">
        <v>208</v>
      </c>
      <c r="C16" s="105" t="s">
        <v>428</v>
      </c>
      <c r="D16" s="74" t="s">
        <v>248</v>
      </c>
      <c r="E16" s="105" t="s">
        <v>114</v>
      </c>
      <c r="F16" s="105" t="s">
        <v>105</v>
      </c>
      <c r="G16" s="105" t="s">
        <v>115</v>
      </c>
      <c r="H16" s="105">
        <v>9</v>
      </c>
      <c r="I16" s="228">
        <f>DL_OH!S26*14.293</f>
        <v>14.562679245283014</v>
      </c>
      <c r="J16" s="228"/>
      <c r="K16" s="228"/>
      <c r="P16" s="108">
        <f>AVERAGE(I16:O16)</f>
        <v>14.562679245283014</v>
      </c>
      <c r="Q16" s="105" t="e">
        <f>SQRT(VAR(I16:O16))</f>
        <v>#DIV/0!</v>
      </c>
      <c r="R16" s="105">
        <f>COUNT(I16:O16)</f>
        <v>1</v>
      </c>
      <c r="U16" s="162"/>
      <c r="V16" s="228">
        <f>DL_OH!S26*14.403</f>
        <v>14.674754716981129</v>
      </c>
      <c r="W16" s="228"/>
      <c r="X16" s="228"/>
      <c r="Y16" s="228"/>
      <c r="AC16" s="108">
        <f>AVERAGE(V16:AB16)</f>
        <v>14.674754716981129</v>
      </c>
      <c r="AD16" s="105" t="e">
        <f>SQRT(VAR(V16:AB16))</f>
        <v>#DIV/0!</v>
      </c>
      <c r="AE16" s="105">
        <f>COUNT(V16:AB16)</f>
        <v>1</v>
      </c>
    </row>
    <row r="17" spans="1:31" s="105" customFormat="1" ht="25.5">
      <c r="A17" s="162"/>
      <c r="G17" s="104" t="s">
        <v>132</v>
      </c>
      <c r="H17" s="104">
        <v>0.3</v>
      </c>
      <c r="I17" s="230">
        <f>DL_OH!S26*0.378</f>
        <v>0.38513207547169803</v>
      </c>
      <c r="J17" s="230"/>
      <c r="K17" s="230"/>
      <c r="L17" s="104"/>
      <c r="M17" s="104"/>
      <c r="N17" s="104"/>
      <c r="O17" s="104"/>
      <c r="P17" s="109">
        <f>AVERAGE(I17:O17)</f>
        <v>0.38513207547169803</v>
      </c>
      <c r="Q17" s="104" t="e">
        <f>SQRT(VAR(I17:O17))</f>
        <v>#DIV/0!</v>
      </c>
      <c r="R17" s="104">
        <f>COUNT(I17:O17)</f>
        <v>1</v>
      </c>
      <c r="U17" s="162"/>
      <c r="V17" s="230">
        <f>DL_OH!S26*0.387</f>
        <v>0.39430188679245276</v>
      </c>
      <c r="W17" s="230"/>
      <c r="X17" s="230"/>
      <c r="Y17" s="230"/>
      <c r="Z17" s="104"/>
      <c r="AA17" s="104"/>
      <c r="AB17" s="104"/>
      <c r="AC17" s="109">
        <f>AVERAGE(V17:AB17)</f>
        <v>0.39430188679245276</v>
      </c>
      <c r="AD17" s="104" t="e">
        <f>SQRT(VAR(V17:AB17))</f>
        <v>#DIV/0!</v>
      </c>
      <c r="AE17" s="104">
        <f>COUNT(V17:AB17)</f>
        <v>1</v>
      </c>
    </row>
    <row r="18" spans="1:31" s="105" customFormat="1">
      <c r="A18" s="162"/>
      <c r="I18" s="228"/>
      <c r="J18" s="228"/>
      <c r="K18" s="228"/>
      <c r="P18" s="108"/>
      <c r="U18" s="162"/>
      <c r="V18" s="228"/>
      <c r="W18" s="228"/>
      <c r="X18" s="228"/>
      <c r="Y18" s="228"/>
      <c r="AC18" s="108"/>
    </row>
    <row r="19" spans="1:31" ht="38.25">
      <c r="A19" s="68"/>
      <c r="B19" s="54" t="s">
        <v>174</v>
      </c>
      <c r="C19" s="105" t="s">
        <v>428</v>
      </c>
      <c r="D19" s="105" t="s">
        <v>189</v>
      </c>
      <c r="E19" s="54" t="s">
        <v>124</v>
      </c>
      <c r="F19" s="54" t="s">
        <v>185</v>
      </c>
      <c r="G19" s="54" t="s">
        <v>115</v>
      </c>
      <c r="H19" s="54">
        <v>9</v>
      </c>
      <c r="J19" s="236"/>
      <c r="P19" s="65" t="e">
        <f>AVERAGE(I19:O19)</f>
        <v>#DIV/0!</v>
      </c>
      <c r="Q19" s="54" t="e">
        <f>SQRT(VAR(I19:O19))</f>
        <v>#DIV/0!</v>
      </c>
      <c r="R19" s="54">
        <f>COUNT(I19:O19)</f>
        <v>0</v>
      </c>
      <c r="U19" s="68"/>
      <c r="Z19" s="105"/>
      <c r="AA19" s="105"/>
      <c r="AB19" s="105"/>
      <c r="AC19" s="108" t="e">
        <f>AVERAGE(V19:AB19)</f>
        <v>#DIV/0!</v>
      </c>
      <c r="AD19" s="105" t="e">
        <f>SQRT(VAR(V19:AB19))</f>
        <v>#DIV/0!</v>
      </c>
      <c r="AE19" s="105">
        <f>COUNT(V19:AB19)</f>
        <v>0</v>
      </c>
    </row>
    <row r="20" spans="1:31" ht="25.5">
      <c r="A20" s="68"/>
      <c r="G20" s="53" t="s">
        <v>117</v>
      </c>
      <c r="H20" s="53">
        <v>0.3</v>
      </c>
      <c r="I20" s="230"/>
      <c r="J20" s="245"/>
      <c r="K20" s="230"/>
      <c r="L20" s="53"/>
      <c r="M20" s="53"/>
      <c r="N20" s="53"/>
      <c r="O20" s="53"/>
      <c r="P20" s="66" t="e">
        <f>AVERAGE(I20:O20)</f>
        <v>#DIV/0!</v>
      </c>
      <c r="Q20" s="53" t="e">
        <f>SQRT(VAR(I20:O20))</f>
        <v>#DIV/0!</v>
      </c>
      <c r="R20" s="53">
        <f>COUNT(I20:O20)</f>
        <v>0</v>
      </c>
      <c r="U20" s="68"/>
      <c r="V20" s="230"/>
      <c r="W20" s="230"/>
      <c r="X20" s="230"/>
      <c r="Y20" s="230"/>
      <c r="Z20" s="104"/>
      <c r="AA20" s="104"/>
      <c r="AB20" s="104"/>
      <c r="AC20" s="109" t="e">
        <f>AVERAGE(V20:AB20)</f>
        <v>#DIV/0!</v>
      </c>
      <c r="AD20" s="104" t="e">
        <f>SQRT(VAR(V20:AB20))</f>
        <v>#DIV/0!</v>
      </c>
      <c r="AE20" s="104">
        <f>COUNT(V20:AB20)</f>
        <v>0</v>
      </c>
    </row>
    <row r="21" spans="1:31" s="105" customFormat="1" ht="15">
      <c r="A21" s="110"/>
      <c r="I21" s="228"/>
      <c r="J21" s="235"/>
      <c r="K21" s="228"/>
      <c r="P21" s="108"/>
      <c r="U21" s="110"/>
      <c r="V21" s="228"/>
      <c r="W21" s="235"/>
      <c r="X21" s="228"/>
      <c r="Y21" s="228"/>
      <c r="AC21" s="108"/>
    </row>
    <row r="22" spans="1:31" s="105" customFormat="1" ht="51">
      <c r="A22" s="110"/>
      <c r="B22" s="105" t="s">
        <v>174</v>
      </c>
      <c r="C22" s="105" t="s">
        <v>428</v>
      </c>
      <c r="D22" s="74" t="s">
        <v>600</v>
      </c>
      <c r="E22" s="105" t="s">
        <v>124</v>
      </c>
      <c r="F22" s="105" t="s">
        <v>185</v>
      </c>
      <c r="G22" s="105" t="s">
        <v>115</v>
      </c>
      <c r="H22" s="105">
        <v>9</v>
      </c>
      <c r="I22" s="228"/>
      <c r="J22" s="229">
        <v>13.437721518987342</v>
      </c>
      <c r="K22" s="228">
        <f>DL_OH!S27*10.74</f>
        <v>10.875949367088607</v>
      </c>
      <c r="P22" s="108">
        <f>AVERAGE(I22:O22)</f>
        <v>12.156835443037973</v>
      </c>
      <c r="Q22" s="105">
        <f>SQRT(VAR(I22:O22))</f>
        <v>1.811446460462466</v>
      </c>
      <c r="R22" s="105">
        <f>COUNT(I22:O22)</f>
        <v>2</v>
      </c>
      <c r="U22" s="110"/>
      <c r="V22" s="228"/>
      <c r="W22" s="229">
        <v>13.645063291139239</v>
      </c>
      <c r="X22" s="228">
        <f>DL_OH!S27*10.95</f>
        <v>11.088607594936706</v>
      </c>
      <c r="Y22" s="228"/>
      <c r="AC22" s="108">
        <f>AVERAGE(V22:AB22)</f>
        <v>12.366835443037973</v>
      </c>
      <c r="AD22" s="105">
        <f>SQRT(VAR(V22:AB22))</f>
        <v>1.8076871585877916</v>
      </c>
      <c r="AE22" s="105">
        <f>COUNT(V22:AB22)</f>
        <v>2</v>
      </c>
    </row>
    <row r="23" spans="1:31" s="105" customFormat="1" ht="25.5">
      <c r="A23" s="110"/>
      <c r="G23" s="104" t="s">
        <v>117</v>
      </c>
      <c r="H23" s="104">
        <v>0.3</v>
      </c>
      <c r="I23" s="230"/>
      <c r="J23" s="231">
        <v>0.32582278481012655</v>
      </c>
      <c r="K23" s="230">
        <f>DL_OH!S27*0.365</f>
        <v>0.36962025316455688</v>
      </c>
      <c r="L23" s="104"/>
      <c r="M23" s="104"/>
      <c r="N23" s="104"/>
      <c r="O23" s="104"/>
      <c r="P23" s="109">
        <f>AVERAGE(I23:O23)</f>
        <v>0.34772151898734172</v>
      </c>
      <c r="Q23" s="104">
        <f>SQRT(VAR(I23:O23))</f>
        <v>3.0969486872220904E-2</v>
      </c>
      <c r="R23" s="104">
        <f>COUNT(I23:O23)</f>
        <v>2</v>
      </c>
      <c r="U23" s="110"/>
      <c r="V23" s="230"/>
      <c r="W23" s="231">
        <v>0.32582278481012655</v>
      </c>
      <c r="X23" s="230">
        <f>DL_OH!S27*0.33</f>
        <v>0.33417721518987337</v>
      </c>
      <c r="Y23" s="230"/>
      <c r="Z23" s="104"/>
      <c r="AA23" s="104"/>
      <c r="AB23" s="104"/>
      <c r="AC23" s="109">
        <f>AVERAGE(V23:AB23)</f>
        <v>0.32999999999999996</v>
      </c>
      <c r="AD23" s="104">
        <f>SQRT(VAR(V23:AB23))</f>
        <v>5.9074743744698755E-3</v>
      </c>
      <c r="AE23" s="104">
        <f>COUNT(V23:AB23)</f>
        <v>2</v>
      </c>
    </row>
    <row r="24" spans="1:31" s="105" customFormat="1" ht="15">
      <c r="A24" s="110"/>
      <c r="I24" s="228"/>
      <c r="J24" s="240"/>
      <c r="K24" s="228"/>
      <c r="P24" s="108"/>
      <c r="U24" s="110"/>
      <c r="V24" s="228"/>
      <c r="W24" s="240"/>
      <c r="X24" s="228"/>
      <c r="Y24" s="228"/>
      <c r="AC24" s="108"/>
    </row>
    <row r="25" spans="1:31" s="105" customFormat="1" ht="38.25">
      <c r="A25" s="110"/>
      <c r="B25" s="105" t="s">
        <v>174</v>
      </c>
      <c r="C25" s="105" t="s">
        <v>428</v>
      </c>
      <c r="D25" s="74" t="s">
        <v>463</v>
      </c>
      <c r="E25" s="74" t="s">
        <v>245</v>
      </c>
      <c r="F25" s="105" t="s">
        <v>185</v>
      </c>
      <c r="G25" s="105" t="s">
        <v>115</v>
      </c>
      <c r="H25" s="105">
        <v>9</v>
      </c>
      <c r="I25" s="228"/>
      <c r="J25" s="229">
        <v>13.003291139240506</v>
      </c>
      <c r="K25" s="228"/>
      <c r="P25" s="108">
        <f>AVERAGE(I25:O25)</f>
        <v>13.003291139240506</v>
      </c>
      <c r="Q25" s="105" t="e">
        <f>SQRT(VAR(I25:O25))</f>
        <v>#DIV/0!</v>
      </c>
      <c r="R25" s="105">
        <f>COUNT(I25:O25)</f>
        <v>1</v>
      </c>
      <c r="U25" s="110"/>
      <c r="V25" s="228"/>
      <c r="W25" s="229">
        <v>13.17113924050633</v>
      </c>
      <c r="X25" s="228"/>
      <c r="Y25" s="228"/>
      <c r="AC25" s="108">
        <f>AVERAGE(V25:AB25)</f>
        <v>13.17113924050633</v>
      </c>
      <c r="AD25" s="105" t="e">
        <f>SQRT(VAR(V25:AB25))</f>
        <v>#DIV/0!</v>
      </c>
      <c r="AE25" s="105">
        <f>COUNT(V25:AB25)</f>
        <v>1</v>
      </c>
    </row>
    <row r="26" spans="1:31" s="105" customFormat="1" ht="25.5">
      <c r="A26" s="110"/>
      <c r="G26" s="104" t="s">
        <v>117</v>
      </c>
      <c r="H26" s="104">
        <v>0.3</v>
      </c>
      <c r="I26" s="230"/>
      <c r="J26" s="231">
        <v>0.3159493670886076</v>
      </c>
      <c r="K26" s="230"/>
      <c r="L26" s="104"/>
      <c r="M26" s="104"/>
      <c r="N26" s="104"/>
      <c r="O26" s="104"/>
      <c r="P26" s="109">
        <f>AVERAGE(I26:O26)</f>
        <v>0.3159493670886076</v>
      </c>
      <c r="Q26" s="104" t="e">
        <f>SQRT(VAR(I26:O26))</f>
        <v>#DIV/0!</v>
      </c>
      <c r="R26" s="104">
        <f>COUNT(I26:O26)</f>
        <v>1</v>
      </c>
      <c r="U26" s="110"/>
      <c r="V26" s="230"/>
      <c r="W26" s="231">
        <v>0.33569620253164556</v>
      </c>
      <c r="X26" s="230"/>
      <c r="Y26" s="230"/>
      <c r="Z26" s="104"/>
      <c r="AA26" s="104"/>
      <c r="AB26" s="104"/>
      <c r="AC26" s="109">
        <f>AVERAGE(V26:AB26)</f>
        <v>0.33569620253164556</v>
      </c>
      <c r="AD26" s="104" t="e">
        <f>SQRT(VAR(V26:AB26))</f>
        <v>#DIV/0!</v>
      </c>
      <c r="AE26" s="104">
        <f>COUNT(V26:AB26)</f>
        <v>1</v>
      </c>
    </row>
    <row r="27" spans="1:31" s="105" customFormat="1" ht="15">
      <c r="A27" s="110"/>
      <c r="I27" s="228"/>
      <c r="J27" s="235"/>
      <c r="K27" s="228"/>
      <c r="P27" s="108"/>
      <c r="U27" s="110"/>
      <c r="V27" s="228"/>
      <c r="W27" s="235"/>
      <c r="X27" s="228"/>
      <c r="Y27" s="228"/>
      <c r="AC27" s="108"/>
    </row>
    <row r="28" spans="1:31" s="105" customFormat="1" ht="25.5">
      <c r="A28" s="158"/>
      <c r="B28" s="105" t="s">
        <v>173</v>
      </c>
      <c r="C28" s="105" t="s">
        <v>434</v>
      </c>
      <c r="D28" s="74" t="s">
        <v>376</v>
      </c>
      <c r="E28" s="74" t="s">
        <v>121</v>
      </c>
      <c r="F28" s="105" t="s">
        <v>105</v>
      </c>
      <c r="G28" s="105" t="s">
        <v>115</v>
      </c>
      <c r="H28" s="105">
        <v>9</v>
      </c>
      <c r="I28" s="228"/>
      <c r="J28" s="228"/>
      <c r="K28" s="228"/>
      <c r="P28" s="108" t="e">
        <f>AVERAGE(I28:O28)</f>
        <v>#DIV/0!</v>
      </c>
      <c r="Q28" s="105" t="e">
        <f>SQRT(VAR(I28:O28))</f>
        <v>#DIV/0!</v>
      </c>
      <c r="R28" s="105">
        <f>COUNT(I28:O28)</f>
        <v>0</v>
      </c>
      <c r="U28" s="158"/>
      <c r="V28" s="228"/>
      <c r="W28" s="228"/>
      <c r="X28" s="228"/>
      <c r="Y28" s="228">
        <f>DL_OH!S43*10.68</f>
        <v>10.478490566037737</v>
      </c>
      <c r="AC28" s="108">
        <f>AVERAGE(V28:AB28)</f>
        <v>10.478490566037737</v>
      </c>
      <c r="AD28" s="105" t="e">
        <f>SQRT(VAR(V28:AB28))</f>
        <v>#DIV/0!</v>
      </c>
      <c r="AE28" s="105">
        <f>COUNT(V28:AB28)</f>
        <v>1</v>
      </c>
    </row>
    <row r="29" spans="1:31" s="105" customFormat="1" ht="25.5">
      <c r="A29" s="158"/>
      <c r="G29" s="104" t="s">
        <v>117</v>
      </c>
      <c r="H29" s="104">
        <v>0.3</v>
      </c>
      <c r="I29" s="230"/>
      <c r="J29" s="230"/>
      <c r="K29" s="230"/>
      <c r="L29" s="104"/>
      <c r="M29" s="104"/>
      <c r="N29" s="104"/>
      <c r="O29" s="104"/>
      <c r="P29" s="109" t="e">
        <f>AVERAGE(I29:O29)</f>
        <v>#DIV/0!</v>
      </c>
      <c r="Q29" s="104" t="e">
        <f>SQRT(VAR(I29:O29))</f>
        <v>#DIV/0!</v>
      </c>
      <c r="R29" s="104">
        <f>COUNT(I29:O29)</f>
        <v>0</v>
      </c>
      <c r="U29" s="158"/>
      <c r="V29" s="230"/>
      <c r="W29" s="230"/>
      <c r="X29" s="230"/>
      <c r="Y29" s="230">
        <f>DL_OH!S43*0.32</f>
        <v>0.31396226415094342</v>
      </c>
      <c r="Z29" s="104"/>
      <c r="AA29" s="104"/>
      <c r="AB29" s="104"/>
      <c r="AC29" s="109">
        <f>AVERAGE(V29:AB29)</f>
        <v>0.31396226415094342</v>
      </c>
      <c r="AD29" s="104" t="e">
        <f>SQRT(VAR(V29:AB29))</f>
        <v>#DIV/0!</v>
      </c>
      <c r="AE29" s="104">
        <f>COUNT(V29:AB29)</f>
        <v>1</v>
      </c>
    </row>
    <row r="30" spans="1:31" s="105" customFormat="1">
      <c r="I30" s="228"/>
      <c r="J30" s="228"/>
      <c r="K30" s="228"/>
      <c r="P30" s="108"/>
      <c r="V30" s="228"/>
      <c r="W30" s="228"/>
      <c r="X30" s="228"/>
      <c r="Y30" s="228"/>
      <c r="AC30" s="108"/>
    </row>
    <row r="31" spans="1:31" s="105" customFormat="1">
      <c r="I31" s="228"/>
      <c r="J31" s="228"/>
      <c r="K31" s="228"/>
      <c r="P31" s="108"/>
      <c r="V31" s="228"/>
      <c r="W31" s="228"/>
      <c r="X31" s="228"/>
      <c r="Y31" s="228"/>
      <c r="AC31" s="108"/>
    </row>
    <row r="32" spans="1:31" ht="12.75" customHeight="1">
      <c r="A32" s="369" t="s">
        <v>68</v>
      </c>
      <c r="B32" s="46" t="s">
        <v>39</v>
      </c>
      <c r="C32" s="46"/>
      <c r="D32" s="46"/>
      <c r="E32" s="46"/>
      <c r="F32" s="46"/>
      <c r="G32" s="55"/>
      <c r="H32" s="55"/>
      <c r="I32" s="227"/>
      <c r="J32" s="227"/>
      <c r="K32" s="227"/>
      <c r="L32" s="55"/>
      <c r="M32" s="55"/>
      <c r="N32" s="55"/>
      <c r="O32" s="55"/>
      <c r="P32" s="64"/>
      <c r="Q32" s="55"/>
      <c r="R32" s="55"/>
      <c r="U32" s="369" t="s">
        <v>68</v>
      </c>
      <c r="V32" s="227"/>
      <c r="W32" s="227"/>
      <c r="X32" s="227"/>
      <c r="Y32" s="227"/>
      <c r="Z32" s="55"/>
      <c r="AA32" s="55"/>
      <c r="AB32" s="55"/>
      <c r="AC32" s="64"/>
      <c r="AD32" s="55"/>
      <c r="AE32" s="55"/>
    </row>
    <row r="33" spans="1:31" ht="38.25">
      <c r="A33" s="369"/>
      <c r="B33" s="54" t="s">
        <v>191</v>
      </c>
      <c r="C33" s="105" t="s">
        <v>428</v>
      </c>
      <c r="D33" s="54" t="s">
        <v>190</v>
      </c>
      <c r="E33" s="54" t="s">
        <v>124</v>
      </c>
      <c r="G33" s="54" t="s">
        <v>115</v>
      </c>
      <c r="H33" s="54">
        <v>6.75</v>
      </c>
      <c r="I33" s="246"/>
      <c r="P33" s="65" t="e">
        <f>AVERAGE(I33:O33)</f>
        <v>#DIV/0!</v>
      </c>
      <c r="Q33" s="54" t="e">
        <f>SQRT(VAR(I33:O33))</f>
        <v>#DIV/0!</v>
      </c>
      <c r="R33" s="54">
        <f>COUNT(I33:O33)</f>
        <v>0</v>
      </c>
      <c r="U33" s="369"/>
      <c r="AC33" s="65" t="e">
        <f>AVERAGE(V33:AB33)</f>
        <v>#DIV/0!</v>
      </c>
      <c r="AD33" s="54" t="e">
        <f>SQRT(VAR(V33:AB33))</f>
        <v>#DIV/0!</v>
      </c>
      <c r="AE33" s="54">
        <f>COUNT(V33:AB33)</f>
        <v>0</v>
      </c>
    </row>
    <row r="34" spans="1:31" ht="25.5">
      <c r="A34" s="369"/>
      <c r="G34" s="53" t="s">
        <v>117</v>
      </c>
      <c r="H34" s="53">
        <v>0.21</v>
      </c>
      <c r="I34" s="230"/>
      <c r="J34" s="230"/>
      <c r="K34" s="230"/>
      <c r="L34" s="53"/>
      <c r="M34" s="53"/>
      <c r="N34" s="53"/>
      <c r="O34" s="53"/>
      <c r="P34" s="66" t="e">
        <f>AVERAGE(I34:O34)</f>
        <v>#DIV/0!</v>
      </c>
      <c r="Q34" s="53" t="e">
        <f>SQRT(VAR(I34:O34))</f>
        <v>#DIV/0!</v>
      </c>
      <c r="R34" s="53">
        <f>COUNT(I34:O34)</f>
        <v>0</v>
      </c>
      <c r="U34" s="369"/>
      <c r="V34" s="230"/>
      <c r="W34" s="230"/>
      <c r="X34" s="230"/>
      <c r="Y34" s="230"/>
      <c r="Z34" s="53"/>
      <c r="AA34" s="53"/>
      <c r="AB34" s="53"/>
      <c r="AC34" s="66" t="e">
        <f>AVERAGE(V34:AB34)</f>
        <v>#DIV/0!</v>
      </c>
      <c r="AD34" s="53" t="e">
        <f>SQRT(VAR(V34:AB34))</f>
        <v>#DIV/0!</v>
      </c>
      <c r="AE34" s="53">
        <f>COUNT(V34:AB34)</f>
        <v>0</v>
      </c>
    </row>
    <row r="35" spans="1:31">
      <c r="A35" s="369"/>
      <c r="B35" s="105"/>
      <c r="D35" s="105"/>
      <c r="E35" s="105"/>
      <c r="F35" s="105"/>
      <c r="G35" s="105"/>
      <c r="H35" s="105"/>
      <c r="L35" s="105"/>
      <c r="M35" s="105"/>
      <c r="N35" s="105"/>
      <c r="O35" s="105"/>
      <c r="P35" s="108"/>
      <c r="Q35" s="105"/>
      <c r="R35" s="105"/>
      <c r="U35" s="369"/>
      <c r="Z35" s="105"/>
      <c r="AA35" s="105"/>
      <c r="AB35" s="105"/>
      <c r="AC35" s="108"/>
      <c r="AD35" s="105"/>
      <c r="AE35" s="105"/>
    </row>
    <row r="36" spans="1:31" s="105" customFormat="1" ht="25.5">
      <c r="A36" s="369"/>
      <c r="B36" s="105" t="s">
        <v>191</v>
      </c>
      <c r="C36" s="105" t="s">
        <v>436</v>
      </c>
      <c r="D36" s="105" t="s">
        <v>277</v>
      </c>
      <c r="E36" s="105" t="s">
        <v>124</v>
      </c>
      <c r="G36" s="105" t="s">
        <v>115</v>
      </c>
      <c r="H36" s="105">
        <v>6.75</v>
      </c>
      <c r="I36" s="246"/>
      <c r="J36" s="228"/>
      <c r="K36" s="228"/>
      <c r="P36" s="108" t="e">
        <f>AVERAGE(I36:O36)</f>
        <v>#DIV/0!</v>
      </c>
      <c r="Q36" s="105" t="e">
        <f>SQRT(VAR(I36:O36))</f>
        <v>#DIV/0!</v>
      </c>
      <c r="R36" s="105">
        <f>COUNT(I36:O36)</f>
        <v>0</v>
      </c>
      <c r="U36" s="369"/>
      <c r="V36" s="228"/>
      <c r="W36" s="228"/>
      <c r="X36" s="228"/>
      <c r="Y36" s="228"/>
      <c r="AC36" s="108" t="e">
        <f>AVERAGE(V36:AB36)</f>
        <v>#DIV/0!</v>
      </c>
      <c r="AD36" s="105" t="e">
        <f>SQRT(VAR(V36:AB36))</f>
        <v>#DIV/0!</v>
      </c>
      <c r="AE36" s="105">
        <f>COUNT(V36:AB36)</f>
        <v>0</v>
      </c>
    </row>
    <row r="37" spans="1:31" s="105" customFormat="1" ht="25.5">
      <c r="A37" s="369"/>
      <c r="G37" s="104" t="s">
        <v>117</v>
      </c>
      <c r="H37" s="104">
        <v>0.21</v>
      </c>
      <c r="I37" s="230"/>
      <c r="J37" s="230"/>
      <c r="K37" s="230"/>
      <c r="L37" s="104"/>
      <c r="M37" s="104"/>
      <c r="N37" s="104"/>
      <c r="O37" s="104"/>
      <c r="P37" s="109" t="e">
        <f>AVERAGE(I37:O37)</f>
        <v>#DIV/0!</v>
      </c>
      <c r="Q37" s="104" t="e">
        <f>SQRT(VAR(I37:O37))</f>
        <v>#DIV/0!</v>
      </c>
      <c r="R37" s="104">
        <f>COUNT(I37:O37)</f>
        <v>0</v>
      </c>
      <c r="U37" s="369"/>
      <c r="V37" s="230"/>
      <c r="W37" s="230"/>
      <c r="X37" s="230"/>
      <c r="Y37" s="230"/>
      <c r="Z37" s="104"/>
      <c r="AA37" s="104"/>
      <c r="AB37" s="104"/>
      <c r="AC37" s="109" t="e">
        <f>AVERAGE(V37:AB37)</f>
        <v>#DIV/0!</v>
      </c>
      <c r="AD37" s="104" t="e">
        <f>SQRT(VAR(V37:AB37))</f>
        <v>#DIV/0!</v>
      </c>
      <c r="AE37" s="104">
        <f>COUNT(V37:AB37)</f>
        <v>0</v>
      </c>
    </row>
    <row r="38" spans="1:31">
      <c r="A38" s="369"/>
      <c r="P38" s="65"/>
      <c r="U38" s="369"/>
      <c r="AC38" s="65"/>
    </row>
    <row r="39" spans="1:31" ht="25.5">
      <c r="A39" s="369"/>
      <c r="B39" s="105" t="s">
        <v>191</v>
      </c>
      <c r="C39" s="105" t="s">
        <v>437</v>
      </c>
      <c r="D39" s="74" t="s">
        <v>249</v>
      </c>
      <c r="E39" s="105" t="s">
        <v>124</v>
      </c>
      <c r="F39" s="105"/>
      <c r="G39" s="105" t="s">
        <v>115</v>
      </c>
      <c r="H39" s="105">
        <v>6.75</v>
      </c>
      <c r="I39" s="246"/>
      <c r="J39" s="228">
        <v>7.2</v>
      </c>
      <c r="L39" s="105"/>
      <c r="M39" s="105"/>
      <c r="N39" s="105"/>
      <c r="O39" s="105"/>
      <c r="P39" s="108">
        <f>AVERAGE(I39:O39)</f>
        <v>7.2</v>
      </c>
      <c r="Q39" s="105" t="e">
        <f>SQRT(VAR(I39:O39))</f>
        <v>#DIV/0!</v>
      </c>
      <c r="R39" s="105">
        <f>COUNT(I39:O39)</f>
        <v>1</v>
      </c>
      <c r="U39" s="369"/>
      <c r="W39" s="228">
        <v>7.34</v>
      </c>
      <c r="Z39" s="105"/>
      <c r="AA39" s="105"/>
      <c r="AB39" s="105"/>
      <c r="AC39" s="108">
        <f>AVERAGE(V39:AB39)</f>
        <v>7.34</v>
      </c>
      <c r="AD39" s="105" t="e">
        <f>SQRT(VAR(V39:AB39))</f>
        <v>#DIV/0!</v>
      </c>
      <c r="AE39" s="105">
        <f>COUNT(V39:AB39)</f>
        <v>1</v>
      </c>
    </row>
    <row r="40" spans="1:31" ht="25.5">
      <c r="A40" s="369"/>
      <c r="B40" s="105"/>
      <c r="D40" s="105"/>
      <c r="E40" s="105"/>
      <c r="F40" s="105"/>
      <c r="G40" s="104" t="s">
        <v>117</v>
      </c>
      <c r="H40" s="104">
        <v>0.21</v>
      </c>
      <c r="I40" s="230"/>
      <c r="J40" s="230">
        <v>0.40100000000000002</v>
      </c>
      <c r="K40" s="230"/>
      <c r="L40" s="104"/>
      <c r="M40" s="104"/>
      <c r="N40" s="104"/>
      <c r="O40" s="104"/>
      <c r="P40" s="109">
        <f>AVERAGE(I40:O40)</f>
        <v>0.40100000000000002</v>
      </c>
      <c r="Q40" s="104" t="e">
        <f>SQRT(VAR(I40:O40))</f>
        <v>#DIV/0!</v>
      </c>
      <c r="R40" s="104">
        <f>COUNT(I40:O40)</f>
        <v>1</v>
      </c>
      <c r="U40" s="369"/>
      <c r="V40" s="230"/>
      <c r="W40" s="230">
        <v>0.41399999999999998</v>
      </c>
      <c r="X40" s="230"/>
      <c r="Y40" s="230"/>
      <c r="Z40" s="104"/>
      <c r="AA40" s="104"/>
      <c r="AB40" s="104"/>
      <c r="AC40" s="109">
        <f>AVERAGE(V40:AB40)</f>
        <v>0.41399999999999998</v>
      </c>
      <c r="AD40" s="104" t="e">
        <f>SQRT(VAR(V40:AB40))</f>
        <v>#DIV/0!</v>
      </c>
      <c r="AE40" s="104">
        <f>COUNT(V40:AB40)</f>
        <v>1</v>
      </c>
    </row>
    <row r="41" spans="1:31">
      <c r="A41" s="369"/>
      <c r="P41" s="65"/>
      <c r="U41" s="369"/>
      <c r="AC41" s="65"/>
    </row>
    <row r="42" spans="1:31" s="105" customFormat="1">
      <c r="A42" s="111"/>
      <c r="B42" s="46" t="s">
        <v>57</v>
      </c>
      <c r="C42" s="46"/>
      <c r="D42" s="46"/>
      <c r="E42" s="46"/>
      <c r="F42" s="46"/>
      <c r="G42" s="55"/>
      <c r="H42" s="55"/>
      <c r="I42" s="227"/>
      <c r="J42" s="227"/>
      <c r="K42" s="227"/>
      <c r="L42" s="55"/>
      <c r="M42" s="55"/>
      <c r="N42" s="55"/>
      <c r="O42" s="55"/>
      <c r="P42" s="64"/>
      <c r="Q42" s="55"/>
      <c r="R42" s="55"/>
      <c r="U42" s="369"/>
      <c r="V42" s="227"/>
      <c r="W42" s="227"/>
      <c r="X42" s="227"/>
      <c r="Y42" s="227"/>
      <c r="Z42" s="55"/>
      <c r="AA42" s="55"/>
      <c r="AB42" s="55"/>
      <c r="AC42" s="64"/>
      <c r="AD42" s="55"/>
      <c r="AE42" s="55"/>
    </row>
    <row r="43" spans="1:31" s="105" customFormat="1" ht="38.25">
      <c r="A43" s="111"/>
      <c r="B43" s="54" t="s">
        <v>191</v>
      </c>
      <c r="C43" s="105" t="s">
        <v>428</v>
      </c>
      <c r="D43" s="54" t="s">
        <v>190</v>
      </c>
      <c r="E43" s="54" t="s">
        <v>124</v>
      </c>
      <c r="F43" s="54" t="s">
        <v>185</v>
      </c>
      <c r="G43" s="54" t="s">
        <v>115</v>
      </c>
      <c r="H43" s="54">
        <v>6.75</v>
      </c>
      <c r="I43" s="246"/>
      <c r="J43" s="228"/>
      <c r="K43" s="228"/>
      <c r="L43" s="54"/>
      <c r="M43" s="54"/>
      <c r="N43" s="54"/>
      <c r="O43" s="54"/>
      <c r="P43" s="65" t="e">
        <f>AVERAGE(I43:O43)</f>
        <v>#DIV/0!</v>
      </c>
      <c r="Q43" s="54" t="e">
        <f>SQRT(VAR(I43:O43))</f>
        <v>#DIV/0!</v>
      </c>
      <c r="R43" s="54">
        <f>COUNT(I43:O43)</f>
        <v>0</v>
      </c>
      <c r="U43" s="369"/>
      <c r="V43" s="228"/>
      <c r="W43" s="228"/>
      <c r="X43" s="228"/>
      <c r="Y43" s="228"/>
      <c r="Z43" s="54"/>
      <c r="AA43" s="54"/>
      <c r="AB43" s="54"/>
      <c r="AC43" s="65" t="e">
        <f>AVERAGE(V43:AB43)</f>
        <v>#DIV/0!</v>
      </c>
      <c r="AD43" s="54" t="e">
        <f>SQRT(VAR(V43:AB43))</f>
        <v>#DIV/0!</v>
      </c>
      <c r="AE43" s="54">
        <f>COUNT(V43:AB43)</f>
        <v>0</v>
      </c>
    </row>
    <row r="44" spans="1:31" s="105" customFormat="1" ht="25.5">
      <c r="A44" s="369"/>
      <c r="B44" s="54"/>
      <c r="D44" s="54"/>
      <c r="E44" s="54"/>
      <c r="F44" s="54"/>
      <c r="G44" s="53" t="s">
        <v>117</v>
      </c>
      <c r="H44" s="53">
        <v>0.21</v>
      </c>
      <c r="I44" s="230"/>
      <c r="J44" s="230"/>
      <c r="K44" s="230"/>
      <c r="L44" s="53"/>
      <c r="M44" s="53"/>
      <c r="N44" s="53"/>
      <c r="O44" s="53"/>
      <c r="P44" s="66" t="e">
        <f>AVERAGE(I44:O44)</f>
        <v>#DIV/0!</v>
      </c>
      <c r="Q44" s="53" t="e">
        <f>SQRT(VAR(I44:O44))</f>
        <v>#DIV/0!</v>
      </c>
      <c r="R44" s="53">
        <f>COUNT(I44:O44)</f>
        <v>0</v>
      </c>
      <c r="U44" s="369"/>
      <c r="V44" s="230"/>
      <c r="W44" s="230"/>
      <c r="X44" s="230"/>
      <c r="Y44" s="230"/>
      <c r="Z44" s="53"/>
      <c r="AA44" s="53"/>
      <c r="AB44" s="53"/>
      <c r="AC44" s="66" t="e">
        <f>AVERAGE(V44:AB44)</f>
        <v>#DIV/0!</v>
      </c>
      <c r="AD44" s="53" t="e">
        <f>SQRT(VAR(V44:AB44))</f>
        <v>#DIV/0!</v>
      </c>
      <c r="AE44" s="53">
        <f>COUNT(V44:AB44)</f>
        <v>0</v>
      </c>
    </row>
    <row r="45" spans="1:31">
      <c r="A45" s="369"/>
      <c r="B45" s="105"/>
      <c r="D45" s="105"/>
      <c r="E45" s="105"/>
      <c r="F45" s="105"/>
      <c r="G45" s="105"/>
      <c r="H45" s="105"/>
      <c r="L45" s="105"/>
      <c r="M45" s="105"/>
      <c r="N45" s="105"/>
      <c r="O45" s="105"/>
      <c r="P45" s="105"/>
      <c r="Q45" s="105"/>
      <c r="R45" s="105"/>
      <c r="U45" s="369"/>
      <c r="Z45" s="105"/>
      <c r="AA45" s="105"/>
      <c r="AB45" s="105"/>
      <c r="AC45" s="105"/>
      <c r="AD45" s="105"/>
      <c r="AE45" s="105"/>
    </row>
    <row r="46" spans="1:31" ht="25.5">
      <c r="A46" s="369"/>
      <c r="B46" s="105" t="s">
        <v>191</v>
      </c>
      <c r="C46" s="74" t="s">
        <v>467</v>
      </c>
      <c r="D46" s="74" t="s">
        <v>250</v>
      </c>
      <c r="E46" s="105" t="s">
        <v>124</v>
      </c>
      <c r="F46" s="105" t="s">
        <v>185</v>
      </c>
      <c r="G46" s="105" t="s">
        <v>115</v>
      </c>
      <c r="H46" s="105">
        <v>6.75</v>
      </c>
      <c r="I46" s="246"/>
      <c r="J46" s="229">
        <v>6.98</v>
      </c>
      <c r="L46" s="105"/>
      <c r="M46" s="105"/>
      <c r="N46" s="105"/>
      <c r="O46" s="105"/>
      <c r="P46" s="108">
        <f>AVERAGE(I46:O46)</f>
        <v>6.98</v>
      </c>
      <c r="Q46" s="105" t="e">
        <f>SQRT(VAR(I46:O46))</f>
        <v>#DIV/0!</v>
      </c>
      <c r="R46" s="105">
        <f>COUNT(I46:O46)</f>
        <v>1</v>
      </c>
      <c r="U46" s="369"/>
      <c r="W46" s="229">
        <v>7.59</v>
      </c>
      <c r="Z46" s="105"/>
      <c r="AA46" s="105"/>
      <c r="AB46" s="105"/>
      <c r="AC46" s="108">
        <f>AVERAGE(V46:AB46)</f>
        <v>7.59</v>
      </c>
      <c r="AD46" s="105" t="e">
        <f>SQRT(VAR(V46:AB46))</f>
        <v>#DIV/0!</v>
      </c>
      <c r="AE46" s="105">
        <f>COUNT(V46:AB46)</f>
        <v>1</v>
      </c>
    </row>
    <row r="47" spans="1:31" ht="25.5">
      <c r="A47" s="369"/>
      <c r="B47" s="105"/>
      <c r="D47" s="105"/>
      <c r="E47" s="105"/>
      <c r="F47" s="105"/>
      <c r="G47" s="104" t="s">
        <v>117</v>
      </c>
      <c r="H47" s="104">
        <v>0.21</v>
      </c>
      <c r="I47" s="230"/>
      <c r="J47" s="231">
        <v>0.39800000000000002</v>
      </c>
      <c r="K47" s="230"/>
      <c r="L47" s="104"/>
      <c r="M47" s="104"/>
      <c r="N47" s="104"/>
      <c r="O47" s="104"/>
      <c r="P47" s="109">
        <f>AVERAGE(I47:O47)</f>
        <v>0.39800000000000002</v>
      </c>
      <c r="Q47" s="104" t="e">
        <f>SQRT(VAR(I47:O47))</f>
        <v>#DIV/0!</v>
      </c>
      <c r="R47" s="104">
        <f>COUNT(I47:O47)</f>
        <v>1</v>
      </c>
      <c r="U47" s="369"/>
      <c r="V47" s="230"/>
      <c r="W47" s="231">
        <v>0.47299999999999998</v>
      </c>
      <c r="X47" s="230"/>
      <c r="Y47" s="230"/>
      <c r="Z47" s="104"/>
      <c r="AA47" s="104"/>
      <c r="AB47" s="104"/>
      <c r="AC47" s="109">
        <f>AVERAGE(V47:AB47)</f>
        <v>0.47299999999999998</v>
      </c>
      <c r="AD47" s="104" t="e">
        <f>SQRT(VAR(V47:AB47))</f>
        <v>#DIV/0!</v>
      </c>
      <c r="AE47" s="104">
        <f>COUNT(V47:AB47)</f>
        <v>1</v>
      </c>
    </row>
    <row r="48" spans="1:31">
      <c r="A48" s="369"/>
      <c r="P48" s="65"/>
      <c r="U48" s="369"/>
      <c r="AC48" s="65"/>
    </row>
    <row r="49" spans="1:31" s="105" customFormat="1" ht="25.5">
      <c r="A49" s="369"/>
      <c r="B49" s="105" t="s">
        <v>191</v>
      </c>
      <c r="C49" s="74" t="s">
        <v>466</v>
      </c>
      <c r="D49" s="74" t="s">
        <v>250</v>
      </c>
      <c r="E49" s="74" t="s">
        <v>122</v>
      </c>
      <c r="F49" s="105" t="s">
        <v>185</v>
      </c>
      <c r="G49" s="105" t="s">
        <v>115</v>
      </c>
      <c r="H49" s="105">
        <v>6.75</v>
      </c>
      <c r="I49" s="246"/>
      <c r="J49" s="229">
        <v>7.44</v>
      </c>
      <c r="K49" s="228"/>
      <c r="P49" s="108">
        <f>AVERAGE(I49:O49)</f>
        <v>7.44</v>
      </c>
      <c r="Q49" s="105" t="e">
        <f>SQRT(VAR(I49:O49))</f>
        <v>#DIV/0!</v>
      </c>
      <c r="R49" s="105">
        <f>COUNT(I49:O49)</f>
        <v>1</v>
      </c>
      <c r="U49" s="369"/>
      <c r="V49" s="228"/>
      <c r="W49" s="229">
        <v>7.48</v>
      </c>
      <c r="X49" s="228"/>
      <c r="Y49" s="228"/>
      <c r="AC49" s="108">
        <f>AVERAGE(V49:AB49)</f>
        <v>7.48</v>
      </c>
      <c r="AD49" s="105" t="e">
        <f>SQRT(VAR(V49:AB49))</f>
        <v>#DIV/0!</v>
      </c>
      <c r="AE49" s="105">
        <f t="shared" ref="AE49:AE50" si="0">COUNT(V49:AB49)</f>
        <v>1</v>
      </c>
    </row>
    <row r="50" spans="1:31" s="105" customFormat="1" ht="25.5">
      <c r="A50" s="369"/>
      <c r="G50" s="104" t="s">
        <v>118</v>
      </c>
      <c r="H50" s="104">
        <v>0.21</v>
      </c>
      <c r="I50" s="230"/>
      <c r="J50" s="231">
        <v>0.42399999999999999</v>
      </c>
      <c r="K50" s="230"/>
      <c r="L50" s="104"/>
      <c r="M50" s="104"/>
      <c r="N50" s="104"/>
      <c r="O50" s="104"/>
      <c r="P50" s="109">
        <f>AVERAGE(I50:O50)</f>
        <v>0.42399999999999999</v>
      </c>
      <c r="Q50" s="104" t="e">
        <f>SQRT(VAR(I50:O50))</f>
        <v>#DIV/0!</v>
      </c>
      <c r="R50" s="104">
        <f>COUNT(I50:O50)</f>
        <v>1</v>
      </c>
      <c r="U50" s="369"/>
      <c r="V50" s="230"/>
      <c r="W50" s="231">
        <v>0.432</v>
      </c>
      <c r="X50" s="230"/>
      <c r="Y50" s="230"/>
      <c r="Z50" s="104"/>
      <c r="AA50" s="104"/>
      <c r="AB50" s="104"/>
      <c r="AC50" s="109">
        <f>AVERAGE(V50:AB50)</f>
        <v>0.432</v>
      </c>
      <c r="AD50" s="104" t="e">
        <f>SQRT(VAR(V50:AB50))</f>
        <v>#DIV/0!</v>
      </c>
      <c r="AE50" s="104">
        <f t="shared" si="0"/>
        <v>1</v>
      </c>
    </row>
    <row r="51" spans="1:31">
      <c r="P51" s="65"/>
      <c r="AC51" s="65"/>
    </row>
    <row r="52" spans="1:31">
      <c r="P52" s="65"/>
      <c r="AC52" s="65"/>
    </row>
    <row r="53" spans="1:31">
      <c r="P53" s="65"/>
      <c r="AC53" s="65"/>
    </row>
    <row r="54" spans="1:31">
      <c r="P54" s="65"/>
      <c r="AC54" s="65"/>
    </row>
    <row r="55" spans="1:31">
      <c r="P55" s="65"/>
      <c r="AC55" s="65"/>
    </row>
    <row r="56" spans="1:31">
      <c r="P56" s="65"/>
      <c r="AC56" s="65"/>
    </row>
    <row r="57" spans="1:31">
      <c r="P57" s="65"/>
      <c r="AC57" s="65"/>
    </row>
    <row r="58" spans="1:31">
      <c r="P58" s="65"/>
      <c r="AC58" s="65"/>
    </row>
    <row r="59" spans="1:31">
      <c r="P59" s="65"/>
      <c r="AC59" s="65"/>
    </row>
    <row r="60" spans="1:31">
      <c r="P60" s="65"/>
      <c r="AC60" s="65"/>
    </row>
    <row r="61" spans="1:31">
      <c r="P61" s="65"/>
      <c r="AC61" s="65"/>
    </row>
    <row r="62" spans="1:31">
      <c r="P62" s="65"/>
      <c r="AC62" s="65"/>
    </row>
    <row r="63" spans="1:31">
      <c r="P63" s="65"/>
      <c r="AC63" s="65"/>
    </row>
    <row r="64" spans="1:31">
      <c r="P64" s="65"/>
      <c r="AC64" s="65"/>
    </row>
    <row r="65" spans="16:29">
      <c r="P65" s="65"/>
      <c r="AC65" s="65"/>
    </row>
    <row r="66" spans="16:29">
      <c r="P66" s="65"/>
      <c r="AC66" s="65"/>
    </row>
    <row r="67" spans="16:29">
      <c r="P67" s="65"/>
      <c r="AC67" s="65"/>
    </row>
    <row r="68" spans="16:29">
      <c r="P68" s="65"/>
      <c r="AC68" s="65"/>
    </row>
    <row r="69" spans="16:29">
      <c r="P69" s="65"/>
      <c r="AC69" s="65"/>
    </row>
    <row r="70" spans="16:29">
      <c r="P70" s="65"/>
      <c r="AC70" s="65"/>
    </row>
    <row r="71" spans="16:29">
      <c r="P71" s="65"/>
      <c r="AC71" s="65"/>
    </row>
    <row r="72" spans="16:29">
      <c r="P72" s="65"/>
      <c r="AC72" s="65"/>
    </row>
    <row r="73" spans="16:29">
      <c r="P73" s="65"/>
      <c r="AC73" s="65"/>
    </row>
    <row r="74" spans="16:29">
      <c r="P74" s="65"/>
      <c r="AC74" s="65"/>
    </row>
    <row r="75" spans="16:29">
      <c r="P75" s="65"/>
      <c r="AC75" s="65"/>
    </row>
    <row r="76" spans="16:29">
      <c r="P76" s="65"/>
      <c r="AC76" s="65"/>
    </row>
    <row r="77" spans="16:29">
      <c r="P77" s="65"/>
      <c r="AC77" s="65"/>
    </row>
    <row r="78" spans="16:29">
      <c r="P78" s="65"/>
      <c r="AC78" s="65"/>
    </row>
    <row r="79" spans="16:29">
      <c r="P79" s="65"/>
      <c r="AC79" s="65"/>
    </row>
    <row r="80" spans="16:29">
      <c r="P80" s="65"/>
      <c r="AC80" s="65"/>
    </row>
    <row r="81" spans="16:29">
      <c r="P81" s="65"/>
      <c r="AC81" s="65"/>
    </row>
    <row r="82" spans="16:29">
      <c r="P82" s="65"/>
      <c r="AC82" s="65"/>
    </row>
    <row r="83" spans="16:29">
      <c r="P83" s="65"/>
      <c r="AC83" s="65"/>
    </row>
    <row r="84" spans="16:29">
      <c r="P84" s="65"/>
      <c r="AC84" s="65"/>
    </row>
    <row r="85" spans="16:29">
      <c r="P85" s="65"/>
      <c r="AC85" s="65"/>
    </row>
    <row r="86" spans="16:29">
      <c r="P86" s="65"/>
      <c r="AC86" s="65"/>
    </row>
    <row r="87" spans="16:29">
      <c r="P87" s="65"/>
      <c r="AC87" s="65"/>
    </row>
    <row r="88" spans="16:29">
      <c r="P88" s="65"/>
      <c r="AC88" s="65"/>
    </row>
    <row r="89" spans="16:29">
      <c r="P89" s="65"/>
      <c r="AC89" s="65"/>
    </row>
    <row r="90" spans="16:29">
      <c r="P90" s="65"/>
      <c r="AC90" s="65"/>
    </row>
    <row r="91" spans="16:29">
      <c r="P91" s="65"/>
      <c r="AC91" s="65"/>
    </row>
    <row r="92" spans="16:29">
      <c r="P92" s="65"/>
      <c r="AC92" s="65"/>
    </row>
    <row r="93" spans="16:29">
      <c r="P93" s="65"/>
      <c r="AC93" s="65"/>
    </row>
    <row r="94" spans="16:29">
      <c r="P94" s="65"/>
      <c r="AC94" s="65"/>
    </row>
    <row r="95" spans="16:29">
      <c r="P95" s="65"/>
      <c r="AC95" s="65"/>
    </row>
  </sheetData>
  <mergeCells count="5">
    <mergeCell ref="A32:A41"/>
    <mergeCell ref="G1:H1"/>
    <mergeCell ref="U4:U9"/>
    <mergeCell ref="A44:A50"/>
    <mergeCell ref="U32:U50"/>
  </mergeCells>
  <phoneticPr fontId="32"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3"/>
  <sheetViews>
    <sheetView zoomScaleNormal="100" workbookViewId="0">
      <pane xSplit="9" ySplit="2" topLeftCell="T108" activePane="bottomRight" state="frozen"/>
      <selection pane="topRight" activeCell="G1" sqref="G1"/>
      <selection pane="bottomLeft" activeCell="A3" sqref="A3"/>
      <selection pane="bottomRight" activeCell="AC3" sqref="AC3"/>
    </sheetView>
  </sheetViews>
  <sheetFormatPr defaultColWidth="9.42578125" defaultRowHeight="12.75"/>
  <cols>
    <col min="1" max="1" width="10.42578125" style="105" customWidth="1"/>
    <col min="2" max="2" width="5.140625" style="105" customWidth="1"/>
    <col min="3" max="3" width="21.28515625" style="105" customWidth="1"/>
    <col min="4" max="4" width="17" style="105" customWidth="1"/>
    <col min="5" max="5" width="11.42578125" style="105" customWidth="1"/>
    <col min="6" max="6" width="9.140625" style="105" customWidth="1"/>
    <col min="7" max="7" width="10" style="105" customWidth="1"/>
    <col min="8" max="8" width="14.42578125" style="105" customWidth="1"/>
    <col min="9" max="9" width="6.42578125" style="105" customWidth="1"/>
    <col min="10" max="15" width="9.42578125" style="228" customWidth="1"/>
    <col min="16" max="16" width="9.42578125" style="105" customWidth="1"/>
    <col min="17" max="17" width="9.42578125" style="108" customWidth="1"/>
    <col min="18" max="20" width="9.42578125" style="105"/>
    <col min="21" max="21" width="10.5703125" style="105" customWidth="1"/>
    <col min="22" max="28" width="9.42578125" style="228" customWidth="1"/>
    <col min="29" max="29" width="9.42578125" style="105" customWidth="1"/>
    <col min="30" max="30" width="9.42578125" style="108" customWidth="1"/>
    <col min="31" max="16384" width="9.42578125" style="105"/>
  </cols>
  <sheetData>
    <row r="1" spans="1:31" s="62" customFormat="1" ht="26.25" customHeight="1" thickBot="1">
      <c r="A1" s="61" t="s">
        <v>141</v>
      </c>
      <c r="B1" s="62" t="s">
        <v>172</v>
      </c>
      <c r="C1" s="75" t="s">
        <v>425</v>
      </c>
      <c r="D1" s="62" t="s">
        <v>106</v>
      </c>
      <c r="E1" s="62" t="s">
        <v>107</v>
      </c>
      <c r="F1" s="62" t="s">
        <v>108</v>
      </c>
      <c r="G1" s="62" t="s">
        <v>588</v>
      </c>
      <c r="H1" s="370" t="s">
        <v>109</v>
      </c>
      <c r="I1" s="370"/>
      <c r="J1" s="224" t="s">
        <v>38</v>
      </c>
      <c r="K1" s="225" t="s">
        <v>224</v>
      </c>
      <c r="L1" s="224" t="s">
        <v>283</v>
      </c>
      <c r="M1" s="224" t="s">
        <v>319</v>
      </c>
      <c r="N1" s="225" t="s">
        <v>360</v>
      </c>
      <c r="O1" s="224" t="s">
        <v>308</v>
      </c>
      <c r="P1" s="62" t="s">
        <v>110</v>
      </c>
      <c r="Q1" s="254" t="s">
        <v>111</v>
      </c>
      <c r="R1" s="62" t="s">
        <v>112</v>
      </c>
      <c r="U1" s="61" t="s">
        <v>142</v>
      </c>
      <c r="V1" s="224" t="str">
        <f>J1</f>
        <v>Huawei</v>
      </c>
      <c r="W1" s="225" t="s">
        <v>224</v>
      </c>
      <c r="X1" s="224" t="str">
        <f>L1</f>
        <v>CAICT</v>
      </c>
      <c r="Y1" s="224" t="str">
        <f>M1</f>
        <v>CMCC</v>
      </c>
      <c r="Z1" s="225" t="s">
        <v>360</v>
      </c>
      <c r="AA1" s="224" t="s">
        <v>375</v>
      </c>
      <c r="AB1" s="224" t="s">
        <v>308</v>
      </c>
      <c r="AC1" s="62" t="s">
        <v>110</v>
      </c>
      <c r="AD1" s="254" t="s">
        <v>111</v>
      </c>
      <c r="AE1" s="62" t="s">
        <v>112</v>
      </c>
    </row>
    <row r="2" spans="1:31" ht="13.35" customHeight="1">
      <c r="A2" s="367" t="s">
        <v>113</v>
      </c>
      <c r="B2" s="46" t="s">
        <v>39</v>
      </c>
      <c r="C2" s="46"/>
      <c r="D2" s="46"/>
      <c r="E2" s="46"/>
      <c r="F2" s="46"/>
      <c r="G2" s="46"/>
      <c r="H2" s="46"/>
      <c r="I2" s="46"/>
      <c r="J2" s="227"/>
      <c r="K2" s="227"/>
      <c r="L2" s="227"/>
      <c r="M2" s="227"/>
      <c r="N2" s="227"/>
      <c r="O2" s="227"/>
      <c r="P2" s="64"/>
      <c r="Q2" s="64"/>
      <c r="R2" s="55"/>
      <c r="U2" s="72" t="s">
        <v>113</v>
      </c>
      <c r="V2" s="227"/>
      <c r="W2" s="227"/>
      <c r="X2" s="227"/>
      <c r="Y2" s="227"/>
      <c r="Z2" s="227"/>
      <c r="AA2" s="227"/>
      <c r="AB2" s="227"/>
      <c r="AC2" s="64"/>
      <c r="AD2" s="64"/>
      <c r="AE2" s="55"/>
    </row>
    <row r="3" spans="1:31" ht="25.5">
      <c r="A3" s="368"/>
      <c r="B3" s="105" t="s">
        <v>173</v>
      </c>
      <c r="C3" s="105" t="s">
        <v>426</v>
      </c>
      <c r="D3" s="105" t="s">
        <v>177</v>
      </c>
      <c r="E3" s="105" t="s">
        <v>114</v>
      </c>
      <c r="G3" s="105">
        <v>10</v>
      </c>
      <c r="H3" s="105" t="s">
        <v>115</v>
      </c>
      <c r="I3" s="105">
        <v>9</v>
      </c>
      <c r="J3" s="228">
        <v>11.287000000000001</v>
      </c>
      <c r="K3" s="229">
        <v>12.924857621440538</v>
      </c>
      <c r="L3" s="228">
        <v>11.085800000000001</v>
      </c>
      <c r="O3" s="228">
        <v>10.41</v>
      </c>
      <c r="P3" s="108">
        <f t="shared" ref="P3:P8" si="0">AVERAGE(J3:O3)</f>
        <v>11.426914405360133</v>
      </c>
      <c r="Q3" s="108">
        <f t="shared" ref="Q3:Q8" si="1">SQRT(VAR(J3:O3))</f>
        <v>1.0667526837403527</v>
      </c>
      <c r="R3" s="105">
        <f t="shared" ref="R3:R8" si="2">COUNT(J3:O3)</f>
        <v>4</v>
      </c>
      <c r="U3" s="113"/>
      <c r="V3" s="228">
        <v>11.307</v>
      </c>
      <c r="W3" s="229">
        <v>13.036471245114463</v>
      </c>
      <c r="Z3" s="228">
        <v>9.23</v>
      </c>
      <c r="AB3" s="228">
        <v>10.98</v>
      </c>
      <c r="AC3" s="108">
        <f t="shared" ref="AC3:AC8" si="3">AVERAGE(V3:AB3)</f>
        <v>11.138367811278616</v>
      </c>
      <c r="AD3" s="108">
        <f t="shared" ref="AD3:AD8" si="4">SQRT(VAR(V3:AB3))</f>
        <v>1.5597202235642402</v>
      </c>
      <c r="AE3" s="105">
        <f t="shared" ref="AE3:AE8" si="5">COUNT(V3:AB3)</f>
        <v>4</v>
      </c>
    </row>
    <row r="4" spans="1:31" ht="25.5">
      <c r="A4" s="368"/>
      <c r="G4" s="105">
        <v>20</v>
      </c>
      <c r="H4" s="105" t="s">
        <v>115</v>
      </c>
      <c r="I4" s="105">
        <v>9</v>
      </c>
      <c r="J4" s="228">
        <f>J3*DL_OH!$W$10</f>
        <v>12.805738410574335</v>
      </c>
      <c r="K4" s="228">
        <f>K3*DL_OH!$W$9</f>
        <v>14.60657621440536</v>
      </c>
      <c r="L4" s="228">
        <f>L3*DL_OH!$W$11</f>
        <v>12.469968588543615</v>
      </c>
      <c r="O4" s="228">
        <f>O3*DL_OH!$W$12</f>
        <v>11.675230871509731</v>
      </c>
      <c r="P4" s="108">
        <f t="shared" si="0"/>
        <v>12.88937852125826</v>
      </c>
      <c r="Q4" s="108">
        <f t="shared" si="1"/>
        <v>1.239061848404472</v>
      </c>
      <c r="R4" s="105">
        <f t="shared" si="2"/>
        <v>4</v>
      </c>
      <c r="U4" s="113"/>
      <c r="V4" s="228">
        <f>V3*DL_OH!$W$10</f>
        <v>12.828429539148047</v>
      </c>
      <c r="W4" s="228">
        <f>W3*DL_OH!$W$9</f>
        <v>14.732712451144611</v>
      </c>
      <c r="Z4" s="228">
        <f>Z3*DL_OH!$W$8</f>
        <v>10.418540183771196</v>
      </c>
      <c r="AB4" s="228">
        <f>AB3*DL_OH!$W$12</f>
        <v>12.314508642572225</v>
      </c>
      <c r="AC4" s="108">
        <f t="shared" si="3"/>
        <v>12.573547704159019</v>
      </c>
      <c r="AD4" s="108">
        <f t="shared" si="4"/>
        <v>1.7737075860833258</v>
      </c>
      <c r="AE4" s="105">
        <f t="shared" si="5"/>
        <v>4</v>
      </c>
    </row>
    <row r="5" spans="1:31" ht="25.5">
      <c r="A5" s="368"/>
      <c r="G5" s="105">
        <v>40</v>
      </c>
      <c r="H5" s="105" t="s">
        <v>115</v>
      </c>
      <c r="I5" s="105">
        <v>9</v>
      </c>
      <c r="J5" s="228">
        <f>J3*DL_OH!$AA$10</f>
        <v>13.709703070424826</v>
      </c>
      <c r="K5" s="228">
        <f>K3*DL_OH!$AA$9</f>
        <v>15.611663316582916</v>
      </c>
      <c r="L5" s="228">
        <f>L3*DL_OH!$AA$11</f>
        <v>13.301092306252341</v>
      </c>
      <c r="O5" s="228">
        <f>O3*DL_OH!$AA$12</f>
        <v>12.437452254321286</v>
      </c>
      <c r="P5" s="108">
        <f t="shared" si="0"/>
        <v>13.764977736895343</v>
      </c>
      <c r="Q5" s="108">
        <f t="shared" si="1"/>
        <v>1.3404994739058749</v>
      </c>
      <c r="R5" s="105">
        <f t="shared" si="2"/>
        <v>4</v>
      </c>
      <c r="U5" s="113"/>
      <c r="V5" s="228">
        <f>V3*DL_OH!$AA$10</f>
        <v>13.733995979205591</v>
      </c>
      <c r="W5" s="228">
        <f>W3*DL_OH!$AA$9</f>
        <v>15.746479061976551</v>
      </c>
      <c r="Z5" s="228">
        <f>Z3*DL_OH!$AA$8</f>
        <v>11.12957389672577</v>
      </c>
      <c r="AB5" s="228">
        <f>AB3*DL_OH!$AA$12</f>
        <v>13.118465490148678</v>
      </c>
      <c r="AC5" s="108">
        <f t="shared" si="3"/>
        <v>13.432128607014148</v>
      </c>
      <c r="AD5" s="108">
        <f t="shared" si="4"/>
        <v>1.9015331256235879</v>
      </c>
      <c r="AE5" s="105">
        <f t="shared" si="5"/>
        <v>4</v>
      </c>
    </row>
    <row r="6" spans="1:31" ht="25.5">
      <c r="A6" s="368"/>
      <c r="G6" s="105">
        <v>10</v>
      </c>
      <c r="H6" s="104" t="s">
        <v>117</v>
      </c>
      <c r="I6" s="104">
        <v>0.3</v>
      </c>
      <c r="J6" s="230">
        <v>0.35599999999999998</v>
      </c>
      <c r="K6" s="231">
        <v>0.49109994416527086</v>
      </c>
      <c r="L6" s="230">
        <v>0.33460000000000001</v>
      </c>
      <c r="M6" s="230"/>
      <c r="N6" s="232"/>
      <c r="O6" s="230">
        <v>0.3</v>
      </c>
      <c r="P6" s="109">
        <f t="shared" si="0"/>
        <v>0.37042498604131774</v>
      </c>
      <c r="Q6" s="109">
        <f t="shared" si="1"/>
        <v>8.3693157873051066E-2</v>
      </c>
      <c r="R6" s="104">
        <f t="shared" si="2"/>
        <v>4</v>
      </c>
      <c r="U6" s="113"/>
      <c r="V6" s="230">
        <v>0.34399999999999997</v>
      </c>
      <c r="W6" s="231">
        <v>0.51342266890005595</v>
      </c>
      <c r="X6" s="230"/>
      <c r="Y6" s="230"/>
      <c r="Z6" s="230">
        <v>0.33</v>
      </c>
      <c r="AA6" s="230"/>
      <c r="AB6" s="230">
        <v>0.34799999999999998</v>
      </c>
      <c r="AC6" s="109">
        <f t="shared" si="3"/>
        <v>0.38385566722501396</v>
      </c>
      <c r="AD6" s="109">
        <f t="shared" si="4"/>
        <v>8.6722053899058932E-2</v>
      </c>
      <c r="AE6" s="104">
        <f t="shared" si="5"/>
        <v>4</v>
      </c>
    </row>
    <row r="7" spans="1:31" ht="25.5">
      <c r="A7" s="368"/>
      <c r="G7" s="105">
        <v>20</v>
      </c>
      <c r="H7" s="104" t="s">
        <v>117</v>
      </c>
      <c r="I7" s="104">
        <v>0.3</v>
      </c>
      <c r="J7" s="230">
        <f>J6*DL_OH!$W$10</f>
        <v>0.40390208861207255</v>
      </c>
      <c r="K7" s="230">
        <f>K6*DL_OH!$W$9</f>
        <v>0.55499944165270798</v>
      </c>
      <c r="L7" s="230">
        <f>L6*DL_OH!$W$11</f>
        <v>0.37637802321228003</v>
      </c>
      <c r="M7" s="230"/>
      <c r="N7" s="230"/>
      <c r="O7" s="230">
        <f>O6*DL_OH!$W$12</f>
        <v>0.33646198476973288</v>
      </c>
      <c r="P7" s="109">
        <f t="shared" si="0"/>
        <v>0.41793538456169832</v>
      </c>
      <c r="Q7" s="109">
        <f t="shared" si="1"/>
        <v>9.5478476278592156E-2</v>
      </c>
      <c r="R7" s="104">
        <f t="shared" si="2"/>
        <v>4</v>
      </c>
      <c r="U7" s="113"/>
      <c r="V7" s="230">
        <f>V6*DL_OH!$W$10</f>
        <v>0.3902874114678454</v>
      </c>
      <c r="W7" s="230">
        <f>W6*DL_OH!$W$9</f>
        <v>0.5802266890005584</v>
      </c>
      <c r="X7" s="230"/>
      <c r="Y7" s="230"/>
      <c r="Z7" s="230">
        <f>Z6*DL_OH!$W$8</f>
        <v>0.37249385272421393</v>
      </c>
      <c r="AA7" s="230"/>
      <c r="AB7" s="230">
        <f>AB6*DL_OH!$W$12</f>
        <v>0.39029590233289013</v>
      </c>
      <c r="AC7" s="109">
        <f t="shared" si="3"/>
        <v>0.43332596388137701</v>
      </c>
      <c r="AD7" s="109">
        <f t="shared" si="4"/>
        <v>9.8292542916705999E-2</v>
      </c>
      <c r="AE7" s="104">
        <f t="shared" si="5"/>
        <v>4</v>
      </c>
    </row>
    <row r="8" spans="1:31" ht="25.5">
      <c r="A8" s="368"/>
      <c r="G8" s="105">
        <v>40</v>
      </c>
      <c r="H8" s="104" t="s">
        <v>117</v>
      </c>
      <c r="I8" s="104">
        <v>0.3</v>
      </c>
      <c r="J8" s="230">
        <f>J6*DL_OH!$AA$10</f>
        <v>0.43241377629762007</v>
      </c>
      <c r="K8" s="230">
        <f>K6*DL_OH!$AA$9</f>
        <v>0.59318927973199342</v>
      </c>
      <c r="L8" s="230">
        <f>L6*DL_OH!$AA$11</f>
        <v>0.40146362785473605</v>
      </c>
      <c r="M8" s="230"/>
      <c r="N8" s="230"/>
      <c r="O8" s="230">
        <f>O6*DL_OH!$AA$12</f>
        <v>0.3584280188565212</v>
      </c>
      <c r="P8" s="109">
        <f t="shared" si="0"/>
        <v>0.44637367568521769</v>
      </c>
      <c r="Q8" s="109">
        <f t="shared" si="1"/>
        <v>0.10247121763971644</v>
      </c>
      <c r="R8" s="104">
        <f t="shared" si="2"/>
        <v>4</v>
      </c>
      <c r="U8" s="113"/>
      <c r="V8" s="230">
        <f>V6*DL_OH!$AA$10</f>
        <v>0.41783803102916095</v>
      </c>
      <c r="W8" s="230">
        <f>W6*DL_OH!$AA$9</f>
        <v>0.62015242881072041</v>
      </c>
      <c r="X8" s="230"/>
      <c r="Y8" s="230"/>
      <c r="Z8" s="230">
        <f>Z6*DL_OH!$AA$8</f>
        <v>0.39791542642681516</v>
      </c>
      <c r="AA8" s="230"/>
      <c r="AB8" s="230">
        <f>AB6*DL_OH!$AA$12</f>
        <v>0.41577650187356457</v>
      </c>
      <c r="AC8" s="109">
        <f t="shared" si="3"/>
        <v>0.46292059703506533</v>
      </c>
      <c r="AD8" s="109">
        <f t="shared" si="4"/>
        <v>0.10520222525467922</v>
      </c>
      <c r="AE8" s="104">
        <f t="shared" si="5"/>
        <v>4</v>
      </c>
    </row>
    <row r="9" spans="1:31">
      <c r="A9" s="368"/>
      <c r="P9" s="108"/>
      <c r="U9" s="113"/>
      <c r="AC9" s="108"/>
    </row>
    <row r="10" spans="1:31" ht="25.5">
      <c r="A10" s="368"/>
      <c r="B10" s="105" t="s">
        <v>173</v>
      </c>
      <c r="C10" s="105" t="s">
        <v>426</v>
      </c>
      <c r="D10" s="105" t="s">
        <v>433</v>
      </c>
      <c r="E10" s="105" t="s">
        <v>114</v>
      </c>
      <c r="G10" s="105">
        <v>10</v>
      </c>
      <c r="H10" s="105" t="s">
        <v>115</v>
      </c>
      <c r="I10" s="105">
        <v>9</v>
      </c>
      <c r="K10" s="229"/>
      <c r="P10" s="108" t="e">
        <f t="shared" ref="P10:P15" si="6">AVERAGE(J10:O10)</f>
        <v>#DIV/0!</v>
      </c>
      <c r="Q10" s="108" t="e">
        <f t="shared" ref="Q10:Q15" si="7">SQRT(VAR(J10:O10))</f>
        <v>#DIV/0!</v>
      </c>
      <c r="R10" s="105">
        <f t="shared" ref="R10:R15" si="8">COUNT(J10:O10)</f>
        <v>0</v>
      </c>
      <c r="U10" s="113"/>
      <c r="W10" s="229"/>
      <c r="AC10" s="108" t="e">
        <f t="shared" ref="AC10:AC15" si="9">AVERAGE(V10:AB10)</f>
        <v>#DIV/0!</v>
      </c>
      <c r="AD10" s="108" t="e">
        <f t="shared" ref="AD10:AD15" si="10">SQRT(VAR(V10:AB10))</f>
        <v>#DIV/0!</v>
      </c>
      <c r="AE10" s="105">
        <f t="shared" ref="AE10:AE15" si="11">COUNT(V10:AB10)</f>
        <v>0</v>
      </c>
    </row>
    <row r="11" spans="1:31" ht="25.5">
      <c r="A11" s="368"/>
      <c r="G11" s="105">
        <v>20</v>
      </c>
      <c r="H11" s="105" t="s">
        <v>115</v>
      </c>
      <c r="I11" s="105">
        <v>9</v>
      </c>
      <c r="K11" s="229"/>
      <c r="P11" s="108" t="e">
        <f t="shared" si="6"/>
        <v>#DIV/0!</v>
      </c>
      <c r="Q11" s="108" t="e">
        <f t="shared" si="7"/>
        <v>#DIV/0!</v>
      </c>
      <c r="R11" s="105">
        <f t="shared" si="8"/>
        <v>0</v>
      </c>
      <c r="U11" s="113"/>
      <c r="W11" s="229"/>
      <c r="AC11" s="108" t="e">
        <f t="shared" si="9"/>
        <v>#DIV/0!</v>
      </c>
      <c r="AD11" s="108" t="e">
        <f t="shared" si="10"/>
        <v>#DIV/0!</v>
      </c>
      <c r="AE11" s="105">
        <f t="shared" si="11"/>
        <v>0</v>
      </c>
    </row>
    <row r="12" spans="1:31" ht="25.5">
      <c r="A12" s="368"/>
      <c r="G12" s="105">
        <v>40</v>
      </c>
      <c r="H12" s="105" t="s">
        <v>115</v>
      </c>
      <c r="I12" s="105">
        <v>9</v>
      </c>
      <c r="K12" s="229"/>
      <c r="P12" s="108" t="e">
        <f t="shared" si="6"/>
        <v>#DIV/0!</v>
      </c>
      <c r="Q12" s="108" t="e">
        <f t="shared" si="7"/>
        <v>#DIV/0!</v>
      </c>
      <c r="R12" s="105">
        <f t="shared" si="8"/>
        <v>0</v>
      </c>
      <c r="U12" s="113"/>
      <c r="W12" s="229"/>
      <c r="AC12" s="108" t="e">
        <f t="shared" si="9"/>
        <v>#DIV/0!</v>
      </c>
      <c r="AD12" s="108" t="e">
        <f t="shared" si="10"/>
        <v>#DIV/0!</v>
      </c>
      <c r="AE12" s="105">
        <f t="shared" si="11"/>
        <v>0</v>
      </c>
    </row>
    <row r="13" spans="1:31" ht="25.5">
      <c r="A13" s="368"/>
      <c r="G13" s="105">
        <v>10</v>
      </c>
      <c r="H13" s="104" t="s">
        <v>117</v>
      </c>
      <c r="I13" s="104">
        <v>0.3</v>
      </c>
      <c r="J13" s="230"/>
      <c r="K13" s="231"/>
      <c r="L13" s="230"/>
      <c r="M13" s="230"/>
      <c r="N13" s="232"/>
      <c r="O13" s="230"/>
      <c r="P13" s="109" t="e">
        <f t="shared" si="6"/>
        <v>#DIV/0!</v>
      </c>
      <c r="Q13" s="109" t="e">
        <f t="shared" si="7"/>
        <v>#DIV/0!</v>
      </c>
      <c r="R13" s="104">
        <f t="shared" si="8"/>
        <v>0</v>
      </c>
      <c r="U13" s="113"/>
      <c r="V13" s="230"/>
      <c r="W13" s="231"/>
      <c r="X13" s="230"/>
      <c r="Y13" s="230"/>
      <c r="Z13" s="232"/>
      <c r="AA13" s="230"/>
      <c r="AB13" s="230"/>
      <c r="AC13" s="109" t="e">
        <f t="shared" si="9"/>
        <v>#DIV/0!</v>
      </c>
      <c r="AD13" s="109" t="e">
        <f t="shared" si="10"/>
        <v>#DIV/0!</v>
      </c>
      <c r="AE13" s="104">
        <f t="shared" si="11"/>
        <v>0</v>
      </c>
    </row>
    <row r="14" spans="1:31" ht="25.5">
      <c r="A14" s="368"/>
      <c r="G14" s="105">
        <v>20</v>
      </c>
      <c r="H14" s="104" t="s">
        <v>117</v>
      </c>
      <c r="I14" s="104">
        <v>0.3</v>
      </c>
      <c r="J14" s="230"/>
      <c r="K14" s="231"/>
      <c r="L14" s="230"/>
      <c r="M14" s="230"/>
      <c r="N14" s="230"/>
      <c r="O14" s="230"/>
      <c r="P14" s="109" t="e">
        <f t="shared" si="6"/>
        <v>#DIV/0!</v>
      </c>
      <c r="Q14" s="109" t="e">
        <f t="shared" si="7"/>
        <v>#DIV/0!</v>
      </c>
      <c r="R14" s="104">
        <f t="shared" si="8"/>
        <v>0</v>
      </c>
      <c r="U14" s="113"/>
      <c r="V14" s="230"/>
      <c r="W14" s="231"/>
      <c r="X14" s="230"/>
      <c r="Y14" s="230"/>
      <c r="Z14" s="232"/>
      <c r="AA14" s="230"/>
      <c r="AB14" s="230"/>
      <c r="AC14" s="109" t="e">
        <f t="shared" si="9"/>
        <v>#DIV/0!</v>
      </c>
      <c r="AD14" s="109" t="e">
        <f t="shared" si="10"/>
        <v>#DIV/0!</v>
      </c>
      <c r="AE14" s="104">
        <f t="shared" si="11"/>
        <v>0</v>
      </c>
    </row>
    <row r="15" spans="1:31" ht="25.5">
      <c r="A15" s="368"/>
      <c r="G15" s="105">
        <v>40</v>
      </c>
      <c r="H15" s="104" t="s">
        <v>117</v>
      </c>
      <c r="I15" s="104">
        <v>0.3</v>
      </c>
      <c r="J15" s="230"/>
      <c r="K15" s="231"/>
      <c r="L15" s="230"/>
      <c r="M15" s="230"/>
      <c r="N15" s="230"/>
      <c r="O15" s="230"/>
      <c r="P15" s="109" t="e">
        <f t="shared" si="6"/>
        <v>#DIV/0!</v>
      </c>
      <c r="Q15" s="109" t="e">
        <f t="shared" si="7"/>
        <v>#DIV/0!</v>
      </c>
      <c r="R15" s="104">
        <f t="shared" si="8"/>
        <v>0</v>
      </c>
      <c r="U15" s="113"/>
      <c r="V15" s="230"/>
      <c r="W15" s="231"/>
      <c r="X15" s="230"/>
      <c r="Y15" s="230"/>
      <c r="Z15" s="232"/>
      <c r="AA15" s="230"/>
      <c r="AB15" s="230"/>
      <c r="AC15" s="109" t="e">
        <f t="shared" si="9"/>
        <v>#DIV/0!</v>
      </c>
      <c r="AD15" s="109" t="e">
        <f t="shared" si="10"/>
        <v>#DIV/0!</v>
      </c>
      <c r="AE15" s="104">
        <f t="shared" si="11"/>
        <v>0</v>
      </c>
    </row>
    <row r="16" spans="1:31">
      <c r="A16" s="368"/>
      <c r="P16" s="108"/>
      <c r="U16" s="113"/>
      <c r="AC16" s="108"/>
    </row>
    <row r="17" spans="1:31" ht="25.5">
      <c r="A17" s="368"/>
      <c r="B17" s="105" t="s">
        <v>173</v>
      </c>
      <c r="C17" s="105" t="s">
        <v>426</v>
      </c>
      <c r="D17" s="105" t="s">
        <v>427</v>
      </c>
      <c r="E17" s="105" t="s">
        <v>114</v>
      </c>
      <c r="G17" s="105">
        <v>10</v>
      </c>
      <c r="H17" s="105" t="s">
        <v>115</v>
      </c>
      <c r="I17" s="105">
        <v>9</v>
      </c>
      <c r="P17" s="108" t="e">
        <f t="shared" ref="P17:P22" si="12">AVERAGE(J17:O17)</f>
        <v>#DIV/0!</v>
      </c>
      <c r="Q17" s="108" t="e">
        <f t="shared" ref="Q17:Q22" si="13">SQRT(VAR(J17:O17))</f>
        <v>#DIV/0!</v>
      </c>
      <c r="R17" s="105">
        <f t="shared" ref="R17:R22" si="14">COUNT(J17:O17)</f>
        <v>0</v>
      </c>
      <c r="U17" s="113"/>
      <c r="AC17" s="108" t="e">
        <f t="shared" ref="AC17:AC22" si="15">AVERAGE(V17:AB17)</f>
        <v>#DIV/0!</v>
      </c>
      <c r="AD17" s="108" t="e">
        <f t="shared" ref="AD17:AD22" si="16">SQRT(VAR(V17:AB17))</f>
        <v>#DIV/0!</v>
      </c>
      <c r="AE17" s="105">
        <f t="shared" ref="AE17:AE22" si="17">COUNT(V17:AB17)</f>
        <v>0</v>
      </c>
    </row>
    <row r="18" spans="1:31" ht="25.5">
      <c r="A18" s="368"/>
      <c r="G18" s="105">
        <v>20</v>
      </c>
      <c r="H18" s="105" t="s">
        <v>115</v>
      </c>
      <c r="I18" s="105">
        <v>9</v>
      </c>
      <c r="P18" s="108" t="e">
        <f t="shared" si="12"/>
        <v>#DIV/0!</v>
      </c>
      <c r="Q18" s="108" t="e">
        <f t="shared" si="13"/>
        <v>#DIV/0!</v>
      </c>
      <c r="R18" s="105">
        <f t="shared" si="14"/>
        <v>0</v>
      </c>
      <c r="U18" s="113"/>
      <c r="AC18" s="108" t="e">
        <f t="shared" si="15"/>
        <v>#DIV/0!</v>
      </c>
      <c r="AD18" s="108" t="e">
        <f t="shared" si="16"/>
        <v>#DIV/0!</v>
      </c>
      <c r="AE18" s="105">
        <f t="shared" si="17"/>
        <v>0</v>
      </c>
    </row>
    <row r="19" spans="1:31" ht="25.5">
      <c r="A19" s="368"/>
      <c r="G19" s="105">
        <v>40</v>
      </c>
      <c r="H19" s="105" t="s">
        <v>115</v>
      </c>
      <c r="I19" s="105">
        <v>9</v>
      </c>
      <c r="P19" s="108" t="e">
        <f t="shared" si="12"/>
        <v>#DIV/0!</v>
      </c>
      <c r="Q19" s="108" t="e">
        <f t="shared" si="13"/>
        <v>#DIV/0!</v>
      </c>
      <c r="R19" s="105">
        <f t="shared" si="14"/>
        <v>0</v>
      </c>
      <c r="U19" s="113"/>
      <c r="AC19" s="108" t="e">
        <f t="shared" si="15"/>
        <v>#DIV/0!</v>
      </c>
      <c r="AD19" s="108" t="e">
        <f t="shared" si="16"/>
        <v>#DIV/0!</v>
      </c>
      <c r="AE19" s="105">
        <f t="shared" si="17"/>
        <v>0</v>
      </c>
    </row>
    <row r="20" spans="1:31" ht="25.5">
      <c r="A20" s="368"/>
      <c r="G20" s="105">
        <v>10</v>
      </c>
      <c r="H20" s="104" t="s">
        <v>117</v>
      </c>
      <c r="I20" s="104">
        <v>0.3</v>
      </c>
      <c r="J20" s="230"/>
      <c r="K20" s="230"/>
      <c r="L20" s="230"/>
      <c r="M20" s="230"/>
      <c r="N20" s="230"/>
      <c r="O20" s="230"/>
      <c r="P20" s="109" t="e">
        <f t="shared" si="12"/>
        <v>#DIV/0!</v>
      </c>
      <c r="Q20" s="109" t="e">
        <f t="shared" si="13"/>
        <v>#DIV/0!</v>
      </c>
      <c r="R20" s="104">
        <f t="shared" si="14"/>
        <v>0</v>
      </c>
      <c r="U20" s="113"/>
      <c r="V20" s="230"/>
      <c r="W20" s="230"/>
      <c r="X20" s="230"/>
      <c r="Y20" s="230"/>
      <c r="Z20" s="230"/>
      <c r="AA20" s="230"/>
      <c r="AB20" s="230"/>
      <c r="AC20" s="109" t="e">
        <f t="shared" si="15"/>
        <v>#DIV/0!</v>
      </c>
      <c r="AD20" s="109" t="e">
        <f t="shared" si="16"/>
        <v>#DIV/0!</v>
      </c>
      <c r="AE20" s="104">
        <f t="shared" si="17"/>
        <v>0</v>
      </c>
    </row>
    <row r="21" spans="1:31" ht="25.5">
      <c r="A21" s="368"/>
      <c r="G21" s="105">
        <v>20</v>
      </c>
      <c r="H21" s="104" t="s">
        <v>117</v>
      </c>
      <c r="I21" s="104">
        <v>0.3</v>
      </c>
      <c r="J21" s="230"/>
      <c r="K21" s="230"/>
      <c r="L21" s="230"/>
      <c r="M21" s="230"/>
      <c r="N21" s="230"/>
      <c r="O21" s="230"/>
      <c r="P21" s="109" t="e">
        <f t="shared" si="12"/>
        <v>#DIV/0!</v>
      </c>
      <c r="Q21" s="109" t="e">
        <f t="shared" si="13"/>
        <v>#DIV/0!</v>
      </c>
      <c r="R21" s="104">
        <f t="shared" si="14"/>
        <v>0</v>
      </c>
      <c r="U21" s="113"/>
      <c r="V21" s="230"/>
      <c r="W21" s="230"/>
      <c r="X21" s="230"/>
      <c r="Y21" s="230"/>
      <c r="Z21" s="230"/>
      <c r="AA21" s="230"/>
      <c r="AB21" s="230"/>
      <c r="AC21" s="109" t="e">
        <f t="shared" si="15"/>
        <v>#DIV/0!</v>
      </c>
      <c r="AD21" s="109" t="e">
        <f t="shared" si="16"/>
        <v>#DIV/0!</v>
      </c>
      <c r="AE21" s="104">
        <f t="shared" si="17"/>
        <v>0</v>
      </c>
    </row>
    <row r="22" spans="1:31" ht="25.5">
      <c r="A22" s="368"/>
      <c r="G22" s="105">
        <v>40</v>
      </c>
      <c r="H22" s="104" t="s">
        <v>117</v>
      </c>
      <c r="I22" s="104">
        <v>0.3</v>
      </c>
      <c r="J22" s="230"/>
      <c r="K22" s="230"/>
      <c r="L22" s="230"/>
      <c r="M22" s="230"/>
      <c r="N22" s="230"/>
      <c r="O22" s="230"/>
      <c r="P22" s="109" t="e">
        <f t="shared" si="12"/>
        <v>#DIV/0!</v>
      </c>
      <c r="Q22" s="109" t="e">
        <f t="shared" si="13"/>
        <v>#DIV/0!</v>
      </c>
      <c r="R22" s="104">
        <f t="shared" si="14"/>
        <v>0</v>
      </c>
      <c r="U22" s="113"/>
      <c r="V22" s="230"/>
      <c r="W22" s="230"/>
      <c r="X22" s="230"/>
      <c r="Y22" s="230"/>
      <c r="Z22" s="230"/>
      <c r="AA22" s="230"/>
      <c r="AB22" s="230"/>
      <c r="AC22" s="109" t="e">
        <f t="shared" si="15"/>
        <v>#DIV/0!</v>
      </c>
      <c r="AD22" s="109" t="e">
        <f t="shared" si="16"/>
        <v>#DIV/0!</v>
      </c>
      <c r="AE22" s="104">
        <f t="shared" si="17"/>
        <v>0</v>
      </c>
    </row>
    <row r="23" spans="1:31">
      <c r="A23" s="368"/>
      <c r="P23" s="108"/>
      <c r="U23" s="113"/>
      <c r="AC23" s="108"/>
    </row>
    <row r="24" spans="1:31" ht="25.5">
      <c r="A24" s="368"/>
      <c r="B24" s="105" t="s">
        <v>173</v>
      </c>
      <c r="C24" s="105" t="s">
        <v>426</v>
      </c>
      <c r="D24" s="105" t="s">
        <v>410</v>
      </c>
      <c r="E24" s="105" t="s">
        <v>114</v>
      </c>
      <c r="G24" s="105">
        <v>10</v>
      </c>
      <c r="H24" s="105" t="s">
        <v>115</v>
      </c>
      <c r="I24" s="105">
        <v>9</v>
      </c>
      <c r="P24" s="108" t="e">
        <f t="shared" ref="P24:P29" si="18">AVERAGE(J24:O24)</f>
        <v>#DIV/0!</v>
      </c>
      <c r="Q24" s="108" t="e">
        <f t="shared" ref="Q24:Q29" si="19">SQRT(VAR(J24:O24))</f>
        <v>#DIV/0!</v>
      </c>
      <c r="R24" s="105">
        <f t="shared" ref="R24:R29" si="20">COUNT(J24:O24)</f>
        <v>0</v>
      </c>
      <c r="U24" s="113"/>
      <c r="AC24" s="108" t="e">
        <f t="shared" ref="AC24:AC29" si="21">AVERAGE(V24:AB24)</f>
        <v>#DIV/0!</v>
      </c>
      <c r="AD24" s="108" t="e">
        <f t="shared" ref="AD24:AD29" si="22">SQRT(VAR(V24:AB24))</f>
        <v>#DIV/0!</v>
      </c>
      <c r="AE24" s="105">
        <f t="shared" ref="AE24:AE29" si="23">COUNT(V24:AB24)</f>
        <v>0</v>
      </c>
    </row>
    <row r="25" spans="1:31" ht="25.5">
      <c r="A25" s="368"/>
      <c r="G25" s="105">
        <v>20</v>
      </c>
      <c r="H25" s="105" t="s">
        <v>115</v>
      </c>
      <c r="I25" s="105">
        <v>9</v>
      </c>
      <c r="P25" s="108" t="e">
        <f t="shared" si="18"/>
        <v>#DIV/0!</v>
      </c>
      <c r="Q25" s="108" t="e">
        <f t="shared" si="19"/>
        <v>#DIV/0!</v>
      </c>
      <c r="R25" s="105">
        <f t="shared" si="20"/>
        <v>0</v>
      </c>
      <c r="U25" s="113"/>
      <c r="AC25" s="108" t="e">
        <f t="shared" si="21"/>
        <v>#DIV/0!</v>
      </c>
      <c r="AD25" s="108" t="e">
        <f t="shared" si="22"/>
        <v>#DIV/0!</v>
      </c>
      <c r="AE25" s="105">
        <f t="shared" si="23"/>
        <v>0</v>
      </c>
    </row>
    <row r="26" spans="1:31" ht="25.5">
      <c r="A26" s="368"/>
      <c r="G26" s="105">
        <v>40</v>
      </c>
      <c r="H26" s="105" t="s">
        <v>115</v>
      </c>
      <c r="I26" s="105">
        <v>9</v>
      </c>
      <c r="P26" s="108" t="e">
        <f t="shared" si="18"/>
        <v>#DIV/0!</v>
      </c>
      <c r="Q26" s="108" t="e">
        <f t="shared" si="19"/>
        <v>#DIV/0!</v>
      </c>
      <c r="R26" s="105">
        <f t="shared" si="20"/>
        <v>0</v>
      </c>
      <c r="U26" s="113"/>
      <c r="AC26" s="108" t="e">
        <f t="shared" si="21"/>
        <v>#DIV/0!</v>
      </c>
      <c r="AD26" s="108" t="e">
        <f t="shared" si="22"/>
        <v>#DIV/0!</v>
      </c>
      <c r="AE26" s="105">
        <f t="shared" si="23"/>
        <v>0</v>
      </c>
    </row>
    <row r="27" spans="1:31" ht="25.5">
      <c r="A27" s="368"/>
      <c r="G27" s="105">
        <v>10</v>
      </c>
      <c r="H27" s="104" t="s">
        <v>117</v>
      </c>
      <c r="I27" s="104">
        <v>0.3</v>
      </c>
      <c r="J27" s="230"/>
      <c r="K27" s="230"/>
      <c r="L27" s="230"/>
      <c r="M27" s="230"/>
      <c r="N27" s="230"/>
      <c r="O27" s="230"/>
      <c r="P27" s="109" t="e">
        <f t="shared" si="18"/>
        <v>#DIV/0!</v>
      </c>
      <c r="Q27" s="109" t="e">
        <f t="shared" si="19"/>
        <v>#DIV/0!</v>
      </c>
      <c r="R27" s="104">
        <f t="shared" si="20"/>
        <v>0</v>
      </c>
      <c r="U27" s="113"/>
      <c r="V27" s="230"/>
      <c r="W27" s="230"/>
      <c r="X27" s="230"/>
      <c r="Y27" s="230"/>
      <c r="Z27" s="230"/>
      <c r="AA27" s="230"/>
      <c r="AB27" s="230"/>
      <c r="AC27" s="109" t="e">
        <f t="shared" si="21"/>
        <v>#DIV/0!</v>
      </c>
      <c r="AD27" s="109" t="e">
        <f t="shared" si="22"/>
        <v>#DIV/0!</v>
      </c>
      <c r="AE27" s="104">
        <f t="shared" si="23"/>
        <v>0</v>
      </c>
    </row>
    <row r="28" spans="1:31" ht="25.5">
      <c r="A28" s="368"/>
      <c r="G28" s="105">
        <v>20</v>
      </c>
      <c r="H28" s="104" t="s">
        <v>117</v>
      </c>
      <c r="I28" s="104">
        <v>0.3</v>
      </c>
      <c r="J28" s="230"/>
      <c r="K28" s="230"/>
      <c r="L28" s="230"/>
      <c r="M28" s="230"/>
      <c r="N28" s="230"/>
      <c r="O28" s="230"/>
      <c r="P28" s="109" t="e">
        <f t="shared" si="18"/>
        <v>#DIV/0!</v>
      </c>
      <c r="Q28" s="109" t="e">
        <f t="shared" si="19"/>
        <v>#DIV/0!</v>
      </c>
      <c r="R28" s="104">
        <f t="shared" si="20"/>
        <v>0</v>
      </c>
      <c r="U28" s="113"/>
      <c r="V28" s="230"/>
      <c r="W28" s="230"/>
      <c r="X28" s="230"/>
      <c r="Y28" s="230"/>
      <c r="Z28" s="230"/>
      <c r="AA28" s="230"/>
      <c r="AB28" s="230"/>
      <c r="AC28" s="109" t="e">
        <f t="shared" si="21"/>
        <v>#DIV/0!</v>
      </c>
      <c r="AD28" s="109" t="e">
        <f t="shared" si="22"/>
        <v>#DIV/0!</v>
      </c>
      <c r="AE28" s="104">
        <f t="shared" si="23"/>
        <v>0</v>
      </c>
    </row>
    <row r="29" spans="1:31" ht="25.5">
      <c r="A29" s="368"/>
      <c r="G29" s="105">
        <v>40</v>
      </c>
      <c r="H29" s="104" t="s">
        <v>117</v>
      </c>
      <c r="I29" s="104">
        <v>0.3</v>
      </c>
      <c r="J29" s="230"/>
      <c r="K29" s="230"/>
      <c r="L29" s="230"/>
      <c r="M29" s="230"/>
      <c r="N29" s="230"/>
      <c r="O29" s="230"/>
      <c r="P29" s="109" t="e">
        <f t="shared" si="18"/>
        <v>#DIV/0!</v>
      </c>
      <c r="Q29" s="109" t="e">
        <f t="shared" si="19"/>
        <v>#DIV/0!</v>
      </c>
      <c r="R29" s="104">
        <f t="shared" si="20"/>
        <v>0</v>
      </c>
      <c r="U29" s="113"/>
      <c r="V29" s="230"/>
      <c r="W29" s="230"/>
      <c r="X29" s="230"/>
      <c r="Y29" s="230"/>
      <c r="Z29" s="230"/>
      <c r="AA29" s="230"/>
      <c r="AB29" s="230"/>
      <c r="AC29" s="109" t="e">
        <f t="shared" si="21"/>
        <v>#DIV/0!</v>
      </c>
      <c r="AD29" s="109" t="e">
        <f t="shared" si="22"/>
        <v>#DIV/0!</v>
      </c>
      <c r="AE29" s="104">
        <f t="shared" si="23"/>
        <v>0</v>
      </c>
    </row>
    <row r="30" spans="1:31">
      <c r="A30" s="368"/>
      <c r="P30" s="108"/>
      <c r="U30" s="113"/>
      <c r="AC30" s="108"/>
    </row>
    <row r="31" spans="1:31">
      <c r="A31" s="368"/>
      <c r="B31" s="46" t="s">
        <v>57</v>
      </c>
      <c r="C31" s="46"/>
      <c r="D31" s="46"/>
      <c r="E31" s="46"/>
      <c r="F31" s="46"/>
      <c r="G31" s="46"/>
      <c r="H31" s="55"/>
      <c r="I31" s="55"/>
      <c r="J31" s="227"/>
      <c r="K31" s="227"/>
      <c r="L31" s="227"/>
      <c r="M31" s="227"/>
      <c r="N31" s="227"/>
      <c r="O31" s="227"/>
      <c r="P31" s="64"/>
      <c r="Q31" s="64"/>
      <c r="R31" s="55"/>
      <c r="U31" s="113"/>
      <c r="V31" s="227"/>
      <c r="W31" s="227"/>
      <c r="X31" s="227"/>
      <c r="Y31" s="227"/>
      <c r="Z31" s="227"/>
      <c r="AA31" s="227"/>
      <c r="AB31" s="227"/>
      <c r="AC31" s="64"/>
      <c r="AD31" s="64"/>
      <c r="AE31" s="55"/>
    </row>
    <row r="32" spans="1:31" ht="31.5" customHeight="1">
      <c r="A32" s="368"/>
      <c r="B32" s="105" t="s">
        <v>173</v>
      </c>
      <c r="C32" s="105" t="s">
        <v>426</v>
      </c>
      <c r="D32" s="105" t="s">
        <v>120</v>
      </c>
      <c r="E32" s="105" t="s">
        <v>121</v>
      </c>
      <c r="F32" s="105" t="s">
        <v>105</v>
      </c>
      <c r="G32" s="105">
        <v>20</v>
      </c>
      <c r="H32" s="105" t="s">
        <v>115</v>
      </c>
      <c r="I32" s="105">
        <v>9</v>
      </c>
      <c r="J32" s="228">
        <f>DL_OH!S39*12.725</f>
        <v>12.965094339622643</v>
      </c>
      <c r="P32" s="108">
        <f t="shared" ref="P32:P37" si="24">AVERAGE(J32:O32)</f>
        <v>12.965094339622643</v>
      </c>
      <c r="Q32" s="108" t="e">
        <f t="shared" ref="Q32:Q37" si="25">SQRT(VAR(J32:O32))</f>
        <v>#DIV/0!</v>
      </c>
      <c r="R32" s="105">
        <f t="shared" ref="R32:R37" si="26">COUNT(J32:O32)</f>
        <v>1</v>
      </c>
      <c r="U32" s="113"/>
      <c r="V32" s="228">
        <f>DL_OH!S39*12.78</f>
        <v>13.0211320754717</v>
      </c>
      <c r="Z32" s="228">
        <f>DL_OH!S41*11.76</f>
        <v>11.538113207547172</v>
      </c>
      <c r="AA32" s="233">
        <f>DL_OH!S42*12.06</f>
        <v>11.83245283018868</v>
      </c>
      <c r="AB32" s="233"/>
      <c r="AC32" s="108">
        <f t="shared" ref="AC32:AC37" si="27">AVERAGE(V32:AB32)</f>
        <v>12.130566037735852</v>
      </c>
      <c r="AD32" s="108">
        <f t="shared" ref="AD32:AD37" si="28">SQRT(VAR(V32:AB32))</f>
        <v>0.78516867871851836</v>
      </c>
      <c r="AE32" s="105">
        <f t="shared" ref="AE32:AE37" si="29">COUNT(V32:AB32)</f>
        <v>3</v>
      </c>
    </row>
    <row r="33" spans="1:31" ht="31.5" customHeight="1">
      <c r="A33" s="368"/>
      <c r="G33" s="105">
        <v>40</v>
      </c>
      <c r="H33" s="105" t="s">
        <v>115</v>
      </c>
      <c r="I33" s="105">
        <v>9</v>
      </c>
      <c r="J33" s="228">
        <f>J32*DL_OH!$W$39</f>
        <v>15.20453142761234</v>
      </c>
      <c r="P33" s="108">
        <f t="shared" si="24"/>
        <v>15.20453142761234</v>
      </c>
      <c r="Q33" s="108" t="e">
        <f t="shared" si="25"/>
        <v>#DIV/0!</v>
      </c>
      <c r="R33" s="105">
        <f t="shared" si="26"/>
        <v>1</v>
      </c>
      <c r="U33" s="113"/>
      <c r="V33" s="228">
        <f>V32*DL_OH!$W$39</f>
        <v>15.270248459323042</v>
      </c>
      <c r="Z33" s="228">
        <f>Z32*DL_OH!$W$41</f>
        <v>13.43128957860297</v>
      </c>
      <c r="AA33" s="228">
        <f>AA32*DL_OH!$W$42</f>
        <v>13.827948461636788</v>
      </c>
      <c r="AB33" s="233"/>
      <c r="AC33" s="108">
        <f t="shared" si="27"/>
        <v>14.176495499854267</v>
      </c>
      <c r="AD33" s="108">
        <f t="shared" si="28"/>
        <v>0.96775834774619118</v>
      </c>
      <c r="AE33" s="105">
        <f t="shared" si="29"/>
        <v>3</v>
      </c>
    </row>
    <row r="34" spans="1:31" ht="31.5" customHeight="1">
      <c r="A34" s="368"/>
      <c r="G34" s="105">
        <v>100</v>
      </c>
      <c r="H34" s="105" t="s">
        <v>115</v>
      </c>
      <c r="I34" s="105">
        <v>9</v>
      </c>
      <c r="J34" s="228">
        <f>J32*DL_OH!$AA$39</f>
        <v>16.72613827072432</v>
      </c>
      <c r="P34" s="108">
        <f t="shared" si="24"/>
        <v>16.72613827072432</v>
      </c>
      <c r="Q34" s="108" t="e">
        <f t="shared" si="25"/>
        <v>#DIV/0!</v>
      </c>
      <c r="R34" s="105">
        <f t="shared" si="26"/>
        <v>1</v>
      </c>
      <c r="U34" s="113"/>
      <c r="V34" s="228">
        <f>V32*DL_OH!$AA$39</f>
        <v>16.798431992130201</v>
      </c>
      <c r="Z34" s="228">
        <f>Z32*DL_OH!$AA$41</f>
        <v>14.7216612652132</v>
      </c>
      <c r="AA34" s="228">
        <f>AA32*DL_OH!$AA$42</f>
        <v>15.185517129925323</v>
      </c>
      <c r="AB34" s="233"/>
      <c r="AC34" s="108">
        <f t="shared" si="27"/>
        <v>15.568536795756239</v>
      </c>
      <c r="AD34" s="108">
        <f t="shared" si="28"/>
        <v>1.0900789931719459</v>
      </c>
      <c r="AE34" s="105">
        <f t="shared" si="29"/>
        <v>3</v>
      </c>
    </row>
    <row r="35" spans="1:31" ht="25.5">
      <c r="A35" s="368"/>
      <c r="G35" s="105">
        <v>20</v>
      </c>
      <c r="H35" s="104" t="s">
        <v>117</v>
      </c>
      <c r="I35" s="104">
        <v>0.3</v>
      </c>
      <c r="J35" s="230">
        <f>DL_OH!S39*0.37</f>
        <v>0.37698113207547179</v>
      </c>
      <c r="K35" s="230"/>
      <c r="L35" s="230"/>
      <c r="M35" s="230"/>
      <c r="N35" s="232"/>
      <c r="O35" s="230"/>
      <c r="P35" s="109">
        <f t="shared" si="24"/>
        <v>0.37698113207547179</v>
      </c>
      <c r="Q35" s="109" t="e">
        <f t="shared" si="25"/>
        <v>#DIV/0!</v>
      </c>
      <c r="R35" s="104">
        <f t="shared" si="26"/>
        <v>1</v>
      </c>
      <c r="U35" s="113"/>
      <c r="V35" s="230">
        <f>DL_OH!S39*0.385</f>
        <v>0.39226415094339634</v>
      </c>
      <c r="W35" s="230"/>
      <c r="X35" s="230"/>
      <c r="Y35" s="230"/>
      <c r="Z35" s="232">
        <f>DL_OH!S41*0.41</f>
        <v>0.40226415094339629</v>
      </c>
      <c r="AA35" s="234">
        <f>DL_OH!S42*0.48</f>
        <v>0.47094339622641507</v>
      </c>
      <c r="AB35" s="234"/>
      <c r="AC35" s="109">
        <f t="shared" si="27"/>
        <v>0.42182389937106923</v>
      </c>
      <c r="AD35" s="109">
        <f t="shared" si="28"/>
        <v>4.2831573967013474E-2</v>
      </c>
      <c r="AE35" s="104">
        <f t="shared" si="29"/>
        <v>3</v>
      </c>
    </row>
    <row r="36" spans="1:31" ht="25.5">
      <c r="A36" s="368"/>
      <c r="G36" s="105">
        <v>40</v>
      </c>
      <c r="H36" s="104" t="s">
        <v>117</v>
      </c>
      <c r="I36" s="104">
        <v>0.3</v>
      </c>
      <c r="J36" s="230">
        <f>J35*DL_OH!$W$39</f>
        <v>0.44209639514472038</v>
      </c>
      <c r="K36" s="230"/>
      <c r="L36" s="230"/>
      <c r="M36" s="230"/>
      <c r="N36" s="232"/>
      <c r="O36" s="230"/>
      <c r="P36" s="109">
        <f t="shared" si="24"/>
        <v>0.44209639514472038</v>
      </c>
      <c r="Q36" s="109" t="e">
        <f t="shared" si="25"/>
        <v>#DIV/0!</v>
      </c>
      <c r="R36" s="104">
        <f t="shared" si="26"/>
        <v>1</v>
      </c>
      <c r="U36" s="113"/>
      <c r="V36" s="230">
        <f>V35*DL_OH!$W$39</f>
        <v>0.46001922197491174</v>
      </c>
      <c r="W36" s="230"/>
      <c r="X36" s="230"/>
      <c r="Y36" s="230"/>
      <c r="Z36" s="230">
        <f>Z35*DL_OH!$W$41</f>
        <v>0.46826774891387901</v>
      </c>
      <c r="AA36" s="230">
        <f>AA35*DL_OH!$W$42</f>
        <v>0.55036610792584229</v>
      </c>
      <c r="AB36" s="234"/>
      <c r="AC36" s="109">
        <f t="shared" si="27"/>
        <v>0.4928843596048777</v>
      </c>
      <c r="AD36" s="109">
        <f t="shared" si="28"/>
        <v>4.9951207109455872E-2</v>
      </c>
      <c r="AE36" s="104">
        <f t="shared" si="29"/>
        <v>3</v>
      </c>
    </row>
    <row r="37" spans="1:31" ht="25.5">
      <c r="A37" s="368"/>
      <c r="G37" s="105">
        <v>100</v>
      </c>
      <c r="H37" s="104" t="s">
        <v>117</v>
      </c>
      <c r="I37" s="104">
        <v>0.3</v>
      </c>
      <c r="J37" s="230">
        <f>J35*DL_OH!$AA$39</f>
        <v>0.48633958036683683</v>
      </c>
      <c r="K37" s="230"/>
      <c r="L37" s="230"/>
      <c r="M37" s="230"/>
      <c r="N37" s="232"/>
      <c r="O37" s="230"/>
      <c r="P37" s="109">
        <f t="shared" si="24"/>
        <v>0.48633958036683683</v>
      </c>
      <c r="Q37" s="109" t="e">
        <f t="shared" si="25"/>
        <v>#DIV/0!</v>
      </c>
      <c r="R37" s="104">
        <f t="shared" si="26"/>
        <v>1</v>
      </c>
      <c r="U37" s="113"/>
      <c r="V37" s="230">
        <f>V35*DL_OH!$AA$39</f>
        <v>0.50605604984116814</v>
      </c>
      <c r="W37" s="230"/>
      <c r="X37" s="230"/>
      <c r="Y37" s="230"/>
      <c r="Z37" s="230">
        <f>Z35*DL_OH!$AA$41</f>
        <v>0.51325519717154866</v>
      </c>
      <c r="AA37" s="230">
        <f>AA35*DL_OH!$AA$42</f>
        <v>0.60439869173832117</v>
      </c>
      <c r="AB37" s="234"/>
      <c r="AC37" s="109">
        <f t="shared" si="27"/>
        <v>0.54123664625034607</v>
      </c>
      <c r="AD37" s="109">
        <f t="shared" si="28"/>
        <v>5.4818244437777421E-2</v>
      </c>
      <c r="AE37" s="104">
        <f t="shared" si="29"/>
        <v>3</v>
      </c>
    </row>
    <row r="38" spans="1:31">
      <c r="A38" s="368"/>
      <c r="P38" s="108"/>
      <c r="U38" s="113"/>
      <c r="AC38" s="108"/>
    </row>
    <row r="39" spans="1:31" ht="31.5" customHeight="1">
      <c r="A39" s="368"/>
      <c r="B39" s="105" t="s">
        <v>173</v>
      </c>
      <c r="C39" s="105" t="s">
        <v>426</v>
      </c>
      <c r="D39" s="105" t="s">
        <v>120</v>
      </c>
      <c r="E39" s="105" t="s">
        <v>114</v>
      </c>
      <c r="F39" s="105" t="s">
        <v>105</v>
      </c>
      <c r="G39" s="105">
        <v>20</v>
      </c>
      <c r="H39" s="105" t="s">
        <v>115</v>
      </c>
      <c r="I39" s="105">
        <v>9</v>
      </c>
      <c r="J39" s="228">
        <f>DL_OH!S25*12.536</f>
        <v>12.772528301886792</v>
      </c>
      <c r="P39" s="108">
        <f>AVERAGE(J39:O39)</f>
        <v>12.772528301886792</v>
      </c>
      <c r="Q39" s="108" t="e">
        <f>SQRT(VAR(J39:O39))</f>
        <v>#DIV/0!</v>
      </c>
      <c r="R39" s="105">
        <f>COUNT(J39:O39)</f>
        <v>1</v>
      </c>
      <c r="U39" s="113"/>
      <c r="V39" s="228">
        <f>DL_OH!S25*12.53</f>
        <v>12.766415094339623</v>
      </c>
      <c r="AC39" s="108">
        <f>AVERAGE(V39:AB39)</f>
        <v>12.766415094339623</v>
      </c>
      <c r="AD39" s="108" t="e">
        <f>SQRT(VAR(V39:AB39))</f>
        <v>#DIV/0!</v>
      </c>
      <c r="AE39" s="105">
        <f>COUNT(V39:AB39)</f>
        <v>1</v>
      </c>
    </row>
    <row r="40" spans="1:31" ht="31.5" customHeight="1">
      <c r="A40" s="368"/>
      <c r="G40" s="105">
        <v>40</v>
      </c>
      <c r="H40" s="105" t="s">
        <v>115</v>
      </c>
      <c r="I40" s="105">
        <v>9</v>
      </c>
      <c r="J40" s="228">
        <f>J39*DL_OH!$W$25</f>
        <v>14.647946825441847</v>
      </c>
      <c r="P40" s="108">
        <f>AVERAGE(J40:O40)</f>
        <v>14.647946825441847</v>
      </c>
      <c r="Q40" s="108" t="e">
        <f>SQRT(VAR(J40:O40))</f>
        <v>#DIV/0!</v>
      </c>
      <c r="R40" s="105">
        <f>COUNT(J40:O40)</f>
        <v>1</v>
      </c>
      <c r="U40" s="113"/>
      <c r="V40" s="228">
        <f>V39*DL_OH!$W$25</f>
        <v>14.640936002136753</v>
      </c>
      <c r="AC40" s="108">
        <f>AVERAGE(V40:AB40)</f>
        <v>14.640936002136753</v>
      </c>
      <c r="AD40" s="108" t="e">
        <f>SQRT(VAR(V40:AB40))</f>
        <v>#DIV/0!</v>
      </c>
      <c r="AE40" s="105">
        <f>COUNT(V40:AB40)</f>
        <v>1</v>
      </c>
    </row>
    <row r="41" spans="1:31" ht="25.5">
      <c r="A41" s="368"/>
      <c r="G41" s="105">
        <v>20</v>
      </c>
      <c r="H41" s="104" t="s">
        <v>117</v>
      </c>
      <c r="I41" s="104">
        <v>0.3</v>
      </c>
      <c r="J41" s="230">
        <f>DL_OH!S25*0.387</f>
        <v>0.39430188679245282</v>
      </c>
      <c r="K41" s="230"/>
      <c r="L41" s="230"/>
      <c r="M41" s="230"/>
      <c r="N41" s="232"/>
      <c r="O41" s="230"/>
      <c r="P41" s="109">
        <f>AVERAGE(J41:O41)</f>
        <v>0.39430188679245282</v>
      </c>
      <c r="Q41" s="109" t="e">
        <f>SQRT(VAR(J41:O41))</f>
        <v>#DIV/0!</v>
      </c>
      <c r="R41" s="104">
        <f>COUNT(J41:O41)</f>
        <v>1</v>
      </c>
      <c r="U41" s="113"/>
      <c r="V41" s="230">
        <f>DL_OH!S25*0.394</f>
        <v>0.40143396226415096</v>
      </c>
      <c r="W41" s="230"/>
      <c r="X41" s="230"/>
      <c r="Y41" s="230"/>
      <c r="Z41" s="232"/>
      <c r="AA41" s="230"/>
      <c r="AB41" s="230"/>
      <c r="AC41" s="109">
        <f>AVERAGE(V41:AB41)</f>
        <v>0.40143396226415096</v>
      </c>
      <c r="AD41" s="109" t="e">
        <f>SQRT(VAR(V41:AB41))</f>
        <v>#DIV/0!</v>
      </c>
      <c r="AE41" s="104">
        <f>COUNT(V41:AB41)</f>
        <v>1</v>
      </c>
    </row>
    <row r="42" spans="1:31" ht="25.5">
      <c r="A42" s="368"/>
      <c r="G42" s="105">
        <v>40</v>
      </c>
      <c r="H42" s="104" t="s">
        <v>117</v>
      </c>
      <c r="I42" s="104">
        <v>0.3</v>
      </c>
      <c r="J42" s="230">
        <f>J41*DL_OH!$W$25</f>
        <v>0.45219810317852538</v>
      </c>
      <c r="K42" s="230"/>
      <c r="L42" s="230"/>
      <c r="M42" s="230"/>
      <c r="N42" s="232"/>
      <c r="O42" s="230"/>
      <c r="P42" s="109">
        <f>AVERAGE(J42:O42)</f>
        <v>0.45219810317852538</v>
      </c>
      <c r="Q42" s="109" t="e">
        <f>SQRT(VAR(J42:O42))</f>
        <v>#DIV/0!</v>
      </c>
      <c r="R42" s="104">
        <f>COUNT(J42:O42)</f>
        <v>1</v>
      </c>
      <c r="U42" s="113"/>
      <c r="V42" s="230">
        <f>V41*DL_OH!$W$25</f>
        <v>0.46037739703446778</v>
      </c>
      <c r="W42" s="230"/>
      <c r="X42" s="230"/>
      <c r="Y42" s="230"/>
      <c r="Z42" s="232"/>
      <c r="AA42" s="230"/>
      <c r="AB42" s="230"/>
      <c r="AC42" s="109">
        <f>AVERAGE(V42:AB42)</f>
        <v>0.46037739703446778</v>
      </c>
      <c r="AD42" s="109" t="e">
        <f>SQRT(VAR(V42:AB42))</f>
        <v>#DIV/0!</v>
      </c>
      <c r="AE42" s="104">
        <f>COUNT(V42:AB42)</f>
        <v>1</v>
      </c>
    </row>
    <row r="43" spans="1:31">
      <c r="A43" s="368"/>
      <c r="P43" s="108"/>
      <c r="U43" s="113"/>
    </row>
    <row r="44" spans="1:31" ht="37.5" customHeight="1">
      <c r="A44" s="368"/>
      <c r="B44" s="105" t="s">
        <v>173</v>
      </c>
      <c r="C44" s="105" t="s">
        <v>426</v>
      </c>
      <c r="D44" s="105" t="s">
        <v>184</v>
      </c>
      <c r="E44" s="105" t="s">
        <v>124</v>
      </c>
      <c r="F44" s="105" t="s">
        <v>185</v>
      </c>
      <c r="G44" s="105">
        <v>20</v>
      </c>
      <c r="H44" s="105" t="s">
        <v>115</v>
      </c>
      <c r="I44" s="105">
        <v>9</v>
      </c>
      <c r="K44" s="229"/>
      <c r="P44" s="108" t="e">
        <f>AVERAGE(J44:O44)</f>
        <v>#DIV/0!</v>
      </c>
      <c r="Q44" s="108" t="e">
        <f>SQRT(VAR(J44:O44))</f>
        <v>#DIV/0!</v>
      </c>
      <c r="R44" s="105">
        <f>COUNT(J44:O44)</f>
        <v>0</v>
      </c>
      <c r="U44" s="113"/>
      <c r="W44" s="229"/>
      <c r="AC44" s="108" t="e">
        <f>AVERAGE(V44:AB44)</f>
        <v>#DIV/0!</v>
      </c>
      <c r="AD44" s="108" t="e">
        <f>SQRT(VAR(V44:AB44))</f>
        <v>#DIV/0!</v>
      </c>
      <c r="AE44" s="105">
        <f>COUNT(V44:AB44)</f>
        <v>0</v>
      </c>
    </row>
    <row r="45" spans="1:31" ht="25.5">
      <c r="A45" s="250"/>
      <c r="G45" s="105">
        <v>40</v>
      </c>
      <c r="H45" s="105" t="s">
        <v>115</v>
      </c>
      <c r="I45" s="105">
        <v>9</v>
      </c>
      <c r="P45" s="108" t="e">
        <f>AVERAGE(J45:O45)</f>
        <v>#DIV/0!</v>
      </c>
      <c r="Q45" s="108" t="e">
        <f>SQRT(VAR(J45:O45))</f>
        <v>#DIV/0!</v>
      </c>
      <c r="R45" s="105">
        <f>COUNT(J45:O45)</f>
        <v>0</v>
      </c>
      <c r="U45" s="113"/>
      <c r="AC45" s="108" t="e">
        <f>AVERAGE(V45:AB45)</f>
        <v>#DIV/0!</v>
      </c>
      <c r="AD45" s="108" t="e">
        <f>SQRT(VAR(V45:AB45))</f>
        <v>#DIV/0!</v>
      </c>
      <c r="AE45" s="105">
        <f>COUNT(V45:AB45)</f>
        <v>0</v>
      </c>
    </row>
    <row r="46" spans="1:31" ht="25.5">
      <c r="A46" s="250"/>
      <c r="G46" s="105">
        <v>20</v>
      </c>
      <c r="H46" s="104" t="s">
        <v>117</v>
      </c>
      <c r="I46" s="104">
        <v>0.3</v>
      </c>
      <c r="J46" s="230"/>
      <c r="K46" s="231"/>
      <c r="L46" s="230"/>
      <c r="M46" s="230"/>
      <c r="N46" s="230"/>
      <c r="O46" s="230"/>
      <c r="P46" s="109" t="e">
        <f>AVERAGE(J46:O46)</f>
        <v>#DIV/0!</v>
      </c>
      <c r="Q46" s="109" t="e">
        <f>SQRT(VAR(J46:O46))</f>
        <v>#DIV/0!</v>
      </c>
      <c r="R46" s="104">
        <f>COUNT(J46:O46)</f>
        <v>0</v>
      </c>
      <c r="U46" s="113"/>
      <c r="V46" s="230"/>
      <c r="W46" s="231"/>
      <c r="X46" s="230"/>
      <c r="Y46" s="230"/>
      <c r="Z46" s="230"/>
      <c r="AA46" s="230"/>
      <c r="AB46" s="230"/>
      <c r="AC46" s="109" t="e">
        <f>AVERAGE(V46:AB46)</f>
        <v>#DIV/0!</v>
      </c>
      <c r="AD46" s="109" t="e">
        <f>SQRT(VAR(V46:AB46))</f>
        <v>#DIV/0!</v>
      </c>
      <c r="AE46" s="104">
        <f>COUNT(V46:AB46)</f>
        <v>0</v>
      </c>
    </row>
    <row r="47" spans="1:31" ht="25.5">
      <c r="A47" s="250"/>
      <c r="G47" s="105">
        <v>40</v>
      </c>
      <c r="H47" s="104" t="s">
        <v>117</v>
      </c>
      <c r="I47" s="104">
        <v>0.3</v>
      </c>
      <c r="J47" s="230"/>
      <c r="K47" s="230"/>
      <c r="L47" s="230"/>
      <c r="M47" s="230"/>
      <c r="N47" s="230"/>
      <c r="O47" s="230"/>
      <c r="P47" s="109" t="e">
        <f>AVERAGE(J47:O47)</f>
        <v>#DIV/0!</v>
      </c>
      <c r="Q47" s="109" t="e">
        <f>SQRT(VAR(J47:O47))</f>
        <v>#DIV/0!</v>
      </c>
      <c r="R47" s="104">
        <f>COUNT(J47:O47)</f>
        <v>0</v>
      </c>
      <c r="U47" s="113"/>
      <c r="V47" s="230"/>
      <c r="W47" s="230"/>
      <c r="X47" s="230"/>
      <c r="Y47" s="230"/>
      <c r="Z47" s="230"/>
      <c r="AA47" s="230"/>
      <c r="AB47" s="230"/>
      <c r="AC47" s="109" t="e">
        <f>AVERAGE(V47:AB47)</f>
        <v>#DIV/0!</v>
      </c>
      <c r="AD47" s="109" t="e">
        <f>SQRT(VAR(V47:AB47))</f>
        <v>#DIV/0!</v>
      </c>
      <c r="AE47" s="104">
        <f>COUNT(V47:AB47)</f>
        <v>0</v>
      </c>
    </row>
    <row r="48" spans="1:31" ht="15">
      <c r="A48" s="250"/>
      <c r="K48" s="235"/>
      <c r="P48" s="108"/>
      <c r="U48" s="113"/>
      <c r="W48" s="235"/>
      <c r="AC48" s="108"/>
    </row>
    <row r="49" spans="1:31" ht="37.5" customHeight="1">
      <c r="A49" s="258"/>
      <c r="B49" s="105" t="s">
        <v>173</v>
      </c>
      <c r="C49" s="105" t="s">
        <v>426</v>
      </c>
      <c r="D49" s="105" t="s">
        <v>596</v>
      </c>
      <c r="E49" s="105" t="s">
        <v>124</v>
      </c>
      <c r="F49" s="105" t="s">
        <v>185</v>
      </c>
      <c r="G49" s="105">
        <v>20</v>
      </c>
      <c r="H49" s="105" t="s">
        <v>115</v>
      </c>
      <c r="I49" s="105">
        <v>9</v>
      </c>
      <c r="K49" s="229">
        <v>13.269873417721518</v>
      </c>
      <c r="P49" s="108">
        <f>AVERAGE(J49:O49)</f>
        <v>13.269873417721518</v>
      </c>
      <c r="Q49" s="108" t="e">
        <f>SQRT(VAR(J49:O49))</f>
        <v>#DIV/0!</v>
      </c>
      <c r="R49" s="105">
        <f>COUNT(J49:O49)</f>
        <v>1</v>
      </c>
      <c r="U49" s="113"/>
      <c r="W49" s="229">
        <v>13.546329113924051</v>
      </c>
      <c r="AC49" s="108">
        <f>AVERAGE(V49:AB49)</f>
        <v>13.546329113924051</v>
      </c>
      <c r="AD49" s="108" t="e">
        <f>SQRT(VAR(V49:AB49))</f>
        <v>#DIV/0!</v>
      </c>
      <c r="AE49" s="105">
        <f>COUNT(V49:AB49)</f>
        <v>1</v>
      </c>
    </row>
    <row r="50" spans="1:31" ht="25.5">
      <c r="A50" s="258"/>
      <c r="G50" s="105">
        <v>40</v>
      </c>
      <c r="H50" s="105" t="s">
        <v>115</v>
      </c>
      <c r="I50" s="105">
        <v>9</v>
      </c>
      <c r="K50" s="228">
        <f>K49*DL_OH!$W$22</f>
        <v>15.184404553135865</v>
      </c>
      <c r="P50" s="108">
        <f>AVERAGE(J50:O50)</f>
        <v>15.184404553135865</v>
      </c>
      <c r="Q50" s="108" t="e">
        <f>SQRT(VAR(J50:O50))</f>
        <v>#DIV/0!</v>
      </c>
      <c r="R50" s="105">
        <f>COUNT(J50:O50)</f>
        <v>1</v>
      </c>
      <c r="U50" s="113"/>
      <c r="W50" s="228">
        <f>W49*DL_OH!$W$22</f>
        <v>15.50074631465953</v>
      </c>
      <c r="AC50" s="108">
        <f>AVERAGE(V50:AB50)</f>
        <v>15.50074631465953</v>
      </c>
      <c r="AD50" s="108" t="e">
        <f>SQRT(VAR(V50:AB50))</f>
        <v>#DIV/0!</v>
      </c>
      <c r="AE50" s="105">
        <f>COUNT(V50:AB50)</f>
        <v>1</v>
      </c>
    </row>
    <row r="51" spans="1:31" ht="25.5">
      <c r="A51" s="258"/>
      <c r="G51" s="105">
        <v>20</v>
      </c>
      <c r="H51" s="104" t="s">
        <v>117</v>
      </c>
      <c r="I51" s="104">
        <v>0.3</v>
      </c>
      <c r="J51" s="230"/>
      <c r="K51" s="231">
        <v>0.49367088607594933</v>
      </c>
      <c r="L51" s="230"/>
      <c r="M51" s="230"/>
      <c r="N51" s="230"/>
      <c r="O51" s="230"/>
      <c r="P51" s="109">
        <f>AVERAGE(J51:O51)</f>
        <v>0.49367088607594933</v>
      </c>
      <c r="Q51" s="109" t="e">
        <f>SQRT(VAR(J51:O51))</f>
        <v>#DIV/0!</v>
      </c>
      <c r="R51" s="104">
        <f>COUNT(J51:O51)</f>
        <v>1</v>
      </c>
      <c r="U51" s="113"/>
      <c r="V51" s="230"/>
      <c r="W51" s="231">
        <v>0.50354430379746828</v>
      </c>
      <c r="X51" s="230"/>
      <c r="Y51" s="230"/>
      <c r="Z51" s="230"/>
      <c r="AA51" s="230"/>
      <c r="AB51" s="230"/>
      <c r="AC51" s="109">
        <f>AVERAGE(V51:AB51)</f>
        <v>0.50354430379746828</v>
      </c>
      <c r="AD51" s="109" t="e">
        <f>SQRT(VAR(V51:AB51))</f>
        <v>#DIV/0!</v>
      </c>
      <c r="AE51" s="104">
        <f>COUNT(V51:AB51)</f>
        <v>1</v>
      </c>
    </row>
    <row r="52" spans="1:31" ht="25.5">
      <c r="A52" s="258"/>
      <c r="G52" s="105">
        <v>40</v>
      </c>
      <c r="H52" s="104" t="s">
        <v>117</v>
      </c>
      <c r="I52" s="104">
        <v>0.3</v>
      </c>
      <c r="J52" s="230"/>
      <c r="K52" s="230">
        <f>K51*DL_OH!$W$22</f>
        <v>0.56489600272082829</v>
      </c>
      <c r="L52" s="230"/>
      <c r="M52" s="230"/>
      <c r="N52" s="230"/>
      <c r="O52" s="230"/>
      <c r="P52" s="109">
        <f>AVERAGE(J52:O52)</f>
        <v>0.56489600272082829</v>
      </c>
      <c r="Q52" s="109" t="e">
        <f>SQRT(VAR(J52:O52))</f>
        <v>#DIV/0!</v>
      </c>
      <c r="R52" s="104">
        <f>COUNT(J52:O52)</f>
        <v>1</v>
      </c>
      <c r="U52" s="113"/>
      <c r="V52" s="230"/>
      <c r="W52" s="230">
        <f>W51*DL_OH!$W$22</f>
        <v>0.57619392277524484</v>
      </c>
      <c r="X52" s="230"/>
      <c r="Y52" s="230"/>
      <c r="Z52" s="230"/>
      <c r="AA52" s="230"/>
      <c r="AB52" s="230"/>
      <c r="AC52" s="109">
        <f>AVERAGE(V52:AB52)</f>
        <v>0.57619392277524484</v>
      </c>
      <c r="AD52" s="109" t="e">
        <f>SQRT(VAR(V52:AB52))</f>
        <v>#DIV/0!</v>
      </c>
      <c r="AE52" s="104">
        <f>COUNT(V52:AB52)</f>
        <v>1</v>
      </c>
    </row>
    <row r="53" spans="1:31" ht="15">
      <c r="A53" s="258"/>
      <c r="K53" s="235"/>
      <c r="P53" s="108"/>
      <c r="U53" s="113"/>
      <c r="W53" s="235"/>
      <c r="AC53" s="108"/>
    </row>
    <row r="54" spans="1:31" ht="25.5">
      <c r="A54" s="250"/>
      <c r="B54" s="105" t="s">
        <v>173</v>
      </c>
      <c r="C54" s="105" t="s">
        <v>426</v>
      </c>
      <c r="D54" s="74" t="s">
        <v>120</v>
      </c>
      <c r="E54" s="74" t="s">
        <v>121</v>
      </c>
      <c r="F54" s="105" t="s">
        <v>185</v>
      </c>
      <c r="G54" s="105">
        <v>20</v>
      </c>
      <c r="H54" s="105" t="s">
        <v>115</v>
      </c>
      <c r="I54" s="105">
        <v>9</v>
      </c>
      <c r="K54" s="228">
        <v>12.32</v>
      </c>
      <c r="N54" s="228">
        <f>DL_OH!S36*11.23</f>
        <v>10.909142857142857</v>
      </c>
      <c r="P54" s="108">
        <f t="shared" ref="P54:P59" si="30">AVERAGE(J54:O54)</f>
        <v>11.614571428571429</v>
      </c>
      <c r="Q54" s="108">
        <f t="shared" ref="Q54:Q59" si="31">SQRT(VAR(J54:O54))</f>
        <v>0.9976266529997635</v>
      </c>
      <c r="R54" s="105">
        <f t="shared" ref="R54:R59" si="32">COUNT(J54:O54)</f>
        <v>2</v>
      </c>
      <c r="U54" s="113"/>
      <c r="W54" s="229">
        <v>12.55</v>
      </c>
      <c r="Z54" s="228">
        <f>DL_OH!S36*11.7</f>
        <v>11.365714285714285</v>
      </c>
      <c r="AC54" s="108">
        <f t="shared" ref="AC54:AC59" si="33">AVERAGE(V54:AB54)</f>
        <v>11.957857142857144</v>
      </c>
      <c r="AD54" s="108">
        <f t="shared" ref="AD54:AD59" si="34">SQRT(VAR(V54:AB54))</f>
        <v>0.83741645943378384</v>
      </c>
      <c r="AE54" s="105">
        <f t="shared" ref="AE54:AE59" si="35">COUNT(V54:AB54)</f>
        <v>2</v>
      </c>
    </row>
    <row r="55" spans="1:31" ht="25.5">
      <c r="A55" s="250"/>
      <c r="D55" s="74"/>
      <c r="E55" s="74"/>
      <c r="G55" s="105">
        <v>40</v>
      </c>
      <c r="H55" s="105" t="s">
        <v>115</v>
      </c>
      <c r="I55" s="105">
        <v>9</v>
      </c>
      <c r="K55" s="228">
        <f>K54*DL_OH!$W$38</f>
        <v>14.40380465672424</v>
      </c>
      <c r="N55" s="228">
        <f>N54*DL_OH!$W$36</f>
        <v>12.9588152108189</v>
      </c>
      <c r="P55" s="108">
        <f t="shared" si="30"/>
        <v>13.681309933771569</v>
      </c>
      <c r="Q55" s="108">
        <f t="shared" si="31"/>
        <v>1.0217618359426583</v>
      </c>
      <c r="R55" s="105">
        <f t="shared" si="32"/>
        <v>2</v>
      </c>
      <c r="U55" s="113"/>
      <c r="W55" s="228">
        <f>W54*DL_OH!$W$38</f>
        <v>14.67270685404945</v>
      </c>
      <c r="Z55" s="228">
        <f>Z54*DL_OH!$W$36</f>
        <v>13.501169899072227</v>
      </c>
      <c r="AC55" s="108">
        <f t="shared" si="33"/>
        <v>14.086938376560838</v>
      </c>
      <c r="AD55" s="108">
        <f t="shared" si="34"/>
        <v>0.82840172527503297</v>
      </c>
      <c r="AE55" s="105">
        <f t="shared" si="35"/>
        <v>2</v>
      </c>
    </row>
    <row r="56" spans="1:31" ht="25.5">
      <c r="A56" s="250"/>
      <c r="D56" s="74"/>
      <c r="E56" s="74"/>
      <c r="G56" s="105">
        <v>100</v>
      </c>
      <c r="H56" s="105" t="s">
        <v>115</v>
      </c>
      <c r="I56" s="105">
        <v>9</v>
      </c>
      <c r="K56" s="228">
        <f>K54*DL_OH!$AA$38</f>
        <v>15.821336674774576</v>
      </c>
      <c r="N56" s="228">
        <f>N54*DL_OH!$AA$36</f>
        <v>14.345489294304734</v>
      </c>
      <c r="P56" s="108">
        <f t="shared" si="30"/>
        <v>15.083412984539656</v>
      </c>
      <c r="Q56" s="108">
        <f t="shared" si="31"/>
        <v>1.043581690726628</v>
      </c>
      <c r="R56" s="105">
        <f t="shared" si="32"/>
        <v>2</v>
      </c>
      <c r="U56" s="113"/>
      <c r="W56" s="228">
        <f>W54*DL_OH!$AA$38</f>
        <v>16.11670253802118</v>
      </c>
      <c r="Z56" s="228">
        <f>Z54*DL_OH!$AA$36</f>
        <v>14.945879318198164</v>
      </c>
      <c r="AC56" s="108">
        <f t="shared" si="33"/>
        <v>15.531290928109673</v>
      </c>
      <c r="AD56" s="108">
        <f t="shared" si="34"/>
        <v>0.82789703830752193</v>
      </c>
      <c r="AE56" s="105">
        <f t="shared" si="35"/>
        <v>2</v>
      </c>
    </row>
    <row r="57" spans="1:31" ht="25.5">
      <c r="A57" s="250"/>
      <c r="G57" s="105">
        <v>20</v>
      </c>
      <c r="H57" s="104" t="s">
        <v>117</v>
      </c>
      <c r="I57" s="104">
        <v>0.3</v>
      </c>
      <c r="J57" s="230"/>
      <c r="K57" s="230">
        <v>0.44400000000000001</v>
      </c>
      <c r="L57" s="230"/>
      <c r="M57" s="230"/>
      <c r="N57" s="232">
        <f>DL_OH!S36*0.39</f>
        <v>0.37885714285714289</v>
      </c>
      <c r="O57" s="230"/>
      <c r="P57" s="109">
        <f t="shared" si="30"/>
        <v>0.41142857142857148</v>
      </c>
      <c r="Q57" s="109">
        <f t="shared" si="31"/>
        <v>4.6062956031580789E-2</v>
      </c>
      <c r="R57" s="104">
        <f t="shared" si="32"/>
        <v>2</v>
      </c>
      <c r="U57" s="113"/>
      <c r="V57" s="230"/>
      <c r="W57" s="239">
        <v>0.49399999999999999</v>
      </c>
      <c r="X57" s="230"/>
      <c r="Y57" s="230"/>
      <c r="Z57" s="230">
        <f>DL_OH!S36*0.42</f>
        <v>0.40799999999999997</v>
      </c>
      <c r="AA57" s="230"/>
      <c r="AB57" s="230"/>
      <c r="AC57" s="109">
        <f t="shared" si="33"/>
        <v>0.45099999999999996</v>
      </c>
      <c r="AD57" s="109">
        <f t="shared" si="34"/>
        <v>6.0811183182043101E-2</v>
      </c>
      <c r="AE57" s="104">
        <f t="shared" si="35"/>
        <v>2</v>
      </c>
    </row>
    <row r="58" spans="1:31" ht="25.5">
      <c r="A58" s="250"/>
      <c r="G58" s="105">
        <v>40</v>
      </c>
      <c r="H58" s="104" t="s">
        <v>117</v>
      </c>
      <c r="I58" s="104">
        <v>0.3</v>
      </c>
      <c r="J58" s="230"/>
      <c r="K58" s="230">
        <f>K57*DL_OH!$W$38</f>
        <v>0.51909815483649047</v>
      </c>
      <c r="L58" s="230"/>
      <c r="M58" s="230"/>
      <c r="N58" s="230">
        <f>N57*DL_OH!$W$36</f>
        <v>0.45003899663574104</v>
      </c>
      <c r="O58" s="230"/>
      <c r="P58" s="109">
        <f t="shared" si="30"/>
        <v>0.48456857573611578</v>
      </c>
      <c r="Q58" s="109">
        <f t="shared" si="31"/>
        <v>4.8832199066784494E-2</v>
      </c>
      <c r="R58" s="104">
        <f t="shared" si="32"/>
        <v>2</v>
      </c>
      <c r="U58" s="113"/>
      <c r="V58" s="230"/>
      <c r="W58" s="230">
        <f>W57*DL_OH!$W$38</f>
        <v>0.57755515425501414</v>
      </c>
      <c r="X58" s="230"/>
      <c r="Y58" s="230"/>
      <c r="Z58" s="230">
        <f>Z57*DL_OH!$W$36</f>
        <v>0.48465738099233641</v>
      </c>
      <c r="AA58" s="230"/>
      <c r="AB58" s="230"/>
      <c r="AC58" s="109">
        <f t="shared" si="33"/>
        <v>0.5311062676236753</v>
      </c>
      <c r="AD58" s="109">
        <f t="shared" si="34"/>
        <v>6.568864543116977E-2</v>
      </c>
      <c r="AE58" s="104">
        <f t="shared" si="35"/>
        <v>2</v>
      </c>
    </row>
    <row r="59" spans="1:31" ht="25.5">
      <c r="A59" s="250"/>
      <c r="G59" s="105">
        <v>100</v>
      </c>
      <c r="H59" s="104" t="s">
        <v>117</v>
      </c>
      <c r="I59" s="104">
        <v>0.3</v>
      </c>
      <c r="J59" s="230"/>
      <c r="K59" s="230">
        <f>K57*DL_OH!$AA$38</f>
        <v>0.57018453600648633</v>
      </c>
      <c r="L59" s="230"/>
      <c r="M59" s="230"/>
      <c r="N59" s="230">
        <f>N57*DL_OH!$AA$36</f>
        <v>0.49819597727327219</v>
      </c>
      <c r="O59" s="230"/>
      <c r="P59" s="109">
        <f t="shared" si="30"/>
        <v>0.53419025663987929</v>
      </c>
      <c r="Q59" s="109">
        <f t="shared" si="31"/>
        <v>5.0903598048101774E-2</v>
      </c>
      <c r="R59" s="104">
        <f t="shared" si="32"/>
        <v>2</v>
      </c>
      <c r="U59" s="113"/>
      <c r="V59" s="230"/>
      <c r="W59" s="230">
        <f>W57*DL_OH!$AA$38</f>
        <v>0.63439450627748706</v>
      </c>
      <c r="X59" s="230"/>
      <c r="Y59" s="230"/>
      <c r="Z59" s="230">
        <f>Z57*DL_OH!$AA$36</f>
        <v>0.5365187447558315</v>
      </c>
      <c r="AA59" s="230"/>
      <c r="AB59" s="230"/>
      <c r="AC59" s="109">
        <f t="shared" si="33"/>
        <v>0.58545662551665933</v>
      </c>
      <c r="AD59" s="109">
        <f t="shared" si="34"/>
        <v>6.9208614685760006E-2</v>
      </c>
      <c r="AE59" s="104">
        <f t="shared" si="35"/>
        <v>2</v>
      </c>
    </row>
    <row r="60" spans="1:31" ht="15">
      <c r="A60" s="250"/>
      <c r="K60" s="235"/>
      <c r="P60" s="108"/>
      <c r="U60" s="113"/>
      <c r="W60" s="240"/>
      <c r="AC60" s="108"/>
    </row>
    <row r="61" spans="1:31" ht="25.5">
      <c r="A61" s="250"/>
      <c r="B61" s="105" t="s">
        <v>173</v>
      </c>
      <c r="C61" s="105" t="s">
        <v>426</v>
      </c>
      <c r="D61" s="74" t="s">
        <v>120</v>
      </c>
      <c r="E61" s="74" t="s">
        <v>114</v>
      </c>
      <c r="F61" s="105" t="s">
        <v>185</v>
      </c>
      <c r="G61" s="105">
        <v>20</v>
      </c>
      <c r="H61" s="105" t="s">
        <v>115</v>
      </c>
      <c r="I61" s="105">
        <v>9</v>
      </c>
      <c r="K61" s="229">
        <v>13.19</v>
      </c>
      <c r="O61" s="228">
        <f>DL_OH!S27*10.9</f>
        <v>11.037974683544302</v>
      </c>
      <c r="P61" s="108">
        <f>AVERAGE(J61:O61)</f>
        <v>12.113987341772152</v>
      </c>
      <c r="Q61" s="108">
        <f>SQRT(VAR(J61:O61))</f>
        <v>1.5217116945509492</v>
      </c>
      <c r="R61" s="105">
        <f>COUNT(J61:O61)</f>
        <v>2</v>
      </c>
      <c r="U61" s="113"/>
      <c r="W61" s="229">
        <v>13.39</v>
      </c>
      <c r="Z61" s="228">
        <f>DL_OH!S27*11.7</f>
        <v>11.848101265822782</v>
      </c>
      <c r="AB61" s="228">
        <f>DL_OH!S27*11.63</f>
        <v>11.777215189873417</v>
      </c>
      <c r="AC61" s="108">
        <f>AVERAGE(V61:AB61)</f>
        <v>12.3384388185654</v>
      </c>
      <c r="AD61" s="108">
        <f>SQRT(VAR(V61:AB61))</f>
        <v>0.91136814606720529</v>
      </c>
      <c r="AE61" s="105">
        <f>COUNT(V61:AB61)</f>
        <v>3</v>
      </c>
    </row>
    <row r="62" spans="1:31" ht="25.5">
      <c r="A62" s="250"/>
      <c r="D62" s="74"/>
      <c r="E62" s="74"/>
      <c r="G62" s="105">
        <v>40</v>
      </c>
      <c r="H62" s="105" t="s">
        <v>115</v>
      </c>
      <c r="I62" s="105">
        <v>9</v>
      </c>
      <c r="K62" s="228">
        <f>K61*DL_OH!$W$23</f>
        <v>15.11510903475877</v>
      </c>
      <c r="O62" s="228">
        <f>O61*DL_OH!$W$27</f>
        <v>12.56078615652717</v>
      </c>
      <c r="P62" s="108">
        <f>AVERAGE(J62:O62)</f>
        <v>13.837947595642969</v>
      </c>
      <c r="Q62" s="108">
        <f>SQRT(VAR(J62:O62))</f>
        <v>1.8061790285375043</v>
      </c>
      <c r="R62" s="105">
        <f>COUNT(J62:O62)</f>
        <v>2</v>
      </c>
      <c r="U62" s="113"/>
      <c r="W62" s="228">
        <f>W61*DL_OH!$W$23</f>
        <v>15.344299467431384</v>
      </c>
      <c r="Z62" s="228">
        <f>Z61*DL_OH!$W$24</f>
        <v>13.368258427185358</v>
      </c>
      <c r="AB62" s="228">
        <f>AB61*DL_OH!$W$27</f>
        <v>13.402013119303762</v>
      </c>
      <c r="AC62" s="108">
        <f>AVERAGE(V62:AB62)</f>
        <v>14.038190337973502</v>
      </c>
      <c r="AD62" s="108">
        <f>SQRT(VAR(V62:AB62))</f>
        <v>1.1312495915358038</v>
      </c>
      <c r="AE62" s="105">
        <f>COUNT(V62:AB62)</f>
        <v>3</v>
      </c>
    </row>
    <row r="63" spans="1:31" ht="25.5">
      <c r="A63" s="250"/>
      <c r="G63" s="105">
        <v>20</v>
      </c>
      <c r="H63" s="104" t="s">
        <v>117</v>
      </c>
      <c r="I63" s="104">
        <v>0.3</v>
      </c>
      <c r="J63" s="230"/>
      <c r="K63" s="231">
        <v>0.47399999999999998</v>
      </c>
      <c r="L63" s="230"/>
      <c r="M63" s="230"/>
      <c r="N63" s="232"/>
      <c r="O63" s="230">
        <f>DL_OH!S27*0.31</f>
        <v>0.31392405063291134</v>
      </c>
      <c r="P63" s="109">
        <f>AVERAGE(J63:O63)</f>
        <v>0.39396202531645563</v>
      </c>
      <c r="Q63" s="109">
        <f>SQRT(VAR(J63:O63))</f>
        <v>0.11319078930234315</v>
      </c>
      <c r="R63" s="104">
        <f>COUNT(J63:O63)</f>
        <v>2</v>
      </c>
      <c r="U63" s="113"/>
      <c r="V63" s="230"/>
      <c r="W63" s="239">
        <v>0.49399999999999999</v>
      </c>
      <c r="X63" s="230"/>
      <c r="Y63" s="230"/>
      <c r="Z63" s="230">
        <f>DL_OH!S27*0.42</f>
        <v>0.42531645569620247</v>
      </c>
      <c r="AA63" s="230"/>
      <c r="AB63" s="230">
        <f>DL_OH!S27*0.35</f>
        <v>0.35443037974683539</v>
      </c>
      <c r="AC63" s="109">
        <f>AVERAGE(V63:AB63)</f>
        <v>0.42458227848101265</v>
      </c>
      <c r="AD63" s="109">
        <f>SQRT(VAR(V63:AB63))</f>
        <v>6.9787706557391471E-2</v>
      </c>
      <c r="AE63" s="104">
        <f>COUNT(V63:AB63)</f>
        <v>3</v>
      </c>
    </row>
    <row r="64" spans="1:31" ht="25.5">
      <c r="A64" s="250"/>
      <c r="G64" s="105">
        <v>40</v>
      </c>
      <c r="H64" s="104" t="s">
        <v>117</v>
      </c>
      <c r="I64" s="104">
        <v>0.3</v>
      </c>
      <c r="J64" s="230"/>
      <c r="K64" s="230">
        <f>K63*DL_OH!$W$23</f>
        <v>0.5431813254340907</v>
      </c>
      <c r="L64" s="230"/>
      <c r="M64" s="230"/>
      <c r="N64" s="230"/>
      <c r="O64" s="230">
        <f>O63*DL_OH!$W$27</f>
        <v>0.35723336775444248</v>
      </c>
      <c r="P64" s="109">
        <f>AVERAGE(J64:O64)</f>
        <v>0.45020734659426659</v>
      </c>
      <c r="Q64" s="109">
        <f>SQRT(VAR(J64:O64))</f>
        <v>0.13148506182306835</v>
      </c>
      <c r="R64" s="104">
        <f>COUNT(J64:O64)</f>
        <v>2</v>
      </c>
      <c r="U64" s="113"/>
      <c r="V64" s="230"/>
      <c r="W64" s="230">
        <f>W63*DL_OH!$W$23</f>
        <v>0.56610036870135194</v>
      </c>
      <c r="X64" s="230"/>
      <c r="Y64" s="230"/>
      <c r="Z64" s="230">
        <f>Z63*DL_OH!$W$24</f>
        <v>0.47988619995024362</v>
      </c>
      <c r="AA64" s="230"/>
      <c r="AB64" s="230">
        <f>AB63*DL_OH!$W$27</f>
        <v>0.40332799585178986</v>
      </c>
      <c r="AC64" s="109">
        <f>AVERAGE(V64:AB64)</f>
        <v>0.48310485483446186</v>
      </c>
      <c r="AD64" s="109">
        <f>SQRT(VAR(V64:AB64))</f>
        <v>8.1433906606627249E-2</v>
      </c>
      <c r="AE64" s="104">
        <f>COUNT(V64:AB64)</f>
        <v>3</v>
      </c>
    </row>
    <row r="65" spans="1:31">
      <c r="A65" s="250"/>
      <c r="K65" s="236"/>
      <c r="P65" s="108"/>
      <c r="U65" s="113"/>
      <c r="AC65" s="108"/>
    </row>
    <row r="66" spans="1:31" ht="25.5">
      <c r="A66" s="250"/>
      <c r="B66" s="105" t="s">
        <v>173</v>
      </c>
      <c r="C66" s="105" t="s">
        <v>426</v>
      </c>
      <c r="D66" s="105" t="s">
        <v>120</v>
      </c>
      <c r="E66" s="105" t="s">
        <v>121</v>
      </c>
      <c r="F66" s="105" t="s">
        <v>327</v>
      </c>
      <c r="G66" s="105">
        <v>20</v>
      </c>
      <c r="H66" s="105" t="s">
        <v>115</v>
      </c>
      <c r="I66" s="105">
        <v>9</v>
      </c>
      <c r="M66" s="228">
        <f>DL_OH!S44*10.11</f>
        <v>9.9192452830188671</v>
      </c>
      <c r="P66" s="108">
        <f t="shared" ref="P66:P71" si="36">AVERAGE(J66:O66)</f>
        <v>9.9192452830188671</v>
      </c>
      <c r="Q66" s="108" t="e">
        <f t="shared" ref="Q66:Q71" si="37">SQRT(VAR(J66:O66))</f>
        <v>#DIV/0!</v>
      </c>
      <c r="R66" s="105">
        <f t="shared" ref="R66:R71" si="38">COUNT(J66:O66)</f>
        <v>1</v>
      </c>
      <c r="U66" s="113"/>
      <c r="AC66" s="108" t="e">
        <f t="shared" ref="AC66:AC71" si="39">AVERAGE(V66:AB66)</f>
        <v>#DIV/0!</v>
      </c>
      <c r="AD66" s="108" t="e">
        <f t="shared" ref="AD66:AD71" si="40">SQRT(VAR(V66:AB66))</f>
        <v>#DIV/0!</v>
      </c>
      <c r="AE66" s="105">
        <f>COUNT(V66:AB66)</f>
        <v>0</v>
      </c>
    </row>
    <row r="67" spans="1:31" ht="25.5">
      <c r="A67" s="250"/>
      <c r="G67" s="105">
        <v>40</v>
      </c>
      <c r="H67" s="105" t="s">
        <v>115</v>
      </c>
      <c r="I67" s="105">
        <v>9</v>
      </c>
      <c r="M67" s="228">
        <f>M66*DL_OH!$W$44</f>
        <v>11.694289925565625</v>
      </c>
      <c r="P67" s="108">
        <f t="shared" si="36"/>
        <v>11.694289925565625</v>
      </c>
      <c r="Q67" s="108" t="e">
        <f t="shared" si="37"/>
        <v>#DIV/0!</v>
      </c>
      <c r="R67" s="105">
        <f t="shared" si="38"/>
        <v>1</v>
      </c>
      <c r="U67" s="113"/>
      <c r="AC67" s="108" t="e">
        <f t="shared" si="39"/>
        <v>#DIV/0!</v>
      </c>
      <c r="AD67" s="108" t="e">
        <f t="shared" si="40"/>
        <v>#DIV/0!</v>
      </c>
      <c r="AE67" s="105">
        <f>COUNT(V67:AB67)</f>
        <v>0</v>
      </c>
    </row>
    <row r="68" spans="1:31" ht="25.5">
      <c r="A68" s="250"/>
      <c r="G68" s="105">
        <v>100</v>
      </c>
      <c r="H68" s="105" t="s">
        <v>115</v>
      </c>
      <c r="I68" s="105">
        <v>9</v>
      </c>
      <c r="M68" s="228">
        <f>M66*DL_OH!$AA$44</f>
        <v>12.895384379210659</v>
      </c>
      <c r="P68" s="108">
        <f t="shared" si="36"/>
        <v>12.895384379210659</v>
      </c>
      <c r="Q68" s="108" t="e">
        <f t="shared" si="37"/>
        <v>#DIV/0!</v>
      </c>
      <c r="R68" s="105">
        <f t="shared" si="38"/>
        <v>1</v>
      </c>
      <c r="U68" s="113"/>
      <c r="AC68" s="108" t="e">
        <f t="shared" si="39"/>
        <v>#DIV/0!</v>
      </c>
      <c r="AD68" s="108" t="e">
        <f t="shared" si="40"/>
        <v>#DIV/0!</v>
      </c>
      <c r="AE68" s="105">
        <f>COUNT(V68:AB68)</f>
        <v>0</v>
      </c>
    </row>
    <row r="69" spans="1:31" ht="25.5">
      <c r="A69" s="250"/>
      <c r="G69" s="105">
        <v>20</v>
      </c>
      <c r="H69" s="104" t="s">
        <v>117</v>
      </c>
      <c r="I69" s="104">
        <v>0.3</v>
      </c>
      <c r="J69" s="230"/>
      <c r="K69" s="230"/>
      <c r="L69" s="230"/>
      <c r="M69" s="230">
        <f>DL_OH!S44*0.32</f>
        <v>0.31396226415094342</v>
      </c>
      <c r="N69" s="230"/>
      <c r="O69" s="230"/>
      <c r="P69" s="109">
        <f t="shared" si="36"/>
        <v>0.31396226415094342</v>
      </c>
      <c r="Q69" s="109" t="e">
        <f t="shared" si="37"/>
        <v>#DIV/0!</v>
      </c>
      <c r="R69" s="104">
        <f t="shared" si="38"/>
        <v>1</v>
      </c>
      <c r="U69" s="113"/>
      <c r="V69" s="230"/>
      <c r="W69" s="230"/>
      <c r="X69" s="230"/>
      <c r="Y69" s="230"/>
      <c r="Z69" s="230"/>
      <c r="AA69" s="230"/>
      <c r="AB69" s="230"/>
      <c r="AC69" s="109" t="e">
        <f t="shared" si="39"/>
        <v>#DIV/0!</v>
      </c>
      <c r="AD69" s="109" t="e">
        <f t="shared" si="40"/>
        <v>#DIV/0!</v>
      </c>
      <c r="AE69" s="104">
        <f>COUNT(V69:AB69)</f>
        <v>0</v>
      </c>
    </row>
    <row r="70" spans="1:31" ht="25.5">
      <c r="A70" s="250"/>
      <c r="G70" s="105">
        <v>40</v>
      </c>
      <c r="H70" s="104" t="s">
        <v>117</v>
      </c>
      <c r="I70" s="104">
        <v>0.3</v>
      </c>
      <c r="J70" s="230"/>
      <c r="K70" s="230"/>
      <c r="L70" s="230"/>
      <c r="M70" s="230">
        <f>M69*DL_OH!$W$44</f>
        <v>0.37014567519099911</v>
      </c>
      <c r="N70" s="230"/>
      <c r="O70" s="230"/>
      <c r="P70" s="109">
        <f t="shared" si="36"/>
        <v>0.37014567519099911</v>
      </c>
      <c r="Q70" s="109" t="e">
        <f t="shared" si="37"/>
        <v>#DIV/0!</v>
      </c>
      <c r="R70" s="104">
        <f t="shared" si="38"/>
        <v>1</v>
      </c>
      <c r="U70" s="113"/>
      <c r="V70" s="230"/>
      <c r="W70" s="230"/>
      <c r="X70" s="230"/>
      <c r="Y70" s="230"/>
      <c r="Z70" s="230"/>
      <c r="AA70" s="230"/>
      <c r="AB70" s="230"/>
      <c r="AC70" s="109" t="e">
        <f t="shared" si="39"/>
        <v>#DIV/0!</v>
      </c>
      <c r="AD70" s="109" t="e">
        <f t="shared" si="40"/>
        <v>#DIV/0!</v>
      </c>
      <c r="AE70" s="104">
        <f t="shared" ref="AE70:AE71" si="41">COUNT(V70:AB70)</f>
        <v>0</v>
      </c>
    </row>
    <row r="71" spans="1:31" ht="25.5">
      <c r="A71" s="250"/>
      <c r="G71" s="105">
        <v>100</v>
      </c>
      <c r="H71" s="104" t="s">
        <v>117</v>
      </c>
      <c r="I71" s="104">
        <v>0.3</v>
      </c>
      <c r="J71" s="230"/>
      <c r="K71" s="230"/>
      <c r="L71" s="230"/>
      <c r="M71" s="230">
        <f>M69*DL_OH!$AA$44</f>
        <v>0.4081625124972712</v>
      </c>
      <c r="N71" s="230"/>
      <c r="O71" s="230"/>
      <c r="P71" s="109">
        <f t="shared" si="36"/>
        <v>0.4081625124972712</v>
      </c>
      <c r="Q71" s="109" t="e">
        <f t="shared" si="37"/>
        <v>#DIV/0!</v>
      </c>
      <c r="R71" s="104">
        <f t="shared" si="38"/>
        <v>1</v>
      </c>
      <c r="U71" s="113"/>
      <c r="V71" s="230"/>
      <c r="W71" s="230"/>
      <c r="X71" s="230"/>
      <c r="Y71" s="230"/>
      <c r="Z71" s="230"/>
      <c r="AA71" s="230"/>
      <c r="AB71" s="230"/>
      <c r="AC71" s="109" t="e">
        <f t="shared" si="39"/>
        <v>#DIV/0!</v>
      </c>
      <c r="AD71" s="109" t="e">
        <f t="shared" si="40"/>
        <v>#DIV/0!</v>
      </c>
      <c r="AE71" s="104">
        <f t="shared" si="41"/>
        <v>0</v>
      </c>
    </row>
    <row r="72" spans="1:31">
      <c r="A72" s="250"/>
      <c r="P72" s="108"/>
      <c r="U72" s="113"/>
    </row>
    <row r="73" spans="1:31" ht="25.5">
      <c r="A73" s="250"/>
      <c r="B73" s="105" t="s">
        <v>173</v>
      </c>
      <c r="C73" s="105" t="s">
        <v>426</v>
      </c>
      <c r="D73" s="105" t="s">
        <v>411</v>
      </c>
      <c r="E73" s="105" t="s">
        <v>114</v>
      </c>
      <c r="F73" s="105" t="s">
        <v>185</v>
      </c>
      <c r="G73" s="105">
        <v>20</v>
      </c>
      <c r="H73" s="105" t="s">
        <v>115</v>
      </c>
      <c r="I73" s="105">
        <v>9</v>
      </c>
      <c r="P73" s="108" t="e">
        <f>AVERAGE(J73:O73)</f>
        <v>#DIV/0!</v>
      </c>
      <c r="Q73" s="108" t="e">
        <f>SQRT(VAR(J73:O73))</f>
        <v>#DIV/0!</v>
      </c>
      <c r="R73" s="105">
        <f>COUNT(J73:O73)</f>
        <v>0</v>
      </c>
      <c r="U73" s="113"/>
      <c r="AC73" s="108" t="e">
        <f>AVERAGE(V73:AB73)</f>
        <v>#DIV/0!</v>
      </c>
      <c r="AD73" s="108" t="e">
        <f>SQRT(VAR(V73:AB73))</f>
        <v>#DIV/0!</v>
      </c>
      <c r="AE73" s="105">
        <f>COUNT(V73:AB73)</f>
        <v>0</v>
      </c>
    </row>
    <row r="74" spans="1:31" ht="25.5">
      <c r="A74" s="250"/>
      <c r="G74" s="105">
        <v>40</v>
      </c>
      <c r="H74" s="105" t="s">
        <v>115</v>
      </c>
      <c r="I74" s="105">
        <v>9</v>
      </c>
      <c r="P74" s="108" t="e">
        <f>AVERAGE(J74:O74)</f>
        <v>#DIV/0!</v>
      </c>
      <c r="Q74" s="108" t="e">
        <f>SQRT(VAR(J74:O74))</f>
        <v>#DIV/0!</v>
      </c>
      <c r="R74" s="105">
        <f>COUNT(J74:O74)</f>
        <v>0</v>
      </c>
      <c r="U74" s="113"/>
      <c r="AC74" s="108" t="e">
        <f>AVERAGE(V74:AB74)</f>
        <v>#DIV/0!</v>
      </c>
      <c r="AD74" s="108" t="e">
        <f>SQRT(VAR(V74:AB74))</f>
        <v>#DIV/0!</v>
      </c>
      <c r="AE74" s="105">
        <f>COUNT(V74:AB74)</f>
        <v>0</v>
      </c>
    </row>
    <row r="75" spans="1:31" ht="25.5">
      <c r="A75" s="250"/>
      <c r="G75" s="105">
        <v>20</v>
      </c>
      <c r="H75" s="104" t="s">
        <v>117</v>
      </c>
      <c r="I75" s="104">
        <v>0.3</v>
      </c>
      <c r="J75" s="230"/>
      <c r="K75" s="230"/>
      <c r="L75" s="230"/>
      <c r="M75" s="230"/>
      <c r="N75" s="230"/>
      <c r="O75" s="230"/>
      <c r="P75" s="109" t="e">
        <f>AVERAGE(J75:O75)</f>
        <v>#DIV/0!</v>
      </c>
      <c r="Q75" s="109" t="e">
        <f>SQRT(VAR(J75:O75))</f>
        <v>#DIV/0!</v>
      </c>
      <c r="R75" s="104">
        <f>COUNT(J75:O75)</f>
        <v>0</v>
      </c>
      <c r="U75" s="113"/>
      <c r="V75" s="230"/>
      <c r="W75" s="230"/>
      <c r="X75" s="230"/>
      <c r="Y75" s="230"/>
      <c r="Z75" s="230"/>
      <c r="AA75" s="230"/>
      <c r="AB75" s="230"/>
      <c r="AC75" s="109" t="e">
        <f>AVERAGE(V75:AB75)</f>
        <v>#DIV/0!</v>
      </c>
      <c r="AD75" s="109" t="e">
        <f>SQRT(VAR(V75:AB75))</f>
        <v>#DIV/0!</v>
      </c>
      <c r="AE75" s="104">
        <f>COUNT(V75:AB75)</f>
        <v>0</v>
      </c>
    </row>
    <row r="76" spans="1:31" ht="25.5">
      <c r="A76" s="250"/>
      <c r="G76" s="105">
        <v>40</v>
      </c>
      <c r="H76" s="104" t="s">
        <v>117</v>
      </c>
      <c r="I76" s="104">
        <v>0.3</v>
      </c>
      <c r="J76" s="230"/>
      <c r="K76" s="230"/>
      <c r="L76" s="230"/>
      <c r="M76" s="230"/>
      <c r="N76" s="230"/>
      <c r="O76" s="230"/>
      <c r="P76" s="109" t="e">
        <f>AVERAGE(J76:O76)</f>
        <v>#DIV/0!</v>
      </c>
      <c r="Q76" s="109" t="e">
        <f>SQRT(VAR(J76:O76))</f>
        <v>#DIV/0!</v>
      </c>
      <c r="R76" s="104">
        <f>COUNT(J76:O76)</f>
        <v>0</v>
      </c>
      <c r="U76" s="113"/>
      <c r="V76" s="230"/>
      <c r="W76" s="230"/>
      <c r="X76" s="230"/>
      <c r="Y76" s="230"/>
      <c r="Z76" s="230"/>
      <c r="AA76" s="230"/>
      <c r="AB76" s="230"/>
      <c r="AC76" s="109" t="e">
        <f>AVERAGE(V76:AB76)</f>
        <v>#DIV/0!</v>
      </c>
      <c r="AD76" s="109" t="e">
        <f>SQRT(VAR(V76:AB76))</f>
        <v>#DIV/0!</v>
      </c>
      <c r="AE76" s="104">
        <f>COUNT(V76:AB76)</f>
        <v>0</v>
      </c>
    </row>
    <row r="77" spans="1:31">
      <c r="A77" s="67"/>
      <c r="P77" s="108"/>
    </row>
    <row r="78" spans="1:31" ht="26.45" customHeight="1">
      <c r="A78" s="251"/>
      <c r="B78" s="46" t="s">
        <v>39</v>
      </c>
      <c r="C78" s="46"/>
      <c r="D78" s="46"/>
      <c r="E78" s="46"/>
      <c r="F78" s="46"/>
      <c r="G78" s="46"/>
      <c r="H78" s="55"/>
      <c r="I78" s="55"/>
      <c r="J78" s="227"/>
      <c r="K78" s="227"/>
      <c r="L78" s="227"/>
      <c r="M78" s="227"/>
      <c r="N78" s="227"/>
      <c r="O78" s="227"/>
      <c r="P78" s="64"/>
      <c r="Q78" s="64"/>
      <c r="R78" s="55"/>
      <c r="U78" s="369" t="s">
        <v>68</v>
      </c>
      <c r="V78" s="227"/>
      <c r="W78" s="227"/>
      <c r="X78" s="227"/>
      <c r="Y78" s="227"/>
      <c r="Z78" s="227"/>
      <c r="AA78" s="227"/>
      <c r="AB78" s="227"/>
      <c r="AC78" s="64"/>
      <c r="AD78" s="64"/>
      <c r="AE78" s="55"/>
    </row>
    <row r="79" spans="1:31" ht="25.5">
      <c r="A79" s="251"/>
      <c r="B79" s="105" t="s">
        <v>173</v>
      </c>
      <c r="C79" s="105" t="s">
        <v>426</v>
      </c>
      <c r="D79" s="105" t="s">
        <v>137</v>
      </c>
      <c r="E79" s="105" t="s">
        <v>124</v>
      </c>
      <c r="H79" s="105" t="s">
        <v>115</v>
      </c>
      <c r="I79" s="105">
        <v>6.75</v>
      </c>
      <c r="J79" s="228">
        <f>UL_OH!R9*8.608</f>
        <v>8.8333311688311689</v>
      </c>
      <c r="P79" s="108">
        <f>AVERAGE(J79:O79)</f>
        <v>8.8333311688311689</v>
      </c>
      <c r="Q79" s="108" t="e">
        <f>SQRT(VAR(J79:O79))</f>
        <v>#DIV/0!</v>
      </c>
      <c r="R79" s="105">
        <f>COUNT(J79:O79)</f>
        <v>1</v>
      </c>
      <c r="U79" s="369"/>
      <c r="V79" s="228">
        <f>UL_OH!R9*8.643</f>
        <v>8.8692473620129881</v>
      </c>
      <c r="AC79" s="108">
        <f>AVERAGE(V79:AB79)</f>
        <v>8.8692473620129881</v>
      </c>
      <c r="AD79" s="108" t="e">
        <f>SQRT(VAR(V79:AB79))</f>
        <v>#DIV/0!</v>
      </c>
      <c r="AE79" s="105">
        <f>COUNT(V79:AB79)</f>
        <v>1</v>
      </c>
    </row>
    <row r="80" spans="1:31" ht="25.5">
      <c r="A80" s="251"/>
      <c r="H80" s="104" t="s">
        <v>117</v>
      </c>
      <c r="I80" s="104">
        <v>0.21</v>
      </c>
      <c r="J80" s="230">
        <f>UL_OH!R9*0.54</f>
        <v>0.55413555194805197</v>
      </c>
      <c r="K80" s="230"/>
      <c r="L80" s="230"/>
      <c r="M80" s="230"/>
      <c r="N80" s="230"/>
      <c r="O80" s="230"/>
      <c r="P80" s="109">
        <f>AVERAGE(J80:O80)</f>
        <v>0.55413555194805197</v>
      </c>
      <c r="Q80" s="109" t="e">
        <f>SQRT(VAR(J80:O80))</f>
        <v>#DIV/0!</v>
      </c>
      <c r="R80" s="104">
        <f>COUNT(J80:O80)</f>
        <v>1</v>
      </c>
      <c r="U80" s="369"/>
      <c r="V80" s="230">
        <f>UL_OH!R9*0.537</f>
        <v>0.55105702110389609</v>
      </c>
      <c r="W80" s="230"/>
      <c r="X80" s="230"/>
      <c r="Y80" s="230"/>
      <c r="Z80" s="230"/>
      <c r="AA80" s="230"/>
      <c r="AB80" s="230"/>
      <c r="AC80" s="109">
        <f>AVERAGE(V80:AB80)</f>
        <v>0.55105702110389609</v>
      </c>
      <c r="AD80" s="109" t="e">
        <f>SQRT(VAR(V80:AB80))</f>
        <v>#DIV/0!</v>
      </c>
      <c r="AE80" s="104">
        <f>COUNT(V80:AB80)</f>
        <v>1</v>
      </c>
    </row>
    <row r="81" spans="1:31">
      <c r="A81" s="251"/>
      <c r="P81" s="108"/>
      <c r="U81" s="369"/>
      <c r="AC81" s="108"/>
    </row>
    <row r="82" spans="1:31" ht="25.5">
      <c r="A82" s="251"/>
      <c r="B82" s="105" t="s">
        <v>173</v>
      </c>
      <c r="C82" s="105" t="s">
        <v>426</v>
      </c>
      <c r="D82" s="105" t="s">
        <v>186</v>
      </c>
      <c r="E82" s="105" t="s">
        <v>124</v>
      </c>
      <c r="H82" s="105" t="s">
        <v>115</v>
      </c>
      <c r="I82" s="105">
        <v>6.75</v>
      </c>
      <c r="P82" s="108" t="e">
        <f>AVERAGE(J82:O82)</f>
        <v>#DIV/0!</v>
      </c>
      <c r="Q82" s="108" t="e">
        <f>SQRT(VAR(J82:O82))</f>
        <v>#DIV/0!</v>
      </c>
      <c r="R82" s="105">
        <f>COUNT(J82:O82)</f>
        <v>0</v>
      </c>
      <c r="U82" s="369"/>
      <c r="AC82" s="108" t="e">
        <f>AVERAGE(V82:AB82)</f>
        <v>#DIV/0!</v>
      </c>
      <c r="AD82" s="108" t="e">
        <f>SQRT(VAR(V82:AB82))</f>
        <v>#DIV/0!</v>
      </c>
      <c r="AE82" s="105">
        <f>COUNT(V82:AB82)</f>
        <v>0</v>
      </c>
    </row>
    <row r="83" spans="1:31" ht="25.5">
      <c r="A83" s="251"/>
      <c r="H83" s="104" t="s">
        <v>117</v>
      </c>
      <c r="I83" s="104">
        <v>0.21</v>
      </c>
      <c r="J83" s="230"/>
      <c r="K83" s="230"/>
      <c r="L83" s="230"/>
      <c r="M83" s="230"/>
      <c r="N83" s="230"/>
      <c r="O83" s="230"/>
      <c r="P83" s="109" t="e">
        <f>AVERAGE(J83:O83)</f>
        <v>#DIV/0!</v>
      </c>
      <c r="Q83" s="109" t="e">
        <f>SQRT(VAR(J83:O83))</f>
        <v>#DIV/0!</v>
      </c>
      <c r="R83" s="104">
        <f>COUNT(J83:O83)</f>
        <v>0</v>
      </c>
      <c r="U83" s="369"/>
      <c r="V83" s="230"/>
      <c r="W83" s="230"/>
      <c r="X83" s="230"/>
      <c r="Y83" s="230"/>
      <c r="Z83" s="230"/>
      <c r="AA83" s="230"/>
      <c r="AB83" s="230"/>
      <c r="AC83" s="109" t="e">
        <f>AVERAGE(V83:AB83)</f>
        <v>#DIV/0!</v>
      </c>
      <c r="AD83" s="109" t="e">
        <f>SQRT(VAR(V83:AB83))</f>
        <v>#DIV/0!</v>
      </c>
      <c r="AE83" s="104">
        <f>COUNT(V83:AB83)</f>
        <v>0</v>
      </c>
    </row>
    <row r="84" spans="1:31">
      <c r="A84" s="251"/>
      <c r="P84" s="108"/>
      <c r="U84" s="369"/>
      <c r="AC84" s="108"/>
    </row>
    <row r="85" spans="1:31" ht="25.5">
      <c r="A85" s="251"/>
      <c r="B85" s="105" t="s">
        <v>173</v>
      </c>
      <c r="C85" s="105" t="s">
        <v>426</v>
      </c>
      <c r="D85" s="74" t="s">
        <v>246</v>
      </c>
      <c r="E85" s="105" t="s">
        <v>124</v>
      </c>
      <c r="H85" s="105" t="s">
        <v>115</v>
      </c>
      <c r="I85" s="105">
        <v>6.75</v>
      </c>
      <c r="J85" s="228">
        <f>UL_OH!R9*9.157</f>
        <v>9.3967023133116889</v>
      </c>
      <c r="K85" s="228">
        <v>9.27</v>
      </c>
      <c r="P85" s="108">
        <f>AVERAGE(J85:O85)</f>
        <v>9.3333511566558442</v>
      </c>
      <c r="Q85" s="108">
        <f>SQRT(VAR(J85:O85))</f>
        <v>8.9592064934718108E-2</v>
      </c>
      <c r="R85" s="105">
        <f>COUNT(J85:O85)</f>
        <v>2</v>
      </c>
      <c r="U85" s="369"/>
      <c r="V85" s="228">
        <f>UL_OH!R9*9.198</f>
        <v>9.4387755681818177</v>
      </c>
      <c r="W85" s="228">
        <v>8.7100000000000009</v>
      </c>
      <c r="AC85" s="108">
        <f>AVERAGE(V85:AB85)</f>
        <v>9.0743877840909093</v>
      </c>
      <c r="AD85" s="108">
        <f>SQRT(VAR(V85:AB85))</f>
        <v>0.51532214622444183</v>
      </c>
      <c r="AE85" s="105">
        <f>COUNT(V85:AB85)</f>
        <v>2</v>
      </c>
    </row>
    <row r="86" spans="1:31" ht="25.5">
      <c r="A86" s="251"/>
      <c r="H86" s="104" t="s">
        <v>117</v>
      </c>
      <c r="I86" s="104">
        <v>0.21</v>
      </c>
      <c r="J86" s="230">
        <f>UL_OH!R9*0.571</f>
        <v>0.58594703733766229</v>
      </c>
      <c r="K86" s="230">
        <v>0.623</v>
      </c>
      <c r="L86" s="230"/>
      <c r="M86" s="230"/>
      <c r="N86" s="230"/>
      <c r="O86" s="230"/>
      <c r="P86" s="109">
        <f>AVERAGE(J86:O86)</f>
        <v>0.60447351866883114</v>
      </c>
      <c r="Q86" s="109">
        <f>SQRT(VAR(J86:O86))</f>
        <v>2.6200401161590944E-2</v>
      </c>
      <c r="R86" s="104">
        <f>COUNT(J86:O86)</f>
        <v>2</v>
      </c>
      <c r="U86" s="369"/>
      <c r="V86" s="230">
        <f>UL_OH!R9*0.572</f>
        <v>0.58697321428571425</v>
      </c>
      <c r="W86" s="230">
        <v>0.53100000000000003</v>
      </c>
      <c r="X86" s="230"/>
      <c r="Y86" s="230"/>
      <c r="Z86" s="230"/>
      <c r="AA86" s="230"/>
      <c r="AB86" s="230"/>
      <c r="AC86" s="109">
        <f>AVERAGE(V86:AB86)</f>
        <v>0.55898660714285708</v>
      </c>
      <c r="AD86" s="109">
        <f>SQRT(VAR(V86:AB86))</f>
        <v>3.9579039386236262E-2</v>
      </c>
      <c r="AE86" s="104">
        <f>COUNT(V86:AB86)</f>
        <v>2</v>
      </c>
    </row>
    <row r="87" spans="1:31" ht="38.25">
      <c r="A87" s="112" t="s">
        <v>187</v>
      </c>
      <c r="P87" s="108"/>
      <c r="U87" s="369"/>
    </row>
    <row r="88" spans="1:31">
      <c r="A88" s="112"/>
      <c r="B88" s="46" t="s">
        <v>57</v>
      </c>
      <c r="C88" s="46"/>
      <c r="D88" s="46"/>
      <c r="E88" s="46"/>
      <c r="F88" s="46"/>
      <c r="G88" s="46"/>
      <c r="H88" s="55"/>
      <c r="I88" s="55"/>
      <c r="J88" s="227"/>
      <c r="K88" s="227"/>
      <c r="L88" s="227"/>
      <c r="M88" s="227"/>
      <c r="N88" s="227"/>
      <c r="O88" s="227"/>
      <c r="P88" s="64"/>
      <c r="Q88" s="64"/>
      <c r="R88" s="55"/>
      <c r="U88" s="369"/>
      <c r="V88" s="227"/>
      <c r="W88" s="227"/>
      <c r="X88" s="227"/>
      <c r="Y88" s="227"/>
      <c r="Z88" s="227"/>
      <c r="AA88" s="227"/>
      <c r="AB88" s="227"/>
      <c r="AC88" s="64"/>
      <c r="AD88" s="64"/>
      <c r="AE88" s="55"/>
    </row>
    <row r="89" spans="1:31" ht="38.25">
      <c r="A89" s="112"/>
      <c r="B89" s="105" t="s">
        <v>173</v>
      </c>
      <c r="C89" s="105" t="s">
        <v>426</v>
      </c>
      <c r="D89" s="105" t="s">
        <v>179</v>
      </c>
      <c r="E89" s="105" t="s">
        <v>125</v>
      </c>
      <c r="F89" s="105" t="s">
        <v>105</v>
      </c>
      <c r="H89" s="105" t="s">
        <v>115</v>
      </c>
      <c r="I89" s="105">
        <v>6.75</v>
      </c>
      <c r="J89" s="228">
        <f>UL_OH!R31*7.551</f>
        <v>6.9545344537815126</v>
      </c>
      <c r="P89" s="108">
        <f>AVERAGE(J89:O89)</f>
        <v>6.9545344537815126</v>
      </c>
      <c r="Q89" s="108" t="e">
        <f>SQRT(VAR(J89:O89))</f>
        <v>#DIV/0!</v>
      </c>
      <c r="R89" s="105">
        <f>COUNT(J89:O89)</f>
        <v>1</v>
      </c>
      <c r="U89" s="369"/>
      <c r="V89" s="228">
        <f>UL_OH!R31*7.604</f>
        <v>7.0033478991596638</v>
      </c>
      <c r="Z89" s="228">
        <f>UL_OH!R32*8.37</f>
        <v>8.3927397051192045</v>
      </c>
      <c r="AC89" s="108">
        <f>AVERAGE(V89:AB89)</f>
        <v>7.6980438021394342</v>
      </c>
      <c r="AD89" s="108">
        <f>SQRT(VAR(V89:AB89))</f>
        <v>0.982448367719015</v>
      </c>
      <c r="AE89" s="105">
        <f>COUNT(V89:AB89)</f>
        <v>2</v>
      </c>
    </row>
    <row r="90" spans="1:31" ht="25.5">
      <c r="A90" s="112"/>
      <c r="H90" s="104" t="s">
        <v>117</v>
      </c>
      <c r="I90" s="104">
        <v>0.21</v>
      </c>
      <c r="J90" s="230">
        <f>UL_OH!R31*0.42</f>
        <v>0.38682352941176468</v>
      </c>
      <c r="K90" s="230"/>
      <c r="L90" s="230"/>
      <c r="M90" s="230"/>
      <c r="N90" s="230"/>
      <c r="O90" s="230"/>
      <c r="P90" s="109">
        <f>AVERAGE(J90:O90)</f>
        <v>0.38682352941176468</v>
      </c>
      <c r="Q90" s="109" t="e">
        <f>SQRT(VAR(J90:O90))</f>
        <v>#DIV/0!</v>
      </c>
      <c r="R90" s="104">
        <f>COUNT(J90:O90)</f>
        <v>1</v>
      </c>
      <c r="U90" s="369"/>
      <c r="V90" s="230">
        <f>UL_OH!R31*0.423</f>
        <v>0.38958655462184871</v>
      </c>
      <c r="W90" s="230"/>
      <c r="X90" s="230"/>
      <c r="Y90" s="230"/>
      <c r="Z90" s="232">
        <f>UL_OH!R32*0.48</f>
        <v>0.48130406911077878</v>
      </c>
      <c r="AA90" s="230"/>
      <c r="AB90" s="230"/>
      <c r="AC90" s="109">
        <f>AVERAGE(V90:AB90)</f>
        <v>0.43544531186631374</v>
      </c>
      <c r="AD90" s="109">
        <f>SQRT(VAR(V90:AB90))</f>
        <v>6.4854076448697992E-2</v>
      </c>
      <c r="AE90" s="104">
        <f>COUNT(V90:AB90)</f>
        <v>2</v>
      </c>
    </row>
    <row r="91" spans="1:31">
      <c r="A91" s="112"/>
      <c r="P91" s="108"/>
      <c r="U91" s="369"/>
      <c r="AC91" s="108"/>
    </row>
    <row r="92" spans="1:31" ht="38.25">
      <c r="A92" s="112"/>
      <c r="B92" s="105" t="s">
        <v>173</v>
      </c>
      <c r="C92" s="105" t="s">
        <v>426</v>
      </c>
      <c r="D92" s="105" t="s">
        <v>179</v>
      </c>
      <c r="E92" s="105" t="s">
        <v>114</v>
      </c>
      <c r="F92" s="105" t="s">
        <v>105</v>
      </c>
      <c r="H92" s="105" t="s">
        <v>115</v>
      </c>
      <c r="I92" s="105">
        <v>6.75</v>
      </c>
      <c r="J92" s="228">
        <f>UL_OH!R21*7.545</f>
        <v>7.1742768166089963</v>
      </c>
      <c r="P92" s="108">
        <f>AVERAGE(J92:O92)</f>
        <v>7.1742768166089963</v>
      </c>
      <c r="Q92" s="108" t="e">
        <f>SQRT(VAR(J92:O92))</f>
        <v>#DIV/0!</v>
      </c>
      <c r="R92" s="105">
        <f>COUNT(J92:O92)</f>
        <v>1</v>
      </c>
      <c r="U92" s="369"/>
      <c r="V92" s="228">
        <f>UL_OH!R21*7.631</f>
        <v>7.2560512110726645</v>
      </c>
      <c r="AC92" s="108">
        <f>AVERAGE(V92:AB92)</f>
        <v>7.2560512110726645</v>
      </c>
      <c r="AD92" s="108" t="e">
        <f>SQRT(VAR(V92:AB92))</f>
        <v>#DIV/0!</v>
      </c>
      <c r="AE92" s="105">
        <f>COUNT(V92:AB92)</f>
        <v>1</v>
      </c>
    </row>
    <row r="93" spans="1:31" ht="25.5">
      <c r="A93" s="112"/>
      <c r="H93" s="104" t="s">
        <v>117</v>
      </c>
      <c r="I93" s="104">
        <v>0.21</v>
      </c>
      <c r="J93" s="230">
        <f>UL_OH!R21*0.419</f>
        <v>0.39841245674740483</v>
      </c>
      <c r="K93" s="230"/>
      <c r="L93" s="230"/>
      <c r="M93" s="230"/>
      <c r="N93" s="232"/>
      <c r="O93" s="230"/>
      <c r="P93" s="109">
        <f>AVERAGE(J93:O93)</f>
        <v>0.39841245674740483</v>
      </c>
      <c r="Q93" s="109" t="e">
        <f>SQRT(VAR(J93:O93))</f>
        <v>#DIV/0!</v>
      </c>
      <c r="R93" s="104">
        <f>COUNT(J93:O93)</f>
        <v>1</v>
      </c>
      <c r="U93" s="369"/>
      <c r="V93" s="230">
        <f>UL_OH!R21*0.428</f>
        <v>0.40697024221453287</v>
      </c>
      <c r="W93" s="230"/>
      <c r="X93" s="230"/>
      <c r="Y93" s="230"/>
      <c r="Z93" s="232"/>
      <c r="AA93" s="230"/>
      <c r="AB93" s="230"/>
      <c r="AC93" s="109">
        <f>AVERAGE(V93:AB93)</f>
        <v>0.40697024221453287</v>
      </c>
      <c r="AD93" s="109" t="e">
        <f>SQRT(VAR(V93:AB93))</f>
        <v>#DIV/0!</v>
      </c>
      <c r="AE93" s="104">
        <f>COUNT(V93:AB93)</f>
        <v>1</v>
      </c>
    </row>
    <row r="94" spans="1:31">
      <c r="A94" s="112"/>
      <c r="P94" s="108"/>
      <c r="U94" s="369"/>
    </row>
    <row r="95" spans="1:31" ht="38.25">
      <c r="A95" s="112"/>
      <c r="B95" s="105" t="s">
        <v>173</v>
      </c>
      <c r="C95" s="105" t="s">
        <v>426</v>
      </c>
      <c r="D95" s="105" t="s">
        <v>409</v>
      </c>
      <c r="E95" s="105" t="s">
        <v>125</v>
      </c>
      <c r="F95" s="105" t="s">
        <v>105</v>
      </c>
      <c r="H95" s="105" t="s">
        <v>115</v>
      </c>
      <c r="I95" s="105">
        <v>6.75</v>
      </c>
      <c r="J95" s="228">
        <f>UL_OH!R31*8.234</f>
        <v>7.5835831932773106</v>
      </c>
      <c r="P95" s="108">
        <f>AVERAGE(J95:O95)</f>
        <v>7.5835831932773106</v>
      </c>
      <c r="Q95" s="108" t="e">
        <f>SQRT(VAR(J95:O95))</f>
        <v>#DIV/0!</v>
      </c>
      <c r="R95" s="105">
        <f>COUNT(J95:O95)</f>
        <v>1</v>
      </c>
      <c r="U95" s="369"/>
      <c r="V95" s="228">
        <f>UL_OH!R31*8.277</f>
        <v>7.6231865546218476</v>
      </c>
      <c r="AC95" s="108">
        <f>AVERAGE(V95:AB95)</f>
        <v>7.6231865546218476</v>
      </c>
      <c r="AD95" s="108" t="e">
        <f>SQRT(VAR(V95:AB95))</f>
        <v>#DIV/0!</v>
      </c>
      <c r="AE95" s="105">
        <f>COUNT(V95:AB95)</f>
        <v>1</v>
      </c>
    </row>
    <row r="96" spans="1:31" ht="25.5">
      <c r="A96" s="112"/>
      <c r="H96" s="104" t="s">
        <v>117</v>
      </c>
      <c r="I96" s="104">
        <v>0.21</v>
      </c>
      <c r="J96" s="230">
        <f>UL_OH!R31*0.471</f>
        <v>0.43379495798319323</v>
      </c>
      <c r="K96" s="230"/>
      <c r="L96" s="230"/>
      <c r="M96" s="230"/>
      <c r="N96" s="232"/>
      <c r="O96" s="230"/>
      <c r="P96" s="109">
        <f>AVERAGE(J96:O96)</f>
        <v>0.43379495798319323</v>
      </c>
      <c r="Q96" s="109" t="e">
        <f>SQRT(VAR(J96:O96))</f>
        <v>#DIV/0!</v>
      </c>
      <c r="R96" s="104">
        <f>COUNT(J96:O96)</f>
        <v>1</v>
      </c>
      <c r="U96" s="369"/>
      <c r="V96" s="230">
        <f>UL_OH!R31*0.469</f>
        <v>0.43195294117647054</v>
      </c>
      <c r="W96" s="230"/>
      <c r="X96" s="230"/>
      <c r="Y96" s="230"/>
      <c r="Z96" s="232"/>
      <c r="AA96" s="230"/>
      <c r="AB96" s="230"/>
      <c r="AC96" s="109">
        <f>AVERAGE(V96:AB96)</f>
        <v>0.43195294117647054</v>
      </c>
      <c r="AD96" s="109" t="e">
        <f>SQRT(VAR(V96:AB96))</f>
        <v>#DIV/0!</v>
      </c>
      <c r="AE96" s="104">
        <f>COUNT(V96:AB96)</f>
        <v>1</v>
      </c>
    </row>
    <row r="97" spans="1:31">
      <c r="A97" s="112"/>
      <c r="P97" s="108"/>
      <c r="U97" s="369"/>
    </row>
    <row r="98" spans="1:31" ht="38.25">
      <c r="A98" s="112"/>
      <c r="B98" s="105" t="s">
        <v>173</v>
      </c>
      <c r="C98" s="105" t="s">
        <v>426</v>
      </c>
      <c r="D98" s="105" t="s">
        <v>409</v>
      </c>
      <c r="E98" s="105" t="s">
        <v>114</v>
      </c>
      <c r="F98" s="105" t="s">
        <v>105</v>
      </c>
      <c r="H98" s="105" t="s">
        <v>115</v>
      </c>
      <c r="I98" s="105">
        <v>6.75</v>
      </c>
      <c r="J98" s="228">
        <f>UL_OH!R21*8.279</f>
        <v>7.8722117647058827</v>
      </c>
      <c r="P98" s="108">
        <f>AVERAGE(J98:O98)</f>
        <v>7.8722117647058827</v>
      </c>
      <c r="Q98" s="108" t="e">
        <f>SQRT(VAR(J98:O98))</f>
        <v>#DIV/0!</v>
      </c>
      <c r="R98" s="105">
        <f>COUNT(J98:O98)</f>
        <v>1</v>
      </c>
      <c r="U98" s="369"/>
      <c r="V98" s="228">
        <f>UL_OH!R21*8.363</f>
        <v>7.952084429065744</v>
      </c>
      <c r="AC98" s="108">
        <f>AVERAGE(V98:AB98)</f>
        <v>7.952084429065744</v>
      </c>
      <c r="AD98" s="108" t="e">
        <f>SQRT(VAR(V98:AB98))</f>
        <v>#DIV/0!</v>
      </c>
      <c r="AE98" s="105">
        <f>COUNT(V98:AB98)</f>
        <v>1</v>
      </c>
    </row>
    <row r="99" spans="1:31" ht="25.5">
      <c r="A99" s="112"/>
      <c r="H99" s="104" t="s">
        <v>117</v>
      </c>
      <c r="I99" s="104">
        <v>0.21</v>
      </c>
      <c r="J99" s="230">
        <f>UL_OH!R21*0.459</f>
        <v>0.43644705882352947</v>
      </c>
      <c r="K99" s="230"/>
      <c r="L99" s="230"/>
      <c r="M99" s="230"/>
      <c r="N99" s="232"/>
      <c r="O99" s="230"/>
      <c r="P99" s="109">
        <f>AVERAGE(J99:O99)</f>
        <v>0.43644705882352947</v>
      </c>
      <c r="Q99" s="109" t="e">
        <f>SQRT(VAR(J99:O99))</f>
        <v>#DIV/0!</v>
      </c>
      <c r="R99" s="104">
        <f>COUNT(J99:O99)</f>
        <v>1</v>
      </c>
      <c r="U99" s="369"/>
      <c r="V99" s="230">
        <f>UL_OH!R21*0.476</f>
        <v>0.45261176470588232</v>
      </c>
      <c r="W99" s="230"/>
      <c r="X99" s="230"/>
      <c r="Y99" s="230"/>
      <c r="Z99" s="232"/>
      <c r="AA99" s="230"/>
      <c r="AB99" s="230"/>
      <c r="AC99" s="109">
        <f>AVERAGE(V99:AB99)</f>
        <v>0.45261176470588232</v>
      </c>
      <c r="AD99" s="109" t="e">
        <f>SQRT(VAR(V99:AB99))</f>
        <v>#DIV/0!</v>
      </c>
      <c r="AE99" s="104">
        <f>COUNT(V99:AB99)</f>
        <v>1</v>
      </c>
    </row>
    <row r="100" spans="1:31">
      <c r="A100" s="112"/>
      <c r="P100" s="108"/>
      <c r="U100" s="369"/>
    </row>
    <row r="101" spans="1:31" ht="38.25">
      <c r="A101" s="112"/>
      <c r="B101" s="105" t="s">
        <v>173</v>
      </c>
      <c r="C101" s="105" t="s">
        <v>426</v>
      </c>
      <c r="D101" s="105" t="s">
        <v>188</v>
      </c>
      <c r="E101" s="105" t="s">
        <v>124</v>
      </c>
      <c r="F101" s="105" t="s">
        <v>185</v>
      </c>
      <c r="H101" s="105" t="s">
        <v>115</v>
      </c>
      <c r="I101" s="105">
        <v>6.75</v>
      </c>
      <c r="P101" s="108" t="e">
        <f>AVERAGE(J101:O101)</f>
        <v>#DIV/0!</v>
      </c>
      <c r="Q101" s="108" t="e">
        <f>SQRT(VAR(J101:O101))</f>
        <v>#DIV/0!</v>
      </c>
      <c r="R101" s="105">
        <f>COUNT(J101:O101)</f>
        <v>0</v>
      </c>
      <c r="U101" s="369"/>
      <c r="AC101" s="108" t="e">
        <f>AVERAGE(V101:AB101)</f>
        <v>#DIV/0!</v>
      </c>
      <c r="AD101" s="108" t="e">
        <f>SQRT(VAR(V101:AB101))</f>
        <v>#DIV/0!</v>
      </c>
      <c r="AE101" s="105">
        <f>COUNT(V101:AB101)</f>
        <v>0</v>
      </c>
    </row>
    <row r="102" spans="1:31" ht="25.5">
      <c r="A102" s="112"/>
      <c r="H102" s="104" t="s">
        <v>117</v>
      </c>
      <c r="I102" s="104">
        <v>0.21</v>
      </c>
      <c r="J102" s="230"/>
      <c r="K102" s="230"/>
      <c r="L102" s="230"/>
      <c r="M102" s="230"/>
      <c r="N102" s="230"/>
      <c r="O102" s="230"/>
      <c r="P102" s="109" t="e">
        <f>AVERAGE(J102:O102)</f>
        <v>#DIV/0!</v>
      </c>
      <c r="Q102" s="109" t="e">
        <f>SQRT(VAR(J102:O102))</f>
        <v>#DIV/0!</v>
      </c>
      <c r="R102" s="104">
        <f>COUNT(J102:O102)</f>
        <v>0</v>
      </c>
      <c r="U102" s="369"/>
      <c r="V102" s="230"/>
      <c r="W102" s="230"/>
      <c r="X102" s="230"/>
      <c r="Y102" s="230"/>
      <c r="Z102" s="230"/>
      <c r="AA102" s="230"/>
      <c r="AB102" s="230"/>
      <c r="AC102" s="109" t="e">
        <f>AVERAGE(V102:AB102)</f>
        <v>#DIV/0!</v>
      </c>
      <c r="AD102" s="109" t="e">
        <f>SQRT(VAR(V102:AB102))</f>
        <v>#DIV/0!</v>
      </c>
      <c r="AE102" s="104">
        <f>COUNT(V102:AB102)</f>
        <v>0</v>
      </c>
    </row>
    <row r="103" spans="1:31">
      <c r="A103" s="112"/>
      <c r="P103" s="108"/>
      <c r="U103" s="251"/>
      <c r="AC103" s="108"/>
    </row>
    <row r="104" spans="1:31" ht="38.25">
      <c r="A104" s="112"/>
      <c r="B104" s="105" t="s">
        <v>173</v>
      </c>
      <c r="C104" s="105" t="s">
        <v>426</v>
      </c>
      <c r="D104" s="74" t="s">
        <v>247</v>
      </c>
      <c r="E104" s="105" t="s">
        <v>124</v>
      </c>
      <c r="F104" s="105" t="s">
        <v>185</v>
      </c>
      <c r="H104" s="105" t="s">
        <v>115</v>
      </c>
      <c r="I104" s="105">
        <v>6.75</v>
      </c>
      <c r="K104" s="229">
        <v>9.5704918032786903</v>
      </c>
      <c r="P104" s="108">
        <f>AVERAGE(J104:O104)</f>
        <v>9.5704918032786903</v>
      </c>
      <c r="Q104" s="108" t="e">
        <f>SQRT(VAR(J104:O104))</f>
        <v>#DIV/0!</v>
      </c>
      <c r="R104" s="105">
        <f>COUNT(J104:O104)</f>
        <v>1</v>
      </c>
      <c r="U104" s="251"/>
      <c r="W104" s="229">
        <v>9.2557377049180332</v>
      </c>
      <c r="AC104" s="108">
        <f>AVERAGE(V104:AB104)</f>
        <v>9.2557377049180332</v>
      </c>
      <c r="AD104" s="108" t="e">
        <f>SQRT(VAR(V104:AB104))</f>
        <v>#DIV/0!</v>
      </c>
      <c r="AE104" s="105">
        <f>COUNT(V104:AB104)</f>
        <v>1</v>
      </c>
    </row>
    <row r="105" spans="1:31" ht="25.5">
      <c r="A105" s="112"/>
      <c r="H105" s="104" t="s">
        <v>117</v>
      </c>
      <c r="I105" s="104">
        <v>0.21</v>
      </c>
      <c r="J105" s="230"/>
      <c r="K105" s="231">
        <v>0.6019672131147541</v>
      </c>
      <c r="L105" s="230"/>
      <c r="M105" s="230"/>
      <c r="N105" s="230"/>
      <c r="O105" s="230"/>
      <c r="P105" s="109">
        <f>AVERAGE(J105:O105)</f>
        <v>0.6019672131147541</v>
      </c>
      <c r="Q105" s="109" t="e">
        <f>SQRT(VAR(J105:O105))</f>
        <v>#DIV/0!</v>
      </c>
      <c r="R105" s="104">
        <f>COUNT(J105:O105)</f>
        <v>1</v>
      </c>
      <c r="U105" s="251"/>
      <c r="V105" s="230"/>
      <c r="W105" s="231">
        <v>0.56459016393442618</v>
      </c>
      <c r="X105" s="230"/>
      <c r="Y105" s="230"/>
      <c r="Z105" s="230"/>
      <c r="AA105" s="230"/>
      <c r="AB105" s="230"/>
      <c r="AC105" s="109">
        <f>AVERAGE(V105:AB105)</f>
        <v>0.56459016393442618</v>
      </c>
      <c r="AD105" s="109" t="e">
        <f>SQRT(VAR(V105:AB105))</f>
        <v>#DIV/0!</v>
      </c>
      <c r="AE105" s="104">
        <f>COUNT(V105:AB105)</f>
        <v>1</v>
      </c>
    </row>
    <row r="106" spans="1:31" ht="15">
      <c r="A106" s="112"/>
      <c r="K106" s="235"/>
      <c r="U106" s="251"/>
      <c r="V106" s="237"/>
    </row>
    <row r="107" spans="1:31" ht="38.25">
      <c r="A107" s="112"/>
      <c r="B107" s="105" t="s">
        <v>173</v>
      </c>
      <c r="C107" s="105" t="s">
        <v>426</v>
      </c>
      <c r="D107" s="74" t="s">
        <v>247</v>
      </c>
      <c r="E107" s="74" t="s">
        <v>121</v>
      </c>
      <c r="F107" s="105" t="s">
        <v>185</v>
      </c>
      <c r="H107" s="105" t="s">
        <v>115</v>
      </c>
      <c r="I107" s="105">
        <v>6.75</v>
      </c>
      <c r="K107" s="229">
        <v>9.25</v>
      </c>
      <c r="P107" s="108">
        <f>AVERAGE(J107:O107)</f>
        <v>9.25</v>
      </c>
      <c r="Q107" s="108" t="e">
        <f>SQRT(VAR(J107:O107))</f>
        <v>#DIV/0!</v>
      </c>
      <c r="R107" s="105">
        <f>COUNT(J107:O107)</f>
        <v>1</v>
      </c>
      <c r="U107" s="251"/>
      <c r="V107" s="237"/>
      <c r="W107" s="229">
        <v>8.99</v>
      </c>
      <c r="AC107" s="108">
        <f>AVERAGE(V107:AB107)</f>
        <v>8.99</v>
      </c>
      <c r="AD107" s="108" t="e">
        <f>SQRT(VAR(V107:AB107))</f>
        <v>#DIV/0!</v>
      </c>
      <c r="AE107" s="105">
        <f>COUNT(V107:AB107)</f>
        <v>1</v>
      </c>
    </row>
    <row r="108" spans="1:31" ht="25.5">
      <c r="A108" s="112"/>
      <c r="H108" s="104" t="s">
        <v>117</v>
      </c>
      <c r="I108" s="104">
        <v>0.21</v>
      </c>
      <c r="J108" s="230"/>
      <c r="K108" s="231">
        <v>0.58399999999999996</v>
      </c>
      <c r="L108" s="230"/>
      <c r="M108" s="230"/>
      <c r="N108" s="230"/>
      <c r="O108" s="230"/>
      <c r="P108" s="109">
        <f>AVERAGE(J108:O108)</f>
        <v>0.58399999999999996</v>
      </c>
      <c r="Q108" s="109" t="e">
        <f>SQRT(VAR(J108:O108))</f>
        <v>#DIV/0!</v>
      </c>
      <c r="R108" s="104">
        <f>COUNT(J108:O108)</f>
        <v>1</v>
      </c>
      <c r="U108" s="251"/>
      <c r="V108" s="238"/>
      <c r="W108" s="243">
        <v>0.52</v>
      </c>
      <c r="X108" s="242"/>
      <c r="Y108" s="242"/>
      <c r="Z108" s="230"/>
      <c r="AA108" s="241"/>
      <c r="AB108" s="241"/>
      <c r="AC108" s="109">
        <f>AVERAGE(V108:AB108)</f>
        <v>0.52</v>
      </c>
      <c r="AD108" s="109" t="e">
        <f>SQRT(VAR(V108:AB108))</f>
        <v>#DIV/0!</v>
      </c>
      <c r="AE108" s="104">
        <f>COUNT(V108:AB108)</f>
        <v>1</v>
      </c>
    </row>
    <row r="109" spans="1:31" ht="15">
      <c r="A109" s="112"/>
      <c r="K109" s="235"/>
      <c r="P109" s="108"/>
      <c r="U109" s="251"/>
      <c r="V109" s="237"/>
      <c r="W109" s="235"/>
      <c r="AC109" s="108"/>
    </row>
    <row r="110" spans="1:31" ht="38.25">
      <c r="A110" s="112"/>
      <c r="B110" s="105" t="s">
        <v>173</v>
      </c>
      <c r="C110" s="105" t="s">
        <v>426</v>
      </c>
      <c r="D110" s="74" t="s">
        <v>409</v>
      </c>
      <c r="E110" s="105" t="s">
        <v>124</v>
      </c>
      <c r="F110" s="105" t="s">
        <v>185</v>
      </c>
      <c r="H110" s="105" t="s">
        <v>115</v>
      </c>
      <c r="I110" s="105">
        <v>6.75</v>
      </c>
      <c r="K110" s="229">
        <v>8.99</v>
      </c>
      <c r="P110" s="108">
        <f>AVERAGE(J110:O110)</f>
        <v>8.99</v>
      </c>
      <c r="Q110" s="108" t="e">
        <f>SQRT(VAR(J110:O110))</f>
        <v>#DIV/0!</v>
      </c>
      <c r="R110" s="105">
        <f>COUNT(J110:O110)</f>
        <v>1</v>
      </c>
      <c r="U110" s="251"/>
      <c r="V110" s="237"/>
      <c r="W110" s="229">
        <v>8.65</v>
      </c>
      <c r="AC110" s="108">
        <f>AVERAGE(V110:AB110)</f>
        <v>8.65</v>
      </c>
      <c r="AD110" s="108" t="e">
        <f>SQRT(VAR(V110:AB110))</f>
        <v>#DIV/0!</v>
      </c>
      <c r="AE110" s="105">
        <f>COUNT(V110:AB110)</f>
        <v>1</v>
      </c>
    </row>
    <row r="111" spans="1:31" ht="25.5">
      <c r="A111" s="112"/>
      <c r="H111" s="104" t="s">
        <v>117</v>
      </c>
      <c r="I111" s="104">
        <v>0.21</v>
      </c>
      <c r="J111" s="230"/>
      <c r="K111" s="231">
        <v>0.63400000000000001</v>
      </c>
      <c r="L111" s="230"/>
      <c r="M111" s="230"/>
      <c r="N111" s="230"/>
      <c r="O111" s="230"/>
      <c r="P111" s="109">
        <f>AVERAGE(J111:O111)</f>
        <v>0.63400000000000001</v>
      </c>
      <c r="Q111" s="109" t="e">
        <f>SQRT(VAR(J111:O111))</f>
        <v>#DIV/0!</v>
      </c>
      <c r="R111" s="104">
        <f>COUNT(J111:O111)</f>
        <v>1</v>
      </c>
      <c r="U111" s="251"/>
      <c r="V111" s="238"/>
      <c r="W111" s="231">
        <v>0.53800000000000003</v>
      </c>
      <c r="X111" s="230"/>
      <c r="Y111" s="230"/>
      <c r="Z111" s="230"/>
      <c r="AA111" s="230"/>
      <c r="AB111" s="230"/>
      <c r="AC111" s="109">
        <f>AVERAGE(V111:AB111)</f>
        <v>0.53800000000000003</v>
      </c>
      <c r="AD111" s="109" t="e">
        <f>SQRT(VAR(V111:AB111))</f>
        <v>#DIV/0!</v>
      </c>
      <c r="AE111" s="104">
        <f>COUNT(V111:AB111)</f>
        <v>1</v>
      </c>
    </row>
    <row r="112" spans="1:31" ht="15">
      <c r="A112" s="112"/>
      <c r="K112" s="235"/>
      <c r="P112" s="108"/>
      <c r="U112" s="251"/>
      <c r="V112" s="237"/>
      <c r="AC112" s="108"/>
    </row>
    <row r="113" spans="1:31" ht="38.25">
      <c r="A113" s="112"/>
      <c r="B113" s="105" t="s">
        <v>173</v>
      </c>
      <c r="C113" s="105" t="s">
        <v>426</v>
      </c>
      <c r="D113" s="74" t="s">
        <v>409</v>
      </c>
      <c r="E113" s="74" t="s">
        <v>121</v>
      </c>
      <c r="F113" s="105" t="s">
        <v>185</v>
      </c>
      <c r="H113" s="105" t="s">
        <v>115</v>
      </c>
      <c r="I113" s="105">
        <v>6.75</v>
      </c>
      <c r="K113" s="229">
        <v>8.58</v>
      </c>
      <c r="P113" s="108">
        <f>AVERAGE(J113:O113)</f>
        <v>8.58</v>
      </c>
      <c r="Q113" s="108" t="e">
        <f>SQRT(VAR(J113:O113))</f>
        <v>#DIV/0!</v>
      </c>
      <c r="R113" s="105">
        <f>COUNT(J113:O113)</f>
        <v>1</v>
      </c>
      <c r="U113" s="251"/>
      <c r="V113" s="237"/>
      <c r="W113" s="229">
        <v>8.1199999999999992</v>
      </c>
      <c r="AC113" s="108">
        <f>AVERAGE(V113:AB113)</f>
        <v>8.1199999999999992</v>
      </c>
      <c r="AD113" s="108" t="e">
        <f>SQRT(VAR(V113:AB113))</f>
        <v>#DIV/0!</v>
      </c>
      <c r="AE113" s="105">
        <f>COUNT(V113:AB113)</f>
        <v>1</v>
      </c>
    </row>
    <row r="114" spans="1:31" ht="25.5">
      <c r="A114" s="112"/>
      <c r="H114" s="104" t="s">
        <v>117</v>
      </c>
      <c r="I114" s="104">
        <v>0.21</v>
      </c>
      <c r="J114" s="230"/>
      <c r="K114" s="231">
        <v>0.56599999999999995</v>
      </c>
      <c r="L114" s="230"/>
      <c r="M114" s="230"/>
      <c r="N114" s="230"/>
      <c r="O114" s="230"/>
      <c r="P114" s="109">
        <f>AVERAGE(J114:O114)</f>
        <v>0.56599999999999995</v>
      </c>
      <c r="Q114" s="109" t="e">
        <f>SQRT(VAR(J114:O114))</f>
        <v>#DIV/0!</v>
      </c>
      <c r="R114" s="104">
        <f>COUNT(J114:O114)</f>
        <v>1</v>
      </c>
      <c r="U114" s="251"/>
      <c r="V114" s="238"/>
      <c r="W114" s="231">
        <v>0.48099999999999998</v>
      </c>
      <c r="X114" s="230"/>
      <c r="Y114" s="230"/>
      <c r="Z114" s="230"/>
      <c r="AA114" s="230"/>
      <c r="AB114" s="230"/>
      <c r="AC114" s="109">
        <f>AVERAGE(V114:AB114)</f>
        <v>0.48099999999999998</v>
      </c>
      <c r="AD114" s="109" t="e">
        <f>SQRT(VAR(V114:AB114))</f>
        <v>#DIV/0!</v>
      </c>
      <c r="AE114" s="104">
        <f>COUNT(V114:AB114)</f>
        <v>1</v>
      </c>
    </row>
    <row r="115" spans="1:31">
      <c r="P115" s="108"/>
      <c r="AC115" s="108"/>
    </row>
    <row r="116" spans="1:31" ht="38.25">
      <c r="A116" s="112"/>
      <c r="B116" s="105" t="s">
        <v>173</v>
      </c>
      <c r="C116" s="105" t="s">
        <v>426</v>
      </c>
      <c r="D116" s="105" t="s">
        <v>179</v>
      </c>
      <c r="E116" s="105" t="s">
        <v>125</v>
      </c>
      <c r="F116" s="74" t="s">
        <v>225</v>
      </c>
      <c r="G116" s="74"/>
      <c r="H116" s="105" t="s">
        <v>115</v>
      </c>
      <c r="I116" s="105">
        <v>6.75</v>
      </c>
      <c r="N116" s="228">
        <f>UL_OH!R29*7.895</f>
        <v>8.258979703892539</v>
      </c>
      <c r="P116" s="108">
        <f>AVERAGE(J116:O116)</f>
        <v>8.258979703892539</v>
      </c>
      <c r="Q116" s="108" t="e">
        <f>SQRT(VAR(J116:O116))</f>
        <v>#DIV/0!</v>
      </c>
      <c r="R116" s="105">
        <f>COUNT(J116:O116)</f>
        <v>1</v>
      </c>
      <c r="U116" s="251"/>
      <c r="Z116" s="228">
        <f>UL_OH!R29*8.94</f>
        <v>9.3521568781253066</v>
      </c>
      <c r="AC116" s="108">
        <f>AVERAGE(V116:AB116)</f>
        <v>9.3521568781253066</v>
      </c>
      <c r="AD116" s="108" t="e">
        <f>SQRT(VAR(V116:AB116))</f>
        <v>#DIV/0!</v>
      </c>
      <c r="AE116" s="105">
        <f>COUNT(V116:AB116)</f>
        <v>1</v>
      </c>
    </row>
    <row r="117" spans="1:31" ht="25.5">
      <c r="A117" s="112"/>
      <c r="H117" s="104" t="s">
        <v>117</v>
      </c>
      <c r="I117" s="104">
        <v>0.21</v>
      </c>
      <c r="J117" s="230"/>
      <c r="K117" s="230"/>
      <c r="L117" s="230"/>
      <c r="M117" s="230"/>
      <c r="N117" s="232">
        <f>UL_OH!R29*0.506</f>
        <v>0.5293278948916561</v>
      </c>
      <c r="O117" s="230"/>
      <c r="P117" s="109">
        <f>AVERAGE(J117:O117)</f>
        <v>0.5293278948916561</v>
      </c>
      <c r="Q117" s="109" t="e">
        <f>SQRT(VAR(J117:O117))</f>
        <v>#DIV/0!</v>
      </c>
      <c r="R117" s="104">
        <f>COUNT(J117:O117)</f>
        <v>1</v>
      </c>
      <c r="U117" s="251"/>
      <c r="V117" s="230"/>
      <c r="W117" s="230"/>
      <c r="X117" s="230"/>
      <c r="Y117" s="230"/>
      <c r="Z117" s="242">
        <f>UL_OH!R29*0.51</f>
        <v>0.53351230512795378</v>
      </c>
      <c r="AA117" s="230"/>
      <c r="AB117" s="230"/>
      <c r="AC117" s="109">
        <f>AVERAGE(V117:AB117)</f>
        <v>0.53351230512795378</v>
      </c>
      <c r="AD117" s="109" t="e">
        <f>SQRT(VAR(V117:AB117))</f>
        <v>#DIV/0!</v>
      </c>
      <c r="AE117" s="104">
        <f>COUNT(V117:AB117)</f>
        <v>1</v>
      </c>
    </row>
    <row r="118" spans="1:31">
      <c r="P118" s="108"/>
      <c r="AC118" s="108"/>
    </row>
    <row r="119" spans="1:31">
      <c r="P119" s="108"/>
      <c r="AC119" s="108"/>
    </row>
    <row r="120" spans="1:31">
      <c r="P120" s="108"/>
      <c r="AC120" s="108"/>
    </row>
    <row r="121" spans="1:31">
      <c r="P121" s="108"/>
      <c r="AC121" s="108"/>
    </row>
    <row r="122" spans="1:31">
      <c r="P122" s="108"/>
      <c r="AC122" s="108"/>
    </row>
    <row r="123" spans="1:31">
      <c r="P123" s="108"/>
      <c r="AC123" s="108"/>
    </row>
    <row r="124" spans="1:31">
      <c r="P124" s="108"/>
      <c r="AC124" s="108"/>
    </row>
    <row r="125" spans="1:31">
      <c r="P125" s="108"/>
      <c r="AC125" s="108"/>
    </row>
    <row r="126" spans="1:31">
      <c r="P126" s="108"/>
      <c r="AC126" s="108"/>
    </row>
    <row r="127" spans="1:31">
      <c r="P127" s="108"/>
      <c r="AC127" s="108"/>
    </row>
    <row r="128" spans="1:31">
      <c r="P128" s="108"/>
      <c r="AC128" s="108"/>
    </row>
    <row r="129" spans="16:29">
      <c r="P129" s="108"/>
      <c r="AC129" s="108"/>
    </row>
    <row r="130" spans="16:29">
      <c r="P130" s="108"/>
      <c r="AC130" s="108"/>
    </row>
    <row r="131" spans="16:29">
      <c r="P131" s="108"/>
      <c r="AC131" s="108"/>
    </row>
    <row r="132" spans="16:29">
      <c r="P132" s="108"/>
      <c r="AC132" s="108"/>
    </row>
    <row r="133" spans="16:29">
      <c r="P133" s="108"/>
      <c r="AC133" s="108"/>
    </row>
    <row r="134" spans="16:29">
      <c r="P134" s="108"/>
      <c r="AC134" s="108"/>
    </row>
    <row r="135" spans="16:29">
      <c r="P135" s="108"/>
      <c r="AC135" s="108"/>
    </row>
    <row r="136" spans="16:29">
      <c r="P136" s="108"/>
      <c r="AC136" s="108"/>
    </row>
    <row r="137" spans="16:29">
      <c r="P137" s="108"/>
      <c r="AC137" s="108"/>
    </row>
    <row r="138" spans="16:29">
      <c r="P138" s="108"/>
      <c r="AC138" s="108"/>
    </row>
    <row r="139" spans="16:29">
      <c r="P139" s="108"/>
      <c r="AC139" s="108"/>
    </row>
    <row r="140" spans="16:29">
      <c r="P140" s="108"/>
      <c r="AC140" s="108"/>
    </row>
    <row r="141" spans="16:29">
      <c r="P141" s="108"/>
      <c r="AC141" s="108"/>
    </row>
    <row r="142" spans="16:29">
      <c r="P142" s="108"/>
      <c r="AC142" s="108"/>
    </row>
    <row r="143" spans="16:29">
      <c r="P143" s="108"/>
      <c r="AC143" s="108"/>
    </row>
    <row r="144" spans="16:29">
      <c r="P144" s="108"/>
      <c r="AC144" s="108"/>
    </row>
    <row r="145" spans="16:29">
      <c r="P145" s="108"/>
      <c r="AC145" s="108"/>
    </row>
    <row r="146" spans="16:29">
      <c r="P146" s="108"/>
      <c r="AC146" s="108"/>
    </row>
    <row r="147" spans="16:29">
      <c r="P147" s="108"/>
      <c r="AC147" s="108"/>
    </row>
    <row r="148" spans="16:29">
      <c r="P148" s="108"/>
      <c r="AC148" s="108"/>
    </row>
    <row r="149" spans="16:29">
      <c r="P149" s="108"/>
      <c r="AC149" s="108"/>
    </row>
    <row r="150" spans="16:29">
      <c r="P150" s="108"/>
      <c r="AC150" s="108"/>
    </row>
    <row r="151" spans="16:29">
      <c r="P151" s="108"/>
      <c r="AC151" s="108"/>
    </row>
    <row r="152" spans="16:29">
      <c r="P152" s="108"/>
      <c r="AC152" s="108"/>
    </row>
    <row r="153" spans="16:29">
      <c r="P153" s="108"/>
      <c r="AC153" s="108"/>
    </row>
    <row r="154" spans="16:29">
      <c r="P154" s="108"/>
      <c r="AC154" s="108"/>
    </row>
    <row r="155" spans="16:29">
      <c r="P155" s="108"/>
    </row>
    <row r="156" spans="16:29">
      <c r="P156" s="108"/>
    </row>
    <row r="157" spans="16:29">
      <c r="P157" s="108"/>
    </row>
    <row r="158" spans="16:29">
      <c r="P158" s="108"/>
    </row>
    <row r="159" spans="16:29">
      <c r="P159" s="108"/>
    </row>
    <row r="160" spans="16:29">
      <c r="P160" s="108"/>
    </row>
    <row r="170" spans="1:31" s="228" customFormat="1">
      <c r="A170" s="105"/>
      <c r="B170" s="105"/>
      <c r="C170" s="105"/>
      <c r="D170" s="105"/>
      <c r="E170" s="105"/>
      <c r="F170" s="105"/>
      <c r="G170" s="105"/>
      <c r="H170" s="105"/>
      <c r="I170" s="105"/>
      <c r="P170" s="105"/>
      <c r="Q170" s="108"/>
      <c r="R170" s="105"/>
      <c r="S170" s="105"/>
      <c r="T170" s="105"/>
      <c r="U170" s="105"/>
      <c r="AC170" s="105"/>
      <c r="AD170" s="108"/>
      <c r="AE170" s="105"/>
    </row>
    <row r="171" spans="1:31" s="228" customFormat="1">
      <c r="A171" s="105"/>
      <c r="B171" s="105"/>
      <c r="C171" s="105"/>
      <c r="D171" s="105"/>
      <c r="E171" s="105"/>
      <c r="F171" s="105"/>
      <c r="G171" s="105"/>
      <c r="H171" s="105"/>
      <c r="I171" s="105"/>
      <c r="P171" s="105"/>
      <c r="Q171" s="108"/>
      <c r="R171" s="105"/>
      <c r="S171" s="105"/>
      <c r="T171" s="105"/>
      <c r="U171" s="105"/>
      <c r="AC171" s="105"/>
      <c r="AD171" s="108"/>
      <c r="AE171" s="105"/>
    </row>
    <row r="172" spans="1:31" s="228" customFormat="1">
      <c r="A172" s="105"/>
      <c r="B172" s="105"/>
      <c r="C172" s="105"/>
      <c r="D172" s="105"/>
      <c r="E172" s="105"/>
      <c r="F172" s="105"/>
      <c r="G172" s="105"/>
      <c r="H172" s="105"/>
      <c r="I172" s="105"/>
      <c r="P172" s="105"/>
      <c r="Q172" s="108"/>
      <c r="R172" s="105"/>
      <c r="S172" s="105"/>
      <c r="T172" s="105"/>
      <c r="U172" s="105"/>
      <c r="AC172" s="105"/>
      <c r="AD172" s="108"/>
      <c r="AE172" s="105"/>
    </row>
    <row r="173" spans="1:31" s="228" customFormat="1">
      <c r="A173" s="105"/>
      <c r="B173" s="105"/>
      <c r="C173" s="105"/>
      <c r="D173" s="105"/>
      <c r="E173" s="105"/>
      <c r="F173" s="105"/>
      <c r="G173" s="105"/>
      <c r="H173" s="105"/>
      <c r="I173" s="105"/>
      <c r="P173" s="105"/>
      <c r="Q173" s="108"/>
      <c r="R173" s="105"/>
      <c r="S173" s="105"/>
      <c r="T173" s="105"/>
      <c r="U173" s="105"/>
      <c r="AC173" s="105"/>
      <c r="AD173" s="108"/>
      <c r="AE173" s="105"/>
    </row>
    <row r="174" spans="1:31" s="228" customFormat="1">
      <c r="A174" s="105"/>
      <c r="B174" s="105"/>
      <c r="C174" s="105"/>
      <c r="D174" s="105"/>
      <c r="E174" s="105"/>
      <c r="F174" s="105"/>
      <c r="G174" s="105"/>
      <c r="H174" s="105"/>
      <c r="I174" s="105"/>
      <c r="P174" s="105"/>
      <c r="Q174" s="108"/>
      <c r="R174" s="105"/>
      <c r="S174" s="105"/>
      <c r="T174" s="105"/>
      <c r="U174" s="105"/>
      <c r="AC174" s="105"/>
      <c r="AD174" s="108"/>
      <c r="AE174" s="105"/>
    </row>
    <row r="175" spans="1:31" s="228" customFormat="1">
      <c r="A175" s="105"/>
      <c r="B175" s="105"/>
      <c r="C175" s="105"/>
      <c r="D175" s="105"/>
      <c r="E175" s="105"/>
      <c r="F175" s="105"/>
      <c r="G175" s="105"/>
      <c r="H175" s="105"/>
      <c r="I175" s="105"/>
      <c r="P175" s="105"/>
      <c r="Q175" s="108"/>
      <c r="R175" s="105"/>
      <c r="S175" s="105"/>
      <c r="T175" s="105"/>
      <c r="U175" s="105"/>
      <c r="AC175" s="105"/>
      <c r="AD175" s="108"/>
      <c r="AE175" s="105"/>
    </row>
    <row r="176" spans="1:31" s="228" customFormat="1">
      <c r="A176" s="105"/>
      <c r="B176" s="105"/>
      <c r="C176" s="105"/>
      <c r="D176" s="105"/>
      <c r="E176" s="105"/>
      <c r="F176" s="105"/>
      <c r="G176" s="105"/>
      <c r="H176" s="105"/>
      <c r="I176" s="105"/>
      <c r="P176" s="105"/>
      <c r="Q176" s="108"/>
      <c r="R176" s="105"/>
      <c r="S176" s="105"/>
      <c r="T176" s="105"/>
      <c r="U176" s="105"/>
      <c r="AC176" s="105"/>
      <c r="AD176" s="108"/>
      <c r="AE176" s="105"/>
    </row>
    <row r="177" spans="1:31" s="228" customFormat="1">
      <c r="A177" s="105"/>
      <c r="B177" s="105"/>
      <c r="C177" s="105"/>
      <c r="D177" s="105"/>
      <c r="E177" s="105"/>
      <c r="F177" s="105"/>
      <c r="G177" s="105"/>
      <c r="H177" s="105"/>
      <c r="I177" s="105"/>
      <c r="P177" s="105"/>
      <c r="Q177" s="108"/>
      <c r="R177" s="105"/>
      <c r="S177" s="105"/>
      <c r="T177" s="105"/>
      <c r="U177" s="105"/>
      <c r="AC177" s="105"/>
      <c r="AD177" s="108"/>
      <c r="AE177" s="105"/>
    </row>
    <row r="178" spans="1:31" s="228" customFormat="1">
      <c r="A178" s="105"/>
      <c r="B178" s="105"/>
      <c r="C178" s="105"/>
      <c r="D178" s="105"/>
      <c r="E178" s="105"/>
      <c r="F178" s="105"/>
      <c r="G178" s="105"/>
      <c r="H178" s="105"/>
      <c r="I178" s="105"/>
      <c r="P178" s="105"/>
      <c r="Q178" s="108"/>
      <c r="R178" s="105"/>
      <c r="S178" s="105"/>
      <c r="T178" s="105"/>
      <c r="U178" s="105"/>
      <c r="AC178" s="105"/>
      <c r="AD178" s="108"/>
      <c r="AE178" s="105"/>
    </row>
    <row r="179" spans="1:31" s="228" customFormat="1">
      <c r="A179" s="105"/>
      <c r="B179" s="105"/>
      <c r="C179" s="105"/>
      <c r="D179" s="105"/>
      <c r="E179" s="105"/>
      <c r="F179" s="105"/>
      <c r="G179" s="105"/>
      <c r="H179" s="105"/>
      <c r="I179" s="105"/>
      <c r="P179" s="105"/>
      <c r="Q179" s="108"/>
      <c r="R179" s="105"/>
      <c r="S179" s="105"/>
      <c r="T179" s="105"/>
      <c r="U179" s="105"/>
      <c r="AC179" s="105"/>
      <c r="AD179" s="108"/>
      <c r="AE179" s="105"/>
    </row>
    <row r="180" spans="1:31" s="228" customFormat="1">
      <c r="A180" s="105"/>
      <c r="B180" s="105"/>
      <c r="C180" s="105"/>
      <c r="D180" s="105"/>
      <c r="E180" s="105"/>
      <c r="F180" s="105"/>
      <c r="G180" s="105"/>
      <c r="H180" s="105"/>
      <c r="I180" s="105"/>
      <c r="P180" s="105"/>
      <c r="Q180" s="108"/>
      <c r="R180" s="105"/>
      <c r="S180" s="105"/>
      <c r="T180" s="105"/>
      <c r="U180" s="105"/>
      <c r="AC180" s="105"/>
      <c r="AD180" s="108"/>
      <c r="AE180" s="105"/>
    </row>
    <row r="181" spans="1:31" s="228" customFormat="1">
      <c r="A181" s="105"/>
      <c r="B181" s="105"/>
      <c r="C181" s="105"/>
      <c r="D181" s="105"/>
      <c r="E181" s="105"/>
      <c r="F181" s="105"/>
      <c r="G181" s="105"/>
      <c r="H181" s="105"/>
      <c r="I181" s="105"/>
      <c r="P181" s="105"/>
      <c r="Q181" s="108"/>
      <c r="R181" s="105"/>
      <c r="S181" s="105"/>
      <c r="T181" s="105"/>
      <c r="U181" s="105"/>
      <c r="AC181" s="105"/>
      <c r="AD181" s="108"/>
      <c r="AE181" s="105"/>
    </row>
    <row r="182" spans="1:31" s="228" customFormat="1">
      <c r="A182" s="105"/>
      <c r="B182" s="105"/>
      <c r="C182" s="105"/>
      <c r="D182" s="105"/>
      <c r="E182" s="105"/>
      <c r="F182" s="105"/>
      <c r="G182" s="105"/>
      <c r="H182" s="105"/>
      <c r="I182" s="105"/>
      <c r="P182" s="105"/>
      <c r="Q182" s="108"/>
      <c r="R182" s="105"/>
      <c r="S182" s="105"/>
      <c r="T182" s="105"/>
      <c r="U182" s="105"/>
      <c r="AC182" s="105"/>
      <c r="AD182" s="108"/>
      <c r="AE182" s="105"/>
    </row>
    <row r="183" spans="1:31" s="228" customFormat="1">
      <c r="A183" s="105"/>
      <c r="B183" s="105"/>
      <c r="C183" s="105"/>
      <c r="D183" s="105"/>
      <c r="E183" s="105"/>
      <c r="F183" s="105"/>
      <c r="G183" s="105"/>
      <c r="H183" s="105"/>
      <c r="I183" s="105"/>
      <c r="P183" s="105"/>
      <c r="Q183" s="108"/>
      <c r="R183" s="105"/>
      <c r="S183" s="105"/>
      <c r="T183" s="105"/>
      <c r="U183" s="105"/>
      <c r="AC183" s="105"/>
      <c r="AD183" s="108"/>
      <c r="AE183" s="105"/>
    </row>
    <row r="184" spans="1:31" s="228" customFormat="1">
      <c r="A184" s="105"/>
      <c r="B184" s="105"/>
      <c r="C184" s="105"/>
      <c r="D184" s="105"/>
      <c r="E184" s="105"/>
      <c r="F184" s="105"/>
      <c r="G184" s="105"/>
      <c r="H184" s="105"/>
      <c r="I184" s="105"/>
      <c r="P184" s="105"/>
      <c r="Q184" s="108"/>
      <c r="R184" s="105"/>
      <c r="S184" s="105"/>
      <c r="T184" s="105"/>
      <c r="U184" s="105"/>
      <c r="AC184" s="105"/>
      <c r="AD184" s="108"/>
      <c r="AE184" s="105"/>
    </row>
    <row r="185" spans="1:31" s="228" customFormat="1">
      <c r="A185" s="105"/>
      <c r="B185" s="105"/>
      <c r="C185" s="105"/>
      <c r="D185" s="105"/>
      <c r="E185" s="105"/>
      <c r="F185" s="105"/>
      <c r="G185" s="105"/>
      <c r="H185" s="105"/>
      <c r="I185" s="105"/>
      <c r="P185" s="105"/>
      <c r="Q185" s="108"/>
      <c r="R185" s="105"/>
      <c r="S185" s="105"/>
      <c r="T185" s="105"/>
      <c r="U185" s="105"/>
      <c r="AC185" s="105"/>
      <c r="AD185" s="108"/>
      <c r="AE185" s="105"/>
    </row>
    <row r="186" spans="1:31" s="228" customFormat="1">
      <c r="A186" s="105"/>
      <c r="B186" s="105"/>
      <c r="C186" s="105"/>
      <c r="D186" s="105"/>
      <c r="E186" s="105"/>
      <c r="F186" s="105"/>
      <c r="G186" s="105"/>
      <c r="H186" s="105"/>
      <c r="I186" s="105"/>
      <c r="P186" s="105"/>
      <c r="Q186" s="108"/>
      <c r="R186" s="105"/>
      <c r="S186" s="105"/>
      <c r="T186" s="105"/>
      <c r="U186" s="105"/>
      <c r="AC186" s="105"/>
      <c r="AD186" s="108"/>
      <c r="AE186" s="105"/>
    </row>
    <row r="187" spans="1:31" s="228" customFormat="1">
      <c r="A187" s="105"/>
      <c r="B187" s="105"/>
      <c r="C187" s="105"/>
      <c r="D187" s="105"/>
      <c r="E187" s="105"/>
      <c r="F187" s="105"/>
      <c r="G187" s="105"/>
      <c r="H187" s="105"/>
      <c r="I187" s="105"/>
      <c r="P187" s="105"/>
      <c r="Q187" s="108"/>
      <c r="R187" s="105"/>
      <c r="S187" s="105"/>
      <c r="T187" s="105"/>
      <c r="U187" s="105"/>
      <c r="AC187" s="105"/>
      <c r="AD187" s="108"/>
      <c r="AE187" s="105"/>
    </row>
    <row r="188" spans="1:31" s="228" customFormat="1">
      <c r="A188" s="105"/>
      <c r="B188" s="105"/>
      <c r="C188" s="105"/>
      <c r="D188" s="105"/>
      <c r="E188" s="105"/>
      <c r="F188" s="105"/>
      <c r="G188" s="105"/>
      <c r="H188" s="105"/>
      <c r="I188" s="105"/>
      <c r="P188" s="105"/>
      <c r="Q188" s="108"/>
      <c r="R188" s="105"/>
      <c r="S188" s="105"/>
      <c r="T188" s="105"/>
      <c r="U188" s="105"/>
      <c r="AC188" s="105"/>
      <c r="AD188" s="108"/>
      <c r="AE188" s="105"/>
    </row>
    <row r="189" spans="1:31" s="228" customFormat="1">
      <c r="A189" s="105"/>
      <c r="B189" s="105"/>
      <c r="C189" s="105"/>
      <c r="D189" s="105"/>
      <c r="E189" s="105"/>
      <c r="F189" s="105"/>
      <c r="G189" s="105"/>
      <c r="H189" s="105"/>
      <c r="I189" s="105"/>
      <c r="P189" s="105"/>
      <c r="Q189" s="108"/>
      <c r="R189" s="105"/>
      <c r="S189" s="105"/>
      <c r="T189" s="105"/>
      <c r="U189" s="105"/>
      <c r="AC189" s="105"/>
      <c r="AD189" s="108"/>
      <c r="AE189" s="105"/>
    </row>
    <row r="190" spans="1:31" s="228" customFormat="1">
      <c r="A190" s="105"/>
      <c r="B190" s="105"/>
      <c r="C190" s="105"/>
      <c r="D190" s="105"/>
      <c r="E190" s="105"/>
      <c r="F190" s="105"/>
      <c r="G190" s="105"/>
      <c r="H190" s="105"/>
      <c r="I190" s="105"/>
      <c r="P190" s="105"/>
      <c r="Q190" s="108"/>
      <c r="R190" s="105"/>
      <c r="S190" s="105"/>
      <c r="T190" s="105"/>
      <c r="U190" s="105"/>
      <c r="AC190" s="105"/>
      <c r="AD190" s="108"/>
      <c r="AE190" s="105"/>
    </row>
    <row r="191" spans="1:31" s="228" customFormat="1">
      <c r="A191" s="105"/>
      <c r="B191" s="105"/>
      <c r="C191" s="105"/>
      <c r="D191" s="105"/>
      <c r="E191" s="105"/>
      <c r="F191" s="105"/>
      <c r="G191" s="105"/>
      <c r="H191" s="105"/>
      <c r="I191" s="105"/>
      <c r="P191" s="105"/>
      <c r="Q191" s="108"/>
      <c r="R191" s="105"/>
      <c r="S191" s="105"/>
      <c r="T191" s="105"/>
      <c r="U191" s="105"/>
      <c r="AC191" s="105"/>
      <c r="AD191" s="108"/>
      <c r="AE191" s="105"/>
    </row>
    <row r="192" spans="1:31" s="228" customFormat="1">
      <c r="A192" s="105"/>
      <c r="B192" s="105"/>
      <c r="C192" s="105"/>
      <c r="D192" s="105"/>
      <c r="E192" s="105"/>
      <c r="F192" s="105"/>
      <c r="G192" s="105"/>
      <c r="H192" s="105"/>
      <c r="I192" s="105"/>
      <c r="P192" s="105"/>
      <c r="Q192" s="108"/>
      <c r="R192" s="105"/>
      <c r="S192" s="105"/>
      <c r="T192" s="105"/>
      <c r="U192" s="105"/>
      <c r="AC192" s="105"/>
      <c r="AD192" s="108"/>
      <c r="AE192" s="105"/>
    </row>
    <row r="193" spans="1:31" s="228" customFormat="1">
      <c r="A193" s="105"/>
      <c r="B193" s="105"/>
      <c r="C193" s="105"/>
      <c r="D193" s="105"/>
      <c r="E193" s="105"/>
      <c r="F193" s="105"/>
      <c r="G193" s="105"/>
      <c r="H193" s="105"/>
      <c r="I193" s="105"/>
      <c r="P193" s="105"/>
      <c r="Q193" s="108"/>
      <c r="R193" s="105"/>
      <c r="S193" s="105"/>
      <c r="T193" s="105"/>
      <c r="U193" s="105"/>
      <c r="AC193" s="105"/>
      <c r="AD193" s="108"/>
      <c r="AE193" s="105"/>
    </row>
    <row r="194" spans="1:31" s="228" customFormat="1">
      <c r="A194" s="105"/>
      <c r="B194" s="105"/>
      <c r="C194" s="105"/>
      <c r="D194" s="105"/>
      <c r="E194" s="105"/>
      <c r="F194" s="105"/>
      <c r="G194" s="105"/>
      <c r="H194" s="105"/>
      <c r="I194" s="105"/>
      <c r="P194" s="105"/>
      <c r="Q194" s="108"/>
      <c r="R194" s="105"/>
      <c r="S194" s="105"/>
      <c r="T194" s="105"/>
      <c r="U194" s="105"/>
      <c r="AC194" s="105"/>
      <c r="AD194" s="108"/>
      <c r="AE194" s="105"/>
    </row>
    <row r="195" spans="1:31" s="228" customFormat="1">
      <c r="A195" s="105"/>
      <c r="B195" s="105"/>
      <c r="C195" s="105"/>
      <c r="D195" s="105"/>
      <c r="E195" s="105"/>
      <c r="F195" s="105"/>
      <c r="G195" s="105"/>
      <c r="H195" s="105"/>
      <c r="I195" s="105"/>
      <c r="P195" s="105"/>
      <c r="Q195" s="108"/>
      <c r="R195" s="105"/>
      <c r="S195" s="105"/>
      <c r="T195" s="105"/>
      <c r="U195" s="105"/>
      <c r="AC195" s="105"/>
      <c r="AD195" s="108"/>
      <c r="AE195" s="105"/>
    </row>
    <row r="196" spans="1:31" s="228" customFormat="1">
      <c r="A196" s="105"/>
      <c r="B196" s="105"/>
      <c r="C196" s="105"/>
      <c r="D196" s="105"/>
      <c r="E196" s="105"/>
      <c r="F196" s="105"/>
      <c r="G196" s="105"/>
      <c r="H196" s="105"/>
      <c r="I196" s="105"/>
      <c r="P196" s="105"/>
      <c r="Q196" s="108"/>
      <c r="R196" s="105"/>
      <c r="S196" s="105"/>
      <c r="T196" s="105"/>
      <c r="U196" s="105"/>
      <c r="AC196" s="105"/>
      <c r="AD196" s="108"/>
      <c r="AE196" s="105"/>
    </row>
    <row r="197" spans="1:31" s="228" customFormat="1">
      <c r="A197" s="105"/>
      <c r="B197" s="105"/>
      <c r="C197" s="105"/>
      <c r="D197" s="105"/>
      <c r="E197" s="105"/>
      <c r="F197" s="105"/>
      <c r="G197" s="105"/>
      <c r="H197" s="105"/>
      <c r="I197" s="105"/>
      <c r="P197" s="105"/>
      <c r="Q197" s="108"/>
      <c r="R197" s="105"/>
      <c r="S197" s="105"/>
      <c r="T197" s="105"/>
      <c r="U197" s="105"/>
      <c r="AC197" s="105"/>
      <c r="AD197" s="108"/>
      <c r="AE197" s="105"/>
    </row>
    <row r="198" spans="1:31" s="228" customFormat="1">
      <c r="A198" s="105"/>
      <c r="B198" s="105"/>
      <c r="C198" s="105"/>
      <c r="D198" s="105"/>
      <c r="E198" s="105"/>
      <c r="F198" s="105"/>
      <c r="G198" s="105"/>
      <c r="H198" s="105"/>
      <c r="I198" s="105"/>
      <c r="P198" s="105"/>
      <c r="Q198" s="108"/>
      <c r="R198" s="105"/>
      <c r="S198" s="105"/>
      <c r="T198" s="105"/>
      <c r="U198" s="105"/>
      <c r="AC198" s="105"/>
      <c r="AD198" s="108"/>
      <c r="AE198" s="105"/>
    </row>
    <row r="199" spans="1:31" s="228" customFormat="1">
      <c r="A199" s="105"/>
      <c r="B199" s="105"/>
      <c r="C199" s="105"/>
      <c r="D199" s="105"/>
      <c r="E199" s="105"/>
      <c r="F199" s="105"/>
      <c r="G199" s="105"/>
      <c r="H199" s="105"/>
      <c r="I199" s="105"/>
      <c r="P199" s="105"/>
      <c r="Q199" s="108"/>
      <c r="R199" s="105"/>
      <c r="S199" s="105"/>
      <c r="T199" s="105"/>
      <c r="U199" s="105"/>
      <c r="AC199" s="105"/>
      <c r="AD199" s="108"/>
      <c r="AE199" s="105"/>
    </row>
    <row r="200" spans="1:31" s="228" customFormat="1">
      <c r="A200" s="105"/>
      <c r="B200" s="105"/>
      <c r="C200" s="105"/>
      <c r="D200" s="105"/>
      <c r="E200" s="105"/>
      <c r="F200" s="105"/>
      <c r="G200" s="105"/>
      <c r="H200" s="105"/>
      <c r="I200" s="105"/>
      <c r="P200" s="105"/>
      <c r="Q200" s="108"/>
      <c r="R200" s="105"/>
      <c r="S200" s="105"/>
      <c r="T200" s="105"/>
      <c r="U200" s="105"/>
      <c r="AC200" s="105"/>
      <c r="AD200" s="108"/>
      <c r="AE200" s="105"/>
    </row>
    <row r="201" spans="1:31" s="228" customFormat="1">
      <c r="A201" s="105"/>
      <c r="B201" s="105"/>
      <c r="C201" s="105"/>
      <c r="D201" s="105"/>
      <c r="E201" s="105"/>
      <c r="F201" s="105"/>
      <c r="G201" s="105"/>
      <c r="H201" s="105"/>
      <c r="I201" s="105"/>
      <c r="P201" s="105"/>
      <c r="Q201" s="108"/>
      <c r="R201" s="105"/>
      <c r="S201" s="105"/>
      <c r="T201" s="105"/>
      <c r="U201" s="105"/>
      <c r="AC201" s="105"/>
      <c r="AD201" s="108"/>
      <c r="AE201" s="105"/>
    </row>
    <row r="202" spans="1:31" s="228" customFormat="1">
      <c r="A202" s="105"/>
      <c r="B202" s="105"/>
      <c r="C202" s="105"/>
      <c r="D202" s="105"/>
      <c r="E202" s="105"/>
      <c r="F202" s="105"/>
      <c r="G202" s="105"/>
      <c r="H202" s="105"/>
      <c r="I202" s="105"/>
      <c r="P202" s="105"/>
      <c r="Q202" s="108"/>
      <c r="R202" s="105"/>
      <c r="S202" s="105"/>
      <c r="T202" s="105"/>
      <c r="U202" s="105"/>
      <c r="AC202" s="105"/>
      <c r="AD202" s="108"/>
      <c r="AE202" s="105"/>
    </row>
    <row r="203" spans="1:31" s="228" customFormat="1">
      <c r="A203" s="105"/>
      <c r="B203" s="105"/>
      <c r="C203" s="105"/>
      <c r="D203" s="105"/>
      <c r="E203" s="105"/>
      <c r="F203" s="105"/>
      <c r="G203" s="105"/>
      <c r="H203" s="105"/>
      <c r="I203" s="105"/>
      <c r="P203" s="105"/>
      <c r="Q203" s="108"/>
      <c r="R203" s="105"/>
      <c r="S203" s="105"/>
      <c r="T203" s="105"/>
      <c r="U203" s="105"/>
      <c r="AC203" s="105"/>
      <c r="AD203" s="108"/>
      <c r="AE203" s="105"/>
    </row>
    <row r="204" spans="1:31" s="228" customFormat="1">
      <c r="A204" s="105"/>
      <c r="B204" s="105"/>
      <c r="C204" s="105"/>
      <c r="D204" s="105"/>
      <c r="E204" s="105"/>
      <c r="F204" s="105"/>
      <c r="G204" s="105"/>
      <c r="H204" s="105"/>
      <c r="I204" s="105"/>
      <c r="P204" s="105"/>
      <c r="Q204" s="108"/>
      <c r="R204" s="105"/>
      <c r="S204" s="105"/>
      <c r="T204" s="105"/>
      <c r="U204" s="105"/>
      <c r="AC204" s="105"/>
      <c r="AD204" s="108"/>
      <c r="AE204" s="105"/>
    </row>
    <row r="205" spans="1:31" s="228" customFormat="1">
      <c r="A205" s="105"/>
      <c r="B205" s="105"/>
      <c r="C205" s="105"/>
      <c r="D205" s="105"/>
      <c r="E205" s="105"/>
      <c r="F205" s="105"/>
      <c r="G205" s="105"/>
      <c r="H205" s="105"/>
      <c r="I205" s="105"/>
      <c r="P205" s="105"/>
      <c r="Q205" s="108"/>
      <c r="R205" s="105"/>
      <c r="S205" s="105"/>
      <c r="T205" s="105"/>
      <c r="U205" s="105"/>
      <c r="AC205" s="105"/>
      <c r="AD205" s="108"/>
      <c r="AE205" s="105"/>
    </row>
    <row r="206" spans="1:31" s="228" customFormat="1">
      <c r="A206" s="105"/>
      <c r="B206" s="105"/>
      <c r="C206" s="105"/>
      <c r="D206" s="105"/>
      <c r="E206" s="105"/>
      <c r="F206" s="105"/>
      <c r="G206" s="105"/>
      <c r="H206" s="105"/>
      <c r="I206" s="105"/>
      <c r="P206" s="105"/>
      <c r="Q206" s="108"/>
      <c r="R206" s="105"/>
      <c r="S206" s="105"/>
      <c r="T206" s="105"/>
      <c r="U206" s="105"/>
      <c r="AC206" s="105"/>
      <c r="AD206" s="108"/>
      <c r="AE206" s="105"/>
    </row>
    <row r="207" spans="1:31" s="228" customFormat="1">
      <c r="A207" s="105"/>
      <c r="B207" s="105"/>
      <c r="C207" s="105"/>
      <c r="D207" s="105"/>
      <c r="E207" s="105"/>
      <c r="F207" s="105"/>
      <c r="G207" s="105"/>
      <c r="H207" s="105"/>
      <c r="I207" s="105"/>
      <c r="P207" s="105"/>
      <c r="Q207" s="108"/>
      <c r="R207" s="105"/>
      <c r="S207" s="105"/>
      <c r="T207" s="105"/>
      <c r="U207" s="105"/>
      <c r="AC207" s="105"/>
      <c r="AD207" s="108"/>
      <c r="AE207" s="105"/>
    </row>
    <row r="208" spans="1:31" s="228" customFormat="1">
      <c r="A208" s="105"/>
      <c r="B208" s="105"/>
      <c r="C208" s="105"/>
      <c r="D208" s="105"/>
      <c r="E208" s="105"/>
      <c r="F208" s="105"/>
      <c r="G208" s="105"/>
      <c r="H208" s="105"/>
      <c r="I208" s="105"/>
      <c r="P208" s="105"/>
      <c r="Q208" s="108"/>
      <c r="R208" s="105"/>
      <c r="S208" s="105"/>
      <c r="T208" s="105"/>
      <c r="U208" s="105"/>
      <c r="AC208" s="105"/>
      <c r="AD208" s="108"/>
      <c r="AE208" s="105"/>
    </row>
    <row r="209" spans="1:31" s="228" customFormat="1">
      <c r="A209" s="105"/>
      <c r="B209" s="105"/>
      <c r="C209" s="105"/>
      <c r="D209" s="105"/>
      <c r="E209" s="105"/>
      <c r="F209" s="105"/>
      <c r="G209" s="105"/>
      <c r="H209" s="105"/>
      <c r="I209" s="105"/>
      <c r="P209" s="105"/>
      <c r="Q209" s="108"/>
      <c r="R209" s="105"/>
      <c r="S209" s="105"/>
      <c r="T209" s="105"/>
      <c r="U209" s="105"/>
      <c r="AC209" s="105"/>
      <c r="AD209" s="108"/>
      <c r="AE209" s="105"/>
    </row>
    <row r="210" spans="1:31" s="228" customFormat="1">
      <c r="A210" s="105"/>
      <c r="B210" s="105"/>
      <c r="C210" s="105"/>
      <c r="D210" s="105"/>
      <c r="E210" s="105"/>
      <c r="F210" s="105"/>
      <c r="G210" s="105"/>
      <c r="H210" s="105"/>
      <c r="I210" s="105"/>
      <c r="P210" s="105"/>
      <c r="Q210" s="108"/>
      <c r="R210" s="105"/>
      <c r="S210" s="105"/>
      <c r="T210" s="105"/>
      <c r="U210" s="105"/>
      <c r="AC210" s="105"/>
      <c r="AD210" s="108"/>
      <c r="AE210" s="105"/>
    </row>
    <row r="211" spans="1:31" s="228" customFormat="1">
      <c r="A211" s="105"/>
      <c r="B211" s="105"/>
      <c r="C211" s="105"/>
      <c r="D211" s="105"/>
      <c r="E211" s="105"/>
      <c r="F211" s="105"/>
      <c r="G211" s="105"/>
      <c r="H211" s="105"/>
      <c r="I211" s="105"/>
      <c r="P211" s="105"/>
      <c r="Q211" s="108"/>
      <c r="R211" s="105"/>
      <c r="S211" s="105"/>
      <c r="T211" s="105"/>
      <c r="U211" s="105"/>
      <c r="AC211" s="105"/>
      <c r="AD211" s="108"/>
      <c r="AE211" s="105"/>
    </row>
    <row r="212" spans="1:31" s="228" customFormat="1">
      <c r="A212" s="105"/>
      <c r="B212" s="105"/>
      <c r="C212" s="105"/>
      <c r="D212" s="105"/>
      <c r="E212" s="105"/>
      <c r="F212" s="105"/>
      <c r="G212" s="105"/>
      <c r="H212" s="105"/>
      <c r="I212" s="105"/>
      <c r="P212" s="105"/>
      <c r="Q212" s="108"/>
      <c r="R212" s="105"/>
      <c r="S212" s="105"/>
      <c r="T212" s="105"/>
      <c r="U212" s="105"/>
      <c r="AC212" s="105"/>
      <c r="AD212" s="108"/>
      <c r="AE212" s="105"/>
    </row>
    <row r="213" spans="1:31" s="228" customFormat="1">
      <c r="A213" s="105"/>
      <c r="B213" s="105"/>
      <c r="C213" s="105"/>
      <c r="D213" s="105"/>
      <c r="E213" s="105"/>
      <c r="F213" s="105"/>
      <c r="G213" s="105"/>
      <c r="H213" s="105"/>
      <c r="I213" s="105"/>
      <c r="P213" s="105"/>
      <c r="Q213" s="108"/>
      <c r="R213" s="105"/>
      <c r="S213" s="105"/>
      <c r="T213" s="105"/>
      <c r="U213" s="105"/>
      <c r="AC213" s="105"/>
      <c r="AD213" s="108"/>
      <c r="AE213" s="105"/>
    </row>
    <row r="214" spans="1:31" s="228" customFormat="1">
      <c r="A214" s="105"/>
      <c r="B214" s="105"/>
      <c r="C214" s="105"/>
      <c r="D214" s="105"/>
      <c r="E214" s="105"/>
      <c r="F214" s="105"/>
      <c r="G214" s="105"/>
      <c r="H214" s="105"/>
      <c r="I214" s="105"/>
      <c r="P214" s="105"/>
      <c r="Q214" s="108"/>
      <c r="R214" s="105"/>
      <c r="S214" s="105"/>
      <c r="T214" s="105"/>
      <c r="U214" s="105"/>
      <c r="AC214" s="105"/>
      <c r="AD214" s="108"/>
      <c r="AE214" s="105"/>
    </row>
    <row r="215" spans="1:31" s="228" customFormat="1">
      <c r="A215" s="105"/>
      <c r="B215" s="105"/>
      <c r="C215" s="105"/>
      <c r="D215" s="105"/>
      <c r="E215" s="105"/>
      <c r="F215" s="105"/>
      <c r="G215" s="105"/>
      <c r="H215" s="105"/>
      <c r="I215" s="105"/>
      <c r="P215" s="105"/>
      <c r="Q215" s="108"/>
      <c r="R215" s="105"/>
      <c r="S215" s="105"/>
      <c r="T215" s="105"/>
      <c r="U215" s="105"/>
      <c r="AC215" s="105"/>
      <c r="AD215" s="108"/>
      <c r="AE215" s="105"/>
    </row>
    <row r="216" spans="1:31" s="228" customFormat="1">
      <c r="A216" s="105"/>
      <c r="B216" s="105"/>
      <c r="C216" s="105"/>
      <c r="D216" s="105"/>
      <c r="E216" s="105"/>
      <c r="F216" s="105"/>
      <c r="G216" s="105"/>
      <c r="H216" s="105"/>
      <c r="I216" s="105"/>
      <c r="P216" s="105"/>
      <c r="Q216" s="108"/>
      <c r="R216" s="105"/>
      <c r="S216" s="105"/>
      <c r="T216" s="105"/>
      <c r="U216" s="105"/>
      <c r="AC216" s="105"/>
      <c r="AD216" s="108"/>
      <c r="AE216" s="105"/>
    </row>
    <row r="217" spans="1:31" s="228" customFormat="1">
      <c r="A217" s="105"/>
      <c r="B217" s="105"/>
      <c r="C217" s="105"/>
      <c r="D217" s="105"/>
      <c r="E217" s="105"/>
      <c r="F217" s="105"/>
      <c r="G217" s="105"/>
      <c r="H217" s="105"/>
      <c r="I217" s="105"/>
      <c r="P217" s="105"/>
      <c r="Q217" s="108"/>
      <c r="R217" s="105"/>
      <c r="S217" s="105"/>
      <c r="T217" s="105"/>
      <c r="U217" s="105"/>
      <c r="AC217" s="105"/>
      <c r="AD217" s="108"/>
      <c r="AE217" s="105"/>
    </row>
    <row r="218" spans="1:31" s="228" customFormat="1">
      <c r="A218" s="105"/>
      <c r="B218" s="105"/>
      <c r="C218" s="105"/>
      <c r="D218" s="105"/>
      <c r="E218" s="105"/>
      <c r="F218" s="105"/>
      <c r="G218" s="105"/>
      <c r="H218" s="105"/>
      <c r="I218" s="105"/>
      <c r="P218" s="105"/>
      <c r="Q218" s="108"/>
      <c r="R218" s="105"/>
      <c r="S218" s="105"/>
      <c r="T218" s="105"/>
      <c r="U218" s="105"/>
      <c r="AC218" s="105"/>
      <c r="AD218" s="108"/>
      <c r="AE218" s="105"/>
    </row>
    <row r="219" spans="1:31" s="228" customFormat="1">
      <c r="A219" s="105"/>
      <c r="B219" s="105"/>
      <c r="C219" s="105"/>
      <c r="D219" s="105"/>
      <c r="E219" s="105"/>
      <c r="F219" s="105"/>
      <c r="G219" s="105"/>
      <c r="H219" s="105"/>
      <c r="I219" s="105"/>
      <c r="P219" s="105"/>
      <c r="Q219" s="108"/>
      <c r="R219" s="105"/>
      <c r="S219" s="105"/>
      <c r="T219" s="105"/>
      <c r="U219" s="105"/>
      <c r="AC219" s="105"/>
      <c r="AD219" s="108"/>
      <c r="AE219" s="105"/>
    </row>
    <row r="220" spans="1:31" s="228" customFormat="1">
      <c r="A220" s="105"/>
      <c r="B220" s="105"/>
      <c r="C220" s="105"/>
      <c r="D220" s="105"/>
      <c r="E220" s="105"/>
      <c r="F220" s="105"/>
      <c r="G220" s="105"/>
      <c r="H220" s="105"/>
      <c r="I220" s="105"/>
      <c r="P220" s="105"/>
      <c r="Q220" s="108"/>
      <c r="R220" s="105"/>
      <c r="S220" s="105"/>
      <c r="T220" s="105"/>
      <c r="U220" s="105"/>
      <c r="AC220" s="105"/>
      <c r="AD220" s="108"/>
      <c r="AE220" s="105"/>
    </row>
    <row r="221" spans="1:31" s="228" customFormat="1">
      <c r="A221" s="105"/>
      <c r="B221" s="105"/>
      <c r="C221" s="105"/>
      <c r="D221" s="105"/>
      <c r="E221" s="105"/>
      <c r="F221" s="105"/>
      <c r="G221" s="105"/>
      <c r="H221" s="105"/>
      <c r="I221" s="105"/>
      <c r="P221" s="105"/>
      <c r="Q221" s="108"/>
      <c r="R221" s="105"/>
      <c r="S221" s="105"/>
      <c r="T221" s="105"/>
      <c r="U221" s="105"/>
      <c r="AC221" s="105"/>
      <c r="AD221" s="108"/>
      <c r="AE221" s="105"/>
    </row>
    <row r="222" spans="1:31" s="228" customFormat="1">
      <c r="A222" s="105"/>
      <c r="B222" s="105"/>
      <c r="C222" s="105"/>
      <c r="D222" s="105"/>
      <c r="E222" s="105"/>
      <c r="F222" s="105"/>
      <c r="G222" s="105"/>
      <c r="H222" s="105"/>
      <c r="I222" s="105"/>
      <c r="P222" s="105"/>
      <c r="Q222" s="108"/>
      <c r="R222" s="105"/>
      <c r="S222" s="105"/>
      <c r="T222" s="105"/>
      <c r="U222" s="105"/>
      <c r="AC222" s="105"/>
      <c r="AD222" s="108"/>
      <c r="AE222" s="105"/>
    </row>
    <row r="223" spans="1:31" s="228" customFormat="1">
      <c r="A223" s="105"/>
      <c r="B223" s="105"/>
      <c r="C223" s="105"/>
      <c r="D223" s="105"/>
      <c r="E223" s="105"/>
      <c r="F223" s="105"/>
      <c r="G223" s="105"/>
      <c r="H223" s="105"/>
      <c r="I223" s="105"/>
      <c r="P223" s="105"/>
      <c r="Q223" s="108"/>
      <c r="R223" s="105"/>
      <c r="S223" s="105"/>
      <c r="T223" s="105"/>
      <c r="U223" s="105"/>
      <c r="AC223" s="105"/>
      <c r="AD223" s="108"/>
      <c r="AE223" s="105"/>
    </row>
    <row r="224" spans="1:31" s="228" customFormat="1">
      <c r="A224" s="105"/>
      <c r="B224" s="105"/>
      <c r="C224" s="105"/>
      <c r="D224" s="105"/>
      <c r="E224" s="105"/>
      <c r="F224" s="105"/>
      <c r="G224" s="105"/>
      <c r="H224" s="105"/>
      <c r="I224" s="105"/>
      <c r="P224" s="105"/>
      <c r="Q224" s="108"/>
      <c r="R224" s="105"/>
      <c r="S224" s="105"/>
      <c r="T224" s="105"/>
      <c r="U224" s="105"/>
      <c r="AC224" s="105"/>
      <c r="AD224" s="108"/>
      <c r="AE224" s="105"/>
    </row>
    <row r="225" spans="1:31" s="228" customFormat="1">
      <c r="A225" s="105"/>
      <c r="B225" s="105"/>
      <c r="C225" s="105"/>
      <c r="D225" s="105"/>
      <c r="E225" s="105"/>
      <c r="F225" s="105"/>
      <c r="G225" s="105"/>
      <c r="H225" s="105"/>
      <c r="I225" s="105"/>
      <c r="P225" s="105"/>
      <c r="Q225" s="108"/>
      <c r="R225" s="105"/>
      <c r="S225" s="105"/>
      <c r="T225" s="105"/>
      <c r="U225" s="105"/>
      <c r="AC225" s="105"/>
      <c r="AD225" s="108"/>
      <c r="AE225" s="105"/>
    </row>
    <row r="226" spans="1:31" s="228" customFormat="1">
      <c r="A226" s="105"/>
      <c r="B226" s="105"/>
      <c r="C226" s="105"/>
      <c r="D226" s="105"/>
      <c r="E226" s="105"/>
      <c r="F226" s="105"/>
      <c r="G226" s="105"/>
      <c r="H226" s="105"/>
      <c r="I226" s="105"/>
      <c r="P226" s="105"/>
      <c r="Q226" s="108"/>
      <c r="R226" s="105"/>
      <c r="S226" s="105"/>
      <c r="T226" s="105"/>
      <c r="U226" s="105"/>
      <c r="AC226" s="105"/>
      <c r="AD226" s="108"/>
      <c r="AE226" s="105"/>
    </row>
    <row r="227" spans="1:31" s="228" customFormat="1">
      <c r="A227" s="105"/>
      <c r="B227" s="105"/>
      <c r="C227" s="105"/>
      <c r="D227" s="105"/>
      <c r="E227" s="105"/>
      <c r="F227" s="105"/>
      <c r="G227" s="105"/>
      <c r="H227" s="105"/>
      <c r="I227" s="105"/>
      <c r="P227" s="105"/>
      <c r="Q227" s="108"/>
      <c r="R227" s="105"/>
      <c r="S227" s="105"/>
      <c r="T227" s="105"/>
      <c r="U227" s="105"/>
      <c r="AC227" s="105"/>
      <c r="AD227" s="108"/>
      <c r="AE227" s="105"/>
    </row>
    <row r="228" spans="1:31" s="228" customFormat="1">
      <c r="A228" s="105"/>
      <c r="B228" s="105"/>
      <c r="C228" s="105"/>
      <c r="D228" s="105"/>
      <c r="E228" s="105"/>
      <c r="F228" s="105"/>
      <c r="G228" s="105"/>
      <c r="H228" s="105"/>
      <c r="I228" s="105"/>
      <c r="P228" s="105"/>
      <c r="Q228" s="108"/>
      <c r="R228" s="105"/>
      <c r="S228" s="105"/>
      <c r="T228" s="105"/>
      <c r="U228" s="105"/>
      <c r="AC228" s="105"/>
      <c r="AD228" s="108"/>
      <c r="AE228" s="105"/>
    </row>
    <row r="229" spans="1:31" s="228" customFormat="1">
      <c r="A229" s="105"/>
      <c r="B229" s="105"/>
      <c r="C229" s="105"/>
      <c r="D229" s="105"/>
      <c r="E229" s="105"/>
      <c r="F229" s="105"/>
      <c r="G229" s="105"/>
      <c r="H229" s="105"/>
      <c r="I229" s="105"/>
      <c r="P229" s="105"/>
      <c r="Q229" s="108"/>
      <c r="R229" s="105"/>
      <c r="S229" s="105"/>
      <c r="T229" s="105"/>
      <c r="U229" s="105"/>
      <c r="AC229" s="105"/>
      <c r="AD229" s="108"/>
      <c r="AE229" s="105"/>
    </row>
    <row r="230" spans="1:31" s="228" customFormat="1">
      <c r="A230" s="105"/>
      <c r="B230" s="105"/>
      <c r="C230" s="105"/>
      <c r="D230" s="105"/>
      <c r="E230" s="105"/>
      <c r="F230" s="105"/>
      <c r="G230" s="105"/>
      <c r="H230" s="105"/>
      <c r="I230" s="105"/>
      <c r="P230" s="105"/>
      <c r="Q230" s="108"/>
      <c r="R230" s="105"/>
      <c r="S230" s="105"/>
      <c r="T230" s="105"/>
      <c r="U230" s="105"/>
      <c r="AC230" s="105"/>
      <c r="AD230" s="108"/>
      <c r="AE230" s="105"/>
    </row>
    <row r="231" spans="1:31" s="228" customFormat="1">
      <c r="A231" s="105"/>
      <c r="B231" s="105"/>
      <c r="C231" s="105"/>
      <c r="D231" s="105"/>
      <c r="E231" s="105"/>
      <c r="F231" s="105"/>
      <c r="G231" s="105"/>
      <c r="H231" s="105"/>
      <c r="I231" s="105"/>
      <c r="P231" s="105"/>
      <c r="Q231" s="108"/>
      <c r="R231" s="105"/>
      <c r="S231" s="105"/>
      <c r="T231" s="105"/>
      <c r="U231" s="105"/>
      <c r="AC231" s="105"/>
      <c r="AD231" s="108"/>
      <c r="AE231" s="105"/>
    </row>
    <row r="232" spans="1:31" s="228" customFormat="1">
      <c r="A232" s="105"/>
      <c r="B232" s="105"/>
      <c r="C232" s="105"/>
      <c r="D232" s="105"/>
      <c r="E232" s="105"/>
      <c r="F232" s="105"/>
      <c r="G232" s="105"/>
      <c r="H232" s="105"/>
      <c r="I232" s="105"/>
      <c r="P232" s="105"/>
      <c r="Q232" s="108"/>
      <c r="R232" s="105"/>
      <c r="S232" s="105"/>
      <c r="T232" s="105"/>
      <c r="U232" s="105"/>
      <c r="AC232" s="105"/>
      <c r="AD232" s="108"/>
      <c r="AE232" s="105"/>
    </row>
    <row r="233" spans="1:31" s="228" customFormat="1">
      <c r="A233" s="105"/>
      <c r="B233" s="105"/>
      <c r="C233" s="105"/>
      <c r="D233" s="105"/>
      <c r="E233" s="105"/>
      <c r="F233" s="105"/>
      <c r="G233" s="105"/>
      <c r="H233" s="105"/>
      <c r="I233" s="105"/>
      <c r="P233" s="105"/>
      <c r="Q233" s="108"/>
      <c r="R233" s="105"/>
      <c r="S233" s="105"/>
      <c r="T233" s="105"/>
      <c r="U233" s="105"/>
      <c r="AC233" s="105"/>
      <c r="AD233" s="108"/>
      <c r="AE233" s="105"/>
    </row>
    <row r="234" spans="1:31" s="228" customFormat="1">
      <c r="A234" s="105"/>
      <c r="B234" s="105"/>
      <c r="C234" s="105"/>
      <c r="D234" s="105"/>
      <c r="E234" s="105"/>
      <c r="F234" s="105"/>
      <c r="G234" s="105"/>
      <c r="H234" s="105"/>
      <c r="I234" s="105"/>
      <c r="P234" s="105"/>
      <c r="Q234" s="108"/>
      <c r="R234" s="105"/>
      <c r="S234" s="105"/>
      <c r="T234" s="105"/>
      <c r="U234" s="105"/>
      <c r="AC234" s="105"/>
      <c r="AD234" s="108"/>
      <c r="AE234" s="105"/>
    </row>
    <row r="235" spans="1:31" s="228" customFormat="1">
      <c r="A235" s="105"/>
      <c r="B235" s="105"/>
      <c r="C235" s="105"/>
      <c r="D235" s="105"/>
      <c r="E235" s="105"/>
      <c r="F235" s="105"/>
      <c r="G235" s="105"/>
      <c r="H235" s="105"/>
      <c r="I235" s="105"/>
      <c r="P235" s="105"/>
      <c r="Q235" s="108"/>
      <c r="R235" s="105"/>
      <c r="S235" s="105"/>
      <c r="T235" s="105"/>
      <c r="U235" s="105"/>
      <c r="AC235" s="105"/>
      <c r="AD235" s="108"/>
      <c r="AE235" s="105"/>
    </row>
    <row r="236" spans="1:31" s="228" customFormat="1">
      <c r="A236" s="105"/>
      <c r="B236" s="105"/>
      <c r="C236" s="105"/>
      <c r="D236" s="105"/>
      <c r="E236" s="105"/>
      <c r="F236" s="105"/>
      <c r="G236" s="105"/>
      <c r="H236" s="105"/>
      <c r="I236" s="105"/>
      <c r="P236" s="105"/>
      <c r="Q236" s="108"/>
      <c r="R236" s="105"/>
      <c r="S236" s="105"/>
      <c r="T236" s="105"/>
      <c r="U236" s="105"/>
      <c r="AC236" s="105"/>
      <c r="AD236" s="108"/>
      <c r="AE236" s="105"/>
    </row>
    <row r="237" spans="1:31" s="228" customFormat="1">
      <c r="A237" s="105"/>
      <c r="B237" s="105"/>
      <c r="C237" s="105"/>
      <c r="D237" s="105"/>
      <c r="E237" s="105"/>
      <c r="F237" s="105"/>
      <c r="G237" s="105"/>
      <c r="H237" s="105"/>
      <c r="I237" s="105"/>
      <c r="P237" s="105"/>
      <c r="Q237" s="108"/>
      <c r="R237" s="105"/>
      <c r="S237" s="105"/>
      <c r="T237" s="105"/>
      <c r="U237" s="105"/>
      <c r="AC237" s="105"/>
      <c r="AD237" s="108"/>
      <c r="AE237" s="105"/>
    </row>
    <row r="238" spans="1:31" s="228" customFormat="1">
      <c r="A238" s="105"/>
      <c r="B238" s="105"/>
      <c r="C238" s="105"/>
      <c r="D238" s="105"/>
      <c r="E238" s="105"/>
      <c r="F238" s="105"/>
      <c r="G238" s="105"/>
      <c r="H238" s="105"/>
      <c r="I238" s="105"/>
      <c r="P238" s="105"/>
      <c r="Q238" s="108"/>
      <c r="R238" s="105"/>
      <c r="S238" s="105"/>
      <c r="T238" s="105"/>
      <c r="U238" s="105"/>
      <c r="AC238" s="105"/>
      <c r="AD238" s="108"/>
      <c r="AE238" s="105"/>
    </row>
    <row r="239" spans="1:31" s="228" customFormat="1">
      <c r="A239" s="105"/>
      <c r="B239" s="105"/>
      <c r="C239" s="105"/>
      <c r="D239" s="105"/>
      <c r="E239" s="105"/>
      <c r="F239" s="105"/>
      <c r="G239" s="105"/>
      <c r="H239" s="105"/>
      <c r="I239" s="105"/>
      <c r="P239" s="105"/>
      <c r="Q239" s="108"/>
      <c r="R239" s="105"/>
      <c r="S239" s="105"/>
      <c r="T239" s="105"/>
      <c r="U239" s="105"/>
      <c r="AC239" s="105"/>
      <c r="AD239" s="108"/>
      <c r="AE239" s="105"/>
    </row>
    <row r="240" spans="1:31" s="228" customFormat="1">
      <c r="A240" s="105"/>
      <c r="B240" s="105"/>
      <c r="C240" s="105"/>
      <c r="D240" s="105"/>
      <c r="E240" s="105"/>
      <c r="F240" s="105"/>
      <c r="G240" s="105"/>
      <c r="H240" s="105"/>
      <c r="I240" s="105"/>
      <c r="P240" s="105"/>
      <c r="Q240" s="108"/>
      <c r="R240" s="105"/>
      <c r="S240" s="105"/>
      <c r="T240" s="105"/>
      <c r="U240" s="105"/>
      <c r="AC240" s="105"/>
      <c r="AD240" s="108"/>
      <c r="AE240" s="105"/>
    </row>
    <row r="241" spans="1:31" s="228" customFormat="1">
      <c r="A241" s="105"/>
      <c r="B241" s="105"/>
      <c r="C241" s="105"/>
      <c r="D241" s="105"/>
      <c r="E241" s="105"/>
      <c r="F241" s="105"/>
      <c r="G241" s="105"/>
      <c r="H241" s="105"/>
      <c r="I241" s="105"/>
      <c r="P241" s="105"/>
      <c r="Q241" s="108"/>
      <c r="R241" s="105"/>
      <c r="S241" s="105"/>
      <c r="T241" s="105"/>
      <c r="U241" s="105"/>
      <c r="AC241" s="105"/>
      <c r="AD241" s="108"/>
      <c r="AE241" s="105"/>
    </row>
    <row r="242" spans="1:31" s="228" customFormat="1">
      <c r="A242" s="105"/>
      <c r="B242" s="105"/>
      <c r="C242" s="105"/>
      <c r="D242" s="105"/>
      <c r="E242" s="105"/>
      <c r="F242" s="105"/>
      <c r="G242" s="105"/>
      <c r="H242" s="105"/>
      <c r="I242" s="105"/>
      <c r="P242" s="105"/>
      <c r="Q242" s="108"/>
      <c r="R242" s="105"/>
      <c r="S242" s="105"/>
      <c r="T242" s="105"/>
      <c r="U242" s="105"/>
      <c r="AC242" s="105"/>
      <c r="AD242" s="108"/>
      <c r="AE242" s="105"/>
    </row>
    <row r="243" spans="1:31" s="228" customFormat="1">
      <c r="A243" s="105"/>
      <c r="B243" s="105"/>
      <c r="C243" s="105"/>
      <c r="D243" s="105"/>
      <c r="E243" s="105"/>
      <c r="F243" s="105"/>
      <c r="G243" s="105"/>
      <c r="H243" s="105"/>
      <c r="I243" s="105"/>
      <c r="P243" s="105"/>
      <c r="Q243" s="108"/>
      <c r="R243" s="105"/>
      <c r="S243" s="105"/>
      <c r="T243" s="105"/>
      <c r="U243" s="105"/>
      <c r="AC243" s="105"/>
      <c r="AD243" s="108"/>
      <c r="AE243" s="105"/>
    </row>
    <row r="244" spans="1:31" s="228" customFormat="1">
      <c r="A244" s="105"/>
      <c r="B244" s="105"/>
      <c r="C244" s="105"/>
      <c r="D244" s="105"/>
      <c r="E244" s="105"/>
      <c r="F244" s="105"/>
      <c r="G244" s="105"/>
      <c r="H244" s="105"/>
      <c r="I244" s="105"/>
      <c r="P244" s="105"/>
      <c r="Q244" s="108"/>
      <c r="R244" s="105"/>
      <c r="S244" s="105"/>
      <c r="T244" s="105"/>
      <c r="U244" s="105"/>
      <c r="AC244" s="105"/>
      <c r="AD244" s="108"/>
      <c r="AE244" s="105"/>
    </row>
    <row r="245" spans="1:31" s="228" customFormat="1">
      <c r="A245" s="105"/>
      <c r="B245" s="105"/>
      <c r="C245" s="105"/>
      <c r="D245" s="105"/>
      <c r="E245" s="105"/>
      <c r="F245" s="105"/>
      <c r="G245" s="105"/>
      <c r="H245" s="105"/>
      <c r="I245" s="105"/>
      <c r="P245" s="105"/>
      <c r="Q245" s="108"/>
      <c r="R245" s="105"/>
      <c r="S245" s="105"/>
      <c r="T245" s="105"/>
      <c r="U245" s="105"/>
      <c r="AC245" s="105"/>
      <c r="AD245" s="108"/>
      <c r="AE245" s="105"/>
    </row>
    <row r="246" spans="1:31" s="228" customFormat="1">
      <c r="A246" s="105"/>
      <c r="B246" s="105"/>
      <c r="C246" s="105"/>
      <c r="D246" s="105"/>
      <c r="E246" s="105"/>
      <c r="F246" s="105"/>
      <c r="G246" s="105"/>
      <c r="H246" s="105"/>
      <c r="I246" s="105"/>
      <c r="P246" s="105"/>
      <c r="Q246" s="108"/>
      <c r="R246" s="105"/>
      <c r="S246" s="105"/>
      <c r="T246" s="105"/>
      <c r="U246" s="105"/>
      <c r="AC246" s="105"/>
      <c r="AD246" s="108"/>
      <c r="AE246" s="105"/>
    </row>
    <row r="247" spans="1:31" s="228" customFormat="1">
      <c r="A247" s="105"/>
      <c r="B247" s="105"/>
      <c r="C247" s="105"/>
      <c r="D247" s="105"/>
      <c r="E247" s="105"/>
      <c r="F247" s="105"/>
      <c r="G247" s="105"/>
      <c r="H247" s="105"/>
      <c r="I247" s="105"/>
      <c r="P247" s="105"/>
      <c r="Q247" s="108"/>
      <c r="R247" s="105"/>
      <c r="S247" s="105"/>
      <c r="T247" s="105"/>
      <c r="U247" s="105"/>
      <c r="AC247" s="105"/>
      <c r="AD247" s="108"/>
      <c r="AE247" s="105"/>
    </row>
    <row r="248" spans="1:31" s="228" customFormat="1">
      <c r="A248" s="105"/>
      <c r="B248" s="105"/>
      <c r="C248" s="105"/>
      <c r="D248" s="105"/>
      <c r="E248" s="105"/>
      <c r="F248" s="105"/>
      <c r="G248" s="105"/>
      <c r="H248" s="105"/>
      <c r="I248" s="105"/>
      <c r="P248" s="105"/>
      <c r="Q248" s="108"/>
      <c r="R248" s="105"/>
      <c r="S248" s="105"/>
      <c r="T248" s="105"/>
      <c r="U248" s="105"/>
      <c r="AC248" s="105"/>
      <c r="AD248" s="108"/>
      <c r="AE248" s="105"/>
    </row>
    <row r="249" spans="1:31" s="228" customFormat="1">
      <c r="A249" s="105"/>
      <c r="B249" s="105"/>
      <c r="C249" s="105"/>
      <c r="D249" s="105"/>
      <c r="E249" s="105"/>
      <c r="F249" s="105"/>
      <c r="G249" s="105"/>
      <c r="H249" s="105"/>
      <c r="I249" s="105"/>
      <c r="P249" s="105"/>
      <c r="Q249" s="108"/>
      <c r="R249" s="105"/>
      <c r="S249" s="105"/>
      <c r="T249" s="105"/>
      <c r="U249" s="105"/>
      <c r="AC249" s="105"/>
      <c r="AD249" s="108"/>
      <c r="AE249" s="105"/>
    </row>
    <row r="250" spans="1:31" s="228" customFormat="1">
      <c r="A250" s="105"/>
      <c r="B250" s="105"/>
      <c r="C250" s="105"/>
      <c r="D250" s="105"/>
      <c r="E250" s="105"/>
      <c r="F250" s="105"/>
      <c r="G250" s="105"/>
      <c r="H250" s="105"/>
      <c r="I250" s="105"/>
      <c r="P250" s="105"/>
      <c r="Q250" s="108"/>
      <c r="R250" s="105"/>
      <c r="S250" s="105"/>
      <c r="T250" s="105"/>
      <c r="U250" s="105"/>
      <c r="AC250" s="105"/>
      <c r="AD250" s="108"/>
      <c r="AE250" s="105"/>
    </row>
    <row r="251" spans="1:31" s="228" customFormat="1">
      <c r="A251" s="105"/>
      <c r="B251" s="105"/>
      <c r="C251" s="105"/>
      <c r="D251" s="105"/>
      <c r="E251" s="105"/>
      <c r="F251" s="105"/>
      <c r="G251" s="105"/>
      <c r="H251" s="105"/>
      <c r="I251" s="105"/>
      <c r="P251" s="105"/>
      <c r="Q251" s="108"/>
      <c r="R251" s="105"/>
      <c r="S251" s="105"/>
      <c r="T251" s="105"/>
      <c r="U251" s="105"/>
      <c r="AC251" s="105"/>
      <c r="AD251" s="108"/>
      <c r="AE251" s="105"/>
    </row>
    <row r="252" spans="1:31" s="228" customFormat="1">
      <c r="A252" s="105"/>
      <c r="B252" s="105"/>
      <c r="C252" s="105"/>
      <c r="D252" s="105"/>
      <c r="E252" s="105"/>
      <c r="F252" s="105"/>
      <c r="G252" s="105"/>
      <c r="H252" s="105"/>
      <c r="I252" s="105"/>
      <c r="P252" s="105"/>
      <c r="Q252" s="108"/>
      <c r="R252" s="105"/>
      <c r="S252" s="105"/>
      <c r="T252" s="105"/>
      <c r="U252" s="105"/>
      <c r="AC252" s="105"/>
      <c r="AD252" s="108"/>
      <c r="AE252" s="105"/>
    </row>
    <row r="253" spans="1:31" s="228" customFormat="1">
      <c r="A253" s="105"/>
      <c r="B253" s="105"/>
      <c r="C253" s="105"/>
      <c r="D253" s="105"/>
      <c r="E253" s="105"/>
      <c r="F253" s="105"/>
      <c r="G253" s="105"/>
      <c r="H253" s="105"/>
      <c r="I253" s="105"/>
      <c r="P253" s="105"/>
      <c r="Q253" s="108"/>
      <c r="R253" s="105"/>
      <c r="S253" s="105"/>
      <c r="T253" s="105"/>
      <c r="U253" s="105"/>
      <c r="AC253" s="105"/>
      <c r="AD253" s="108"/>
      <c r="AE253" s="105"/>
    </row>
    <row r="254" spans="1:31" s="228" customFormat="1">
      <c r="A254" s="105"/>
      <c r="B254" s="105"/>
      <c r="C254" s="105"/>
      <c r="D254" s="105"/>
      <c r="E254" s="105"/>
      <c r="F254" s="105"/>
      <c r="G254" s="105"/>
      <c r="H254" s="105"/>
      <c r="I254" s="105"/>
      <c r="P254" s="105"/>
      <c r="Q254" s="108"/>
      <c r="R254" s="105"/>
      <c r="S254" s="105"/>
      <c r="T254" s="105"/>
      <c r="U254" s="105"/>
      <c r="AC254" s="105"/>
      <c r="AD254" s="108"/>
      <c r="AE254" s="105"/>
    </row>
    <row r="255" spans="1:31" s="228" customFormat="1">
      <c r="A255" s="105"/>
      <c r="B255" s="105"/>
      <c r="C255" s="105"/>
      <c r="D255" s="105"/>
      <c r="E255" s="105"/>
      <c r="F255" s="105"/>
      <c r="G255" s="105"/>
      <c r="H255" s="105"/>
      <c r="I255" s="105"/>
      <c r="P255" s="105"/>
      <c r="Q255" s="108"/>
      <c r="R255" s="105"/>
      <c r="S255" s="105"/>
      <c r="T255" s="105"/>
      <c r="U255" s="105"/>
      <c r="AC255" s="105"/>
      <c r="AD255" s="108"/>
      <c r="AE255" s="105"/>
    </row>
    <row r="256" spans="1:31" s="228" customFormat="1">
      <c r="A256" s="105"/>
      <c r="B256" s="105"/>
      <c r="C256" s="105"/>
      <c r="D256" s="105"/>
      <c r="E256" s="105"/>
      <c r="F256" s="105"/>
      <c r="G256" s="105"/>
      <c r="H256" s="105"/>
      <c r="I256" s="105"/>
      <c r="P256" s="105"/>
      <c r="Q256" s="108"/>
      <c r="R256" s="105"/>
      <c r="S256" s="105"/>
      <c r="T256" s="105"/>
      <c r="U256" s="105"/>
      <c r="AC256" s="105"/>
      <c r="AD256" s="108"/>
      <c r="AE256" s="105"/>
    </row>
    <row r="257" spans="1:31" s="228" customFormat="1">
      <c r="A257" s="105"/>
      <c r="B257" s="105"/>
      <c r="C257" s="105"/>
      <c r="D257" s="105"/>
      <c r="E257" s="105"/>
      <c r="F257" s="105"/>
      <c r="G257" s="105"/>
      <c r="H257" s="105"/>
      <c r="I257" s="105"/>
      <c r="P257" s="105"/>
      <c r="Q257" s="108"/>
      <c r="R257" s="105"/>
      <c r="S257" s="105"/>
      <c r="T257" s="105"/>
      <c r="U257" s="105"/>
      <c r="AC257" s="105"/>
      <c r="AD257" s="108"/>
      <c r="AE257" s="105"/>
    </row>
    <row r="258" spans="1:31" s="228" customFormat="1">
      <c r="A258" s="105"/>
      <c r="B258" s="105"/>
      <c r="C258" s="105"/>
      <c r="D258" s="105"/>
      <c r="E258" s="105"/>
      <c r="F258" s="105"/>
      <c r="G258" s="105"/>
      <c r="H258" s="105"/>
      <c r="I258" s="105"/>
      <c r="P258" s="105"/>
      <c r="Q258" s="108"/>
      <c r="R258" s="105"/>
      <c r="S258" s="105"/>
      <c r="T258" s="105"/>
      <c r="U258" s="105"/>
      <c r="AC258" s="105"/>
      <c r="AD258" s="108"/>
      <c r="AE258" s="105"/>
    </row>
    <row r="259" spans="1:31" s="228" customFormat="1">
      <c r="A259" s="105"/>
      <c r="B259" s="105"/>
      <c r="C259" s="105"/>
      <c r="D259" s="105"/>
      <c r="E259" s="105"/>
      <c r="F259" s="105"/>
      <c r="G259" s="105"/>
      <c r="H259" s="105"/>
      <c r="I259" s="105"/>
      <c r="P259" s="105"/>
      <c r="Q259" s="108"/>
      <c r="R259" s="105"/>
      <c r="S259" s="105"/>
      <c r="T259" s="105"/>
      <c r="U259" s="105"/>
      <c r="AC259" s="105"/>
      <c r="AD259" s="108"/>
      <c r="AE259" s="105"/>
    </row>
    <row r="260" spans="1:31" s="228" customFormat="1">
      <c r="A260" s="105"/>
      <c r="B260" s="105"/>
      <c r="C260" s="105"/>
      <c r="D260" s="105"/>
      <c r="E260" s="105"/>
      <c r="F260" s="105"/>
      <c r="G260" s="105"/>
      <c r="H260" s="105"/>
      <c r="I260" s="105"/>
      <c r="P260" s="105"/>
      <c r="Q260" s="108"/>
      <c r="R260" s="105"/>
      <c r="S260" s="105"/>
      <c r="T260" s="105"/>
      <c r="U260" s="105"/>
      <c r="AC260" s="105"/>
      <c r="AD260" s="108"/>
      <c r="AE260" s="105"/>
    </row>
    <row r="261" spans="1:31" s="228" customFormat="1">
      <c r="A261" s="105"/>
      <c r="B261" s="105"/>
      <c r="C261" s="105"/>
      <c r="D261" s="105"/>
      <c r="E261" s="105"/>
      <c r="F261" s="105"/>
      <c r="G261" s="105"/>
      <c r="H261" s="105"/>
      <c r="I261" s="105"/>
      <c r="P261" s="105"/>
      <c r="Q261" s="108"/>
      <c r="R261" s="105"/>
      <c r="S261" s="105"/>
      <c r="T261" s="105"/>
      <c r="U261" s="105"/>
      <c r="AC261" s="105"/>
      <c r="AD261" s="108"/>
      <c r="AE261" s="105"/>
    </row>
    <row r="262" spans="1:31" s="228" customFormat="1">
      <c r="A262" s="105"/>
      <c r="B262" s="105"/>
      <c r="C262" s="105"/>
      <c r="D262" s="105"/>
      <c r="E262" s="105"/>
      <c r="F262" s="105"/>
      <c r="G262" s="105"/>
      <c r="H262" s="105"/>
      <c r="I262" s="105"/>
      <c r="P262" s="105"/>
      <c r="Q262" s="108"/>
      <c r="R262" s="105"/>
      <c r="S262" s="105"/>
      <c r="T262" s="105"/>
      <c r="U262" s="105"/>
      <c r="AC262" s="105"/>
      <c r="AD262" s="108"/>
      <c r="AE262" s="105"/>
    </row>
    <row r="263" spans="1:31" s="228" customFormat="1">
      <c r="A263" s="105"/>
      <c r="B263" s="105"/>
      <c r="C263" s="105"/>
      <c r="D263" s="105"/>
      <c r="E263" s="105"/>
      <c r="F263" s="105"/>
      <c r="G263" s="105"/>
      <c r="H263" s="105"/>
      <c r="I263" s="105"/>
      <c r="P263" s="105"/>
      <c r="Q263" s="108"/>
      <c r="R263" s="105"/>
      <c r="S263" s="105"/>
      <c r="T263" s="105"/>
      <c r="U263" s="105"/>
      <c r="AC263" s="105"/>
      <c r="AD263" s="108"/>
      <c r="AE263" s="105"/>
    </row>
    <row r="264" spans="1:31" s="228" customFormat="1">
      <c r="A264" s="105"/>
      <c r="B264" s="105"/>
      <c r="C264" s="105"/>
      <c r="D264" s="105"/>
      <c r="E264" s="105"/>
      <c r="F264" s="105"/>
      <c r="G264" s="105"/>
      <c r="H264" s="105"/>
      <c r="I264" s="105"/>
      <c r="P264" s="105"/>
      <c r="Q264" s="108"/>
      <c r="R264" s="105"/>
      <c r="S264" s="105"/>
      <c r="T264" s="105"/>
      <c r="U264" s="105"/>
      <c r="AC264" s="105"/>
      <c r="AD264" s="108"/>
      <c r="AE264" s="105"/>
    </row>
    <row r="265" spans="1:31" s="228" customFormat="1">
      <c r="A265" s="105"/>
      <c r="B265" s="105"/>
      <c r="C265" s="105"/>
      <c r="D265" s="105"/>
      <c r="E265" s="105"/>
      <c r="F265" s="105"/>
      <c r="G265" s="105"/>
      <c r="H265" s="105"/>
      <c r="I265" s="105"/>
      <c r="P265" s="105"/>
      <c r="Q265" s="108"/>
      <c r="R265" s="105"/>
      <c r="S265" s="105"/>
      <c r="T265" s="105"/>
      <c r="U265" s="105"/>
      <c r="AC265" s="105"/>
      <c r="AD265" s="108"/>
      <c r="AE265" s="105"/>
    </row>
    <row r="266" spans="1:31" s="228" customFormat="1">
      <c r="A266" s="105"/>
      <c r="B266" s="105"/>
      <c r="C266" s="105"/>
      <c r="D266" s="105"/>
      <c r="E266" s="105"/>
      <c r="F266" s="105"/>
      <c r="G266" s="105"/>
      <c r="H266" s="105"/>
      <c r="I266" s="105"/>
      <c r="P266" s="105"/>
      <c r="Q266" s="108"/>
      <c r="R266" s="105"/>
      <c r="S266" s="105"/>
      <c r="T266" s="105"/>
      <c r="U266" s="105"/>
      <c r="AC266" s="105"/>
      <c r="AD266" s="108"/>
      <c r="AE266" s="105"/>
    </row>
    <row r="267" spans="1:31" s="228" customFormat="1">
      <c r="A267" s="105"/>
      <c r="B267" s="105"/>
      <c r="C267" s="105"/>
      <c r="D267" s="105"/>
      <c r="E267" s="105"/>
      <c r="F267" s="105"/>
      <c r="G267" s="105"/>
      <c r="H267" s="105"/>
      <c r="I267" s="105"/>
      <c r="P267" s="105"/>
      <c r="Q267" s="108"/>
      <c r="R267" s="105"/>
      <c r="S267" s="105"/>
      <c r="T267" s="105"/>
      <c r="U267" s="105"/>
      <c r="AC267" s="105"/>
      <c r="AD267" s="108"/>
      <c r="AE267" s="105"/>
    </row>
    <row r="268" spans="1:31" s="228" customFormat="1">
      <c r="A268" s="105"/>
      <c r="B268" s="105"/>
      <c r="C268" s="105"/>
      <c r="D268" s="105"/>
      <c r="E268" s="105"/>
      <c r="F268" s="105"/>
      <c r="G268" s="105"/>
      <c r="H268" s="105"/>
      <c r="I268" s="105"/>
      <c r="P268" s="105"/>
      <c r="Q268" s="108"/>
      <c r="R268" s="105"/>
      <c r="S268" s="105"/>
      <c r="T268" s="105"/>
      <c r="U268" s="105"/>
      <c r="AC268" s="105"/>
      <c r="AD268" s="108"/>
      <c r="AE268" s="105"/>
    </row>
    <row r="269" spans="1:31" s="228" customFormat="1">
      <c r="A269" s="105"/>
      <c r="B269" s="105"/>
      <c r="C269" s="105"/>
      <c r="D269" s="105"/>
      <c r="E269" s="105"/>
      <c r="F269" s="105"/>
      <c r="G269" s="105"/>
      <c r="H269" s="105"/>
      <c r="I269" s="105"/>
      <c r="P269" s="105"/>
      <c r="Q269" s="108"/>
      <c r="R269" s="105"/>
      <c r="S269" s="105"/>
      <c r="T269" s="105"/>
      <c r="U269" s="105"/>
      <c r="AC269" s="105"/>
      <c r="AD269" s="108"/>
      <c r="AE269" s="105"/>
    </row>
    <row r="270" spans="1:31" s="228" customFormat="1">
      <c r="A270" s="105"/>
      <c r="B270" s="105"/>
      <c r="C270" s="105"/>
      <c r="D270" s="105"/>
      <c r="E270" s="105"/>
      <c r="F270" s="105"/>
      <c r="G270" s="105"/>
      <c r="H270" s="105"/>
      <c r="I270" s="105"/>
      <c r="P270" s="105"/>
      <c r="Q270" s="108"/>
      <c r="R270" s="105"/>
      <c r="S270" s="105"/>
      <c r="T270" s="105"/>
      <c r="U270" s="105"/>
      <c r="AC270" s="105"/>
      <c r="AD270" s="108"/>
      <c r="AE270" s="105"/>
    </row>
    <row r="271" spans="1:31" s="228" customFormat="1">
      <c r="A271" s="105"/>
      <c r="B271" s="105"/>
      <c r="C271" s="105"/>
      <c r="D271" s="105"/>
      <c r="E271" s="105"/>
      <c r="F271" s="105"/>
      <c r="G271" s="105"/>
      <c r="H271" s="105"/>
      <c r="I271" s="105"/>
      <c r="P271" s="105"/>
      <c r="Q271" s="108"/>
      <c r="R271" s="105"/>
      <c r="S271" s="105"/>
      <c r="T271" s="105"/>
      <c r="U271" s="105"/>
      <c r="AC271" s="105"/>
      <c r="AD271" s="108"/>
      <c r="AE271" s="105"/>
    </row>
    <row r="272" spans="1:31" s="228" customFormat="1">
      <c r="A272" s="105"/>
      <c r="B272" s="105"/>
      <c r="C272" s="105"/>
      <c r="D272" s="105"/>
      <c r="E272" s="105"/>
      <c r="F272" s="105"/>
      <c r="G272" s="105"/>
      <c r="H272" s="105"/>
      <c r="I272" s="105"/>
      <c r="P272" s="105"/>
      <c r="Q272" s="108"/>
      <c r="R272" s="105"/>
      <c r="S272" s="105"/>
      <c r="T272" s="105"/>
      <c r="U272" s="105"/>
      <c r="AC272" s="105"/>
      <c r="AD272" s="108"/>
      <c r="AE272" s="105"/>
    </row>
    <row r="273" spans="1:31" s="228" customFormat="1">
      <c r="A273" s="105"/>
      <c r="B273" s="105"/>
      <c r="C273" s="105"/>
      <c r="D273" s="105"/>
      <c r="E273" s="105"/>
      <c r="F273" s="105"/>
      <c r="G273" s="105"/>
      <c r="H273" s="105"/>
      <c r="I273" s="105"/>
      <c r="P273" s="105"/>
      <c r="Q273" s="108"/>
      <c r="R273" s="105"/>
      <c r="S273" s="105"/>
      <c r="T273" s="105"/>
      <c r="U273" s="105"/>
      <c r="AC273" s="105"/>
      <c r="AD273" s="108"/>
      <c r="AE273" s="105"/>
    </row>
    <row r="274" spans="1:31" s="228" customFormat="1">
      <c r="A274" s="105"/>
      <c r="B274" s="105"/>
      <c r="C274" s="105"/>
      <c r="D274" s="105"/>
      <c r="E274" s="105"/>
      <c r="F274" s="105"/>
      <c r="G274" s="105"/>
      <c r="H274" s="105"/>
      <c r="I274" s="105"/>
      <c r="P274" s="105"/>
      <c r="Q274" s="108"/>
      <c r="R274" s="105"/>
      <c r="S274" s="105"/>
      <c r="T274" s="105"/>
      <c r="U274" s="105"/>
      <c r="AC274" s="105"/>
      <c r="AD274" s="108"/>
      <c r="AE274" s="105"/>
    </row>
    <row r="275" spans="1:31" s="228" customFormat="1">
      <c r="A275" s="105"/>
      <c r="B275" s="105"/>
      <c r="C275" s="105"/>
      <c r="D275" s="105"/>
      <c r="E275" s="105"/>
      <c r="F275" s="105"/>
      <c r="G275" s="105"/>
      <c r="H275" s="105"/>
      <c r="I275" s="105"/>
      <c r="P275" s="105"/>
      <c r="Q275" s="108"/>
      <c r="R275" s="105"/>
      <c r="S275" s="105"/>
      <c r="T275" s="105"/>
      <c r="U275" s="105"/>
      <c r="AC275" s="105"/>
      <c r="AD275" s="108"/>
      <c r="AE275" s="105"/>
    </row>
    <row r="276" spans="1:31" s="228" customFormat="1">
      <c r="A276" s="105"/>
      <c r="B276" s="105"/>
      <c r="C276" s="105"/>
      <c r="D276" s="105"/>
      <c r="E276" s="105"/>
      <c r="F276" s="105"/>
      <c r="G276" s="105"/>
      <c r="H276" s="105"/>
      <c r="I276" s="105"/>
      <c r="P276" s="105"/>
      <c r="Q276" s="108"/>
      <c r="R276" s="105"/>
      <c r="S276" s="105"/>
      <c r="T276" s="105"/>
      <c r="U276" s="105"/>
      <c r="AC276" s="105"/>
      <c r="AD276" s="108"/>
      <c r="AE276" s="105"/>
    </row>
    <row r="277" spans="1:31" s="228" customFormat="1">
      <c r="A277" s="105"/>
      <c r="B277" s="105"/>
      <c r="C277" s="105"/>
      <c r="D277" s="105"/>
      <c r="E277" s="105"/>
      <c r="F277" s="105"/>
      <c r="G277" s="105"/>
      <c r="H277" s="105"/>
      <c r="I277" s="105"/>
      <c r="P277" s="105"/>
      <c r="Q277" s="108"/>
      <c r="R277" s="105"/>
      <c r="S277" s="105"/>
      <c r="T277" s="105"/>
      <c r="U277" s="105"/>
      <c r="AC277" s="105"/>
      <c r="AD277" s="108"/>
      <c r="AE277" s="105"/>
    </row>
    <row r="278" spans="1:31" s="228" customFormat="1">
      <c r="A278" s="105"/>
      <c r="B278" s="105"/>
      <c r="C278" s="105"/>
      <c r="D278" s="105"/>
      <c r="E278" s="105"/>
      <c r="F278" s="105"/>
      <c r="G278" s="105"/>
      <c r="H278" s="105"/>
      <c r="I278" s="105"/>
      <c r="P278" s="105"/>
      <c r="Q278" s="108"/>
      <c r="R278" s="105"/>
      <c r="S278" s="105"/>
      <c r="T278" s="105"/>
      <c r="U278" s="105"/>
      <c r="AC278" s="105"/>
      <c r="AD278" s="108"/>
      <c r="AE278" s="105"/>
    </row>
    <row r="279" spans="1:31" s="228" customFormat="1">
      <c r="A279" s="105"/>
      <c r="B279" s="105"/>
      <c r="C279" s="105"/>
      <c r="D279" s="105"/>
      <c r="E279" s="105"/>
      <c r="F279" s="105"/>
      <c r="G279" s="105"/>
      <c r="H279" s="105"/>
      <c r="I279" s="105"/>
      <c r="P279" s="105"/>
      <c r="Q279" s="108"/>
      <c r="R279" s="105"/>
      <c r="S279" s="105"/>
      <c r="T279" s="105"/>
      <c r="U279" s="105"/>
      <c r="AC279" s="105"/>
      <c r="AD279" s="108"/>
      <c r="AE279" s="105"/>
    </row>
    <row r="280" spans="1:31" s="228" customFormat="1">
      <c r="A280" s="105"/>
      <c r="B280" s="105"/>
      <c r="C280" s="105"/>
      <c r="D280" s="105"/>
      <c r="E280" s="105"/>
      <c r="F280" s="105"/>
      <c r="G280" s="105"/>
      <c r="H280" s="105"/>
      <c r="I280" s="105"/>
      <c r="P280" s="105"/>
      <c r="Q280" s="108"/>
      <c r="R280" s="105"/>
      <c r="S280" s="105"/>
      <c r="T280" s="105"/>
      <c r="U280" s="105"/>
      <c r="AC280" s="105"/>
      <c r="AD280" s="108"/>
      <c r="AE280" s="105"/>
    </row>
    <row r="281" spans="1:31" s="228" customFormat="1">
      <c r="A281" s="105"/>
      <c r="B281" s="105"/>
      <c r="C281" s="105"/>
      <c r="D281" s="105"/>
      <c r="E281" s="105"/>
      <c r="F281" s="105"/>
      <c r="G281" s="105"/>
      <c r="H281" s="105"/>
      <c r="I281" s="105"/>
      <c r="P281" s="105"/>
      <c r="Q281" s="108"/>
      <c r="R281" s="105"/>
      <c r="S281" s="105"/>
      <c r="T281" s="105"/>
      <c r="U281" s="105"/>
      <c r="AC281" s="105"/>
      <c r="AD281" s="108"/>
      <c r="AE281" s="105"/>
    </row>
    <row r="282" spans="1:31" s="228" customFormat="1">
      <c r="A282" s="105"/>
      <c r="B282" s="105"/>
      <c r="C282" s="105"/>
      <c r="D282" s="105"/>
      <c r="E282" s="105"/>
      <c r="F282" s="105"/>
      <c r="G282" s="105"/>
      <c r="H282" s="105"/>
      <c r="I282" s="105"/>
      <c r="P282" s="105"/>
      <c r="Q282" s="108"/>
      <c r="R282" s="105"/>
      <c r="S282" s="105"/>
      <c r="T282" s="105"/>
      <c r="U282" s="105"/>
      <c r="AC282" s="105"/>
      <c r="AD282" s="108"/>
      <c r="AE282" s="105"/>
    </row>
    <row r="283" spans="1:31" s="228" customFormat="1">
      <c r="A283" s="105"/>
      <c r="B283" s="105"/>
      <c r="C283" s="105"/>
      <c r="D283" s="105"/>
      <c r="E283" s="105"/>
      <c r="F283" s="105"/>
      <c r="G283" s="105"/>
      <c r="H283" s="105"/>
      <c r="I283" s="105"/>
      <c r="P283" s="105"/>
      <c r="Q283" s="108"/>
      <c r="R283" s="105"/>
      <c r="S283" s="105"/>
      <c r="T283" s="105"/>
      <c r="U283" s="105"/>
      <c r="AC283" s="105"/>
      <c r="AD283" s="108"/>
      <c r="AE283" s="105"/>
    </row>
    <row r="284" spans="1:31" s="228" customFormat="1">
      <c r="A284" s="105"/>
      <c r="B284" s="105"/>
      <c r="C284" s="105"/>
      <c r="D284" s="105"/>
      <c r="E284" s="105"/>
      <c r="F284" s="105"/>
      <c r="G284" s="105"/>
      <c r="H284" s="105"/>
      <c r="I284" s="105"/>
      <c r="P284" s="105"/>
      <c r="Q284" s="108"/>
      <c r="R284" s="105"/>
      <c r="S284" s="105"/>
      <c r="T284" s="105"/>
      <c r="U284" s="105"/>
      <c r="AC284" s="105"/>
      <c r="AD284" s="108"/>
      <c r="AE284" s="105"/>
    </row>
    <row r="285" spans="1:31" s="228" customFormat="1">
      <c r="A285" s="105"/>
      <c r="B285" s="105"/>
      <c r="C285" s="105"/>
      <c r="D285" s="105"/>
      <c r="E285" s="105"/>
      <c r="F285" s="105"/>
      <c r="G285" s="105"/>
      <c r="H285" s="105"/>
      <c r="I285" s="105"/>
      <c r="P285" s="105"/>
      <c r="Q285" s="108"/>
      <c r="R285" s="105"/>
      <c r="S285" s="105"/>
      <c r="T285" s="105"/>
      <c r="U285" s="105"/>
      <c r="AC285" s="105"/>
      <c r="AD285" s="108"/>
      <c r="AE285" s="105"/>
    </row>
    <row r="286" spans="1:31" s="228" customFormat="1">
      <c r="A286" s="105"/>
      <c r="B286" s="105"/>
      <c r="C286" s="105"/>
      <c r="D286" s="105"/>
      <c r="E286" s="105"/>
      <c r="F286" s="105"/>
      <c r="G286" s="105"/>
      <c r="H286" s="105"/>
      <c r="I286" s="105"/>
      <c r="P286" s="105"/>
      <c r="Q286" s="108"/>
      <c r="R286" s="105"/>
      <c r="S286" s="105"/>
      <c r="T286" s="105"/>
      <c r="U286" s="105"/>
      <c r="AC286" s="105"/>
      <c r="AD286" s="108"/>
      <c r="AE286" s="105"/>
    </row>
    <row r="287" spans="1:31" s="228" customFormat="1">
      <c r="A287" s="105"/>
      <c r="B287" s="105"/>
      <c r="C287" s="105"/>
      <c r="D287" s="105"/>
      <c r="E287" s="105"/>
      <c r="F287" s="105"/>
      <c r="G287" s="105"/>
      <c r="H287" s="105"/>
      <c r="I287" s="105"/>
      <c r="P287" s="105"/>
      <c r="Q287" s="108"/>
      <c r="R287" s="105"/>
      <c r="S287" s="105"/>
      <c r="T287" s="105"/>
      <c r="U287" s="105"/>
      <c r="AC287" s="105"/>
      <c r="AD287" s="108"/>
      <c r="AE287" s="105"/>
    </row>
    <row r="288" spans="1:31" s="228" customFormat="1">
      <c r="A288" s="105"/>
      <c r="B288" s="105"/>
      <c r="C288" s="105"/>
      <c r="D288" s="105"/>
      <c r="E288" s="105"/>
      <c r="F288" s="105"/>
      <c r="G288" s="105"/>
      <c r="H288" s="105"/>
      <c r="I288" s="105"/>
      <c r="P288" s="105"/>
      <c r="Q288" s="108"/>
      <c r="R288" s="105"/>
      <c r="S288" s="105"/>
      <c r="T288" s="105"/>
      <c r="U288" s="105"/>
      <c r="AC288" s="105"/>
      <c r="AD288" s="108"/>
      <c r="AE288" s="105"/>
    </row>
    <row r="289" spans="1:31" s="228" customFormat="1">
      <c r="A289" s="105"/>
      <c r="B289" s="105"/>
      <c r="C289" s="105"/>
      <c r="D289" s="105"/>
      <c r="E289" s="105"/>
      <c r="F289" s="105"/>
      <c r="G289" s="105"/>
      <c r="H289" s="105"/>
      <c r="I289" s="105"/>
      <c r="P289" s="105"/>
      <c r="Q289" s="108"/>
      <c r="R289" s="105"/>
      <c r="S289" s="105"/>
      <c r="T289" s="105"/>
      <c r="U289" s="105"/>
      <c r="AC289" s="105"/>
      <c r="AD289" s="108"/>
      <c r="AE289" s="105"/>
    </row>
    <row r="290" spans="1:31" s="228" customFormat="1">
      <c r="A290" s="105"/>
      <c r="B290" s="105"/>
      <c r="C290" s="105"/>
      <c r="D290" s="105"/>
      <c r="E290" s="105"/>
      <c r="F290" s="105"/>
      <c r="G290" s="105"/>
      <c r="H290" s="105"/>
      <c r="I290" s="105"/>
      <c r="P290" s="105"/>
      <c r="Q290" s="108"/>
      <c r="R290" s="105"/>
      <c r="S290" s="105"/>
      <c r="T290" s="105"/>
      <c r="U290" s="105"/>
      <c r="AC290" s="105"/>
      <c r="AD290" s="108"/>
      <c r="AE290" s="105"/>
    </row>
    <row r="291" spans="1:31" s="228" customFormat="1">
      <c r="A291" s="105"/>
      <c r="B291" s="105"/>
      <c r="C291" s="105"/>
      <c r="D291" s="105"/>
      <c r="E291" s="105"/>
      <c r="F291" s="105"/>
      <c r="G291" s="105"/>
      <c r="H291" s="105"/>
      <c r="I291" s="105"/>
      <c r="P291" s="105"/>
      <c r="Q291" s="108"/>
      <c r="R291" s="105"/>
      <c r="S291" s="105"/>
      <c r="T291" s="105"/>
      <c r="U291" s="105"/>
      <c r="AC291" s="105"/>
      <c r="AD291" s="108"/>
      <c r="AE291" s="105"/>
    </row>
    <row r="292" spans="1:31" s="228" customFormat="1">
      <c r="A292" s="105"/>
      <c r="B292" s="105"/>
      <c r="C292" s="105"/>
      <c r="D292" s="105"/>
      <c r="E292" s="105"/>
      <c r="F292" s="105"/>
      <c r="G292" s="105"/>
      <c r="H292" s="105"/>
      <c r="I292" s="105"/>
      <c r="P292" s="105"/>
      <c r="Q292" s="108"/>
      <c r="R292" s="105"/>
      <c r="S292" s="105"/>
      <c r="T292" s="105"/>
      <c r="U292" s="105"/>
      <c r="AC292" s="105"/>
      <c r="AD292" s="108"/>
      <c r="AE292" s="105"/>
    </row>
    <row r="293" spans="1:31" s="228" customFormat="1">
      <c r="A293" s="105"/>
      <c r="B293" s="105"/>
      <c r="C293" s="105"/>
      <c r="D293" s="105"/>
      <c r="E293" s="105"/>
      <c r="F293" s="105"/>
      <c r="G293" s="105"/>
      <c r="H293" s="105"/>
      <c r="I293" s="105"/>
      <c r="P293" s="105"/>
      <c r="Q293" s="108"/>
      <c r="R293" s="105"/>
      <c r="S293" s="105"/>
      <c r="T293" s="105"/>
      <c r="U293" s="105"/>
      <c r="AC293" s="105"/>
      <c r="AD293" s="108"/>
      <c r="AE293" s="105"/>
    </row>
  </sheetData>
  <mergeCells count="3">
    <mergeCell ref="H1:I1"/>
    <mergeCell ref="A2:A44"/>
    <mergeCell ref="U78:U102"/>
  </mergeCells>
  <phoneticPr fontId="32"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9"/>
  <sheetViews>
    <sheetView zoomScaleNormal="100" workbookViewId="0">
      <pane xSplit="9" ySplit="2" topLeftCell="J60" activePane="bottomRight" state="frozen"/>
      <selection pane="topRight" activeCell="G1" sqref="G1"/>
      <selection pane="bottomLeft" activeCell="A3" sqref="A3"/>
      <selection pane="bottomRight" activeCell="H68" sqref="H68"/>
    </sheetView>
  </sheetViews>
  <sheetFormatPr defaultColWidth="9.42578125" defaultRowHeight="12.75"/>
  <cols>
    <col min="1" max="1" width="10.85546875" style="105" customWidth="1"/>
    <col min="2" max="2" width="5.42578125" style="105" customWidth="1"/>
    <col min="3" max="3" width="21.28515625" style="105" customWidth="1"/>
    <col min="4" max="4" width="22.28515625" style="105" customWidth="1"/>
    <col min="5" max="5" width="11.42578125" style="105" customWidth="1"/>
    <col min="6" max="6" width="9.140625" style="105" customWidth="1"/>
    <col min="7" max="7" width="13.28515625" style="67" customWidth="1"/>
    <col min="8" max="8" width="16.42578125" style="105" customWidth="1"/>
    <col min="9" max="9" width="6.42578125" style="105" customWidth="1"/>
    <col min="10" max="12" width="9.42578125" style="228" customWidth="1"/>
    <col min="13" max="17" width="9.42578125" style="105" customWidth="1"/>
    <col min="18" max="18" width="9.42578125" style="108" customWidth="1"/>
    <col min="19" max="21" width="9.42578125" style="105"/>
    <col min="22" max="22" width="10.5703125" style="105" customWidth="1"/>
    <col min="23" max="24" width="9.42578125" style="228" customWidth="1"/>
    <col min="25" max="25" width="9.28515625" style="228" customWidth="1"/>
    <col min="26" max="26" width="9.42578125" style="228" customWidth="1"/>
    <col min="27" max="30" width="9.42578125" style="105" customWidth="1"/>
    <col min="31" max="31" width="9.42578125" style="108" customWidth="1"/>
    <col min="32" max="16384" width="9.42578125" style="105"/>
  </cols>
  <sheetData>
    <row r="1" spans="1:32" s="62" customFormat="1" ht="33.75" customHeight="1" thickBot="1">
      <c r="A1" s="61" t="s">
        <v>141</v>
      </c>
      <c r="B1" s="62" t="s">
        <v>172</v>
      </c>
      <c r="C1" s="75" t="s">
        <v>425</v>
      </c>
      <c r="D1" s="75" t="s">
        <v>106</v>
      </c>
      <c r="E1" s="62" t="s">
        <v>107</v>
      </c>
      <c r="F1" s="62" t="s">
        <v>108</v>
      </c>
      <c r="G1" s="63" t="s">
        <v>588</v>
      </c>
      <c r="H1" s="370" t="s">
        <v>109</v>
      </c>
      <c r="I1" s="370"/>
      <c r="J1" s="226" t="s">
        <v>38</v>
      </c>
      <c r="K1" s="244" t="s">
        <v>224</v>
      </c>
      <c r="L1" s="226" t="s">
        <v>308</v>
      </c>
      <c r="O1" s="63"/>
      <c r="Q1" s="62" t="s">
        <v>110</v>
      </c>
      <c r="R1" s="254" t="s">
        <v>111</v>
      </c>
      <c r="S1" s="62" t="s">
        <v>112</v>
      </c>
      <c r="V1" s="61" t="s">
        <v>142</v>
      </c>
      <c r="W1" s="226" t="str">
        <f>J1</f>
        <v>Huawei</v>
      </c>
      <c r="X1" s="225" t="s">
        <v>224</v>
      </c>
      <c r="Y1" s="226" t="str">
        <f>L1</f>
        <v>OPPO</v>
      </c>
      <c r="Z1" s="226" t="s">
        <v>375</v>
      </c>
      <c r="AA1" s="63"/>
      <c r="AB1" s="63"/>
      <c r="AC1" s="63"/>
      <c r="AD1" s="62" t="s">
        <v>110</v>
      </c>
      <c r="AE1" s="254" t="s">
        <v>111</v>
      </c>
      <c r="AF1" s="62" t="s">
        <v>112</v>
      </c>
    </row>
    <row r="2" spans="1:32" ht="12.75" customHeight="1">
      <c r="A2" s="249" t="s">
        <v>113</v>
      </c>
      <c r="B2" s="46" t="s">
        <v>39</v>
      </c>
      <c r="C2" s="46"/>
      <c r="D2" s="46"/>
      <c r="E2" s="46"/>
      <c r="F2" s="46"/>
      <c r="G2" s="253"/>
      <c r="H2" s="46"/>
      <c r="I2" s="46"/>
      <c r="J2" s="227"/>
      <c r="K2" s="227"/>
      <c r="L2" s="227"/>
      <c r="M2" s="55"/>
      <c r="N2" s="55"/>
      <c r="O2" s="55"/>
      <c r="P2" s="55"/>
      <c r="Q2" s="64"/>
      <c r="R2" s="64"/>
      <c r="S2" s="55"/>
      <c r="V2" s="249" t="s">
        <v>113</v>
      </c>
      <c r="W2" s="227"/>
      <c r="X2" s="227"/>
      <c r="Y2" s="227"/>
      <c r="Z2" s="227"/>
      <c r="AA2" s="55"/>
      <c r="AB2" s="55"/>
      <c r="AC2" s="55"/>
      <c r="AD2" s="64"/>
      <c r="AE2" s="64"/>
      <c r="AF2" s="55"/>
    </row>
    <row r="3" spans="1:32" ht="38.25">
      <c r="A3" s="250"/>
      <c r="B3" s="105" t="s">
        <v>173</v>
      </c>
      <c r="C3" s="105" t="s">
        <v>428</v>
      </c>
      <c r="D3" s="105" t="s">
        <v>178</v>
      </c>
      <c r="E3" s="105" t="s">
        <v>114</v>
      </c>
      <c r="G3" s="67">
        <v>10</v>
      </c>
      <c r="H3" s="105" t="s">
        <v>115</v>
      </c>
      <c r="I3" s="105">
        <v>9</v>
      </c>
      <c r="J3" s="228">
        <v>13.34</v>
      </c>
      <c r="K3" s="229">
        <v>13.29318257956449</v>
      </c>
      <c r="L3" s="228">
        <v>10.53</v>
      </c>
      <c r="Q3" s="108">
        <f>AVERAGE(J3:P3)</f>
        <v>12.387727526521497</v>
      </c>
      <c r="R3" s="108">
        <f>SQRT(VAR(J3:P3))</f>
        <v>1.60900952135492</v>
      </c>
      <c r="S3" s="105">
        <f>COUNT(J3:P3)</f>
        <v>3</v>
      </c>
      <c r="V3" s="250"/>
      <c r="W3" s="228">
        <v>13.499000000000001</v>
      </c>
      <c r="X3" s="229">
        <v>13.572216638749305</v>
      </c>
      <c r="Y3" s="228">
        <v>12.04</v>
      </c>
      <c r="AD3" s="108">
        <f>AVERAGE(W3:AC3)</f>
        <v>13.037072212916435</v>
      </c>
      <c r="AE3" s="108">
        <f>SQRT(VAR(W3:AC3))</f>
        <v>0.86426553638045478</v>
      </c>
      <c r="AF3" s="105">
        <f>COUNT(W3:AC3)</f>
        <v>3</v>
      </c>
    </row>
    <row r="4" spans="1:32" ht="25.5">
      <c r="A4" s="250"/>
      <c r="G4" s="67">
        <v>20</v>
      </c>
      <c r="H4" s="105" t="s">
        <v>115</v>
      </c>
      <c r="I4" s="105">
        <v>9</v>
      </c>
      <c r="J4" s="228">
        <f>J3*DL_OH!$W$10</f>
        <v>15.134982758665865</v>
      </c>
      <c r="K4" s="228">
        <f>K3*DL_OH!$W$9</f>
        <v>15.02282579564489</v>
      </c>
      <c r="L4" s="228">
        <f>L3*DL_OH!$W$12</f>
        <v>11.809815665417624</v>
      </c>
      <c r="Q4" s="108">
        <f>AVERAGE(J4:P4)</f>
        <v>13.989208073242793</v>
      </c>
      <c r="R4" s="108">
        <f>SQRT(VAR(J4:P4))</f>
        <v>1.8882421048565305</v>
      </c>
      <c r="S4" s="105">
        <f>COUNT(J4:P4)</f>
        <v>3</v>
      </c>
      <c r="V4" s="250"/>
      <c r="W4" s="228">
        <f>W3*DL_OH!$W$10</f>
        <v>15.315377230826876</v>
      </c>
      <c r="X4" s="228">
        <f>X3*DL_OH!$W$9</f>
        <v>15.338166387493022</v>
      </c>
      <c r="Y4" s="228">
        <f>Y3*DL_OH!$W$12</f>
        <v>13.503340988758612</v>
      </c>
      <c r="AD4" s="108">
        <f>AVERAGE(W4:AC4)</f>
        <v>14.718961535692836</v>
      </c>
      <c r="AE4" s="108">
        <f>SQRT(VAR(W4:AC4))</f>
        <v>1.052819938076728</v>
      </c>
      <c r="AF4" s="105">
        <f>COUNT(W4:AC4)</f>
        <v>3</v>
      </c>
    </row>
    <row r="5" spans="1:32" ht="25.5">
      <c r="A5" s="250"/>
      <c r="G5" s="67">
        <v>10</v>
      </c>
      <c r="H5" s="104" t="s">
        <v>117</v>
      </c>
      <c r="I5" s="104">
        <v>0.3</v>
      </c>
      <c r="J5" s="230">
        <v>0.312</v>
      </c>
      <c r="K5" s="231">
        <v>0.33484087102177557</v>
      </c>
      <c r="L5" s="230">
        <v>0.37</v>
      </c>
      <c r="M5" s="104"/>
      <c r="N5" s="104"/>
      <c r="O5" s="104"/>
      <c r="P5" s="104"/>
      <c r="Q5" s="109">
        <f>AVERAGE(J5:P5)</f>
        <v>0.33894695700725852</v>
      </c>
      <c r="R5" s="109">
        <f>SQRT(VAR(J5:P5))</f>
        <v>2.9217203093214357E-2</v>
      </c>
      <c r="S5" s="104">
        <f>COUNT(J5:P5)</f>
        <v>3</v>
      </c>
      <c r="V5" s="368"/>
      <c r="W5" s="230">
        <v>0.31900000000000001</v>
      </c>
      <c r="X5" s="231">
        <v>0.33484087102177557</v>
      </c>
      <c r="Y5" s="230">
        <v>0.37</v>
      </c>
      <c r="Z5" s="230"/>
      <c r="AA5" s="104"/>
      <c r="AB5" s="104"/>
      <c r="AC5" s="104"/>
      <c r="AD5" s="109">
        <f>AVERAGE(W5:AC5)</f>
        <v>0.34128029034059182</v>
      </c>
      <c r="AE5" s="109">
        <f>SQRT(VAR(W5:AC5))</f>
        <v>2.6102674017668345E-2</v>
      </c>
      <c r="AF5" s="104">
        <f>COUNT(W5:AC5)</f>
        <v>3</v>
      </c>
    </row>
    <row r="6" spans="1:32" ht="25.5">
      <c r="A6" s="250"/>
      <c r="G6" s="67">
        <v>20</v>
      </c>
      <c r="H6" s="104" t="s">
        <v>117</v>
      </c>
      <c r="I6" s="104">
        <v>0.3</v>
      </c>
      <c r="J6" s="230">
        <f>J5*DL_OH!$W$10</f>
        <v>0.35398160574990628</v>
      </c>
      <c r="K6" s="230">
        <f>K5*DL_OH!$W$9</f>
        <v>0.37840871021775541</v>
      </c>
      <c r="L6" s="230">
        <f>L5*DL_OH!$W$12</f>
        <v>0.41496978121600386</v>
      </c>
      <c r="M6" s="104"/>
      <c r="N6" s="104"/>
      <c r="O6" s="104"/>
      <c r="P6" s="104"/>
      <c r="Q6" s="109">
        <f>AVERAGE(J6:P6)</f>
        <v>0.38245336572788852</v>
      </c>
      <c r="R6" s="109">
        <f>SQRT(VAR(J6:P6))</f>
        <v>3.0694605638737476E-2</v>
      </c>
      <c r="S6" s="104">
        <f>COUNT(J6:P6)</f>
        <v>3</v>
      </c>
      <c r="V6" s="368"/>
      <c r="W6" s="230">
        <f>W5*DL_OH!$W$10</f>
        <v>0.36192350075070551</v>
      </c>
      <c r="X6" s="230">
        <f>X5*DL_OH!$W$9</f>
        <v>0.37840871021775541</v>
      </c>
      <c r="Y6" s="230">
        <f>Y5*DL_OH!$W$12</f>
        <v>0.41496978121600386</v>
      </c>
      <c r="Z6" s="230"/>
      <c r="AA6" s="104"/>
      <c r="AB6" s="104"/>
      <c r="AC6" s="104"/>
      <c r="AD6" s="109">
        <f>AVERAGE(W6:AC6)</f>
        <v>0.38510066406148824</v>
      </c>
      <c r="AE6" s="109">
        <f>SQRT(VAR(W6:AC6))</f>
        <v>2.7148916230408934E-2</v>
      </c>
      <c r="AF6" s="104">
        <f>COUNT(W6:AC6)</f>
        <v>3</v>
      </c>
    </row>
    <row r="7" spans="1:32">
      <c r="A7" s="250"/>
      <c r="Q7" s="108"/>
      <c r="V7" s="368"/>
      <c r="AD7" s="108"/>
    </row>
    <row r="8" spans="1:32" ht="38.25">
      <c r="A8" s="113"/>
      <c r="B8" s="105" t="s">
        <v>173</v>
      </c>
      <c r="C8" s="105" t="s">
        <v>429</v>
      </c>
      <c r="D8" s="105" t="s">
        <v>430</v>
      </c>
      <c r="E8" s="105" t="s">
        <v>114</v>
      </c>
      <c r="G8" s="67">
        <v>10</v>
      </c>
      <c r="H8" s="105" t="s">
        <v>115</v>
      </c>
      <c r="I8" s="105">
        <v>9</v>
      </c>
      <c r="Q8" s="108" t="e">
        <f>AVERAGE(J8:P8)</f>
        <v>#DIV/0!</v>
      </c>
      <c r="R8" s="108" t="e">
        <f>SQRT(VAR(J8:P8))</f>
        <v>#DIV/0!</v>
      </c>
      <c r="S8" s="105">
        <f>COUNT(J8:P8)</f>
        <v>0</v>
      </c>
      <c r="V8" s="368"/>
      <c r="AD8" s="108" t="e">
        <f>AVERAGE(W8:AC8)</f>
        <v>#DIV/0!</v>
      </c>
      <c r="AE8" s="108" t="e">
        <f>SQRT(VAR(W8:AC8))</f>
        <v>#DIV/0!</v>
      </c>
      <c r="AF8" s="105">
        <f>COUNT(W8:AC8)</f>
        <v>0</v>
      </c>
    </row>
    <row r="9" spans="1:32" ht="25.5">
      <c r="A9" s="113"/>
      <c r="G9" s="67">
        <v>20</v>
      </c>
      <c r="H9" s="105" t="s">
        <v>115</v>
      </c>
      <c r="I9" s="105">
        <v>9</v>
      </c>
      <c r="Q9" s="108" t="e">
        <f>AVERAGE(J9:P9)</f>
        <v>#DIV/0!</v>
      </c>
      <c r="R9" s="108" t="e">
        <f>SQRT(VAR(J9:P9))</f>
        <v>#DIV/0!</v>
      </c>
      <c r="S9" s="105">
        <f>COUNT(J9:P9)</f>
        <v>0</v>
      </c>
      <c r="V9" s="368"/>
      <c r="AD9" s="108" t="e">
        <f>AVERAGE(W9:AC9)</f>
        <v>#DIV/0!</v>
      </c>
      <c r="AE9" s="108" t="e">
        <f>SQRT(VAR(W9:AC9))</f>
        <v>#DIV/0!</v>
      </c>
      <c r="AF9" s="105">
        <f>COUNT(W9:AC9)</f>
        <v>0</v>
      </c>
    </row>
    <row r="10" spans="1:32" ht="25.5">
      <c r="A10" s="113"/>
      <c r="G10" s="67">
        <v>10</v>
      </c>
      <c r="H10" s="104" t="s">
        <v>117</v>
      </c>
      <c r="I10" s="104">
        <v>0.3</v>
      </c>
      <c r="J10" s="230"/>
      <c r="K10" s="230"/>
      <c r="L10" s="230"/>
      <c r="M10" s="104"/>
      <c r="N10" s="104"/>
      <c r="O10" s="104"/>
      <c r="P10" s="104"/>
      <c r="Q10" s="109" t="e">
        <f>AVERAGE(J10:P10)</f>
        <v>#DIV/0!</v>
      </c>
      <c r="R10" s="109" t="e">
        <f>SQRT(VAR(J10:P10))</f>
        <v>#DIV/0!</v>
      </c>
      <c r="S10" s="104">
        <f>COUNT(J10:P10)</f>
        <v>0</v>
      </c>
      <c r="V10" s="368"/>
      <c r="W10" s="230"/>
      <c r="X10" s="230"/>
      <c r="Y10" s="230"/>
      <c r="Z10" s="230"/>
      <c r="AA10" s="104"/>
      <c r="AB10" s="104"/>
      <c r="AC10" s="104"/>
      <c r="AD10" s="109" t="e">
        <f>AVERAGE(W10:AC10)</f>
        <v>#DIV/0!</v>
      </c>
      <c r="AE10" s="109" t="e">
        <f>SQRT(VAR(W10:AC10))</f>
        <v>#DIV/0!</v>
      </c>
      <c r="AF10" s="104">
        <f>COUNT(W10:AC10)</f>
        <v>0</v>
      </c>
    </row>
    <row r="11" spans="1:32" ht="25.5">
      <c r="A11" s="113"/>
      <c r="G11" s="67">
        <v>20</v>
      </c>
      <c r="H11" s="104" t="s">
        <v>117</v>
      </c>
      <c r="I11" s="104">
        <v>0.3</v>
      </c>
      <c r="J11" s="230"/>
      <c r="K11" s="230"/>
      <c r="L11" s="230"/>
      <c r="M11" s="104"/>
      <c r="N11" s="104"/>
      <c r="O11" s="104"/>
      <c r="P11" s="104"/>
      <c r="Q11" s="109" t="e">
        <f>AVERAGE(J11:P11)</f>
        <v>#DIV/0!</v>
      </c>
      <c r="R11" s="109" t="e">
        <f>SQRT(VAR(J11:P11))</f>
        <v>#DIV/0!</v>
      </c>
      <c r="S11" s="104">
        <f>COUNT(J11:P11)</f>
        <v>0</v>
      </c>
      <c r="V11" s="368"/>
      <c r="W11" s="230"/>
      <c r="X11" s="230"/>
      <c r="Y11" s="230"/>
      <c r="Z11" s="230"/>
      <c r="AA11" s="104"/>
      <c r="AB11" s="104"/>
      <c r="AC11" s="104"/>
      <c r="AD11" s="109" t="e">
        <f>AVERAGE(W11:AC11)</f>
        <v>#DIV/0!</v>
      </c>
      <c r="AE11" s="109" t="e">
        <f>SQRT(VAR(W11:AC11))</f>
        <v>#DIV/0!</v>
      </c>
      <c r="AF11" s="104">
        <f>COUNT(W11:AC11)</f>
        <v>0</v>
      </c>
    </row>
    <row r="12" spans="1:32">
      <c r="A12" s="250"/>
      <c r="Q12" s="108"/>
      <c r="V12" s="368"/>
      <c r="AD12" s="108"/>
    </row>
    <row r="13" spans="1:32" ht="25.5">
      <c r="A13" s="250"/>
      <c r="B13" s="105" t="s">
        <v>173</v>
      </c>
      <c r="C13" s="105" t="s">
        <v>426</v>
      </c>
      <c r="D13" s="105" t="s">
        <v>432</v>
      </c>
      <c r="E13" s="105" t="s">
        <v>114</v>
      </c>
      <c r="G13" s="67">
        <v>10</v>
      </c>
      <c r="H13" s="252" t="s">
        <v>115</v>
      </c>
      <c r="I13" s="105">
        <v>9</v>
      </c>
      <c r="Q13" s="108" t="e">
        <f>AVERAGE(J13:P13)</f>
        <v>#DIV/0!</v>
      </c>
      <c r="R13" s="108" t="e">
        <f>SQRT(VAR(J13:P13))</f>
        <v>#DIV/0!</v>
      </c>
      <c r="S13" s="105">
        <f>COUNT(J13:P13)</f>
        <v>0</v>
      </c>
      <c r="V13" s="368"/>
      <c r="AD13" s="108" t="e">
        <f>AVERAGE(W13:AC13)</f>
        <v>#DIV/0!</v>
      </c>
      <c r="AE13" s="108" t="e">
        <f>SQRT(VAR(W13:AC13))</f>
        <v>#DIV/0!</v>
      </c>
      <c r="AF13" s="105">
        <f>COUNT(W13:AC13)</f>
        <v>0</v>
      </c>
    </row>
    <row r="14" spans="1:32" ht="25.5">
      <c r="A14" s="250"/>
      <c r="G14" s="67">
        <v>20</v>
      </c>
      <c r="H14" s="105" t="s">
        <v>115</v>
      </c>
      <c r="I14" s="105">
        <v>9</v>
      </c>
      <c r="Q14" s="108" t="e">
        <f>AVERAGE(J14:P14)</f>
        <v>#DIV/0!</v>
      </c>
      <c r="R14" s="108" t="e">
        <f>SQRT(VAR(J14:P14))</f>
        <v>#DIV/0!</v>
      </c>
      <c r="S14" s="105">
        <f>COUNT(J14:P14)</f>
        <v>0</v>
      </c>
      <c r="V14" s="250"/>
      <c r="AD14" s="108" t="e">
        <f>AVERAGE(W14:AC14)</f>
        <v>#DIV/0!</v>
      </c>
      <c r="AE14" s="108" t="e">
        <f>SQRT(VAR(W14:AC14))</f>
        <v>#DIV/0!</v>
      </c>
      <c r="AF14" s="105">
        <f>COUNT(W14:AC14)</f>
        <v>0</v>
      </c>
    </row>
    <row r="15" spans="1:32" ht="25.5">
      <c r="A15" s="250"/>
      <c r="G15" s="67">
        <v>10</v>
      </c>
      <c r="H15" s="104" t="s">
        <v>117</v>
      </c>
      <c r="I15" s="104">
        <v>0.3</v>
      </c>
      <c r="J15" s="230"/>
      <c r="K15" s="230"/>
      <c r="L15" s="230"/>
      <c r="M15" s="104"/>
      <c r="N15" s="104"/>
      <c r="O15" s="104"/>
      <c r="P15" s="104"/>
      <c r="Q15" s="109" t="e">
        <f>AVERAGE(J15:P15)</f>
        <v>#DIV/0!</v>
      </c>
      <c r="R15" s="109" t="e">
        <f>SQRT(VAR(J15:P15))</f>
        <v>#DIV/0!</v>
      </c>
      <c r="S15" s="104">
        <f>COUNT(J15:P15)</f>
        <v>0</v>
      </c>
      <c r="V15" s="250"/>
      <c r="W15" s="230"/>
      <c r="X15" s="230"/>
      <c r="Y15" s="230"/>
      <c r="Z15" s="230"/>
      <c r="AA15" s="104"/>
      <c r="AB15" s="104"/>
      <c r="AC15" s="104"/>
      <c r="AD15" s="109" t="e">
        <f>AVERAGE(W15:AC15)</f>
        <v>#DIV/0!</v>
      </c>
      <c r="AE15" s="109" t="e">
        <f>SQRT(VAR(W15:AC15))</f>
        <v>#DIV/0!</v>
      </c>
      <c r="AF15" s="104">
        <f>COUNT(W15:AC15)</f>
        <v>0</v>
      </c>
    </row>
    <row r="16" spans="1:32" ht="25.5">
      <c r="A16" s="250"/>
      <c r="G16" s="67">
        <v>20</v>
      </c>
      <c r="H16" s="104" t="s">
        <v>117</v>
      </c>
      <c r="I16" s="104">
        <v>0.3</v>
      </c>
      <c r="J16" s="230"/>
      <c r="K16" s="230"/>
      <c r="L16" s="230"/>
      <c r="M16" s="104"/>
      <c r="N16" s="104"/>
      <c r="O16" s="104"/>
      <c r="P16" s="104"/>
      <c r="Q16" s="109" t="e">
        <f>AVERAGE(J16:P16)</f>
        <v>#DIV/0!</v>
      </c>
      <c r="R16" s="109" t="e">
        <f>SQRT(VAR(J16:P16))</f>
        <v>#DIV/0!</v>
      </c>
      <c r="S16" s="104">
        <f>COUNT(J16:P16)</f>
        <v>0</v>
      </c>
      <c r="V16" s="250"/>
      <c r="W16" s="230"/>
      <c r="X16" s="230"/>
      <c r="Y16" s="230"/>
      <c r="Z16" s="230"/>
      <c r="AA16" s="104"/>
      <c r="AB16" s="104"/>
      <c r="AC16" s="104"/>
      <c r="AD16" s="109" t="e">
        <f>AVERAGE(W16:AC16)</f>
        <v>#DIV/0!</v>
      </c>
      <c r="AE16" s="109" t="e">
        <f>SQRT(VAR(W16:AC16))</f>
        <v>#DIV/0!</v>
      </c>
      <c r="AF16" s="104">
        <f>COUNT(W16:AC16)</f>
        <v>0</v>
      </c>
    </row>
    <row r="17" spans="1:32">
      <c r="A17" s="250"/>
      <c r="Q17" s="108"/>
      <c r="V17" s="250"/>
      <c r="AD17" s="108"/>
    </row>
    <row r="18" spans="1:32">
      <c r="A18" s="250"/>
      <c r="B18" s="46" t="s">
        <v>119</v>
      </c>
      <c r="C18" s="46"/>
      <c r="D18" s="46"/>
      <c r="E18" s="46"/>
      <c r="F18" s="46"/>
      <c r="G18" s="253"/>
      <c r="H18" s="55"/>
      <c r="I18" s="55"/>
      <c r="J18" s="227"/>
      <c r="K18" s="227"/>
      <c r="L18" s="227"/>
      <c r="M18" s="55"/>
      <c r="N18" s="55"/>
      <c r="O18" s="55"/>
      <c r="P18" s="55"/>
      <c r="Q18" s="64"/>
      <c r="R18" s="64"/>
      <c r="S18" s="55"/>
      <c r="V18" s="250"/>
      <c r="W18" s="227"/>
      <c r="X18" s="227"/>
      <c r="Y18" s="227"/>
      <c r="Z18" s="227"/>
      <c r="AA18" s="55"/>
      <c r="AB18" s="55"/>
      <c r="AC18" s="55"/>
      <c r="AD18" s="64"/>
      <c r="AE18" s="64"/>
      <c r="AF18" s="55"/>
    </row>
    <row r="19" spans="1:32" ht="40.5" customHeight="1">
      <c r="A19" s="250"/>
      <c r="B19" s="105" t="s">
        <v>173</v>
      </c>
      <c r="C19" s="105" t="s">
        <v>428</v>
      </c>
      <c r="D19" s="74" t="s">
        <v>248</v>
      </c>
      <c r="E19" s="105" t="s">
        <v>121</v>
      </c>
      <c r="F19" s="105" t="s">
        <v>105</v>
      </c>
      <c r="G19" s="67">
        <v>20</v>
      </c>
      <c r="H19" s="105" t="s">
        <v>115</v>
      </c>
      <c r="I19" s="105">
        <v>9</v>
      </c>
      <c r="J19" s="228">
        <f>DL_OH!S40*13.955</f>
        <v>14.218301886792457</v>
      </c>
      <c r="Q19" s="108">
        <f t="shared" ref="Q19:Q24" si="0">AVERAGE(J19:P19)</f>
        <v>14.218301886792457</v>
      </c>
      <c r="R19" s="108" t="e">
        <f t="shared" ref="R19:R24" si="1">SQRT(VAR(J19:P19))</f>
        <v>#DIV/0!</v>
      </c>
      <c r="S19" s="105">
        <f t="shared" ref="S19:S24" si="2">COUNT(J19:P19)</f>
        <v>1</v>
      </c>
      <c r="V19" s="250"/>
      <c r="W19" s="228">
        <f>DL_OH!S40*14.067</f>
        <v>14.332415094339625</v>
      </c>
      <c r="AD19" s="108">
        <f t="shared" ref="AD19:AD24" si="3">AVERAGE(W19:AC19)</f>
        <v>14.332415094339625</v>
      </c>
      <c r="AE19" s="108" t="e">
        <f t="shared" ref="AE19:AE24" si="4">SQRT(VAR(W19:AC19))</f>
        <v>#DIV/0!</v>
      </c>
      <c r="AF19" s="105">
        <f t="shared" ref="AF19:AF24" si="5">COUNT(W19:AC19)</f>
        <v>1</v>
      </c>
    </row>
    <row r="20" spans="1:32" ht="29.25" customHeight="1">
      <c r="A20" s="250"/>
      <c r="D20" s="74"/>
      <c r="G20" s="67">
        <v>40</v>
      </c>
      <c r="H20" s="105" t="s">
        <v>115</v>
      </c>
      <c r="I20" s="105">
        <v>9</v>
      </c>
      <c r="J20" s="228">
        <f>J19*DL_OH!$W$40</f>
        <v>16.680103550321999</v>
      </c>
      <c r="Q20" s="108">
        <f t="shared" si="0"/>
        <v>16.680103550321999</v>
      </c>
      <c r="R20" s="108" t="e">
        <f t="shared" si="1"/>
        <v>#DIV/0!</v>
      </c>
      <c r="S20" s="105">
        <f t="shared" si="2"/>
        <v>1</v>
      </c>
      <c r="V20" s="250"/>
      <c r="W20" s="228">
        <f>W19*DL_OH!$W$40</f>
        <v>16.81397467878033</v>
      </c>
      <c r="AD20" s="108">
        <f t="shared" si="3"/>
        <v>16.81397467878033</v>
      </c>
      <c r="AE20" s="108" t="e">
        <f t="shared" si="4"/>
        <v>#DIV/0!</v>
      </c>
      <c r="AF20" s="105">
        <f t="shared" si="5"/>
        <v>1</v>
      </c>
    </row>
    <row r="21" spans="1:32" ht="30.75" customHeight="1">
      <c r="A21" s="250"/>
      <c r="D21" s="74"/>
      <c r="G21" s="67">
        <v>100</v>
      </c>
      <c r="H21" s="105" t="s">
        <v>115</v>
      </c>
      <c r="I21" s="105">
        <v>9</v>
      </c>
      <c r="J21" s="228">
        <f>J19*DL_OH!$AA$40</f>
        <v>18.35258921669174</v>
      </c>
      <c r="Q21" s="108">
        <f t="shared" si="0"/>
        <v>18.35258921669174</v>
      </c>
      <c r="R21" s="108" t="e">
        <f t="shared" si="1"/>
        <v>#DIV/0!</v>
      </c>
      <c r="S21" s="105">
        <f t="shared" si="2"/>
        <v>1</v>
      </c>
      <c r="V21" s="250"/>
      <c r="W21" s="228">
        <f>W19*DL_OH!$AA$40</f>
        <v>18.499883375937134</v>
      </c>
      <c r="AD21" s="108">
        <f t="shared" si="3"/>
        <v>18.499883375937134</v>
      </c>
      <c r="AE21" s="108" t="e">
        <f t="shared" si="4"/>
        <v>#DIV/0!</v>
      </c>
      <c r="AF21" s="105">
        <f t="shared" si="5"/>
        <v>1</v>
      </c>
    </row>
    <row r="22" spans="1:32" ht="25.5">
      <c r="A22" s="250"/>
      <c r="G22" s="67">
        <v>20</v>
      </c>
      <c r="H22" s="104" t="s">
        <v>117</v>
      </c>
      <c r="I22" s="104">
        <v>0.3</v>
      </c>
      <c r="J22" s="230">
        <f>DL_OH!S40*0.344</f>
        <v>0.35049056603773587</v>
      </c>
      <c r="K22" s="230"/>
      <c r="L22" s="230"/>
      <c r="M22" s="104"/>
      <c r="N22" s="104"/>
      <c r="O22" s="104"/>
      <c r="P22" s="104"/>
      <c r="Q22" s="109">
        <f t="shared" si="0"/>
        <v>0.35049056603773587</v>
      </c>
      <c r="R22" s="109" t="e">
        <f t="shared" si="1"/>
        <v>#DIV/0!</v>
      </c>
      <c r="S22" s="104">
        <f t="shared" si="2"/>
        <v>1</v>
      </c>
      <c r="V22" s="250"/>
      <c r="W22" s="230">
        <f>DL_OH!S40*0.35</f>
        <v>0.35660377358490569</v>
      </c>
      <c r="X22" s="230"/>
      <c r="Y22" s="230"/>
      <c r="Z22" s="230"/>
      <c r="AA22" s="104"/>
      <c r="AB22" s="104"/>
      <c r="AC22" s="104"/>
      <c r="AD22" s="109">
        <f t="shared" si="3"/>
        <v>0.35660377358490569</v>
      </c>
      <c r="AE22" s="109" t="e">
        <f t="shared" si="4"/>
        <v>#DIV/0!</v>
      </c>
      <c r="AF22" s="104">
        <f t="shared" si="5"/>
        <v>1</v>
      </c>
    </row>
    <row r="23" spans="1:32" ht="25.5">
      <c r="A23" s="250"/>
      <c r="G23" s="67">
        <v>40</v>
      </c>
      <c r="H23" s="104" t="s">
        <v>117</v>
      </c>
      <c r="I23" s="104">
        <v>0.3</v>
      </c>
      <c r="J23" s="230">
        <f>J22*DL_OH!$W$40</f>
        <v>0.41117560883631427</v>
      </c>
      <c r="K23" s="230"/>
      <c r="L23" s="230"/>
      <c r="M23" s="104"/>
      <c r="N23" s="104"/>
      <c r="O23" s="104"/>
      <c r="P23" s="104"/>
      <c r="Q23" s="109">
        <f t="shared" si="0"/>
        <v>0.41117560883631427</v>
      </c>
      <c r="R23" s="109" t="e">
        <f t="shared" si="1"/>
        <v>#DIV/0!</v>
      </c>
      <c r="S23" s="104">
        <f t="shared" si="2"/>
        <v>1</v>
      </c>
      <c r="V23" s="250"/>
      <c r="W23" s="230">
        <f>W22*DL_OH!$W$40</f>
        <v>0.41834727643229652</v>
      </c>
      <c r="X23" s="230"/>
      <c r="Y23" s="230"/>
      <c r="Z23" s="230"/>
      <c r="AA23" s="104"/>
      <c r="AB23" s="104"/>
      <c r="AC23" s="104"/>
      <c r="AD23" s="109">
        <f t="shared" si="3"/>
        <v>0.41834727643229652</v>
      </c>
      <c r="AE23" s="109" t="e">
        <f t="shared" si="4"/>
        <v>#DIV/0!</v>
      </c>
      <c r="AF23" s="104">
        <f t="shared" si="5"/>
        <v>1</v>
      </c>
    </row>
    <row r="24" spans="1:32" ht="25.5">
      <c r="A24" s="250"/>
      <c r="G24" s="67">
        <v>100</v>
      </c>
      <c r="H24" s="104" t="s">
        <v>117</v>
      </c>
      <c r="I24" s="104">
        <v>0.3</v>
      </c>
      <c r="J24" s="230">
        <f>J22*DL_OH!$AA$40</f>
        <v>0.45240348911085326</v>
      </c>
      <c r="K24" s="230"/>
      <c r="L24" s="230"/>
      <c r="M24" s="104"/>
      <c r="N24" s="104"/>
      <c r="O24" s="104"/>
      <c r="P24" s="104"/>
      <c r="Q24" s="109">
        <f t="shared" si="0"/>
        <v>0.45240348911085326</v>
      </c>
      <c r="R24" s="109" t="e">
        <f t="shared" si="1"/>
        <v>#DIV/0!</v>
      </c>
      <c r="S24" s="104">
        <f t="shared" si="2"/>
        <v>1</v>
      </c>
      <c r="V24" s="250"/>
      <c r="W24" s="230">
        <f>W22*DL_OH!$AA$40</f>
        <v>0.46029424764185656</v>
      </c>
      <c r="X24" s="230"/>
      <c r="Y24" s="230"/>
      <c r="Z24" s="230"/>
      <c r="AA24" s="104"/>
      <c r="AB24" s="104"/>
      <c r="AC24" s="104"/>
      <c r="AD24" s="109">
        <f t="shared" si="3"/>
        <v>0.46029424764185656</v>
      </c>
      <c r="AE24" s="109" t="e">
        <f t="shared" si="4"/>
        <v>#DIV/0!</v>
      </c>
      <c r="AF24" s="104">
        <f t="shared" si="5"/>
        <v>1</v>
      </c>
    </row>
    <row r="25" spans="1:32">
      <c r="A25" s="250"/>
      <c r="Q25" s="108"/>
      <c r="V25" s="250"/>
      <c r="AD25" s="108"/>
    </row>
    <row r="26" spans="1:32" ht="40.5" customHeight="1">
      <c r="A26" s="250"/>
      <c r="B26" s="105" t="s">
        <v>173</v>
      </c>
      <c r="C26" s="105" t="s">
        <v>428</v>
      </c>
      <c r="D26" s="74" t="s">
        <v>248</v>
      </c>
      <c r="E26" s="105" t="s">
        <v>114</v>
      </c>
      <c r="F26" s="105" t="s">
        <v>105</v>
      </c>
      <c r="G26" s="67">
        <v>20</v>
      </c>
      <c r="H26" s="105" t="s">
        <v>115</v>
      </c>
      <c r="I26" s="105">
        <v>9</v>
      </c>
      <c r="J26" s="228">
        <f>DL_OH!S26*14.293</f>
        <v>14.562679245283014</v>
      </c>
      <c r="Q26" s="108">
        <f>AVERAGE(J26:P26)</f>
        <v>14.562679245283014</v>
      </c>
      <c r="R26" s="108" t="e">
        <f>SQRT(VAR(J26:P26))</f>
        <v>#DIV/0!</v>
      </c>
      <c r="S26" s="105">
        <f>COUNT(J26:P26)</f>
        <v>1</v>
      </c>
      <c r="V26" s="250"/>
      <c r="W26" s="228">
        <f>DL_OH!S26*14.403</f>
        <v>14.674754716981129</v>
      </c>
      <c r="AD26" s="108">
        <f>AVERAGE(W26:AC26)</f>
        <v>14.674754716981129</v>
      </c>
      <c r="AE26" s="108" t="e">
        <f>SQRT(VAR(W26:AC26))</f>
        <v>#DIV/0!</v>
      </c>
      <c r="AF26" s="105">
        <f>COUNT(W26:AC26)</f>
        <v>1</v>
      </c>
    </row>
    <row r="27" spans="1:32" ht="40.5" customHeight="1">
      <c r="A27" s="250"/>
      <c r="D27" s="74"/>
      <c r="G27" s="67">
        <v>40</v>
      </c>
      <c r="H27" s="105" t="s">
        <v>115</v>
      </c>
      <c r="I27" s="105">
        <v>9</v>
      </c>
      <c r="J27" s="228">
        <f>J26*DL_OH!$W$26</f>
        <v>16.710019670660415</v>
      </c>
      <c r="Q27" s="108">
        <f>AVERAGE(J27:P27)</f>
        <v>16.710019670660415</v>
      </c>
      <c r="R27" s="108" t="e">
        <f>SQRT(VAR(J27:P27))</f>
        <v>#DIV/0!</v>
      </c>
      <c r="S27" s="105">
        <f>COUNT(J27:P27)</f>
        <v>1</v>
      </c>
      <c r="V27" s="250"/>
      <c r="W27" s="228">
        <f>W26*DL_OH!$W$26</f>
        <v>16.838621235326521</v>
      </c>
      <c r="AD27" s="108">
        <f>AVERAGE(W27:AC27)</f>
        <v>16.838621235326521</v>
      </c>
      <c r="AE27" s="108" t="e">
        <f>SQRT(VAR(W27:AC27))</f>
        <v>#DIV/0!</v>
      </c>
      <c r="AF27" s="105">
        <f>COUNT(W27:AC27)</f>
        <v>1</v>
      </c>
    </row>
    <row r="28" spans="1:32" ht="25.5">
      <c r="A28" s="250"/>
      <c r="G28" s="67">
        <v>20</v>
      </c>
      <c r="H28" s="104" t="s">
        <v>117</v>
      </c>
      <c r="I28" s="104">
        <v>0.3</v>
      </c>
      <c r="J28" s="230">
        <f>DL_OH!S26*0.378</f>
        <v>0.38513207547169803</v>
      </c>
      <c r="K28" s="230"/>
      <c r="L28" s="230"/>
      <c r="M28" s="104"/>
      <c r="N28" s="104"/>
      <c r="O28" s="104"/>
      <c r="P28" s="104"/>
      <c r="Q28" s="109">
        <f>AVERAGE(J28:P28)</f>
        <v>0.38513207547169803</v>
      </c>
      <c r="R28" s="109" t="e">
        <f>SQRT(VAR(J28:P28))</f>
        <v>#DIV/0!</v>
      </c>
      <c r="S28" s="104">
        <f>COUNT(J28:P28)</f>
        <v>1</v>
      </c>
      <c r="V28" s="250"/>
      <c r="W28" s="230">
        <f>DL_OH!S26*0.387</f>
        <v>0.39430188679245276</v>
      </c>
      <c r="X28" s="230"/>
      <c r="Y28" s="230"/>
      <c r="Z28" s="230"/>
      <c r="AA28" s="104"/>
      <c r="AB28" s="104"/>
      <c r="AC28" s="104"/>
      <c r="AD28" s="109">
        <f>AVERAGE(W28:AC28)</f>
        <v>0.39430188679245276</v>
      </c>
      <c r="AE28" s="109" t="e">
        <f>SQRT(VAR(W28:AC28))</f>
        <v>#DIV/0!</v>
      </c>
      <c r="AF28" s="104">
        <f>COUNT(W28:AC28)</f>
        <v>1</v>
      </c>
    </row>
    <row r="29" spans="1:32" ht="25.5">
      <c r="A29" s="250"/>
      <c r="G29" s="67">
        <v>40</v>
      </c>
      <c r="H29" s="104" t="s">
        <v>117</v>
      </c>
      <c r="I29" s="104">
        <v>0.3</v>
      </c>
      <c r="J29" s="230">
        <f>J28*DL_OH!$W$26</f>
        <v>0.44192174039807158</v>
      </c>
      <c r="K29" s="230"/>
      <c r="L29" s="230"/>
      <c r="M29" s="104"/>
      <c r="N29" s="104"/>
      <c r="O29" s="104"/>
      <c r="P29" s="104"/>
      <c r="Q29" s="109">
        <f>AVERAGE(J29:P29)</f>
        <v>0.44192174039807158</v>
      </c>
      <c r="R29" s="109" t="e">
        <f>SQRT(VAR(J29:P29))</f>
        <v>#DIV/0!</v>
      </c>
      <c r="S29" s="104">
        <f>COUNT(J29:P29)</f>
        <v>1</v>
      </c>
      <c r="V29" s="250"/>
      <c r="W29" s="230">
        <f>W28*DL_OH!$W$26</f>
        <v>0.4524436865980257</v>
      </c>
      <c r="X29" s="230"/>
      <c r="Y29" s="230"/>
      <c r="Z29" s="230"/>
      <c r="AA29" s="104"/>
      <c r="AB29" s="104"/>
      <c r="AC29" s="104"/>
      <c r="AD29" s="109">
        <f>AVERAGE(W29:AC29)</f>
        <v>0.4524436865980257</v>
      </c>
      <c r="AE29" s="109" t="e">
        <f>SQRT(VAR(W29:AC29))</f>
        <v>#DIV/0!</v>
      </c>
      <c r="AF29" s="104">
        <f>COUNT(W29:AC29)</f>
        <v>1</v>
      </c>
    </row>
    <row r="30" spans="1:32" ht="9.75" customHeight="1">
      <c r="A30" s="250"/>
      <c r="Q30" s="108"/>
      <c r="V30" s="250"/>
      <c r="AD30" s="108"/>
    </row>
    <row r="31" spans="1:32" ht="38.25">
      <c r="A31" s="250"/>
      <c r="B31" s="105" t="s">
        <v>173</v>
      </c>
      <c r="C31" s="105" t="s">
        <v>428</v>
      </c>
      <c r="D31" s="105" t="s">
        <v>189</v>
      </c>
      <c r="E31" s="105" t="s">
        <v>124</v>
      </c>
      <c r="F31" s="105" t="s">
        <v>185</v>
      </c>
      <c r="G31" s="67">
        <v>20</v>
      </c>
      <c r="H31" s="105" t="s">
        <v>115</v>
      </c>
      <c r="I31" s="105">
        <v>9</v>
      </c>
      <c r="K31" s="236"/>
      <c r="Q31" s="108" t="e">
        <f>AVERAGE(J31:P31)</f>
        <v>#DIV/0!</v>
      </c>
      <c r="R31" s="108" t="e">
        <f>SQRT(VAR(J31:P31))</f>
        <v>#DIV/0!</v>
      </c>
      <c r="S31" s="105">
        <f>COUNT(J31:P31)</f>
        <v>0</v>
      </c>
      <c r="V31" s="250"/>
      <c r="AD31" s="108" t="e">
        <f>AVERAGE(W31:AC31)</f>
        <v>#DIV/0!</v>
      </c>
      <c r="AE31" s="108" t="e">
        <f>SQRT(VAR(W31:AC31))</f>
        <v>#DIV/0!</v>
      </c>
      <c r="AF31" s="105">
        <f>COUNT(W31:AC31)</f>
        <v>0</v>
      </c>
    </row>
    <row r="32" spans="1:32" ht="25.5">
      <c r="A32" s="250"/>
      <c r="G32" s="67">
        <v>40</v>
      </c>
      <c r="H32" s="105" t="s">
        <v>115</v>
      </c>
      <c r="I32" s="105">
        <v>9</v>
      </c>
      <c r="K32" s="236"/>
      <c r="Q32" s="108" t="e">
        <f>AVERAGE(J32:P32)</f>
        <v>#DIV/0!</v>
      </c>
      <c r="R32" s="108" t="e">
        <f>SQRT(VAR(J32:P32))</f>
        <v>#DIV/0!</v>
      </c>
      <c r="S32" s="105">
        <f>COUNT(J32:P32)</f>
        <v>0</v>
      </c>
      <c r="V32" s="250"/>
      <c r="AD32" s="108" t="e">
        <f>AVERAGE(W32:AC32)</f>
        <v>#DIV/0!</v>
      </c>
      <c r="AE32" s="108" t="e">
        <f>SQRT(VAR(W32:AC32))</f>
        <v>#DIV/0!</v>
      </c>
      <c r="AF32" s="105">
        <f>COUNT(W32:AC32)</f>
        <v>0</v>
      </c>
    </row>
    <row r="33" spans="1:32" ht="25.5">
      <c r="A33" s="250"/>
      <c r="G33" s="67">
        <v>20</v>
      </c>
      <c r="H33" s="104" t="s">
        <v>117</v>
      </c>
      <c r="I33" s="104">
        <v>0.3</v>
      </c>
      <c r="J33" s="230"/>
      <c r="K33" s="245"/>
      <c r="L33" s="230"/>
      <c r="M33" s="104"/>
      <c r="N33" s="104"/>
      <c r="O33" s="104"/>
      <c r="P33" s="104"/>
      <c r="Q33" s="109" t="e">
        <f>AVERAGE(J33:P33)</f>
        <v>#DIV/0!</v>
      </c>
      <c r="R33" s="109" t="e">
        <f>SQRT(VAR(J33:P33))</f>
        <v>#DIV/0!</v>
      </c>
      <c r="S33" s="104">
        <f>COUNT(J33:P33)</f>
        <v>0</v>
      </c>
      <c r="V33" s="250"/>
      <c r="W33" s="230"/>
      <c r="X33" s="230"/>
      <c r="Y33" s="230"/>
      <c r="Z33" s="230"/>
      <c r="AA33" s="104"/>
      <c r="AB33" s="104"/>
      <c r="AC33" s="104"/>
      <c r="AD33" s="109" t="e">
        <f>AVERAGE(W33:AC33)</f>
        <v>#DIV/0!</v>
      </c>
      <c r="AE33" s="109" t="e">
        <f>SQRT(VAR(W33:AC33))</f>
        <v>#DIV/0!</v>
      </c>
      <c r="AF33" s="104">
        <f>COUNT(W33:AC33)</f>
        <v>0</v>
      </c>
    </row>
    <row r="34" spans="1:32" ht="25.5">
      <c r="A34" s="250"/>
      <c r="G34" s="67">
        <v>40</v>
      </c>
      <c r="H34" s="104" t="s">
        <v>117</v>
      </c>
      <c r="I34" s="104">
        <v>0.3</v>
      </c>
      <c r="J34" s="230"/>
      <c r="K34" s="245"/>
      <c r="L34" s="230"/>
      <c r="M34" s="104"/>
      <c r="N34" s="104"/>
      <c r="O34" s="104"/>
      <c r="P34" s="104"/>
      <c r="Q34" s="109" t="e">
        <f>AVERAGE(J34:P34)</f>
        <v>#DIV/0!</v>
      </c>
      <c r="R34" s="109" t="e">
        <f>SQRT(VAR(J34:P34))</f>
        <v>#DIV/0!</v>
      </c>
      <c r="S34" s="104">
        <f>COUNT(J34:P34)</f>
        <v>0</v>
      </c>
      <c r="V34" s="250"/>
      <c r="W34" s="230"/>
      <c r="X34" s="230"/>
      <c r="Y34" s="230"/>
      <c r="Z34" s="230"/>
      <c r="AA34" s="104"/>
      <c r="AB34" s="104"/>
      <c r="AC34" s="104"/>
      <c r="AD34" s="109" t="e">
        <f>AVERAGE(W34:AC34)</f>
        <v>#DIV/0!</v>
      </c>
      <c r="AE34" s="109" t="e">
        <f>SQRT(VAR(W34:AC34))</f>
        <v>#DIV/0!</v>
      </c>
      <c r="AF34" s="104">
        <f>COUNT(W34:AC34)</f>
        <v>0</v>
      </c>
    </row>
    <row r="35" spans="1:32" ht="15">
      <c r="A35" s="250"/>
      <c r="K35" s="235"/>
      <c r="Q35" s="108"/>
      <c r="V35" s="250"/>
      <c r="X35" s="235"/>
      <c r="AD35" s="108"/>
    </row>
    <row r="36" spans="1:32" ht="51">
      <c r="A36" s="250"/>
      <c r="B36" s="105" t="s">
        <v>173</v>
      </c>
      <c r="C36" s="105" t="s">
        <v>428</v>
      </c>
      <c r="D36" s="74" t="s">
        <v>595</v>
      </c>
      <c r="E36" s="105" t="s">
        <v>124</v>
      </c>
      <c r="F36" s="105" t="s">
        <v>185</v>
      </c>
      <c r="G36" s="67">
        <v>20</v>
      </c>
      <c r="H36" s="105" t="s">
        <v>115</v>
      </c>
      <c r="I36" s="105">
        <v>9</v>
      </c>
      <c r="K36" s="229">
        <v>13.437721518987342</v>
      </c>
      <c r="L36" s="228">
        <f>DL_OH!S27*10.74</f>
        <v>10.875949367088607</v>
      </c>
      <c r="Q36" s="108">
        <f>AVERAGE(J36:P36)</f>
        <v>12.156835443037973</v>
      </c>
      <c r="R36" s="108">
        <f>SQRT(VAR(J36:P36))</f>
        <v>1.811446460462466</v>
      </c>
      <c r="S36" s="105">
        <f>COUNT(J36:P36)</f>
        <v>2</v>
      </c>
      <c r="V36" s="250"/>
      <c r="X36" s="229">
        <v>13.645063291139239</v>
      </c>
      <c r="Y36" s="228">
        <f>DL_OH!S27*10.95</f>
        <v>11.088607594936706</v>
      </c>
      <c r="AD36" s="108">
        <f>AVERAGE(W36:AC36)</f>
        <v>12.366835443037973</v>
      </c>
      <c r="AE36" s="108">
        <f>SQRT(VAR(W36:AC36))</f>
        <v>1.8076871585877916</v>
      </c>
      <c r="AF36" s="105">
        <f>COUNT(W36:AC36)</f>
        <v>2</v>
      </c>
    </row>
    <row r="37" spans="1:32" ht="25.5">
      <c r="A37" s="250"/>
      <c r="D37" s="74"/>
      <c r="G37" s="67">
        <v>40</v>
      </c>
      <c r="H37" s="105" t="s">
        <v>115</v>
      </c>
      <c r="I37" s="105">
        <v>9</v>
      </c>
      <c r="K37" s="228">
        <f>K36*DL_OH!$W$22</f>
        <v>15.376469194060947</v>
      </c>
      <c r="L37" s="228">
        <f>L36*DL_OH!$W$27</f>
        <v>12.376407644137782</v>
      </c>
      <c r="Q37" s="108">
        <f>AVERAGE(J37:P37)</f>
        <v>13.876438419099365</v>
      </c>
      <c r="R37" s="108">
        <f>SQRT(VAR(J37:P37))</f>
        <v>2.1213638659276799</v>
      </c>
      <c r="S37" s="105">
        <f>COUNT(J37:P37)</f>
        <v>2</v>
      </c>
      <c r="V37" s="250"/>
      <c r="X37" s="228">
        <f>X36*DL_OH!$W$22</f>
        <v>15.613725515203694</v>
      </c>
      <c r="Y37" s="228">
        <f>Y36*DL_OH!$W$27</f>
        <v>12.618404441648853</v>
      </c>
      <c r="AD37" s="108">
        <f>AVERAGE(W37:AC37)</f>
        <v>14.116064978426273</v>
      </c>
      <c r="AE37" s="108">
        <f>SQRT(VAR(W37:AC37))</f>
        <v>2.1180118429416042</v>
      </c>
      <c r="AF37" s="105">
        <f>COUNT(W37:AC37)</f>
        <v>2</v>
      </c>
    </row>
    <row r="38" spans="1:32" ht="25.5">
      <c r="A38" s="250"/>
      <c r="G38" s="67">
        <v>20</v>
      </c>
      <c r="H38" s="104" t="s">
        <v>117</v>
      </c>
      <c r="I38" s="104">
        <v>0.3</v>
      </c>
      <c r="J38" s="230"/>
      <c r="K38" s="231">
        <v>0.32582278481012655</v>
      </c>
      <c r="L38" s="230">
        <f>DL_OH!S27*0.365</f>
        <v>0.36962025316455688</v>
      </c>
      <c r="M38" s="104"/>
      <c r="N38" s="104"/>
      <c r="O38" s="104"/>
      <c r="P38" s="104"/>
      <c r="Q38" s="109">
        <f>AVERAGE(J38:P38)</f>
        <v>0.34772151898734172</v>
      </c>
      <c r="R38" s="109">
        <f>SQRT(VAR(J38:P38))</f>
        <v>3.0969486872220904E-2</v>
      </c>
      <c r="S38" s="104">
        <f>COUNT(J38:P38)</f>
        <v>2</v>
      </c>
      <c r="V38" s="250"/>
      <c r="W38" s="230"/>
      <c r="X38" s="231">
        <v>0.32582278481012655</v>
      </c>
      <c r="Y38" s="230">
        <f>DL_OH!S27*0.33</f>
        <v>0.33417721518987337</v>
      </c>
      <c r="Z38" s="230"/>
      <c r="AA38" s="104"/>
      <c r="AB38" s="104"/>
      <c r="AC38" s="104"/>
      <c r="AD38" s="109">
        <f>AVERAGE(W38:AC38)</f>
        <v>0.32999999999999996</v>
      </c>
      <c r="AE38" s="109">
        <f>SQRT(VAR(W38:AC38))</f>
        <v>5.9074743744698755E-3</v>
      </c>
      <c r="AF38" s="104">
        <f>COUNT(W38:AC38)</f>
        <v>2</v>
      </c>
    </row>
    <row r="39" spans="1:32" ht="25.5">
      <c r="A39" s="250"/>
      <c r="G39" s="67">
        <v>40</v>
      </c>
      <c r="H39" s="104" t="s">
        <v>117</v>
      </c>
      <c r="I39" s="104">
        <v>0.3</v>
      </c>
      <c r="J39" s="230"/>
      <c r="K39" s="230">
        <f>K38*DL_OH!$W$22</f>
        <v>0.37283136179574666</v>
      </c>
      <c r="L39" s="230">
        <f>L38*DL_OH!$W$27</f>
        <v>0.42061348138829513</v>
      </c>
      <c r="M39" s="104"/>
      <c r="N39" s="104"/>
      <c r="O39" s="104"/>
      <c r="P39" s="104"/>
      <c r="Q39" s="109">
        <f>AVERAGE(J39:P39)</f>
        <v>0.39672242159202087</v>
      </c>
      <c r="R39" s="109">
        <f>SQRT(VAR(J39:P39))</f>
        <v>3.3787060783357616E-2</v>
      </c>
      <c r="S39" s="104">
        <f>COUNT(J39:P39)</f>
        <v>2</v>
      </c>
      <c r="V39" s="250"/>
      <c r="W39" s="230"/>
      <c r="X39" s="230">
        <f>X38*DL_OH!$W$22</f>
        <v>0.37283136179574666</v>
      </c>
      <c r="Y39" s="230">
        <f>Y38*DL_OH!$W$27</f>
        <v>0.38028068180311619</v>
      </c>
      <c r="Z39" s="230"/>
      <c r="AA39" s="104"/>
      <c r="AB39" s="104"/>
      <c r="AC39" s="104"/>
      <c r="AD39" s="109">
        <f>AVERAGE(W39:AC39)</f>
        <v>0.37655602179943143</v>
      </c>
      <c r="AE39" s="109">
        <f>SQRT(VAR(W39:AC39))</f>
        <v>5.2674646924396173E-3</v>
      </c>
      <c r="AF39" s="104">
        <f>COUNT(W39:AC39)</f>
        <v>2</v>
      </c>
    </row>
    <row r="40" spans="1:32" ht="15">
      <c r="A40" s="250"/>
      <c r="K40" s="240"/>
      <c r="Q40" s="108"/>
      <c r="V40" s="250"/>
      <c r="X40" s="240"/>
      <c r="AD40" s="108"/>
    </row>
    <row r="41" spans="1:32" ht="38.25">
      <c r="A41" s="250"/>
      <c r="B41" s="105" t="s">
        <v>173</v>
      </c>
      <c r="C41" s="105" t="s">
        <v>428</v>
      </c>
      <c r="D41" s="74" t="s">
        <v>463</v>
      </c>
      <c r="E41" s="74" t="s">
        <v>121</v>
      </c>
      <c r="F41" s="105" t="s">
        <v>185</v>
      </c>
      <c r="G41" s="67">
        <v>20</v>
      </c>
      <c r="H41" s="105" t="s">
        <v>115</v>
      </c>
      <c r="I41" s="105">
        <v>9</v>
      </c>
      <c r="K41" s="229">
        <v>13.003291139240506</v>
      </c>
      <c r="Q41" s="108">
        <f t="shared" ref="Q41:Q46" si="6">AVERAGE(J41:P41)</f>
        <v>13.003291139240506</v>
      </c>
      <c r="R41" s="108" t="e">
        <f t="shared" ref="R41:R46" si="7">SQRT(VAR(J41:P41))</f>
        <v>#DIV/0!</v>
      </c>
      <c r="S41" s="105">
        <f t="shared" ref="S41:S46" si="8">COUNT(J41:P41)</f>
        <v>1</v>
      </c>
      <c r="V41" s="250"/>
      <c r="X41" s="229">
        <v>13.17113924050633</v>
      </c>
      <c r="AD41" s="108">
        <f t="shared" ref="AD41:AD46" si="9">AVERAGE(W41:AC41)</f>
        <v>13.17113924050633</v>
      </c>
      <c r="AE41" s="108" t="e">
        <f t="shared" ref="AE41:AE46" si="10">SQRT(VAR(W41:AC41))</f>
        <v>#DIV/0!</v>
      </c>
      <c r="AF41" s="105">
        <f t="shared" ref="AF41:AF46" si="11">COUNT(W41:AC41)</f>
        <v>1</v>
      </c>
    </row>
    <row r="42" spans="1:32" ht="25.5">
      <c r="A42" s="250"/>
      <c r="D42" s="74"/>
      <c r="E42" s="74"/>
      <c r="G42" s="67">
        <v>40</v>
      </c>
      <c r="H42" s="105" t="s">
        <v>115</v>
      </c>
      <c r="I42" s="105">
        <v>9</v>
      </c>
      <c r="K42" s="228">
        <f>K41*DL_OH!$W$37</f>
        <v>15.180384773911989</v>
      </c>
      <c r="Q42" s="108">
        <f t="shared" si="6"/>
        <v>15.180384773911989</v>
      </c>
      <c r="R42" s="108" t="e">
        <f t="shared" si="7"/>
        <v>#DIV/0!</v>
      </c>
      <c r="S42" s="105">
        <f t="shared" si="8"/>
        <v>1</v>
      </c>
      <c r="V42" s="250"/>
      <c r="X42" s="228">
        <f>X41*DL_OH!$W$37</f>
        <v>15.376335070917687</v>
      </c>
      <c r="AD42" s="108">
        <f t="shared" si="9"/>
        <v>15.376335070917687</v>
      </c>
      <c r="AE42" s="108" t="e">
        <f t="shared" si="10"/>
        <v>#DIV/0!</v>
      </c>
      <c r="AF42" s="105">
        <f t="shared" si="11"/>
        <v>1</v>
      </c>
    </row>
    <row r="43" spans="1:32" ht="25.5">
      <c r="A43" s="250"/>
      <c r="D43" s="74"/>
      <c r="E43" s="74"/>
      <c r="G43" s="67">
        <v>100</v>
      </c>
      <c r="H43" s="105" t="s">
        <v>115</v>
      </c>
      <c r="I43" s="105">
        <v>9</v>
      </c>
      <c r="K43" s="228">
        <f>K41*DL_OH!$AA$37</f>
        <v>16.662183020573263</v>
      </c>
      <c r="Q43" s="108">
        <f t="shared" si="6"/>
        <v>16.662183020573263</v>
      </c>
      <c r="R43" s="108" t="e">
        <f t="shared" si="7"/>
        <v>#DIV/0!</v>
      </c>
      <c r="S43" s="105">
        <f t="shared" si="8"/>
        <v>1</v>
      </c>
      <c r="V43" s="250"/>
      <c r="X43" s="228">
        <f>X41*DL_OH!$AA$37</f>
        <v>16.877260553868439</v>
      </c>
      <c r="AD43" s="108">
        <f t="shared" si="9"/>
        <v>16.877260553868439</v>
      </c>
      <c r="AE43" s="108" t="e">
        <f t="shared" si="10"/>
        <v>#DIV/0!</v>
      </c>
      <c r="AF43" s="105">
        <f t="shared" si="11"/>
        <v>1</v>
      </c>
    </row>
    <row r="44" spans="1:32" ht="25.5">
      <c r="A44" s="250"/>
      <c r="G44" s="67">
        <v>20</v>
      </c>
      <c r="H44" s="104" t="s">
        <v>117</v>
      </c>
      <c r="I44" s="104">
        <v>0.3</v>
      </c>
      <c r="J44" s="230"/>
      <c r="K44" s="231">
        <v>0.3159493670886076</v>
      </c>
      <c r="L44" s="230"/>
      <c r="M44" s="104"/>
      <c r="N44" s="104"/>
      <c r="O44" s="104"/>
      <c r="P44" s="104"/>
      <c r="Q44" s="109">
        <f t="shared" si="6"/>
        <v>0.3159493670886076</v>
      </c>
      <c r="R44" s="109" t="e">
        <f t="shared" si="7"/>
        <v>#DIV/0!</v>
      </c>
      <c r="S44" s="104">
        <f t="shared" si="8"/>
        <v>1</v>
      </c>
      <c r="V44" s="250"/>
      <c r="W44" s="230"/>
      <c r="X44" s="231">
        <v>0.33569620253164556</v>
      </c>
      <c r="Y44" s="230"/>
      <c r="Z44" s="230"/>
      <c r="AA44" s="104"/>
      <c r="AB44" s="104"/>
      <c r="AC44" s="104"/>
      <c r="AD44" s="109">
        <f t="shared" si="9"/>
        <v>0.33569620253164556</v>
      </c>
      <c r="AE44" s="109" t="e">
        <f t="shared" si="10"/>
        <v>#DIV/0!</v>
      </c>
      <c r="AF44" s="104">
        <f t="shared" si="11"/>
        <v>1</v>
      </c>
    </row>
    <row r="45" spans="1:32" ht="25.5">
      <c r="A45" s="250"/>
      <c r="G45" s="67">
        <v>40</v>
      </c>
      <c r="H45" s="104" t="s">
        <v>117</v>
      </c>
      <c r="I45" s="104">
        <v>0.3</v>
      </c>
      <c r="J45" s="230"/>
      <c r="K45" s="230">
        <f>K44*DL_OH!$W$37</f>
        <v>0.36884761789307796</v>
      </c>
      <c r="L45" s="230"/>
      <c r="M45" s="104"/>
      <c r="N45" s="104"/>
      <c r="O45" s="104"/>
      <c r="P45" s="104"/>
      <c r="Q45" s="109">
        <f t="shared" si="6"/>
        <v>0.36884761789307796</v>
      </c>
      <c r="R45" s="109" t="e">
        <f t="shared" si="7"/>
        <v>#DIV/0!</v>
      </c>
      <c r="S45" s="104">
        <f t="shared" si="8"/>
        <v>1</v>
      </c>
      <c r="V45" s="250"/>
      <c r="W45" s="230"/>
      <c r="X45" s="230">
        <f>X44*DL_OH!$W$37</f>
        <v>0.39190059401139526</v>
      </c>
      <c r="Y45" s="230"/>
      <c r="Z45" s="230"/>
      <c r="AA45" s="104"/>
      <c r="AB45" s="104"/>
      <c r="AC45" s="104"/>
      <c r="AD45" s="109">
        <f t="shared" si="9"/>
        <v>0.39190059401139526</v>
      </c>
      <c r="AE45" s="109" t="e">
        <f t="shared" si="10"/>
        <v>#DIV/0!</v>
      </c>
      <c r="AF45" s="104">
        <f t="shared" si="11"/>
        <v>1</v>
      </c>
    </row>
    <row r="46" spans="1:32" ht="25.5">
      <c r="A46" s="250"/>
      <c r="G46" s="67">
        <v>100</v>
      </c>
      <c r="H46" s="104" t="s">
        <v>117</v>
      </c>
      <c r="I46" s="104">
        <v>0.3</v>
      </c>
      <c r="J46" s="230"/>
      <c r="K46" s="230">
        <f>K44*DL_OH!$AA$37</f>
        <v>0.40485182737915298</v>
      </c>
      <c r="L46" s="230"/>
      <c r="M46" s="104"/>
      <c r="N46" s="104"/>
      <c r="O46" s="104"/>
      <c r="P46" s="104"/>
      <c r="Q46" s="109">
        <f t="shared" si="6"/>
        <v>0.40485182737915298</v>
      </c>
      <c r="R46" s="109" t="e">
        <f t="shared" si="7"/>
        <v>#DIV/0!</v>
      </c>
      <c r="S46" s="104">
        <f t="shared" si="8"/>
        <v>1</v>
      </c>
      <c r="V46" s="250"/>
      <c r="W46" s="230"/>
      <c r="X46" s="230">
        <f>X44*DL_OH!$AA$37</f>
        <v>0.43015506659035002</v>
      </c>
      <c r="Y46" s="230"/>
      <c r="Z46" s="230"/>
      <c r="AA46" s="104"/>
      <c r="AB46" s="104"/>
      <c r="AC46" s="104"/>
      <c r="AD46" s="109">
        <f t="shared" si="9"/>
        <v>0.43015506659035002</v>
      </c>
      <c r="AE46" s="109" t="e">
        <f t="shared" si="10"/>
        <v>#DIV/0!</v>
      </c>
      <c r="AF46" s="104">
        <f t="shared" si="11"/>
        <v>1</v>
      </c>
    </row>
    <row r="47" spans="1:32" ht="15">
      <c r="A47" s="250"/>
      <c r="K47" s="235"/>
      <c r="Q47" s="108"/>
      <c r="V47" s="250"/>
      <c r="X47" s="235"/>
      <c r="AD47" s="108"/>
    </row>
    <row r="48" spans="1:32" ht="25.5">
      <c r="A48" s="250"/>
      <c r="B48" s="105" t="s">
        <v>173</v>
      </c>
      <c r="C48" s="105" t="s">
        <v>434</v>
      </c>
      <c r="D48" s="74" t="s">
        <v>376</v>
      </c>
      <c r="E48" s="74" t="s">
        <v>121</v>
      </c>
      <c r="F48" s="105" t="s">
        <v>105</v>
      </c>
      <c r="G48" s="67">
        <v>20</v>
      </c>
      <c r="H48" s="105" t="s">
        <v>115</v>
      </c>
      <c r="I48" s="105">
        <v>9</v>
      </c>
      <c r="Q48" s="108" t="e">
        <f t="shared" ref="Q48:Q53" si="12">AVERAGE(J48:P48)</f>
        <v>#DIV/0!</v>
      </c>
      <c r="R48" s="108" t="e">
        <f t="shared" ref="R48:R53" si="13">SQRT(VAR(J48:P48))</f>
        <v>#DIV/0!</v>
      </c>
      <c r="S48" s="105">
        <f t="shared" ref="S48:S53" si="14">COUNT(J48:P48)</f>
        <v>0</v>
      </c>
      <c r="V48" s="250"/>
      <c r="Z48" s="228">
        <f>DL_OH!S43*10.68</f>
        <v>10.478490566037737</v>
      </c>
      <c r="AD48" s="108">
        <f t="shared" ref="AD48:AD53" si="15">AVERAGE(W48:AC48)</f>
        <v>10.478490566037737</v>
      </c>
      <c r="AE48" s="108" t="e">
        <f t="shared" ref="AE48:AE53" si="16">SQRT(VAR(W48:AC48))</f>
        <v>#DIV/0!</v>
      </c>
      <c r="AF48" s="105">
        <f t="shared" ref="AF48:AF53" si="17">COUNT(W48:AC48)</f>
        <v>1</v>
      </c>
    </row>
    <row r="49" spans="1:32" ht="25.5">
      <c r="A49" s="250"/>
      <c r="D49" s="74"/>
      <c r="E49" s="74"/>
      <c r="G49" s="67">
        <v>40</v>
      </c>
      <c r="H49" s="105" t="s">
        <v>115</v>
      </c>
      <c r="I49" s="105">
        <v>9</v>
      </c>
      <c r="Q49" s="108" t="e">
        <f t="shared" si="12"/>
        <v>#DIV/0!</v>
      </c>
      <c r="R49" s="108" t="e">
        <f t="shared" si="13"/>
        <v>#DIV/0!</v>
      </c>
      <c r="S49" s="105">
        <f t="shared" si="14"/>
        <v>0</v>
      </c>
      <c r="V49" s="250"/>
      <c r="Z49" s="228">
        <f>Z48*DL_OH!$W$43</f>
        <v>12.156309038087116</v>
      </c>
      <c r="AD49" s="108">
        <f t="shared" si="15"/>
        <v>12.156309038087116</v>
      </c>
      <c r="AE49" s="108" t="e">
        <f t="shared" si="16"/>
        <v>#DIV/0!</v>
      </c>
      <c r="AF49" s="105">
        <f t="shared" si="17"/>
        <v>1</v>
      </c>
    </row>
    <row r="50" spans="1:32" ht="25.5">
      <c r="A50" s="250"/>
      <c r="D50" s="74"/>
      <c r="E50" s="74"/>
      <c r="G50" s="67">
        <v>100</v>
      </c>
      <c r="H50" s="105" t="s">
        <v>115</v>
      </c>
      <c r="I50" s="105">
        <v>9</v>
      </c>
      <c r="Q50" s="108" t="e">
        <f t="shared" si="12"/>
        <v>#DIV/0!</v>
      </c>
      <c r="R50" s="108" t="e">
        <f t="shared" si="13"/>
        <v>#DIV/0!</v>
      </c>
      <c r="S50" s="105">
        <f t="shared" si="14"/>
        <v>0</v>
      </c>
      <c r="V50" s="250"/>
      <c r="Z50" s="228">
        <f>Z48*DL_OH!$AA$43</f>
        <v>13.300996263107621</v>
      </c>
      <c r="AD50" s="108">
        <f t="shared" si="15"/>
        <v>13.300996263107621</v>
      </c>
      <c r="AE50" s="108" t="e">
        <f t="shared" si="16"/>
        <v>#DIV/0!</v>
      </c>
      <c r="AF50" s="105">
        <f t="shared" si="17"/>
        <v>1</v>
      </c>
    </row>
    <row r="51" spans="1:32" ht="25.5">
      <c r="A51" s="250"/>
      <c r="G51" s="67">
        <v>20</v>
      </c>
      <c r="H51" s="104" t="s">
        <v>117</v>
      </c>
      <c r="I51" s="104">
        <v>0.3</v>
      </c>
      <c r="J51" s="230"/>
      <c r="K51" s="230"/>
      <c r="L51" s="230"/>
      <c r="M51" s="104"/>
      <c r="N51" s="104"/>
      <c r="O51" s="104"/>
      <c r="P51" s="104"/>
      <c r="Q51" s="109" t="e">
        <f t="shared" si="12"/>
        <v>#DIV/0!</v>
      </c>
      <c r="R51" s="109" t="e">
        <f t="shared" si="13"/>
        <v>#DIV/0!</v>
      </c>
      <c r="S51" s="104">
        <f t="shared" si="14"/>
        <v>0</v>
      </c>
      <c r="V51" s="250"/>
      <c r="W51" s="230"/>
      <c r="X51" s="230"/>
      <c r="Y51" s="230"/>
      <c r="Z51" s="230">
        <f>DL_OH!S43*0.32</f>
        <v>0.31396226415094342</v>
      </c>
      <c r="AA51" s="104"/>
      <c r="AB51" s="104"/>
      <c r="AC51" s="104"/>
      <c r="AD51" s="109">
        <f t="shared" si="15"/>
        <v>0.31396226415094342</v>
      </c>
      <c r="AE51" s="109" t="e">
        <f t="shared" si="16"/>
        <v>#DIV/0!</v>
      </c>
      <c r="AF51" s="104">
        <f t="shared" si="17"/>
        <v>1</v>
      </c>
    </row>
    <row r="52" spans="1:32" ht="25.5">
      <c r="A52" s="250"/>
      <c r="G52" s="67">
        <v>40</v>
      </c>
      <c r="H52" s="104" t="s">
        <v>117</v>
      </c>
      <c r="I52" s="104">
        <v>0.3</v>
      </c>
      <c r="J52" s="230"/>
      <c r="K52" s="230"/>
      <c r="L52" s="230"/>
      <c r="M52" s="104"/>
      <c r="N52" s="104"/>
      <c r="O52" s="104"/>
      <c r="P52" s="104"/>
      <c r="Q52" s="109" t="e">
        <f t="shared" si="12"/>
        <v>#DIV/0!</v>
      </c>
      <c r="R52" s="109" t="e">
        <f t="shared" si="13"/>
        <v>#DIV/0!</v>
      </c>
      <c r="S52" s="104">
        <f t="shared" si="14"/>
        <v>0</v>
      </c>
      <c r="V52" s="250"/>
      <c r="W52" s="230"/>
      <c r="X52" s="230"/>
      <c r="Y52" s="230"/>
      <c r="Z52" s="230">
        <f>Z51*DL_OH!$W$43</f>
        <v>0.36423397866927687</v>
      </c>
      <c r="AA52" s="104"/>
      <c r="AB52" s="104"/>
      <c r="AC52" s="104"/>
      <c r="AD52" s="109">
        <f t="shared" si="15"/>
        <v>0.36423397866927687</v>
      </c>
      <c r="AE52" s="109" t="e">
        <f t="shared" si="16"/>
        <v>#DIV/0!</v>
      </c>
      <c r="AF52" s="104">
        <f t="shared" si="17"/>
        <v>1</v>
      </c>
    </row>
    <row r="53" spans="1:32" ht="25.5">
      <c r="A53" s="250"/>
      <c r="G53" s="67">
        <v>100</v>
      </c>
      <c r="H53" s="104" t="s">
        <v>117</v>
      </c>
      <c r="I53" s="104">
        <v>0.3</v>
      </c>
      <c r="J53" s="230"/>
      <c r="K53" s="230"/>
      <c r="L53" s="230"/>
      <c r="M53" s="104"/>
      <c r="N53" s="104"/>
      <c r="O53" s="104"/>
      <c r="P53" s="104"/>
      <c r="Q53" s="109" t="e">
        <f t="shared" si="12"/>
        <v>#DIV/0!</v>
      </c>
      <c r="R53" s="109" t="e">
        <f t="shared" si="13"/>
        <v>#DIV/0!</v>
      </c>
      <c r="S53" s="104">
        <f t="shared" si="14"/>
        <v>0</v>
      </c>
      <c r="V53" s="250"/>
      <c r="W53" s="230"/>
      <c r="X53" s="230"/>
      <c r="Y53" s="230"/>
      <c r="Z53" s="230">
        <f>Z51*DL_OH!$AA$43</f>
        <v>0.39853172323917962</v>
      </c>
      <c r="AA53" s="104"/>
      <c r="AB53" s="104"/>
      <c r="AC53" s="104"/>
      <c r="AD53" s="109">
        <f t="shared" si="15"/>
        <v>0.39853172323917962</v>
      </c>
      <c r="AE53" s="109" t="e">
        <f t="shared" si="16"/>
        <v>#DIV/0!</v>
      </c>
      <c r="AF53" s="104">
        <f t="shared" si="17"/>
        <v>1</v>
      </c>
    </row>
    <row r="54" spans="1:32">
      <c r="Q54" s="108"/>
      <c r="AD54" s="108"/>
    </row>
    <row r="55" spans="1:32">
      <c r="Q55" s="108"/>
      <c r="AD55" s="108"/>
    </row>
    <row r="56" spans="1:32" ht="12.75" customHeight="1">
      <c r="A56" s="369" t="s">
        <v>68</v>
      </c>
      <c r="B56" s="46" t="s">
        <v>39</v>
      </c>
      <c r="C56" s="46"/>
      <c r="D56" s="46"/>
      <c r="E56" s="46"/>
      <c r="F56" s="46"/>
      <c r="G56" s="253"/>
      <c r="H56" s="55"/>
      <c r="I56" s="55"/>
      <c r="J56" s="227"/>
      <c r="K56" s="227"/>
      <c r="L56" s="227"/>
      <c r="M56" s="55"/>
      <c r="N56" s="55"/>
      <c r="O56" s="55"/>
      <c r="P56" s="55"/>
      <c r="Q56" s="64"/>
      <c r="R56" s="64"/>
      <c r="S56" s="55"/>
      <c r="V56" s="369" t="s">
        <v>68</v>
      </c>
      <c r="W56" s="227"/>
      <c r="X56" s="227"/>
      <c r="Y56" s="227"/>
      <c r="Z56" s="227"/>
      <c r="AA56" s="55"/>
      <c r="AB56" s="55"/>
      <c r="AC56" s="55"/>
      <c r="AD56" s="64"/>
      <c r="AE56" s="64"/>
      <c r="AF56" s="55"/>
    </row>
    <row r="57" spans="1:32" ht="38.25">
      <c r="A57" s="369"/>
      <c r="B57" s="105" t="s">
        <v>191</v>
      </c>
      <c r="C57" s="105" t="s">
        <v>428</v>
      </c>
      <c r="D57" s="105" t="s">
        <v>190</v>
      </c>
      <c r="E57" s="105" t="s">
        <v>124</v>
      </c>
      <c r="H57" s="105" t="s">
        <v>115</v>
      </c>
      <c r="I57" s="105">
        <v>6.75</v>
      </c>
      <c r="J57" s="246"/>
      <c r="Q57" s="108" t="e">
        <f>AVERAGE(J57:P57)</f>
        <v>#DIV/0!</v>
      </c>
      <c r="R57" s="108" t="e">
        <f>SQRT(VAR(J57:P57))</f>
        <v>#DIV/0!</v>
      </c>
      <c r="S57" s="105">
        <f>COUNT(J57:P57)</f>
        <v>0</v>
      </c>
      <c r="V57" s="369"/>
      <c r="AD57" s="108" t="e">
        <f>AVERAGE(W57:AC57)</f>
        <v>#DIV/0!</v>
      </c>
      <c r="AE57" s="108" t="e">
        <f>SQRT(VAR(W57:AC57))</f>
        <v>#DIV/0!</v>
      </c>
      <c r="AF57" s="105">
        <f>COUNT(W57:AC57)</f>
        <v>0</v>
      </c>
    </row>
    <row r="58" spans="1:32" ht="25.5">
      <c r="A58" s="369"/>
      <c r="H58" s="104" t="s">
        <v>117</v>
      </c>
      <c r="I58" s="104">
        <v>0.21</v>
      </c>
      <c r="J58" s="230"/>
      <c r="K58" s="230"/>
      <c r="L58" s="230"/>
      <c r="M58" s="104"/>
      <c r="N58" s="104"/>
      <c r="O58" s="104"/>
      <c r="P58" s="104"/>
      <c r="Q58" s="109" t="e">
        <f>AVERAGE(J58:P58)</f>
        <v>#DIV/0!</v>
      </c>
      <c r="R58" s="109" t="e">
        <f>SQRT(VAR(J58:P58))</f>
        <v>#DIV/0!</v>
      </c>
      <c r="S58" s="104">
        <f>COUNT(J58:P58)</f>
        <v>0</v>
      </c>
      <c r="V58" s="369"/>
      <c r="W58" s="230"/>
      <c r="X58" s="230"/>
      <c r="Y58" s="230"/>
      <c r="Z58" s="230"/>
      <c r="AA58" s="104"/>
      <c r="AB58" s="104"/>
      <c r="AC58" s="104"/>
      <c r="AD58" s="109" t="e">
        <f>AVERAGE(W58:AC58)</f>
        <v>#DIV/0!</v>
      </c>
      <c r="AE58" s="109" t="e">
        <f>SQRT(VAR(W58:AC58))</f>
        <v>#DIV/0!</v>
      </c>
      <c r="AF58" s="104">
        <f>COUNT(W58:AC58)</f>
        <v>0</v>
      </c>
    </row>
    <row r="59" spans="1:32">
      <c r="A59" s="369"/>
      <c r="Q59" s="108"/>
      <c r="V59" s="369"/>
      <c r="AD59" s="108"/>
    </row>
    <row r="60" spans="1:32" ht="25.5">
      <c r="A60" s="369"/>
      <c r="B60" s="105" t="s">
        <v>191</v>
      </c>
      <c r="C60" s="105" t="s">
        <v>426</v>
      </c>
      <c r="D60" s="105" t="s">
        <v>277</v>
      </c>
      <c r="E60" s="105" t="s">
        <v>124</v>
      </c>
      <c r="H60" s="105" t="s">
        <v>115</v>
      </c>
      <c r="I60" s="105">
        <v>6.75</v>
      </c>
      <c r="J60" s="246"/>
      <c r="Q60" s="108" t="e">
        <f>AVERAGE(J60:P60)</f>
        <v>#DIV/0!</v>
      </c>
      <c r="R60" s="108" t="e">
        <f>SQRT(VAR(J60:P60))</f>
        <v>#DIV/0!</v>
      </c>
      <c r="S60" s="105">
        <f>COUNT(J60:P60)</f>
        <v>0</v>
      </c>
      <c r="V60" s="369"/>
      <c r="AD60" s="108" t="e">
        <f>AVERAGE(W60:AC60)</f>
        <v>#DIV/0!</v>
      </c>
      <c r="AE60" s="108" t="e">
        <f>SQRT(VAR(W60:AC60))</f>
        <v>#DIV/0!</v>
      </c>
      <c r="AF60" s="105">
        <f>COUNT(W60:AC60)</f>
        <v>0</v>
      </c>
    </row>
    <row r="61" spans="1:32" ht="25.5">
      <c r="A61" s="369"/>
      <c r="H61" s="104" t="s">
        <v>117</v>
      </c>
      <c r="I61" s="104">
        <v>0.21</v>
      </c>
      <c r="J61" s="230"/>
      <c r="K61" s="230"/>
      <c r="L61" s="230"/>
      <c r="M61" s="104"/>
      <c r="N61" s="104"/>
      <c r="O61" s="104"/>
      <c r="P61" s="104"/>
      <c r="Q61" s="109" t="e">
        <f>AVERAGE(J61:P61)</f>
        <v>#DIV/0!</v>
      </c>
      <c r="R61" s="109" t="e">
        <f>SQRT(VAR(J61:P61))</f>
        <v>#DIV/0!</v>
      </c>
      <c r="S61" s="104">
        <f>COUNT(J61:P61)</f>
        <v>0</v>
      </c>
      <c r="V61" s="369"/>
      <c r="W61" s="230"/>
      <c r="X61" s="230"/>
      <c r="Y61" s="230"/>
      <c r="Z61" s="230"/>
      <c r="AA61" s="104"/>
      <c r="AB61" s="104"/>
      <c r="AC61" s="104"/>
      <c r="AD61" s="109" t="e">
        <f>AVERAGE(W61:AC61)</f>
        <v>#DIV/0!</v>
      </c>
      <c r="AE61" s="109" t="e">
        <f>SQRT(VAR(W61:AC61))</f>
        <v>#DIV/0!</v>
      </c>
      <c r="AF61" s="104">
        <f>COUNT(W61:AC61)</f>
        <v>0</v>
      </c>
    </row>
    <row r="62" spans="1:32">
      <c r="A62" s="369"/>
      <c r="Q62" s="108"/>
      <c r="V62" s="369"/>
      <c r="AD62" s="108"/>
    </row>
    <row r="63" spans="1:32" ht="25.5">
      <c r="A63" s="369"/>
      <c r="B63" s="105" t="s">
        <v>191</v>
      </c>
      <c r="C63" s="105" t="s">
        <v>437</v>
      </c>
      <c r="D63" s="74" t="s">
        <v>249</v>
      </c>
      <c r="E63" s="105" t="s">
        <v>124</v>
      </c>
      <c r="H63" s="105" t="s">
        <v>115</v>
      </c>
      <c r="I63" s="105">
        <v>6.75</v>
      </c>
      <c r="J63" s="246"/>
      <c r="K63" s="228">
        <v>7.2</v>
      </c>
      <c r="Q63" s="108">
        <f>AVERAGE(J63:P63)</f>
        <v>7.2</v>
      </c>
      <c r="R63" s="108" t="e">
        <f>SQRT(VAR(J63:P63))</f>
        <v>#DIV/0!</v>
      </c>
      <c r="S63" s="105">
        <f>COUNT(J63:P63)</f>
        <v>1</v>
      </c>
      <c r="V63" s="369"/>
      <c r="X63" s="228">
        <v>7.34</v>
      </c>
      <c r="AD63" s="108">
        <f>AVERAGE(W63:AC63)</f>
        <v>7.34</v>
      </c>
      <c r="AE63" s="108" t="e">
        <f>SQRT(VAR(W63:AC63))</f>
        <v>#DIV/0!</v>
      </c>
      <c r="AF63" s="105">
        <f>COUNT(W63:AC63)</f>
        <v>1</v>
      </c>
    </row>
    <row r="64" spans="1:32" ht="25.5">
      <c r="A64" s="369"/>
      <c r="H64" s="104" t="s">
        <v>117</v>
      </c>
      <c r="I64" s="104">
        <v>0.21</v>
      </c>
      <c r="J64" s="230"/>
      <c r="K64" s="230">
        <v>0.40100000000000002</v>
      </c>
      <c r="L64" s="230"/>
      <c r="M64" s="104"/>
      <c r="N64" s="104"/>
      <c r="O64" s="104"/>
      <c r="P64" s="104"/>
      <c r="Q64" s="109">
        <f>AVERAGE(J64:P64)</f>
        <v>0.40100000000000002</v>
      </c>
      <c r="R64" s="109" t="e">
        <f>SQRT(VAR(J64:P64))</f>
        <v>#DIV/0!</v>
      </c>
      <c r="S64" s="104">
        <f>COUNT(J64:P64)</f>
        <v>1</v>
      </c>
      <c r="V64" s="369"/>
      <c r="W64" s="230"/>
      <c r="X64" s="230">
        <v>0.41399999999999998</v>
      </c>
      <c r="Y64" s="230"/>
      <c r="Z64" s="230"/>
      <c r="AA64" s="104"/>
      <c r="AB64" s="104"/>
      <c r="AC64" s="104"/>
      <c r="AD64" s="109">
        <f>AVERAGE(W64:AC64)</f>
        <v>0.41399999999999998</v>
      </c>
      <c r="AE64" s="109" t="e">
        <f>SQRT(VAR(W64:AC64))</f>
        <v>#DIV/0!</v>
      </c>
      <c r="AF64" s="104">
        <f>COUNT(W64:AC64)</f>
        <v>1</v>
      </c>
    </row>
    <row r="65" spans="1:32">
      <c r="A65" s="369"/>
      <c r="Q65" s="108"/>
      <c r="V65" s="369"/>
      <c r="AD65" s="108"/>
    </row>
    <row r="66" spans="1:32">
      <c r="A66" s="251"/>
      <c r="B66" s="46" t="s">
        <v>57</v>
      </c>
      <c r="C66" s="46"/>
      <c r="D66" s="46"/>
      <c r="E66" s="46"/>
      <c r="F66" s="46"/>
      <c r="G66" s="253"/>
      <c r="H66" s="55"/>
      <c r="I66" s="55"/>
      <c r="J66" s="227"/>
      <c r="K66" s="227"/>
      <c r="L66" s="227"/>
      <c r="M66" s="55"/>
      <c r="N66" s="55"/>
      <c r="O66" s="55"/>
      <c r="P66" s="55"/>
      <c r="Q66" s="64"/>
      <c r="R66" s="64"/>
      <c r="S66" s="55"/>
      <c r="V66" s="369"/>
      <c r="W66" s="227"/>
      <c r="X66" s="227"/>
      <c r="Y66" s="227"/>
      <c r="Z66" s="227"/>
      <c r="AA66" s="55"/>
      <c r="AB66" s="55"/>
      <c r="AC66" s="55"/>
      <c r="AD66" s="64"/>
      <c r="AE66" s="64"/>
      <c r="AF66" s="55"/>
    </row>
    <row r="67" spans="1:32" ht="38.25">
      <c r="A67" s="251"/>
      <c r="B67" s="105" t="s">
        <v>191</v>
      </c>
      <c r="C67" s="105" t="s">
        <v>428</v>
      </c>
      <c r="D67" s="105" t="s">
        <v>190</v>
      </c>
      <c r="E67" s="105" t="s">
        <v>124</v>
      </c>
      <c r="F67" s="105" t="s">
        <v>185</v>
      </c>
      <c r="H67" s="105" t="s">
        <v>115</v>
      </c>
      <c r="I67" s="105">
        <v>6.75</v>
      </c>
      <c r="J67" s="246"/>
      <c r="Q67" s="108" t="e">
        <f>AVERAGE(J67:P67)</f>
        <v>#DIV/0!</v>
      </c>
      <c r="R67" s="108" t="e">
        <f>SQRT(VAR(J67:P67))</f>
        <v>#DIV/0!</v>
      </c>
      <c r="S67" s="105">
        <f>COUNT(J67:P67)</f>
        <v>0</v>
      </c>
      <c r="V67" s="369"/>
      <c r="AD67" s="108" t="e">
        <f>AVERAGE(W67:AC67)</f>
        <v>#DIV/0!</v>
      </c>
      <c r="AE67" s="108" t="e">
        <f>SQRT(VAR(W67:AC67))</f>
        <v>#DIV/0!</v>
      </c>
      <c r="AF67" s="105">
        <f>COUNT(W67:AC67)</f>
        <v>0</v>
      </c>
    </row>
    <row r="68" spans="1:32" ht="25.5">
      <c r="A68" s="369"/>
      <c r="H68" s="104" t="s">
        <v>117</v>
      </c>
      <c r="I68" s="104">
        <v>0.21</v>
      </c>
      <c r="J68" s="230"/>
      <c r="K68" s="230"/>
      <c r="L68" s="230"/>
      <c r="M68" s="104"/>
      <c r="N68" s="104"/>
      <c r="O68" s="104"/>
      <c r="P68" s="104"/>
      <c r="Q68" s="109" t="e">
        <f>AVERAGE(J68:P68)</f>
        <v>#DIV/0!</v>
      </c>
      <c r="R68" s="109" t="e">
        <f>SQRT(VAR(J68:P68))</f>
        <v>#DIV/0!</v>
      </c>
      <c r="S68" s="104">
        <f>COUNT(J68:P68)</f>
        <v>0</v>
      </c>
      <c r="V68" s="369"/>
      <c r="W68" s="230"/>
      <c r="X68" s="230"/>
      <c r="Y68" s="230"/>
      <c r="Z68" s="230"/>
      <c r="AA68" s="104"/>
      <c r="AB68" s="104"/>
      <c r="AC68" s="104"/>
      <c r="AD68" s="109" t="e">
        <f>AVERAGE(W68:AC68)</f>
        <v>#DIV/0!</v>
      </c>
      <c r="AE68" s="109" t="e">
        <f>SQRT(VAR(W68:AC68))</f>
        <v>#DIV/0!</v>
      </c>
      <c r="AF68" s="104">
        <f>COUNT(W68:AC68)</f>
        <v>0</v>
      </c>
    </row>
    <row r="69" spans="1:32">
      <c r="A69" s="369"/>
      <c r="V69" s="369"/>
    </row>
    <row r="70" spans="1:32" ht="25.5">
      <c r="A70" s="369"/>
      <c r="B70" s="105" t="s">
        <v>191</v>
      </c>
      <c r="C70" s="74" t="s">
        <v>466</v>
      </c>
      <c r="D70" s="74" t="s">
        <v>249</v>
      </c>
      <c r="E70" s="105" t="s">
        <v>124</v>
      </c>
      <c r="F70" s="105" t="s">
        <v>185</v>
      </c>
      <c r="H70" s="105" t="s">
        <v>115</v>
      </c>
      <c r="I70" s="105">
        <v>6.75</v>
      </c>
      <c r="J70" s="246"/>
      <c r="K70" s="229">
        <v>6.98</v>
      </c>
      <c r="Q70" s="108">
        <f>AVERAGE(J70:P70)</f>
        <v>6.98</v>
      </c>
      <c r="R70" s="108" t="e">
        <f>SQRT(VAR(J70:P70))</f>
        <v>#DIV/0!</v>
      </c>
      <c r="S70" s="105">
        <f>COUNT(J70:P70)</f>
        <v>1</v>
      </c>
      <c r="V70" s="369"/>
      <c r="X70" s="229">
        <v>7.59</v>
      </c>
      <c r="AD70" s="108">
        <f>AVERAGE(W70:AC70)</f>
        <v>7.59</v>
      </c>
      <c r="AE70" s="108" t="e">
        <f>SQRT(VAR(W70:AC70))</f>
        <v>#DIV/0!</v>
      </c>
      <c r="AF70" s="105">
        <f>COUNT(W70:AC70)</f>
        <v>1</v>
      </c>
    </row>
    <row r="71" spans="1:32" ht="25.5">
      <c r="A71" s="369"/>
      <c r="H71" s="104" t="s">
        <v>117</v>
      </c>
      <c r="I71" s="104">
        <v>0.21</v>
      </c>
      <c r="J71" s="230"/>
      <c r="K71" s="231">
        <v>0.39800000000000002</v>
      </c>
      <c r="L71" s="230"/>
      <c r="M71" s="104"/>
      <c r="N71" s="104"/>
      <c r="O71" s="104"/>
      <c r="P71" s="104"/>
      <c r="Q71" s="109">
        <f>AVERAGE(J71:P71)</f>
        <v>0.39800000000000002</v>
      </c>
      <c r="R71" s="109" t="e">
        <f>SQRT(VAR(J71:P71))</f>
        <v>#DIV/0!</v>
      </c>
      <c r="S71" s="104">
        <f>COUNT(J71:P71)</f>
        <v>1</v>
      </c>
      <c r="V71" s="369"/>
      <c r="W71" s="230"/>
      <c r="X71" s="231">
        <v>0.47299999999999998</v>
      </c>
      <c r="Y71" s="230"/>
      <c r="Z71" s="230"/>
      <c r="AA71" s="104"/>
      <c r="AB71" s="104"/>
      <c r="AC71" s="104"/>
      <c r="AD71" s="109">
        <f>AVERAGE(W71:AC71)</f>
        <v>0.47299999999999998</v>
      </c>
      <c r="AE71" s="109" t="e">
        <f>SQRT(VAR(W71:AC71))</f>
        <v>#DIV/0!</v>
      </c>
      <c r="AF71" s="104">
        <f>COUNT(W71:AC71)</f>
        <v>1</v>
      </c>
    </row>
    <row r="72" spans="1:32">
      <c r="A72" s="369"/>
      <c r="Q72" s="108"/>
      <c r="V72" s="369"/>
      <c r="AD72" s="108"/>
    </row>
    <row r="73" spans="1:32" ht="25.5">
      <c r="A73" s="369"/>
      <c r="B73" s="105" t="s">
        <v>191</v>
      </c>
      <c r="C73" s="74" t="s">
        <v>466</v>
      </c>
      <c r="D73" s="74" t="s">
        <v>249</v>
      </c>
      <c r="E73" s="74" t="s">
        <v>121</v>
      </c>
      <c r="F73" s="105" t="s">
        <v>185</v>
      </c>
      <c r="H73" s="105" t="s">
        <v>115</v>
      </c>
      <c r="I73" s="105">
        <v>6.75</v>
      </c>
      <c r="J73" s="246"/>
      <c r="K73" s="229">
        <v>7.44</v>
      </c>
      <c r="Q73" s="108">
        <f>AVERAGE(J73:P73)</f>
        <v>7.44</v>
      </c>
      <c r="R73" s="108" t="e">
        <f>SQRT(VAR(J73:P73))</f>
        <v>#DIV/0!</v>
      </c>
      <c r="S73" s="105">
        <f>COUNT(J73:P73)</f>
        <v>1</v>
      </c>
      <c r="V73" s="369"/>
      <c r="X73" s="229">
        <v>7.48</v>
      </c>
      <c r="AD73" s="108">
        <f>AVERAGE(W73:AC73)</f>
        <v>7.48</v>
      </c>
      <c r="AE73" s="108" t="e">
        <f>SQRT(VAR(W73:AC73))</f>
        <v>#DIV/0!</v>
      </c>
      <c r="AF73" s="105">
        <f t="shared" ref="AF73:AF74" si="18">COUNT(W73:AC73)</f>
        <v>1</v>
      </c>
    </row>
    <row r="74" spans="1:32" ht="25.5">
      <c r="A74" s="369"/>
      <c r="H74" s="104" t="s">
        <v>117</v>
      </c>
      <c r="I74" s="104">
        <v>0.21</v>
      </c>
      <c r="J74" s="230"/>
      <c r="K74" s="231">
        <v>0.42399999999999999</v>
      </c>
      <c r="L74" s="230"/>
      <c r="M74" s="104"/>
      <c r="N74" s="104"/>
      <c r="O74" s="104"/>
      <c r="P74" s="104"/>
      <c r="Q74" s="109">
        <f>AVERAGE(J74:P74)</f>
        <v>0.42399999999999999</v>
      </c>
      <c r="R74" s="109" t="e">
        <f>SQRT(VAR(J74:P74))</f>
        <v>#DIV/0!</v>
      </c>
      <c r="S74" s="104">
        <f>COUNT(J74:P74)</f>
        <v>1</v>
      </c>
      <c r="V74" s="369"/>
      <c r="W74" s="230"/>
      <c r="X74" s="231">
        <v>0.432</v>
      </c>
      <c r="Y74" s="230"/>
      <c r="Z74" s="230"/>
      <c r="AA74" s="104"/>
      <c r="AB74" s="104"/>
      <c r="AC74" s="104"/>
      <c r="AD74" s="109">
        <f>AVERAGE(W74:AC74)</f>
        <v>0.432</v>
      </c>
      <c r="AE74" s="109" t="e">
        <f>SQRT(VAR(W74:AC74))</f>
        <v>#DIV/0!</v>
      </c>
      <c r="AF74" s="104">
        <f t="shared" si="18"/>
        <v>1</v>
      </c>
    </row>
    <row r="75" spans="1:32">
      <c r="Q75" s="108"/>
      <c r="AD75" s="108"/>
    </row>
    <row r="76" spans="1:32">
      <c r="Q76" s="108"/>
      <c r="AD76" s="108"/>
    </row>
    <row r="77" spans="1:32">
      <c r="Q77" s="108"/>
      <c r="AD77" s="108"/>
    </row>
    <row r="78" spans="1:32">
      <c r="Q78" s="108"/>
      <c r="AD78" s="108"/>
    </row>
    <row r="79" spans="1:32">
      <c r="Q79" s="108"/>
      <c r="AD79" s="108"/>
    </row>
    <row r="80" spans="1:32">
      <c r="Q80" s="108"/>
      <c r="AD80" s="108"/>
    </row>
    <row r="81" spans="17:30">
      <c r="Q81" s="108"/>
      <c r="AD81" s="108"/>
    </row>
    <row r="82" spans="17:30">
      <c r="Q82" s="108"/>
      <c r="AD82" s="108"/>
    </row>
    <row r="83" spans="17:30">
      <c r="Q83" s="108"/>
      <c r="AD83" s="108"/>
    </row>
    <row r="84" spans="17:30">
      <c r="Q84" s="108"/>
      <c r="AD84" s="108"/>
    </row>
    <row r="85" spans="17:30">
      <c r="Q85" s="108"/>
      <c r="AD85" s="108"/>
    </row>
    <row r="86" spans="17:30">
      <c r="Q86" s="108"/>
      <c r="AD86" s="108"/>
    </row>
    <row r="87" spans="17:30">
      <c r="Q87" s="108"/>
      <c r="AD87" s="108"/>
    </row>
    <row r="88" spans="17:30">
      <c r="Q88" s="108"/>
      <c r="AD88" s="108"/>
    </row>
    <row r="89" spans="17:30">
      <c r="Q89" s="108"/>
      <c r="AD89" s="108"/>
    </row>
    <row r="90" spans="17:30">
      <c r="Q90" s="108"/>
      <c r="AD90" s="108"/>
    </row>
    <row r="91" spans="17:30">
      <c r="Q91" s="108"/>
      <c r="AD91" s="108"/>
    </row>
    <row r="92" spans="17:30">
      <c r="Q92" s="108"/>
      <c r="AD92" s="108"/>
    </row>
    <row r="93" spans="17:30">
      <c r="Q93" s="108"/>
      <c r="AD93" s="108"/>
    </row>
    <row r="94" spans="17:30">
      <c r="Q94" s="108"/>
      <c r="AD94" s="108"/>
    </row>
    <row r="95" spans="17:30">
      <c r="Q95" s="108"/>
      <c r="AD95" s="108"/>
    </row>
    <row r="96" spans="17:30">
      <c r="Q96" s="108"/>
      <c r="AD96" s="108"/>
    </row>
    <row r="97" spans="17:30">
      <c r="Q97" s="108"/>
      <c r="AD97" s="108"/>
    </row>
    <row r="98" spans="17:30">
      <c r="Q98" s="108"/>
      <c r="AD98" s="108"/>
    </row>
    <row r="99" spans="17:30">
      <c r="Q99" s="108"/>
      <c r="AD99" s="108"/>
    </row>
    <row r="100" spans="17:30">
      <c r="Q100" s="108"/>
      <c r="AD100" s="108"/>
    </row>
    <row r="101" spans="17:30">
      <c r="Q101" s="108"/>
      <c r="AD101" s="108"/>
    </row>
    <row r="102" spans="17:30">
      <c r="Q102" s="108"/>
      <c r="AD102" s="108"/>
    </row>
    <row r="103" spans="17:30">
      <c r="Q103" s="108"/>
      <c r="AD103" s="108"/>
    </row>
    <row r="104" spans="17:30">
      <c r="Q104" s="108"/>
      <c r="AD104" s="108"/>
    </row>
    <row r="105" spans="17:30">
      <c r="Q105" s="108"/>
      <c r="AD105" s="108"/>
    </row>
    <row r="106" spans="17:30">
      <c r="Q106" s="108"/>
      <c r="AD106" s="108"/>
    </row>
    <row r="107" spans="17:30">
      <c r="Q107" s="108"/>
      <c r="AD107" s="108"/>
    </row>
    <row r="108" spans="17:30">
      <c r="Q108" s="108"/>
      <c r="AD108" s="108"/>
    </row>
    <row r="109" spans="17:30">
      <c r="Q109" s="108"/>
      <c r="AD109" s="108"/>
    </row>
    <row r="110" spans="17:30">
      <c r="Q110" s="108"/>
      <c r="AD110" s="108"/>
    </row>
    <row r="111" spans="17:30">
      <c r="Q111" s="108"/>
      <c r="AD111" s="108"/>
    </row>
    <row r="112" spans="17:30">
      <c r="Q112" s="108"/>
      <c r="AD112" s="108"/>
    </row>
    <row r="113" spans="17:30">
      <c r="Q113" s="108"/>
      <c r="AD113" s="108"/>
    </row>
    <row r="114" spans="17:30">
      <c r="Q114" s="108"/>
      <c r="AD114" s="108"/>
    </row>
    <row r="115" spans="17:30">
      <c r="Q115" s="108"/>
      <c r="AD115" s="108"/>
    </row>
    <row r="116" spans="17:30">
      <c r="Q116" s="108"/>
      <c r="AD116" s="108"/>
    </row>
    <row r="117" spans="17:30">
      <c r="Q117" s="108"/>
      <c r="AD117" s="108"/>
    </row>
    <row r="118" spans="17:30">
      <c r="Q118" s="108"/>
      <c r="AD118" s="108"/>
    </row>
    <row r="119" spans="17:30">
      <c r="Q119" s="108"/>
      <c r="AD119" s="108"/>
    </row>
  </sheetData>
  <mergeCells count="5">
    <mergeCell ref="H1:I1"/>
    <mergeCell ref="V5:V13"/>
    <mergeCell ref="A56:A65"/>
    <mergeCell ref="V56:V74"/>
    <mergeCell ref="A68:A74"/>
  </mergeCells>
  <phoneticPr fontId="3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文档" ma:contentTypeID="0x010100AF9254F916046D47805269FA44C28805" ma:contentTypeVersion="11" ma:contentTypeDescription="新建文档。" ma:contentTypeScope="" ma:versionID="8e552e9faad47e1ac1cd93d3d0d27245">
  <xsd:schema xmlns:xsd="http://www.w3.org/2001/XMLSchema" xmlns:xs="http://www.w3.org/2001/XMLSchema" xmlns:p="http://schemas.microsoft.com/office/2006/metadata/properties" xmlns:ns2="25a9b192-4ffd-45fe-9f9b-78d47ef7d08b" xmlns:ns3="887e1eb4-d705-45f4-998c-aa955aed8a7f" targetNamespace="http://schemas.microsoft.com/office/2006/metadata/properties" ma:root="true" ma:fieldsID="7ea357d1f358b868c7854abeba98cd03" ns2:_="" ns3:_="">
    <xsd:import namespace="25a9b192-4ffd-45fe-9f9b-78d47ef7d08b"/>
    <xsd:import namespace="887e1eb4-d705-45f4-998c-aa955aed8a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9b192-4ffd-45fe-9f9b-78d47ef7d08b" elementFormDefault="qualified">
    <xsd:import namespace="http://schemas.microsoft.com/office/2006/documentManagement/types"/>
    <xsd:import namespace="http://schemas.microsoft.com/office/infopath/2007/PartnerControls"/>
    <xsd:element name="SharedWithUsers" ma:index="8" nillable="true" ma:displayName="共享对象:"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享对象详细信息" ma:description="" ma:internalName="SharedWithDetails" ma:readOnly="true">
      <xsd:simpleType>
        <xsd:restriction base="dms:Note">
          <xsd:maxLength value="255"/>
        </xsd:restriction>
      </xsd:simpleType>
    </xsd:element>
    <xsd:element name="LastSharedByUser" ma:index="10" nillable="true" ma:displayName="上次共享用户" ma:description="" ma:internalName="LastSharedByUser" ma:readOnly="true">
      <xsd:simpleType>
        <xsd:restriction base="dms:Note">
          <xsd:maxLength value="255"/>
        </xsd:restriction>
      </xsd:simpleType>
    </xsd:element>
    <xsd:element name="LastSharedByTime" ma:index="11" nillable="true" ma:displayName="上次共享时间"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87e1eb4-d705-45f4-998c-aa955aed8a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789EEF-91FB-42B3-A3F2-5A53C39B2814}">
  <ds:schemaRefs>
    <ds:schemaRef ds:uri="http://purl.org/dc/terms/"/>
    <ds:schemaRef ds:uri="25a9b192-4ffd-45fe-9f9b-78d47ef7d08b"/>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887e1eb4-d705-45f4-998c-aa955aed8a7f"/>
  </ds:schemaRefs>
</ds:datastoreItem>
</file>

<file path=customXml/itemProps2.xml><?xml version="1.0" encoding="utf-8"?>
<ds:datastoreItem xmlns:ds="http://schemas.openxmlformats.org/officeDocument/2006/customXml" ds:itemID="{D2ABF2AA-30F3-4B0B-B279-5184FD4965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a9b192-4ffd-45fe-9f9b-78d47ef7d08b"/>
    <ds:schemaRef ds:uri="887e1eb4-d705-45f4-998c-aa955aed8a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C80BEB-915D-43B1-9CAD-DCD3B95AF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Revision comments</vt:lpstr>
      <vt:lpstr>DL_Para_4GHz</vt:lpstr>
      <vt:lpstr>UL_Para_4GHz</vt:lpstr>
      <vt:lpstr>DL_OH_Para</vt:lpstr>
      <vt:lpstr>UL_OH_Para</vt:lpstr>
      <vt:lpstr>DL_OH</vt:lpstr>
      <vt:lpstr>UL_OH</vt:lpstr>
      <vt:lpstr>Results_4GHz_12TRxP</vt:lpstr>
      <vt:lpstr>Results_4GHz_36TRxP</vt:lpstr>
      <vt:lpstr>Results_4GHz_LargerBW_12TRxP</vt:lpstr>
      <vt:lpstr>Results_4GHz_LargerBW_36TRxP</vt:lpstr>
      <vt:lpstr>UL_OH_Para!OLE_LINK27</vt:lpstr>
    </vt:vector>
  </TitlesOfParts>
  <Company>Ericsson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erafura</dc:creator>
  <cp:keywords>CTPClassification=CTP_IC:VisualMarkings=, CTPClassification=CTP_IC</cp:keywords>
  <cp:lastModifiedBy>- ITU -</cp:lastModifiedBy>
  <cp:lastPrinted>2011-08-15T04:23:56Z</cp:lastPrinted>
  <dcterms:created xsi:type="dcterms:W3CDTF">2009-04-02T17:18:32Z</dcterms:created>
  <dcterms:modified xsi:type="dcterms:W3CDTF">2018-10-10T06:31:05Z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level">
    <vt:lpwstr>5</vt:lpwstr>
  </property>
  <property fmtid="{D5CDD505-2E9C-101B-9397-08002B2CF9AE}" pid="3" name="slevelui">
    <vt:lpwstr>0</vt:lpwstr>
  </property>
  <property fmtid="{D5CDD505-2E9C-101B-9397-08002B2CF9AE}" pid="4" name="_NewReviewCycle">
    <vt:lpwstr/>
  </property>
  <property fmtid="{D5CDD505-2E9C-101B-9397-08002B2CF9AE}" pid="5" name="_ms_pID_725343">
    <vt:lpwstr>(3)ndg2hq9+vee9ZpH7NtmS+49bamYLNL7V3rHDIFvLz86GXp9LbdREafClwTNEMYP9z6o6SuU5_x000d_
riAauRvj5BB9BN2g+p0ZN+25KvgVK+sXmXpBkjC1K3xtKZ9dSdV4ubarm8JqGT3dAX33yrma_x000d_
00jB7Khe02XbVBs727JBFgoewPnCMADQuo86JbUuiKIrD96xvq4orXBS6TnzMH56sb+x9RdI_x000d_
s+XWGprl4Z/cH+R0+X</vt:lpwstr>
  </property>
  <property fmtid="{D5CDD505-2E9C-101B-9397-08002B2CF9AE}" pid="6" name="_ms_pID_7253432">
    <vt:lpwstr>5OJGb3f+mH1KzqZbnkYTVAeOjlSdIMeSlRi0_x000d_
T/acmNf7nIMFpuxj6DgIG5q3cKVhyUYcFSQiHVBrrxtrBHIJzns=</vt:lpwstr>
  </property>
  <property fmtid="{D5CDD505-2E9C-101B-9397-08002B2CF9AE}" pid="7" name="_ms_pID_7253431">
    <vt:lpwstr>JlkahCVCgBiAbbK2PRtN4TNI4Cf96TF9zAJtItSRPLOCiVFqgnXNQl_x000d_
0LnhEEKhALHOvwNRoXcsM2ckJ5D13XOkM8P1fLpGrFHRc0CQx1iCAp7/gi5Uz8nOixsjcCfI_x000d_
uoV6NsXdKtrq3EmqW2TT9jfetetwFR0R37eToZoHAhf5dSGLO3tteRe3/x8jUcBIZeKv29k5_x000d_
fPIkAJSS+OMNqGrmUpx/H+JDu4MZHHxAAMkB</vt:lpwstr>
  </property>
  <property fmtid="{D5CDD505-2E9C-101B-9397-08002B2CF9AE}" pid="8" name="_2015_ms_pID_725343">
    <vt:lpwstr>(3)Z2S3snryRKHxhtq2FXv3CoGoemppyWAe+sSkysI8GyAYQ6vbhcHSlgk74eJmSjNUnBR1o8FP
AhQ8EpTe9TxEg+kQSmyX1hDVHeyw5etvIl2d6Dat9mZTamByp2VdvuM8C4fe56Mz/iquo/Br
XPctxtVC6e51IheIxJwQWtGcbXfdjTV8A30NF1U2siQ55OPTDfM5Ar0NcSJYWHS9G3jVsd/0
Gm8wZvffvX87T6TeFt</vt:lpwstr>
  </property>
  <property fmtid="{D5CDD505-2E9C-101B-9397-08002B2CF9AE}" pid="9" name="_2015_ms_pID_7253431">
    <vt:lpwstr>Jnx4yP0jnNFf4sA0Pmpggdp6iB8yRN36tZphqp4M1hRprYyeFAMhul
57FTZNQ98eF0nyQgp/aVrObcVI6y2NVL+8Oe8Y95cHZRiikPINt9KRutg7iees4F23Jwd+uo
QijS0qur7AiHaMRZVU2P0jD5Ua9CBrbQ+sUaQMWMeXUCy8Kh1Z8iH0ez6lEa1YxUxZFl/vzC
VO55eanHPv+OD5ttYAOpJ44pPDBUxtHW4BCF</vt:lpwstr>
  </property>
  <property fmtid="{D5CDD505-2E9C-101B-9397-08002B2CF9AE}" pid="10" name="_2015_ms_pID_7253432">
    <vt:lpwstr>h0miuF7cqiLNwfTfrPtjkCjYX8PIH6eCXEE5
YuAI3WYNa5uCh6d+dY/ZhelKKrsqWXpDfy+Pd39ppmFilb12uVk=</vt:lpwstr>
  </property>
  <property fmtid="{D5CDD505-2E9C-101B-9397-08002B2CF9AE}" pid="11" name="ContentTypeId">
    <vt:lpwstr>0x010100AF9254F916046D47805269FA44C28805</vt:lpwstr>
  </property>
  <property fmtid="{D5CDD505-2E9C-101B-9397-08002B2CF9AE}" pid="12" name="TitusGUID">
    <vt:lpwstr>fbf37dd8-1465-489a-801f-3cf9f9496f01</vt:lpwstr>
  </property>
  <property fmtid="{D5CDD505-2E9C-101B-9397-08002B2CF9AE}" pid="13" name="CTP_BU">
    <vt:lpwstr>NEXT GEN AND STANDARDS GROUP</vt:lpwstr>
  </property>
  <property fmtid="{D5CDD505-2E9C-101B-9397-08002B2CF9AE}" pid="14" name="CTP_TimeStamp">
    <vt:lpwstr>2018-02-05 18:52:22Z</vt:lpwstr>
  </property>
  <property fmtid="{D5CDD505-2E9C-101B-9397-08002B2CF9AE}" pid="15" name="CTPClassification">
    <vt:lpwstr>CTP_IC</vt:lpwstr>
  </property>
  <property fmtid="{D5CDD505-2E9C-101B-9397-08002B2CF9AE}" pid="16" name="_readonly">
    <vt:lpwstr/>
  </property>
  <property fmtid="{D5CDD505-2E9C-101B-9397-08002B2CF9AE}" pid="17" name="_change">
    <vt:lpwstr/>
  </property>
  <property fmtid="{D5CDD505-2E9C-101B-9397-08002B2CF9AE}" pid="18" name="_full-control">
    <vt:lpwstr/>
  </property>
  <property fmtid="{D5CDD505-2E9C-101B-9397-08002B2CF9AE}" pid="19" name="sflag">
    <vt:lpwstr>1536565599</vt:lpwstr>
  </property>
  <property fmtid="{5C58129F-E5B8-477A-9B38-B3E54BFA04C8}" pid="2">
    <vt:lpwstr>F6CCEB40DEC8C794A4BC1A00A15D9B7BA87D6F059CE73CAFEB1B19621390A9FB</vt:lpwstr>
  </property>
</Properties>
</file>